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codeName="ThisWorkbook"/>
  <mc:AlternateContent xmlns:mc="http://schemas.openxmlformats.org/markup-compatibility/2006">
    <mc:Choice Requires="x15">
      <x15ac:absPath xmlns:x15ac="http://schemas.microsoft.com/office/spreadsheetml/2010/11/ac" url="\\10.97.87.226\02公共工事入札管理室\入札管理室\01 共通\★工事契約書作成支援ツール\R8\04_HP掲載【最終データはここに保存】\"/>
    </mc:Choice>
  </mc:AlternateContent>
  <xr:revisionPtr revIDLastSave="0" documentId="13_ncr:1_{1205C8A5-00A2-42FB-A7DE-FFA6580C240C}" xr6:coauthVersionLast="47" xr6:coauthVersionMax="47" xr10:uidLastSave="{00000000-0000-0000-0000-000000000000}"/>
  <bookViews>
    <workbookView xWindow="-120" yWindow="-120" windowWidth="29040" windowHeight="15720" tabRatio="823" xr2:uid="{00000000-000D-0000-FFFF-FFFF00000000}"/>
  </bookViews>
  <sheets>
    <sheet name="目次" sheetId="11" r:id="rId1"/>
    <sheet name="閲覧図書" sheetId="9" r:id="rId2"/>
    <sheet name="入札結果" sheetId="1" r:id="rId3"/>
    <sheet name="受注者情報" sheetId="15" r:id="rId4"/>
    <sheet name="支払限度額" sheetId="10" r:id="rId5"/>
    <sheet name="契約日ほか" sheetId="12" r:id="rId6"/>
    <sheet name="工事開始日通知書" sheetId="17" r:id="rId7"/>
    <sheet name="建設工事請負契約書" sheetId="23" r:id="rId8"/>
    <sheet name="工事請負約款" sheetId="22" r:id="rId9"/>
    <sheet name="仲裁合意書" sheetId="21" r:id="rId10"/>
    <sheet name="法第13条書面" sheetId="36" r:id="rId11"/>
    <sheet name="課(免)税事業者届出書" sheetId="20" r:id="rId12"/>
    <sheet name="現場代理人等通知書" sheetId="40" r:id="rId13"/>
    <sheet name="建退共証紙購入申告書" sheetId="34" r:id="rId14"/>
    <sheet name="請負代金内訳書" sheetId="30" r:id="rId15"/>
    <sheet name="請負代金内訳書(建築2ページ目)" sheetId="41" r:id="rId16"/>
    <sheet name="工程表" sheetId="35" r:id="rId17"/>
    <sheet name="下請計画書" sheetId="38" r:id="rId18"/>
    <sheet name="前払金請求書" sheetId="29" r:id="rId19"/>
    <sheet name="【定期メンテ】祝日" sheetId="13" state="hidden" r:id="rId20"/>
    <sheet name="【定期メンテ】所属長名ほか" sheetId="3" state="hidden" r:id="rId21"/>
    <sheet name="【定期メンテ】国交省・検索システム" sheetId="39" state="hidden" r:id="rId22"/>
    <sheet name="【随時メンテ】配置技術者" sheetId="8" state="hidden" r:id="rId23"/>
    <sheet name="【随時メンテ】工事請負約款（原文）" sheetId="18" state="hidden" r:id="rId24"/>
    <sheet name="【随時メンテ】部分払い回数等" sheetId="7" state="hidden" r:id="rId25"/>
    <sheet name="【随時メンテ】建リ法13条判定" sheetId="37" state="hidden" r:id="rId26"/>
    <sheet name="【随時メンテ】建退共証紙購入基本率等" sheetId="33" state="hidden" r:id="rId27"/>
    <sheet name="&lt;使わない&gt;シート相関関係" sheetId="4" state="hidden" r:id="rId28"/>
    <sheet name="&lt;使わない&gt;チェック表" sheetId="14" state="hidden" r:id="rId29"/>
    <sheet name="&lt;使わない&gt;当初書類" sheetId="6" state="hidden" r:id="rId30"/>
    <sheet name="&lt;使わない&gt;課(免)税事業者届出書 (2)" sheetId="25" state="hidden" r:id="rId31"/>
    <sheet name="&lt;使わない&gt;現場代理人等通知書 (2)" sheetId="28" state="hidden" r:id="rId32"/>
    <sheet name="&lt;使わない&gt;建退共証紙購入基本率" sheetId="16" state="hidden" r:id="rId33"/>
  </sheets>
  <definedNames>
    <definedName name="_xlnm._FilterDatabase" localSheetId="23" hidden="1">'【随時メンテ】工事請負約款（原文）'!$A$1:$J$835</definedName>
    <definedName name="_xlnm._FilterDatabase" localSheetId="21" hidden="1">【定期メンテ】国交省・検索システム!$A$1:$Z$3727</definedName>
    <definedName name="_xlnm._FilterDatabase" localSheetId="29" hidden="1">'&lt;使わない&gt;当初書類'!$A$1:$I$72</definedName>
    <definedName name="_xlnm.Print_Area" localSheetId="23">'【随時メンテ】工事請負約款（原文）'!$C$1:$C$835</definedName>
    <definedName name="_xlnm.Print_Area" localSheetId="30">'&lt;使わない&gt;課(免)税事業者届出書 (2)'!$A$2:$AD$22</definedName>
    <definedName name="_xlnm.Print_Area" localSheetId="31">'&lt;使わない&gt;現場代理人等通知書 (2)'!$A$1:$AO$118</definedName>
    <definedName name="_xlnm.Print_Area" localSheetId="29">'&lt;使わない&gt;当初書類'!$A$2:$I$98</definedName>
    <definedName name="_xlnm.Print_Area" localSheetId="17">下請計画書!$B$1:$G$41</definedName>
    <definedName name="_xlnm.Print_Area" localSheetId="11">'課(免)税事業者届出書'!$A$2:$AD$24</definedName>
    <definedName name="_xlnm.Print_Area" localSheetId="7">建設工事請負契約書!$C$1:$AL$51</definedName>
    <definedName name="_xlnm.Print_Area" localSheetId="13">建退共証紙購入申告書!$A$6:$AH$51</definedName>
    <definedName name="_xlnm.Print_Area" localSheetId="12">現場代理人等通知書!$A$1:$AI$100</definedName>
    <definedName name="_xlnm.Print_Area" localSheetId="6">工事開始日通知書!$A$1:$AF$45</definedName>
    <definedName name="_xlnm.Print_Area" localSheetId="8">工事請負約款!$B$3:$B$832</definedName>
    <definedName name="_xlnm.Print_Area" localSheetId="14">請負代金内訳書!$A$8:$Y$47</definedName>
    <definedName name="_xlnm.Print_Area" localSheetId="15">'請負代金内訳書(建築2ページ目)'!$A$1:$Y$20</definedName>
    <definedName name="_xlnm.Print_Area" localSheetId="9">仲裁合意書!$A$2:$AQ$73</definedName>
    <definedName name="_xlnm.Print_Area" localSheetId="10">法第13条書面!$B$6:$AL$66</definedName>
    <definedName name="建築">'&lt;使わない&gt;建退共証紙購入基本率'!$K$4:$L$4</definedName>
    <definedName name="主任技術者">【随時メンテ】配置技術者!$P$3:$P$5</definedName>
    <definedName name="設備">'&lt;使わない&gt;建退共証紙購入基本率'!$M$4:$N$4</definedName>
    <definedName name="専任主任技術者">【随時メンテ】配置技術者!$P$3</definedName>
    <definedName name="土木">'&lt;使わない&gt;建退共証紙購入基本率'!$E$4:$J$4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22" i="22" l="1"/>
  <c r="B823" i="22"/>
  <c r="B824" i="22"/>
  <c r="B825" i="22"/>
  <c r="B826" i="22"/>
  <c r="B827" i="22"/>
  <c r="B828" i="22"/>
  <c r="B829" i="22"/>
  <c r="B830" i="22"/>
  <c r="B831" i="22"/>
  <c r="B832" i="22"/>
  <c r="B833" i="22"/>
  <c r="B834" i="22"/>
  <c r="B835" i="22"/>
  <c r="B836" i="22"/>
  <c r="B837" i="22"/>
  <c r="B838" i="22"/>
  <c r="B839" i="22"/>
  <c r="B840" i="22"/>
  <c r="B841" i="22"/>
  <c r="B842" i="22"/>
  <c r="B843" i="22"/>
  <c r="B844" i="22"/>
  <c r="B845" i="22"/>
  <c r="B846" i="22"/>
  <c r="B847" i="22"/>
  <c r="B848" i="22"/>
  <c r="B849" i="22"/>
  <c r="B850" i="22"/>
  <c r="B851" i="22"/>
  <c r="B852" i="22"/>
  <c r="B853" i="22"/>
  <c r="B854" i="22"/>
  <c r="B855" i="22"/>
  <c r="B856" i="22"/>
  <c r="B857" i="22"/>
  <c r="B858" i="22"/>
  <c r="B859" i="22"/>
  <c r="B860" i="22"/>
  <c r="B861" i="22"/>
  <c r="B862" i="22"/>
  <c r="B863" i="22"/>
  <c r="B864" i="22"/>
  <c r="B865" i="22"/>
  <c r="B866" i="22"/>
  <c r="B867" i="22"/>
  <c r="B868" i="22"/>
  <c r="B869" i="22"/>
  <c r="B870" i="22"/>
  <c r="B871" i="22"/>
  <c r="B872" i="22"/>
  <c r="B873" i="22"/>
  <c r="B874" i="22"/>
  <c r="B875" i="22"/>
  <c r="B876" i="22"/>
  <c r="B877" i="22"/>
  <c r="B878" i="22"/>
  <c r="B879" i="22"/>
  <c r="B880" i="22"/>
  <c r="B881" i="22"/>
  <c r="B882" i="22"/>
  <c r="B883" i="22"/>
  <c r="B884" i="22"/>
  <c r="B885" i="22"/>
  <c r="B886" i="22"/>
  <c r="B887" i="22"/>
  <c r="B888" i="22"/>
  <c r="B889" i="22"/>
  <c r="B890" i="22"/>
  <c r="B891" i="22"/>
  <c r="B892" i="22"/>
  <c r="B893" i="22"/>
  <c r="B894" i="22"/>
  <c r="B895" i="22"/>
  <c r="B896" i="22"/>
  <c r="B897" i="22"/>
  <c r="B898" i="22"/>
  <c r="B899" i="22"/>
  <c r="B900" i="22"/>
  <c r="B901" i="22"/>
  <c r="B902" i="22"/>
  <c r="B903" i="22"/>
  <c r="B904" i="22"/>
  <c r="B905" i="22"/>
  <c r="B906" i="22"/>
  <c r="B907" i="22"/>
  <c r="B908" i="22"/>
  <c r="B909" i="22"/>
  <c r="B910" i="22"/>
  <c r="B911" i="22"/>
  <c r="B912" i="22"/>
  <c r="B913" i="22"/>
  <c r="B914" i="22"/>
  <c r="B915" i="22"/>
  <c r="B916" i="22"/>
  <c r="B917" i="22"/>
  <c r="B918" i="22"/>
  <c r="B919" i="22"/>
  <c r="B920" i="22"/>
  <c r="B921" i="22"/>
  <c r="B922" i="22"/>
  <c r="B923" i="22"/>
  <c r="B924" i="22"/>
  <c r="B925" i="22"/>
  <c r="B926" i="22"/>
  <c r="B927" i="22"/>
  <c r="B928" i="22"/>
  <c r="B929" i="22"/>
  <c r="B930" i="22"/>
  <c r="B931" i="22"/>
  <c r="B932" i="22"/>
  <c r="B933" i="22"/>
  <c r="B934" i="22"/>
  <c r="B935" i="22"/>
  <c r="B936" i="22"/>
  <c r="B937" i="22"/>
  <c r="B938" i="22"/>
  <c r="B939" i="22"/>
  <c r="B940" i="22"/>
  <c r="B941" i="22"/>
  <c r="B942" i="22"/>
  <c r="B943" i="22"/>
  <c r="B944" i="22"/>
  <c r="B945" i="22"/>
  <c r="B946" i="22"/>
  <c r="B947" i="22"/>
  <c r="B948" i="22"/>
  <c r="B949" i="22"/>
  <c r="B950" i="22"/>
  <c r="B951" i="22"/>
  <c r="B952" i="22"/>
  <c r="B953" i="22"/>
  <c r="B954" i="22"/>
  <c r="B955" i="22"/>
  <c r="B956" i="22"/>
  <c r="B957" i="22"/>
  <c r="B958" i="22"/>
  <c r="B959" i="22"/>
  <c r="B960" i="22"/>
  <c r="B961" i="22"/>
  <c r="B962" i="22"/>
  <c r="B963" i="22"/>
  <c r="B964" i="22"/>
  <c r="B965" i="22"/>
  <c r="B966" i="22"/>
  <c r="B967" i="22"/>
  <c r="B968" i="22"/>
  <c r="B969" i="22"/>
  <c r="B970" i="22"/>
  <c r="B971" i="22"/>
  <c r="B972" i="22"/>
  <c r="B973" i="22"/>
  <c r="B974" i="22"/>
  <c r="B975" i="22"/>
  <c r="B976" i="22"/>
  <c r="B977" i="22"/>
  <c r="B978" i="22"/>
  <c r="B979" i="22"/>
  <c r="B980" i="22"/>
  <c r="B981" i="22"/>
  <c r="B982" i="22"/>
  <c r="B983" i="22"/>
  <c r="B984" i="22"/>
  <c r="B985" i="22"/>
  <c r="B986" i="22"/>
  <c r="B987" i="22"/>
  <c r="B988" i="22"/>
  <c r="B989" i="22"/>
  <c r="B990" i="22"/>
  <c r="B991" i="22"/>
  <c r="B992" i="22"/>
  <c r="B993" i="22"/>
  <c r="B994" i="22"/>
  <c r="B995" i="22"/>
  <c r="B996" i="22"/>
  <c r="B997" i="22"/>
  <c r="B998" i="22"/>
  <c r="B999" i="22"/>
  <c r="B1000" i="22"/>
  <c r="B1001" i="22"/>
  <c r="B1002" i="22"/>
  <c r="B1003" i="22"/>
  <c r="B1004" i="22"/>
  <c r="B1005" i="22"/>
  <c r="B1006" i="22"/>
  <c r="B1007" i="22"/>
  <c r="B1008" i="22"/>
  <c r="B1009" i="22"/>
  <c r="B1010" i="22"/>
  <c r="B1011" i="22"/>
  <c r="B1012" i="22"/>
  <c r="B1013" i="22"/>
  <c r="B1014" i="22"/>
  <c r="B1015" i="22"/>
  <c r="B1016" i="22"/>
  <c r="B1017" i="22"/>
  <c r="B1018" i="22"/>
  <c r="B1019" i="22"/>
  <c r="B1020" i="22"/>
  <c r="B1021" i="22"/>
  <c r="B1022" i="22"/>
  <c r="B1023" i="22"/>
  <c r="B1024" i="22"/>
  <c r="B1025" i="22"/>
  <c r="B1026" i="22"/>
  <c r="B1027" i="22"/>
  <c r="B1028" i="22"/>
  <c r="B1029" i="22"/>
  <c r="B1030" i="22"/>
  <c r="B1031" i="22"/>
  <c r="B1032" i="22"/>
  <c r="B1033" i="22"/>
  <c r="B1034" i="22"/>
  <c r="B1035" i="22"/>
  <c r="B1036" i="22"/>
  <c r="B1037" i="22"/>
  <c r="B1038" i="22"/>
  <c r="B1039" i="22"/>
  <c r="B1040" i="22"/>
  <c r="B1041" i="22"/>
  <c r="B1042" i="22"/>
  <c r="B1043" i="22"/>
  <c r="B1044" i="22"/>
  <c r="B1045" i="22"/>
  <c r="B1046" i="22"/>
  <c r="B1047" i="22"/>
  <c r="B1048" i="22"/>
  <c r="B1049" i="22"/>
  <c r="B1050" i="22"/>
  <c r="B1051" i="22"/>
  <c r="B1052" i="22"/>
  <c r="B1053" i="22"/>
  <c r="B1054" i="22"/>
  <c r="B1055" i="22"/>
  <c r="B1056" i="22"/>
  <c r="B1057" i="22"/>
  <c r="B1058" i="22"/>
  <c r="B1059" i="22"/>
  <c r="B1060" i="22"/>
  <c r="B1061" i="22"/>
  <c r="B1062" i="22"/>
  <c r="B1063" i="22"/>
  <c r="B1064" i="22"/>
  <c r="B1065" i="22"/>
  <c r="B1066" i="22"/>
  <c r="B1067" i="22"/>
  <c r="B1068" i="22"/>
  <c r="B1069" i="22"/>
  <c r="B1070" i="22"/>
  <c r="B1071" i="22"/>
  <c r="B1072" i="22"/>
  <c r="B1073" i="22"/>
  <c r="B1074" i="22"/>
  <c r="B1075" i="22"/>
  <c r="B1076" i="22"/>
  <c r="B1077" i="22"/>
  <c r="B1078" i="22"/>
  <c r="B1079" i="22"/>
  <c r="B1080" i="22"/>
  <c r="B1081" i="22"/>
  <c r="B1082" i="22"/>
  <c r="B1083" i="22"/>
  <c r="B1084" i="22"/>
  <c r="B1085" i="22"/>
  <c r="B1086" i="22"/>
  <c r="B1087" i="22"/>
  <c r="B1088" i="22"/>
  <c r="B1089" i="22"/>
  <c r="B1090" i="22"/>
  <c r="B1091" i="22"/>
  <c r="B1092" i="22"/>
  <c r="B1093" i="22"/>
  <c r="B1094" i="22"/>
  <c r="B1095" i="22"/>
  <c r="B1096" i="22"/>
  <c r="B1097" i="22"/>
  <c r="B1098" i="22"/>
  <c r="B1099" i="22"/>
  <c r="B1100" i="22"/>
  <c r="B1101" i="22"/>
  <c r="B1102" i="22"/>
  <c r="B1103" i="22"/>
  <c r="B1104" i="22"/>
  <c r="B1105" i="22"/>
  <c r="B1106" i="22"/>
  <c r="B1107" i="22"/>
  <c r="B1108" i="22"/>
  <c r="B1109" i="22"/>
  <c r="B1110" i="22"/>
  <c r="B1111" i="22"/>
  <c r="B1112" i="22"/>
  <c r="B1113" i="22"/>
  <c r="B1114" i="22"/>
  <c r="B1115" i="22"/>
  <c r="B1116" i="22"/>
  <c r="B1117" i="22"/>
  <c r="B1118" i="22"/>
  <c r="B1119" i="22"/>
  <c r="B1120" i="22"/>
  <c r="B1121" i="22"/>
  <c r="B1122" i="22"/>
  <c r="B1123" i="22"/>
  <c r="B1124" i="22"/>
  <c r="B1125" i="22"/>
  <c r="B1126" i="22"/>
  <c r="B1127" i="22"/>
  <c r="B1128" i="22"/>
  <c r="B1129" i="22"/>
  <c r="B1130" i="22"/>
  <c r="B1131" i="22"/>
  <c r="B1132" i="22"/>
  <c r="B1133" i="22"/>
  <c r="B1134" i="22"/>
  <c r="B1135" i="22"/>
  <c r="B1136" i="22"/>
  <c r="B1137" i="22"/>
  <c r="B1138" i="22"/>
  <c r="B1139" i="22"/>
  <c r="B1140" i="22"/>
  <c r="B1141" i="22"/>
  <c r="B1142" i="22"/>
  <c r="B1143" i="22"/>
  <c r="B1144" i="22"/>
  <c r="B1145" i="22"/>
  <c r="B1146" i="22"/>
  <c r="B1147" i="22"/>
  <c r="B1148" i="22"/>
  <c r="B1149" i="22"/>
  <c r="B1150" i="22"/>
  <c r="B1151" i="22"/>
  <c r="B1152" i="22"/>
  <c r="B1153" i="22"/>
  <c r="B1154" i="22"/>
  <c r="B1155" i="22"/>
  <c r="B1156" i="22"/>
  <c r="B1157" i="22"/>
  <c r="B1158" i="22"/>
  <c r="B1159" i="22"/>
  <c r="B1160" i="22"/>
  <c r="B1161" i="22"/>
  <c r="B1162" i="22"/>
  <c r="B1163" i="22"/>
  <c r="B1164" i="22"/>
  <c r="B1165" i="22"/>
  <c r="B1166" i="22"/>
  <c r="B1167" i="22"/>
  <c r="B1168" i="22"/>
  <c r="B1169" i="22"/>
  <c r="B1170" i="22"/>
  <c r="B1171" i="22"/>
  <c r="B1172" i="22"/>
  <c r="B1173" i="22"/>
  <c r="B1174" i="22"/>
  <c r="B1175" i="22"/>
  <c r="B1176" i="22"/>
  <c r="B1177" i="22"/>
  <c r="B1178" i="22"/>
  <c r="B1179" i="22"/>
  <c r="B1180" i="22"/>
  <c r="B1181" i="22"/>
  <c r="B1182" i="22"/>
  <c r="B1183" i="22"/>
  <c r="B1184" i="22"/>
  <c r="B1185" i="22"/>
  <c r="B1186" i="22"/>
  <c r="B1187" i="22"/>
  <c r="B1188" i="22"/>
  <c r="B1189" i="22"/>
  <c r="B1190" i="22"/>
  <c r="B1191" i="22"/>
  <c r="B1192" i="22"/>
  <c r="B1193" i="22"/>
  <c r="B1194" i="22"/>
  <c r="B1195" i="22"/>
  <c r="B1196" i="22"/>
  <c r="B1197" i="22"/>
  <c r="B1198" i="22"/>
  <c r="B1199" i="22"/>
  <c r="B1200" i="22"/>
  <c r="A941" i="22"/>
  <c r="A942" i="22"/>
  <c r="A943" i="22"/>
  <c r="A944" i="22"/>
  <c r="A945" i="22"/>
  <c r="A946" i="22"/>
  <c r="A947" i="22"/>
  <c r="A948" i="22"/>
  <c r="A949" i="22"/>
  <c r="A950" i="22"/>
  <c r="A951" i="22"/>
  <c r="A952" i="22"/>
  <c r="A953" i="22"/>
  <c r="A954" i="22"/>
  <c r="A955" i="22"/>
  <c r="A956" i="22"/>
  <c r="A957" i="22"/>
  <c r="A958" i="22"/>
  <c r="A959" i="22"/>
  <c r="A960" i="22"/>
  <c r="A961" i="22"/>
  <c r="A962" i="22"/>
  <c r="A963" i="22"/>
  <c r="A964" i="22"/>
  <c r="A965" i="22"/>
  <c r="A966" i="22"/>
  <c r="A967" i="22"/>
  <c r="A968" i="22"/>
  <c r="A969" i="22"/>
  <c r="A970" i="22"/>
  <c r="A971" i="22"/>
  <c r="A972" i="22"/>
  <c r="A973" i="22"/>
  <c r="A974" i="22"/>
  <c r="A975" i="22"/>
  <c r="A976" i="22"/>
  <c r="A977" i="22"/>
  <c r="A978" i="22"/>
  <c r="A979" i="22"/>
  <c r="A980" i="22"/>
  <c r="A981" i="22"/>
  <c r="A982" i="22"/>
  <c r="A983" i="22"/>
  <c r="A984" i="22"/>
  <c r="A985" i="22"/>
  <c r="A986" i="22"/>
  <c r="A987" i="22"/>
  <c r="A988" i="22"/>
  <c r="A989" i="22"/>
  <c r="A990" i="22"/>
  <c r="A991" i="22"/>
  <c r="A992" i="22"/>
  <c r="A993" i="22"/>
  <c r="A994" i="22"/>
  <c r="A995" i="22"/>
  <c r="A996" i="22"/>
  <c r="A997" i="22"/>
  <c r="A998" i="22"/>
  <c r="A999" i="22"/>
  <c r="A1000" i="22"/>
  <c r="A1001" i="22"/>
  <c r="A1002" i="22"/>
  <c r="A1003" i="22"/>
  <c r="A1004" i="22"/>
  <c r="A1005" i="22"/>
  <c r="A1006" i="22"/>
  <c r="A1007" i="22"/>
  <c r="A1008" i="22"/>
  <c r="A1009" i="22"/>
  <c r="A1010" i="22"/>
  <c r="A1011" i="22"/>
  <c r="A1012" i="22"/>
  <c r="A1013" i="22"/>
  <c r="A1014" i="22"/>
  <c r="A1015" i="22"/>
  <c r="A1016" i="22"/>
  <c r="A1017" i="22"/>
  <c r="A1018" i="22"/>
  <c r="A1019" i="22"/>
  <c r="A1020" i="22"/>
  <c r="A1021" i="22"/>
  <c r="A1022" i="22"/>
  <c r="A1023" i="22"/>
  <c r="A1024" i="22"/>
  <c r="A1025" i="22"/>
  <c r="A1026" i="22"/>
  <c r="A1027" i="22"/>
  <c r="A1028" i="22"/>
  <c r="A1029" i="22"/>
  <c r="A1030" i="22"/>
  <c r="A1031" i="22"/>
  <c r="A1032" i="22"/>
  <c r="A1033" i="22"/>
  <c r="A1034" i="22"/>
  <c r="A1035" i="22"/>
  <c r="A1036" i="22"/>
  <c r="A1037" i="22"/>
  <c r="A1038" i="22"/>
  <c r="A1039" i="22"/>
  <c r="A1040" i="22"/>
  <c r="A1041" i="22"/>
  <c r="A1042" i="22"/>
  <c r="A1043" i="22"/>
  <c r="A1044" i="22"/>
  <c r="A1045" i="22"/>
  <c r="A1046" i="22"/>
  <c r="A1047" i="22"/>
  <c r="A1048" i="22"/>
  <c r="A1049" i="22"/>
  <c r="A1050" i="22"/>
  <c r="A1051" i="22"/>
  <c r="A1052" i="22"/>
  <c r="A1053" i="22"/>
  <c r="A1054" i="22"/>
  <c r="A1055" i="22"/>
  <c r="A1056" i="22"/>
  <c r="A1057" i="22"/>
  <c r="A1058" i="22"/>
  <c r="A1059" i="22"/>
  <c r="A1060" i="22"/>
  <c r="A1061" i="22"/>
  <c r="A1062" i="22"/>
  <c r="A1063" i="22"/>
  <c r="A1064" i="22"/>
  <c r="A1065" i="22"/>
  <c r="A1066" i="22"/>
  <c r="A1067" i="22"/>
  <c r="A1068" i="22"/>
  <c r="A1069" i="22"/>
  <c r="A1070" i="22"/>
  <c r="A1071" i="22"/>
  <c r="A1072" i="22"/>
  <c r="A1073" i="22"/>
  <c r="A1074" i="22"/>
  <c r="A1075" i="22"/>
  <c r="A1076" i="22"/>
  <c r="A1077" i="22"/>
  <c r="A1078" i="22"/>
  <c r="A1079" i="22"/>
  <c r="A1080" i="22"/>
  <c r="A1081" i="22"/>
  <c r="A1082" i="22"/>
  <c r="A1083" i="22"/>
  <c r="A1084" i="22"/>
  <c r="A1085" i="22"/>
  <c r="A1086" i="22"/>
  <c r="A1087" i="22"/>
  <c r="A1088" i="22"/>
  <c r="A1089" i="22"/>
  <c r="A1090" i="22"/>
  <c r="A1091" i="22"/>
  <c r="A1092" i="22"/>
  <c r="A1093" i="22"/>
  <c r="A1094" i="22"/>
  <c r="A1095" i="22"/>
  <c r="A1096" i="22"/>
  <c r="A1097" i="22"/>
  <c r="A1098" i="22"/>
  <c r="A1099" i="22"/>
  <c r="A1100" i="22"/>
  <c r="A1101" i="22"/>
  <c r="A1102" i="22"/>
  <c r="A1103" i="22"/>
  <c r="A1104" i="22"/>
  <c r="A1105" i="22"/>
  <c r="A1106" i="22"/>
  <c r="A1107" i="22"/>
  <c r="A1108" i="22"/>
  <c r="A1109" i="22"/>
  <c r="A1110" i="22"/>
  <c r="A1111" i="22"/>
  <c r="A1112" i="22"/>
  <c r="A1113" i="22"/>
  <c r="A1114" i="22"/>
  <c r="A1115" i="22"/>
  <c r="A1116" i="22"/>
  <c r="A1117" i="22"/>
  <c r="A1118" i="22"/>
  <c r="A1119" i="22"/>
  <c r="A1120" i="22"/>
  <c r="A1121" i="22"/>
  <c r="A1122" i="22"/>
  <c r="A1123" i="22"/>
  <c r="A1124" i="22"/>
  <c r="A1125" i="22"/>
  <c r="A1126" i="22"/>
  <c r="A1127" i="22"/>
  <c r="A1128" i="22"/>
  <c r="A1129" i="22"/>
  <c r="A1130" i="22"/>
  <c r="A1131" i="22"/>
  <c r="A1132" i="22"/>
  <c r="A1133" i="22"/>
  <c r="A1134" i="22"/>
  <c r="A1135" i="22"/>
  <c r="A1136" i="22"/>
  <c r="A1137" i="22"/>
  <c r="A1138" i="22"/>
  <c r="A1139" i="22"/>
  <c r="A1140" i="22"/>
  <c r="A1141" i="22"/>
  <c r="A1142" i="22"/>
  <c r="A1143" i="22"/>
  <c r="A1144" i="22"/>
  <c r="A1145" i="22"/>
  <c r="A1146" i="22"/>
  <c r="A1147" i="22"/>
  <c r="A1148" i="22"/>
  <c r="A1149" i="22"/>
  <c r="A1150" i="22"/>
  <c r="A1151" i="22"/>
  <c r="A1152" i="22"/>
  <c r="A1153" i="22"/>
  <c r="A1154" i="22"/>
  <c r="A1155" i="22"/>
  <c r="A1156" i="22"/>
  <c r="A1157" i="22"/>
  <c r="A1158" i="22"/>
  <c r="A1159" i="22"/>
  <c r="A1160" i="22"/>
  <c r="A1161" i="22"/>
  <c r="A1162" i="22"/>
  <c r="A1163" i="22"/>
  <c r="A1164" i="22"/>
  <c r="A1165" i="22"/>
  <c r="A1166" i="22"/>
  <c r="A1167" i="22"/>
  <c r="A1168" i="22"/>
  <c r="A1169" i="22"/>
  <c r="A1170" i="22"/>
  <c r="A1171" i="22"/>
  <c r="A1172" i="22"/>
  <c r="A1173" i="22"/>
  <c r="A1174" i="22"/>
  <c r="A1175" i="22"/>
  <c r="A1176" i="22"/>
  <c r="A1177" i="22"/>
  <c r="A1178" i="22"/>
  <c r="A1179" i="22"/>
  <c r="A1180" i="22"/>
  <c r="A1181" i="22"/>
  <c r="A1182" i="22"/>
  <c r="A1183" i="22"/>
  <c r="A1184" i="22"/>
  <c r="A1185" i="22"/>
  <c r="A1186" i="22"/>
  <c r="A1187" i="22"/>
  <c r="A1188" i="22"/>
  <c r="A1189" i="22"/>
  <c r="A1190" i="22"/>
  <c r="A1191" i="22"/>
  <c r="A1192" i="22"/>
  <c r="A1193" i="22"/>
  <c r="A1194" i="22"/>
  <c r="A1195" i="22"/>
  <c r="A1196" i="22"/>
  <c r="A1197" i="22"/>
  <c r="A1198" i="22"/>
  <c r="A1199" i="22"/>
  <c r="A1200" i="22"/>
  <c r="B339" i="18"/>
  <c r="B340" i="18" s="1"/>
  <c r="A823" i="22"/>
  <c r="A824" i="22"/>
  <c r="A825" i="22"/>
  <c r="A826" i="22"/>
  <c r="A827" i="22"/>
  <c r="A828" i="22"/>
  <c r="A829" i="22"/>
  <c r="A830" i="22"/>
  <c r="A831" i="22"/>
  <c r="A832" i="22"/>
  <c r="A833" i="22"/>
  <c r="A834" i="22"/>
  <c r="A835" i="22"/>
  <c r="A836" i="22"/>
  <c r="A837" i="22"/>
  <c r="A838" i="22"/>
  <c r="A839" i="22"/>
  <c r="A840" i="22"/>
  <c r="A841" i="22"/>
  <c r="A842" i="22"/>
  <c r="A843" i="22"/>
  <c r="A844" i="22"/>
  <c r="A845" i="22"/>
  <c r="A846" i="22"/>
  <c r="A847" i="22"/>
  <c r="A848" i="22"/>
  <c r="A849" i="22"/>
  <c r="A850" i="22"/>
  <c r="A851" i="22"/>
  <c r="A852" i="22"/>
  <c r="A853" i="22"/>
  <c r="A854" i="22"/>
  <c r="A855" i="22"/>
  <c r="A856" i="22"/>
  <c r="A857" i="22"/>
  <c r="A858" i="22"/>
  <c r="A859" i="22"/>
  <c r="A860" i="22"/>
  <c r="A861" i="22"/>
  <c r="A862" i="22"/>
  <c r="A863" i="22"/>
  <c r="A864" i="22"/>
  <c r="A865" i="22"/>
  <c r="A866" i="22"/>
  <c r="A867" i="22"/>
  <c r="A868" i="22"/>
  <c r="A869" i="22"/>
  <c r="A870" i="22"/>
  <c r="A871" i="22"/>
  <c r="A872" i="22"/>
  <c r="A873" i="22"/>
  <c r="A874" i="22"/>
  <c r="A875" i="22"/>
  <c r="A876" i="22"/>
  <c r="A877" i="22"/>
  <c r="A878" i="22"/>
  <c r="A879" i="22"/>
  <c r="A880" i="22"/>
  <c r="A881" i="22"/>
  <c r="A882" i="22"/>
  <c r="A883" i="22"/>
  <c r="A884" i="22"/>
  <c r="A885" i="22"/>
  <c r="A886" i="22"/>
  <c r="A887" i="22"/>
  <c r="A888" i="22"/>
  <c r="A889" i="22"/>
  <c r="A890" i="22"/>
  <c r="A891" i="22"/>
  <c r="A892" i="22"/>
  <c r="A893" i="22"/>
  <c r="A894" i="22"/>
  <c r="A895" i="22"/>
  <c r="A896" i="22"/>
  <c r="A897" i="22"/>
  <c r="A898" i="22"/>
  <c r="A899" i="22"/>
  <c r="A900" i="22"/>
  <c r="A901" i="22"/>
  <c r="A902" i="22"/>
  <c r="A903" i="22"/>
  <c r="A904" i="22"/>
  <c r="A905" i="22"/>
  <c r="A906" i="22"/>
  <c r="A907" i="22"/>
  <c r="A908" i="22"/>
  <c r="A909" i="22"/>
  <c r="A910" i="22"/>
  <c r="A911" i="22"/>
  <c r="A912" i="22"/>
  <c r="A913" i="22"/>
  <c r="A914" i="22"/>
  <c r="A915" i="22"/>
  <c r="A916" i="22"/>
  <c r="A917" i="22"/>
  <c r="A918" i="22"/>
  <c r="A919" i="22"/>
  <c r="A920" i="22"/>
  <c r="A921" i="22"/>
  <c r="A922" i="22"/>
  <c r="A923" i="22"/>
  <c r="A924" i="22"/>
  <c r="A925" i="22"/>
  <c r="A926" i="22"/>
  <c r="A927" i="22"/>
  <c r="A928" i="22"/>
  <c r="A929" i="22"/>
  <c r="A930" i="22"/>
  <c r="A931" i="22"/>
  <c r="A932" i="22"/>
  <c r="A933" i="22"/>
  <c r="A934" i="22"/>
  <c r="A935" i="22"/>
  <c r="A936" i="22"/>
  <c r="A937" i="22"/>
  <c r="A938" i="22"/>
  <c r="A939" i="22"/>
  <c r="A940" i="22"/>
  <c r="A822" i="22"/>
  <c r="E2" i="39"/>
  <c r="E3" i="39"/>
  <c r="E4" i="39"/>
  <c r="E5" i="39"/>
  <c r="E6" i="39"/>
  <c r="E7" i="39"/>
  <c r="E8" i="39"/>
  <c r="E9" i="39"/>
  <c r="E10" i="39"/>
  <c r="E11" i="39"/>
  <c r="E12" i="39"/>
  <c r="E13" i="39"/>
  <c r="E14" i="39"/>
  <c r="E15" i="39"/>
  <c r="E16" i="39"/>
  <c r="E17" i="39"/>
  <c r="E18" i="39"/>
  <c r="E19" i="39"/>
  <c r="E20" i="39"/>
  <c r="E21" i="39"/>
  <c r="E22" i="39"/>
  <c r="E23" i="39"/>
  <c r="E24" i="39"/>
  <c r="E25" i="39"/>
  <c r="E26" i="39"/>
  <c r="E27" i="39"/>
  <c r="E28" i="39"/>
  <c r="E29" i="39"/>
  <c r="E30" i="39"/>
  <c r="E31" i="39"/>
  <c r="E32" i="39"/>
  <c r="E33" i="39"/>
  <c r="E34" i="39"/>
  <c r="E35" i="39"/>
  <c r="E36" i="39"/>
  <c r="E37" i="39"/>
  <c r="E38" i="39"/>
  <c r="E39" i="39"/>
  <c r="E40" i="39"/>
  <c r="E41" i="39"/>
  <c r="E42" i="39"/>
  <c r="E43" i="39"/>
  <c r="E44" i="39"/>
  <c r="E45" i="39"/>
  <c r="E46" i="39"/>
  <c r="E47" i="39"/>
  <c r="E48" i="39"/>
  <c r="E49" i="39"/>
  <c r="E50" i="39"/>
  <c r="E51" i="39"/>
  <c r="E52" i="39"/>
  <c r="E53" i="39"/>
  <c r="E54" i="39"/>
  <c r="E55" i="39"/>
  <c r="E56" i="39"/>
  <c r="E57" i="39"/>
  <c r="E58" i="39"/>
  <c r="E59" i="39"/>
  <c r="E60" i="39"/>
  <c r="E61" i="39"/>
  <c r="E62" i="39"/>
  <c r="E63" i="39"/>
  <c r="E64" i="39"/>
  <c r="E65" i="39"/>
  <c r="E66" i="39"/>
  <c r="E67" i="39"/>
  <c r="E68" i="39"/>
  <c r="E69" i="39"/>
  <c r="E70" i="39"/>
  <c r="E71" i="39"/>
  <c r="E72" i="39"/>
  <c r="E73" i="39"/>
  <c r="E74" i="39"/>
  <c r="E75" i="39"/>
  <c r="E76" i="39"/>
  <c r="E77" i="39"/>
  <c r="E78" i="39"/>
  <c r="E79" i="39"/>
  <c r="E80" i="39"/>
  <c r="E81" i="39"/>
  <c r="E82" i="39"/>
  <c r="E83" i="39"/>
  <c r="E84" i="39"/>
  <c r="E85" i="39"/>
  <c r="E86" i="39"/>
  <c r="E87" i="39"/>
  <c r="E88" i="39"/>
  <c r="E89" i="39"/>
  <c r="E90" i="39"/>
  <c r="E91" i="39"/>
  <c r="E92" i="39"/>
  <c r="E93" i="39"/>
  <c r="E94" i="39"/>
  <c r="E95" i="39"/>
  <c r="E96" i="39"/>
  <c r="E97" i="39"/>
  <c r="E98" i="39"/>
  <c r="E99" i="39"/>
  <c r="E100" i="39"/>
  <c r="E101" i="39"/>
  <c r="E102" i="39"/>
  <c r="E103" i="39"/>
  <c r="E104" i="39"/>
  <c r="E105" i="39"/>
  <c r="E106" i="39"/>
  <c r="E107" i="39"/>
  <c r="E108" i="39"/>
  <c r="E109" i="39"/>
  <c r="E110" i="39"/>
  <c r="E111" i="39"/>
  <c r="E112" i="39"/>
  <c r="E113" i="39"/>
  <c r="E114" i="39"/>
  <c r="E115" i="39"/>
  <c r="E116" i="39"/>
  <c r="E117" i="39"/>
  <c r="E118" i="39"/>
  <c r="E119" i="39"/>
  <c r="E120" i="39"/>
  <c r="E121" i="39"/>
  <c r="E122" i="39"/>
  <c r="E123" i="39"/>
  <c r="E124" i="39"/>
  <c r="E125" i="39"/>
  <c r="E126" i="39"/>
  <c r="E127" i="39"/>
  <c r="E128" i="39"/>
  <c r="E129" i="39"/>
  <c r="E130" i="39"/>
  <c r="E131" i="39"/>
  <c r="E132" i="39"/>
  <c r="E133" i="39"/>
  <c r="E134" i="39"/>
  <c r="E135" i="39"/>
  <c r="E136" i="39"/>
  <c r="E137" i="39"/>
  <c r="E138" i="39"/>
  <c r="E139" i="39"/>
  <c r="E140" i="39"/>
  <c r="E141" i="39"/>
  <c r="E142" i="39"/>
  <c r="E143" i="39"/>
  <c r="E144" i="39"/>
  <c r="E145" i="39"/>
  <c r="E146" i="39"/>
  <c r="E147" i="39"/>
  <c r="E148" i="39"/>
  <c r="E149" i="39"/>
  <c r="E150" i="39"/>
  <c r="E151" i="39"/>
  <c r="E152" i="39"/>
  <c r="E153" i="39"/>
  <c r="E154" i="39"/>
  <c r="E155" i="39"/>
  <c r="E156" i="39"/>
  <c r="E157" i="39"/>
  <c r="E158" i="39"/>
  <c r="E159" i="39"/>
  <c r="E160" i="39"/>
  <c r="E161" i="39"/>
  <c r="E162" i="39"/>
  <c r="E163" i="39"/>
  <c r="E164" i="39"/>
  <c r="E165" i="39"/>
  <c r="E166" i="39"/>
  <c r="E167" i="39"/>
  <c r="E168" i="39"/>
  <c r="E169" i="39"/>
  <c r="E170" i="39"/>
  <c r="E171" i="39"/>
  <c r="E172" i="39"/>
  <c r="E173" i="39"/>
  <c r="E174" i="39"/>
  <c r="E175" i="39"/>
  <c r="E176" i="39"/>
  <c r="E177" i="39"/>
  <c r="E178" i="39"/>
  <c r="E179" i="39"/>
  <c r="E180" i="39"/>
  <c r="E181" i="39"/>
  <c r="E182" i="39"/>
  <c r="E183" i="39"/>
  <c r="E184" i="39"/>
  <c r="E185" i="39"/>
  <c r="E186" i="39"/>
  <c r="E187" i="39"/>
  <c r="E188" i="39"/>
  <c r="E189" i="39"/>
  <c r="E190" i="39"/>
  <c r="E191" i="39"/>
  <c r="E192" i="39"/>
  <c r="E193" i="39"/>
  <c r="E194" i="39"/>
  <c r="E195" i="39"/>
  <c r="E196" i="39"/>
  <c r="E197" i="39"/>
  <c r="E198" i="39"/>
  <c r="E199" i="39"/>
  <c r="E200" i="39"/>
  <c r="E201" i="39"/>
  <c r="E202" i="39"/>
  <c r="E203" i="39"/>
  <c r="E204" i="39"/>
  <c r="E205" i="39"/>
  <c r="E206" i="39"/>
  <c r="E207" i="39"/>
  <c r="E208" i="39"/>
  <c r="E209" i="39"/>
  <c r="E210" i="39"/>
  <c r="E211" i="39"/>
  <c r="E212" i="39"/>
  <c r="E213" i="39"/>
  <c r="E214" i="39"/>
  <c r="E215" i="39"/>
  <c r="E216" i="39"/>
  <c r="E217" i="39"/>
  <c r="E218" i="39"/>
  <c r="E219" i="39"/>
  <c r="E220" i="39"/>
  <c r="E221" i="39"/>
  <c r="E222" i="39"/>
  <c r="E223" i="39"/>
  <c r="E224" i="39"/>
  <c r="E225" i="39"/>
  <c r="E226" i="39"/>
  <c r="E227" i="39"/>
  <c r="E228" i="39"/>
  <c r="E229" i="39"/>
  <c r="E230" i="39"/>
  <c r="E231" i="39"/>
  <c r="E232" i="39"/>
  <c r="E233" i="39"/>
  <c r="E234" i="39"/>
  <c r="E235" i="39"/>
  <c r="E236" i="39"/>
  <c r="E237" i="39"/>
  <c r="E238" i="39"/>
  <c r="E239" i="39"/>
  <c r="E240" i="39"/>
  <c r="E241" i="39"/>
  <c r="E242" i="39"/>
  <c r="E243" i="39"/>
  <c r="E244" i="39"/>
  <c r="E245" i="39"/>
  <c r="E246" i="39"/>
  <c r="E247" i="39"/>
  <c r="E248" i="39"/>
  <c r="E249" i="39"/>
  <c r="E250" i="39"/>
  <c r="E251" i="39"/>
  <c r="E252" i="39"/>
  <c r="E253" i="39"/>
  <c r="E254" i="39"/>
  <c r="E255" i="39"/>
  <c r="E256" i="39"/>
  <c r="E257" i="39"/>
  <c r="E258" i="39"/>
  <c r="E259" i="39"/>
  <c r="E260" i="39"/>
  <c r="E261" i="39"/>
  <c r="E262" i="39"/>
  <c r="E263" i="39"/>
  <c r="E264" i="39"/>
  <c r="E265" i="39"/>
  <c r="E266" i="39"/>
  <c r="E267" i="39"/>
  <c r="E268" i="39"/>
  <c r="E269" i="39"/>
  <c r="E270" i="39"/>
  <c r="E271" i="39"/>
  <c r="E272" i="39"/>
  <c r="E273" i="39"/>
  <c r="E274" i="39"/>
  <c r="E275" i="39"/>
  <c r="E276" i="39"/>
  <c r="E277" i="39"/>
  <c r="E278" i="39"/>
  <c r="E279" i="39"/>
  <c r="E280" i="39"/>
  <c r="E281" i="39"/>
  <c r="E282" i="39"/>
  <c r="E283" i="39"/>
  <c r="E284" i="39"/>
  <c r="E285" i="39"/>
  <c r="E286" i="39"/>
  <c r="E287" i="39"/>
  <c r="E288" i="39"/>
  <c r="E289" i="39"/>
  <c r="E290" i="39"/>
  <c r="E291" i="39"/>
  <c r="E292" i="39"/>
  <c r="E293" i="39"/>
  <c r="E294" i="39"/>
  <c r="E295" i="39"/>
  <c r="E296" i="39"/>
  <c r="E297" i="39"/>
  <c r="E298" i="39"/>
  <c r="E299" i="39"/>
  <c r="E300" i="39"/>
  <c r="E301" i="39"/>
  <c r="E302" i="39"/>
  <c r="E303" i="39"/>
  <c r="E304" i="39"/>
  <c r="E305" i="39"/>
  <c r="E306" i="39"/>
  <c r="E307" i="39"/>
  <c r="E308" i="39"/>
  <c r="E309" i="39"/>
  <c r="E310" i="39"/>
  <c r="E311" i="39"/>
  <c r="E312" i="39"/>
  <c r="E313" i="39"/>
  <c r="E314" i="39"/>
  <c r="E315" i="39"/>
  <c r="E316" i="39"/>
  <c r="E317" i="39"/>
  <c r="E318" i="39"/>
  <c r="E319" i="39"/>
  <c r="E320" i="39"/>
  <c r="E321" i="39"/>
  <c r="E322" i="39"/>
  <c r="E323" i="39"/>
  <c r="E324" i="39"/>
  <c r="E325" i="39"/>
  <c r="E326" i="39"/>
  <c r="E327" i="39"/>
  <c r="E328" i="39"/>
  <c r="E329" i="39"/>
  <c r="E330" i="39"/>
  <c r="E331" i="39"/>
  <c r="E332" i="39"/>
  <c r="E333" i="39"/>
  <c r="E334" i="39"/>
  <c r="E335" i="39"/>
  <c r="E336" i="39"/>
  <c r="E337" i="39"/>
  <c r="E338" i="39"/>
  <c r="E339" i="39"/>
  <c r="E340" i="39"/>
  <c r="E341" i="39"/>
  <c r="E342" i="39"/>
  <c r="E343" i="39"/>
  <c r="E344" i="39"/>
  <c r="E345" i="39"/>
  <c r="E346" i="39"/>
  <c r="E347" i="39"/>
  <c r="E348" i="39"/>
  <c r="E349" i="39"/>
  <c r="E350" i="39"/>
  <c r="E351" i="39"/>
  <c r="E352" i="39"/>
  <c r="E353" i="39"/>
  <c r="E354" i="39"/>
  <c r="E355" i="39"/>
  <c r="E356" i="39"/>
  <c r="E357" i="39"/>
  <c r="E358" i="39"/>
  <c r="E359" i="39"/>
  <c r="E360" i="39"/>
  <c r="E361" i="39"/>
  <c r="E362" i="39"/>
  <c r="E363" i="39"/>
  <c r="E364" i="39"/>
  <c r="E365" i="39"/>
  <c r="E366" i="39"/>
  <c r="E367" i="39"/>
  <c r="E368" i="39"/>
  <c r="E369" i="39"/>
  <c r="E370" i="39"/>
  <c r="E371" i="39"/>
  <c r="E372" i="39"/>
  <c r="E373" i="39"/>
  <c r="E374" i="39"/>
  <c r="E375" i="39"/>
  <c r="E376" i="39"/>
  <c r="E377" i="39"/>
  <c r="E378" i="39"/>
  <c r="E379" i="39"/>
  <c r="E380" i="39"/>
  <c r="E381" i="39"/>
  <c r="E382" i="39"/>
  <c r="E383" i="39"/>
  <c r="E384" i="39"/>
  <c r="E385" i="39"/>
  <c r="E386" i="39"/>
  <c r="E387" i="39"/>
  <c r="E388" i="39"/>
  <c r="E389" i="39"/>
  <c r="E390" i="39"/>
  <c r="E391" i="39"/>
  <c r="E392" i="39"/>
  <c r="E393" i="39"/>
  <c r="E394" i="39"/>
  <c r="E395" i="39"/>
  <c r="E396" i="39"/>
  <c r="E397" i="39"/>
  <c r="E398" i="39"/>
  <c r="E399" i="39"/>
  <c r="E400" i="39"/>
  <c r="E401" i="39"/>
  <c r="E402" i="39"/>
  <c r="E403" i="39"/>
  <c r="E404" i="39"/>
  <c r="E405" i="39"/>
  <c r="E406" i="39"/>
  <c r="E407" i="39"/>
  <c r="E408" i="39"/>
  <c r="E409" i="39"/>
  <c r="E410" i="39"/>
  <c r="E411" i="39"/>
  <c r="E412" i="39"/>
  <c r="E413" i="39"/>
  <c r="E414" i="39"/>
  <c r="E415" i="39"/>
  <c r="E416" i="39"/>
  <c r="E417" i="39"/>
  <c r="E418" i="39"/>
  <c r="E419" i="39"/>
  <c r="E420" i="39"/>
  <c r="E421" i="39"/>
  <c r="E422" i="39"/>
  <c r="E423" i="39"/>
  <c r="E424" i="39"/>
  <c r="E425" i="39"/>
  <c r="E426" i="39"/>
  <c r="E427" i="39"/>
  <c r="E428" i="39"/>
  <c r="E429" i="39"/>
  <c r="E430" i="39"/>
  <c r="E431" i="39"/>
  <c r="E432" i="39"/>
  <c r="E433" i="39"/>
  <c r="E434" i="39"/>
  <c r="E435" i="39"/>
  <c r="E436" i="39"/>
  <c r="E437" i="39"/>
  <c r="E438" i="39"/>
  <c r="E439" i="39"/>
  <c r="E440" i="39"/>
  <c r="E441" i="39"/>
  <c r="E442" i="39"/>
  <c r="E443" i="39"/>
  <c r="E444" i="39"/>
  <c r="E445" i="39"/>
  <c r="E446" i="39"/>
  <c r="E447" i="39"/>
  <c r="E448" i="39"/>
  <c r="E449" i="39"/>
  <c r="E450" i="39"/>
  <c r="E451" i="39"/>
  <c r="E452" i="39"/>
  <c r="E453" i="39"/>
  <c r="E454" i="39"/>
  <c r="E455" i="39"/>
  <c r="E456" i="39"/>
  <c r="E457" i="39"/>
  <c r="E458" i="39"/>
  <c r="E459" i="39"/>
  <c r="E460" i="39"/>
  <c r="E461" i="39"/>
  <c r="E462" i="39"/>
  <c r="E463" i="39"/>
  <c r="E464" i="39"/>
  <c r="E465" i="39"/>
  <c r="E466" i="39"/>
  <c r="E467" i="39"/>
  <c r="E468" i="39"/>
  <c r="E469" i="39"/>
  <c r="E470" i="39"/>
  <c r="E471" i="39"/>
  <c r="E472" i="39"/>
  <c r="E473" i="39"/>
  <c r="E474" i="39"/>
  <c r="E475" i="39"/>
  <c r="E476" i="39"/>
  <c r="E477" i="39"/>
  <c r="E478" i="39"/>
  <c r="E479" i="39"/>
  <c r="E480" i="39"/>
  <c r="E481" i="39"/>
  <c r="E482" i="39"/>
  <c r="E483" i="39"/>
  <c r="E484" i="39"/>
  <c r="E485" i="39"/>
  <c r="E486" i="39"/>
  <c r="E487" i="39"/>
  <c r="E488" i="39"/>
  <c r="E489" i="39"/>
  <c r="E490" i="39"/>
  <c r="E491" i="39"/>
  <c r="E492" i="39"/>
  <c r="E493" i="39"/>
  <c r="E494" i="39"/>
  <c r="E495" i="39"/>
  <c r="E496" i="39"/>
  <c r="E497" i="39"/>
  <c r="E498" i="39"/>
  <c r="E499" i="39"/>
  <c r="E500" i="39"/>
  <c r="E501" i="39"/>
  <c r="E502" i="39"/>
  <c r="E503" i="39"/>
  <c r="E504" i="39"/>
  <c r="E505" i="39"/>
  <c r="E506" i="39"/>
  <c r="E507" i="39"/>
  <c r="E508" i="39"/>
  <c r="E509" i="39"/>
  <c r="E510" i="39"/>
  <c r="E511" i="39"/>
  <c r="E512" i="39"/>
  <c r="E513" i="39"/>
  <c r="E514" i="39"/>
  <c r="E515" i="39"/>
  <c r="E516" i="39"/>
  <c r="E517" i="39"/>
  <c r="E518" i="39"/>
  <c r="E519" i="39"/>
  <c r="E520" i="39"/>
  <c r="E521" i="39"/>
  <c r="E522" i="39"/>
  <c r="E523" i="39"/>
  <c r="E524" i="39"/>
  <c r="E525" i="39"/>
  <c r="E526" i="39"/>
  <c r="E527" i="39"/>
  <c r="E528" i="39"/>
  <c r="E529" i="39"/>
  <c r="E530" i="39"/>
  <c r="E531" i="39"/>
  <c r="E532" i="39"/>
  <c r="E533" i="39"/>
  <c r="E534" i="39"/>
  <c r="E535" i="39"/>
  <c r="E536" i="39"/>
  <c r="E537" i="39"/>
  <c r="E538" i="39"/>
  <c r="E539" i="39"/>
  <c r="E540" i="39"/>
  <c r="E541" i="39"/>
  <c r="E542" i="39"/>
  <c r="E543" i="39"/>
  <c r="E544" i="39"/>
  <c r="E545" i="39"/>
  <c r="E546" i="39"/>
  <c r="E547" i="39"/>
  <c r="E548" i="39"/>
  <c r="E549" i="39"/>
  <c r="E550" i="39"/>
  <c r="E551" i="39"/>
  <c r="E552" i="39"/>
  <c r="E553" i="39"/>
  <c r="E554" i="39"/>
  <c r="E555" i="39"/>
  <c r="E556" i="39"/>
  <c r="E557" i="39"/>
  <c r="E558" i="39"/>
  <c r="E559" i="39"/>
  <c r="E560" i="39"/>
  <c r="E561" i="39"/>
  <c r="E562" i="39"/>
  <c r="E563" i="39"/>
  <c r="E564" i="39"/>
  <c r="E565" i="39"/>
  <c r="E566" i="39"/>
  <c r="E567" i="39"/>
  <c r="E568" i="39"/>
  <c r="E569" i="39"/>
  <c r="E570" i="39"/>
  <c r="E571" i="39"/>
  <c r="E572" i="39"/>
  <c r="E573" i="39"/>
  <c r="E574" i="39"/>
  <c r="E575" i="39"/>
  <c r="E576" i="39"/>
  <c r="E577" i="39"/>
  <c r="E578" i="39"/>
  <c r="E579" i="39"/>
  <c r="E580" i="39"/>
  <c r="E581" i="39"/>
  <c r="E582" i="39"/>
  <c r="E583" i="39"/>
  <c r="E584" i="39"/>
  <c r="E585" i="39"/>
  <c r="E586" i="39"/>
  <c r="E587" i="39"/>
  <c r="E588" i="39"/>
  <c r="E589" i="39"/>
  <c r="E590" i="39"/>
  <c r="E591" i="39"/>
  <c r="E592" i="39"/>
  <c r="E593" i="39"/>
  <c r="E594" i="39"/>
  <c r="E595" i="39"/>
  <c r="E596" i="39"/>
  <c r="E597" i="39"/>
  <c r="E598" i="39"/>
  <c r="E599" i="39"/>
  <c r="E600" i="39"/>
  <c r="E601" i="39"/>
  <c r="E602" i="39"/>
  <c r="E603" i="39"/>
  <c r="E604" i="39"/>
  <c r="E605" i="39"/>
  <c r="E606" i="39"/>
  <c r="E607" i="39"/>
  <c r="E608" i="39"/>
  <c r="E609" i="39"/>
  <c r="E610" i="39"/>
  <c r="E611" i="39"/>
  <c r="E612" i="39"/>
  <c r="E613" i="39"/>
  <c r="E614" i="39"/>
  <c r="E615" i="39"/>
  <c r="E616" i="39"/>
  <c r="E617" i="39"/>
  <c r="E618" i="39"/>
  <c r="E619" i="39"/>
  <c r="E620" i="39"/>
  <c r="E621" i="39"/>
  <c r="E622" i="39"/>
  <c r="E623" i="39"/>
  <c r="E624" i="39"/>
  <c r="E625" i="39"/>
  <c r="E626" i="39"/>
  <c r="E627" i="39"/>
  <c r="E628" i="39"/>
  <c r="E629" i="39"/>
  <c r="E630" i="39"/>
  <c r="E631" i="39"/>
  <c r="E632" i="39"/>
  <c r="E633" i="39"/>
  <c r="E634" i="39"/>
  <c r="E635" i="39"/>
  <c r="E636" i="39"/>
  <c r="E637" i="39"/>
  <c r="E638" i="39"/>
  <c r="E639" i="39"/>
  <c r="E640" i="39"/>
  <c r="E641" i="39"/>
  <c r="E642" i="39"/>
  <c r="E643" i="39"/>
  <c r="E644" i="39"/>
  <c r="E645" i="39"/>
  <c r="E646" i="39"/>
  <c r="E647" i="39"/>
  <c r="E648" i="39"/>
  <c r="E649" i="39"/>
  <c r="E650" i="39"/>
  <c r="E651" i="39"/>
  <c r="E652" i="39"/>
  <c r="E653" i="39"/>
  <c r="E654" i="39"/>
  <c r="E655" i="39"/>
  <c r="E656" i="39"/>
  <c r="E657" i="39"/>
  <c r="E658" i="39"/>
  <c r="E659" i="39"/>
  <c r="E660" i="39"/>
  <c r="E661" i="39"/>
  <c r="E662" i="39"/>
  <c r="E663" i="39"/>
  <c r="E664" i="39"/>
  <c r="E665" i="39"/>
  <c r="E666" i="39"/>
  <c r="E667" i="39"/>
  <c r="E668" i="39"/>
  <c r="E669" i="39"/>
  <c r="E670" i="39"/>
  <c r="E671" i="39"/>
  <c r="E672" i="39"/>
  <c r="E673" i="39"/>
  <c r="E674" i="39"/>
  <c r="E675" i="39"/>
  <c r="E676" i="39"/>
  <c r="E677" i="39"/>
  <c r="E678" i="39"/>
  <c r="E679" i="39"/>
  <c r="E680" i="39"/>
  <c r="E681" i="39"/>
  <c r="E682" i="39"/>
  <c r="E683" i="39"/>
  <c r="E684" i="39"/>
  <c r="E685" i="39"/>
  <c r="E686" i="39"/>
  <c r="E687" i="39"/>
  <c r="E688" i="39"/>
  <c r="E689" i="39"/>
  <c r="E690" i="39"/>
  <c r="E691" i="39"/>
  <c r="E692" i="39"/>
  <c r="E693" i="39"/>
  <c r="E694" i="39"/>
  <c r="E695" i="39"/>
  <c r="E696" i="39"/>
  <c r="E697" i="39"/>
  <c r="E698" i="39"/>
  <c r="E699" i="39"/>
  <c r="E700" i="39"/>
  <c r="E701" i="39"/>
  <c r="E702" i="39"/>
  <c r="E703" i="39"/>
  <c r="E704" i="39"/>
  <c r="E705" i="39"/>
  <c r="E706" i="39"/>
  <c r="E707" i="39"/>
  <c r="E708" i="39"/>
  <c r="E709" i="39"/>
  <c r="E710" i="39"/>
  <c r="E711" i="39"/>
  <c r="E712" i="39"/>
  <c r="E713" i="39"/>
  <c r="E714" i="39"/>
  <c r="E715" i="39"/>
  <c r="E716" i="39"/>
  <c r="E717" i="39"/>
  <c r="E718" i="39"/>
  <c r="E719" i="39"/>
  <c r="E720" i="39"/>
  <c r="E721" i="39"/>
  <c r="E722" i="39"/>
  <c r="E723" i="39"/>
  <c r="E724" i="39"/>
  <c r="E725" i="39"/>
  <c r="E726" i="39"/>
  <c r="E727" i="39"/>
  <c r="E728" i="39"/>
  <c r="E729" i="39"/>
  <c r="E730" i="39"/>
  <c r="E731" i="39"/>
  <c r="E732" i="39"/>
  <c r="E733" i="39"/>
  <c r="E734" i="39"/>
  <c r="E735" i="39"/>
  <c r="E736" i="39"/>
  <c r="E737" i="39"/>
  <c r="E738" i="39"/>
  <c r="E739" i="39"/>
  <c r="E740" i="39"/>
  <c r="E741" i="39"/>
  <c r="E742" i="39"/>
  <c r="E743" i="39"/>
  <c r="E744" i="39"/>
  <c r="E745" i="39"/>
  <c r="E746" i="39"/>
  <c r="E747" i="39"/>
  <c r="E748" i="39"/>
  <c r="E749" i="39"/>
  <c r="E750" i="39"/>
  <c r="E751" i="39"/>
  <c r="E752" i="39"/>
  <c r="E753" i="39"/>
  <c r="E754" i="39"/>
  <c r="E755" i="39"/>
  <c r="E756" i="39"/>
  <c r="E757" i="39"/>
  <c r="E758" i="39"/>
  <c r="E759" i="39"/>
  <c r="E760" i="39"/>
  <c r="E761" i="39"/>
  <c r="E762" i="39"/>
  <c r="E763" i="39"/>
  <c r="E764" i="39"/>
  <c r="E765" i="39"/>
  <c r="E766" i="39"/>
  <c r="E767" i="39"/>
  <c r="E768" i="39"/>
  <c r="E769" i="39"/>
  <c r="E770" i="39"/>
  <c r="E771" i="39"/>
  <c r="E772" i="39"/>
  <c r="E773" i="39"/>
  <c r="E774" i="39"/>
  <c r="E775" i="39"/>
  <c r="E776" i="39"/>
  <c r="E777" i="39"/>
  <c r="E778" i="39"/>
  <c r="E779" i="39"/>
  <c r="E780" i="39"/>
  <c r="E781" i="39"/>
  <c r="E782" i="39"/>
  <c r="E783" i="39"/>
  <c r="E784" i="39"/>
  <c r="E785" i="39"/>
  <c r="E786" i="39"/>
  <c r="E787" i="39"/>
  <c r="E788" i="39"/>
  <c r="E789" i="39"/>
  <c r="E790" i="39"/>
  <c r="E791" i="39"/>
  <c r="E792" i="39"/>
  <c r="E793" i="39"/>
  <c r="E794" i="39"/>
  <c r="E795" i="39"/>
  <c r="E796" i="39"/>
  <c r="E797" i="39"/>
  <c r="E798" i="39"/>
  <c r="E799" i="39"/>
  <c r="E800" i="39"/>
  <c r="E801" i="39"/>
  <c r="E802" i="39"/>
  <c r="E803" i="39"/>
  <c r="E804" i="39"/>
  <c r="E805" i="39"/>
  <c r="E806" i="39"/>
  <c r="E807" i="39"/>
  <c r="E808" i="39"/>
  <c r="E809" i="39"/>
  <c r="E810" i="39"/>
  <c r="E811" i="39"/>
  <c r="E812" i="39"/>
  <c r="E813" i="39"/>
  <c r="E814" i="39"/>
  <c r="E815" i="39"/>
  <c r="E816" i="39"/>
  <c r="E817" i="39"/>
  <c r="E818" i="39"/>
  <c r="E819" i="39"/>
  <c r="E820" i="39"/>
  <c r="E821" i="39"/>
  <c r="E822" i="39"/>
  <c r="E823" i="39"/>
  <c r="E824" i="39"/>
  <c r="E825" i="39"/>
  <c r="E826" i="39"/>
  <c r="E827" i="39"/>
  <c r="E828" i="39"/>
  <c r="E829" i="39"/>
  <c r="E830" i="39"/>
  <c r="E831" i="39"/>
  <c r="E832" i="39"/>
  <c r="E833" i="39"/>
  <c r="E834" i="39"/>
  <c r="E835" i="39"/>
  <c r="E836" i="39"/>
  <c r="E837" i="39"/>
  <c r="E838" i="39"/>
  <c r="E839" i="39"/>
  <c r="E840" i="39"/>
  <c r="E841" i="39"/>
  <c r="E842" i="39"/>
  <c r="E843" i="39"/>
  <c r="E844" i="39"/>
  <c r="E845" i="39"/>
  <c r="E846" i="39"/>
  <c r="E847" i="39"/>
  <c r="E848" i="39"/>
  <c r="E849" i="39"/>
  <c r="E850" i="39"/>
  <c r="E851" i="39"/>
  <c r="E852" i="39"/>
  <c r="E853" i="39"/>
  <c r="E854" i="39"/>
  <c r="E855" i="39"/>
  <c r="E856" i="39"/>
  <c r="E857" i="39"/>
  <c r="E858" i="39"/>
  <c r="E859" i="39"/>
  <c r="E860" i="39"/>
  <c r="E861" i="39"/>
  <c r="E862" i="39"/>
  <c r="E863" i="39"/>
  <c r="E864" i="39"/>
  <c r="E865" i="39"/>
  <c r="E866" i="39"/>
  <c r="E867" i="39"/>
  <c r="E868" i="39"/>
  <c r="E869" i="39"/>
  <c r="E870" i="39"/>
  <c r="E871" i="39"/>
  <c r="E872" i="39"/>
  <c r="E873" i="39"/>
  <c r="E874" i="39"/>
  <c r="E875" i="39"/>
  <c r="E876" i="39"/>
  <c r="E877" i="39"/>
  <c r="E878" i="39"/>
  <c r="E879" i="39"/>
  <c r="E880" i="39"/>
  <c r="E881" i="39"/>
  <c r="E882" i="39"/>
  <c r="E883" i="39"/>
  <c r="E884" i="39"/>
  <c r="E885" i="39"/>
  <c r="E886" i="39"/>
  <c r="E887" i="39"/>
  <c r="E888" i="39"/>
  <c r="E889" i="39"/>
  <c r="E890" i="39"/>
  <c r="E891" i="39"/>
  <c r="E892" i="39"/>
  <c r="E893" i="39"/>
  <c r="E894" i="39"/>
  <c r="E895" i="39"/>
  <c r="E896" i="39"/>
  <c r="E897" i="39"/>
  <c r="E898" i="39"/>
  <c r="E899" i="39"/>
  <c r="E900" i="39"/>
  <c r="E901" i="39"/>
  <c r="E902" i="39"/>
  <c r="E903" i="39"/>
  <c r="E904" i="39"/>
  <c r="E905" i="39"/>
  <c r="E906" i="39"/>
  <c r="E907" i="39"/>
  <c r="E908" i="39"/>
  <c r="E909" i="39"/>
  <c r="E910" i="39"/>
  <c r="E911" i="39"/>
  <c r="E912" i="39"/>
  <c r="E913" i="39"/>
  <c r="E914" i="39"/>
  <c r="E915" i="39"/>
  <c r="E916" i="39"/>
  <c r="E917" i="39"/>
  <c r="E918" i="39"/>
  <c r="E919" i="39"/>
  <c r="E920" i="39"/>
  <c r="E921" i="39"/>
  <c r="E922" i="39"/>
  <c r="E923" i="39"/>
  <c r="E924" i="39"/>
  <c r="E925" i="39"/>
  <c r="E926" i="39"/>
  <c r="E927" i="39"/>
  <c r="E928" i="39"/>
  <c r="E929" i="39"/>
  <c r="E930" i="39"/>
  <c r="E931" i="39"/>
  <c r="E932" i="39"/>
  <c r="E933" i="39"/>
  <c r="E934" i="39"/>
  <c r="E935" i="39"/>
  <c r="E936" i="39"/>
  <c r="E937" i="39"/>
  <c r="E938" i="39"/>
  <c r="E939" i="39"/>
  <c r="E940" i="39"/>
  <c r="E941" i="39"/>
  <c r="E942" i="39"/>
  <c r="E943" i="39"/>
  <c r="E944" i="39"/>
  <c r="E945" i="39"/>
  <c r="E946" i="39"/>
  <c r="E947" i="39"/>
  <c r="E948" i="39"/>
  <c r="E949" i="39"/>
  <c r="E950" i="39"/>
  <c r="E951" i="39"/>
  <c r="E952" i="39"/>
  <c r="E953" i="39"/>
  <c r="E954" i="39"/>
  <c r="E955" i="39"/>
  <c r="E956" i="39"/>
  <c r="E957" i="39"/>
  <c r="E958" i="39"/>
  <c r="E959" i="39"/>
  <c r="E960" i="39"/>
  <c r="E961" i="39"/>
  <c r="E962" i="39"/>
  <c r="E963" i="39"/>
  <c r="E964" i="39"/>
  <c r="E965" i="39"/>
  <c r="E966" i="39"/>
  <c r="E967" i="39"/>
  <c r="E968" i="39"/>
  <c r="E969" i="39"/>
  <c r="E970" i="39"/>
  <c r="E971" i="39"/>
  <c r="E972" i="39"/>
  <c r="E973" i="39"/>
  <c r="E974" i="39"/>
  <c r="E975" i="39"/>
  <c r="E976" i="39"/>
  <c r="E977" i="39"/>
  <c r="E978" i="39"/>
  <c r="E979" i="39"/>
  <c r="E980" i="39"/>
  <c r="E981" i="39"/>
  <c r="E982" i="39"/>
  <c r="E983" i="39"/>
  <c r="E984" i="39"/>
  <c r="E985" i="39"/>
  <c r="E986" i="39"/>
  <c r="E987" i="39"/>
  <c r="E988" i="39"/>
  <c r="E989" i="39"/>
  <c r="E990" i="39"/>
  <c r="E991" i="39"/>
  <c r="E992" i="39"/>
  <c r="E993" i="39"/>
  <c r="E994" i="39"/>
  <c r="E995" i="39"/>
  <c r="E996" i="39"/>
  <c r="E997" i="39"/>
  <c r="E998" i="39"/>
  <c r="E999" i="39"/>
  <c r="E1000" i="39"/>
  <c r="E1001" i="39"/>
  <c r="E1002" i="39"/>
  <c r="E1003" i="39"/>
  <c r="E1004" i="39"/>
  <c r="E1005" i="39"/>
  <c r="E1006" i="39"/>
  <c r="E1007" i="39"/>
  <c r="E1008" i="39"/>
  <c r="E1009" i="39"/>
  <c r="E1010" i="39"/>
  <c r="E1011" i="39"/>
  <c r="E1012" i="39"/>
  <c r="E1013" i="39"/>
  <c r="E1014" i="39"/>
  <c r="E1015" i="39"/>
  <c r="E1016" i="39"/>
  <c r="E1017" i="39"/>
  <c r="E1018" i="39"/>
  <c r="E1019" i="39"/>
  <c r="E1020" i="39"/>
  <c r="E1021" i="39"/>
  <c r="E1022" i="39"/>
  <c r="E1023" i="39"/>
  <c r="E1024" i="39"/>
  <c r="E1025" i="39"/>
  <c r="E1026" i="39"/>
  <c r="E1027" i="39"/>
  <c r="E1028" i="39"/>
  <c r="E1029" i="39"/>
  <c r="E1030" i="39"/>
  <c r="E1031" i="39"/>
  <c r="E1032" i="39"/>
  <c r="E1033" i="39"/>
  <c r="E1034" i="39"/>
  <c r="E1035" i="39"/>
  <c r="E1036" i="39"/>
  <c r="E1037" i="39"/>
  <c r="E1038" i="39"/>
  <c r="E1039" i="39"/>
  <c r="E1040" i="39"/>
  <c r="E1041" i="39"/>
  <c r="E1042" i="39"/>
  <c r="E1043" i="39"/>
  <c r="E1044" i="39"/>
  <c r="E1045" i="39"/>
  <c r="E1046" i="39"/>
  <c r="E1047" i="39"/>
  <c r="E1048" i="39"/>
  <c r="E1049" i="39"/>
  <c r="E1050" i="39"/>
  <c r="E1051" i="39"/>
  <c r="E1052" i="39"/>
  <c r="E1053" i="39"/>
  <c r="E1054" i="39"/>
  <c r="E1055" i="39"/>
  <c r="E1056" i="39"/>
  <c r="E1057" i="39"/>
  <c r="E1058" i="39"/>
  <c r="E1059" i="39"/>
  <c r="E1060" i="39"/>
  <c r="E1061" i="39"/>
  <c r="E1062" i="39"/>
  <c r="E1063" i="39"/>
  <c r="E1064" i="39"/>
  <c r="E1065" i="39"/>
  <c r="E1066" i="39"/>
  <c r="E1067" i="39"/>
  <c r="E1068" i="39"/>
  <c r="E1069" i="39"/>
  <c r="E1070" i="39"/>
  <c r="E1071" i="39"/>
  <c r="E1072" i="39"/>
  <c r="E1073" i="39"/>
  <c r="E1074" i="39"/>
  <c r="E1075" i="39"/>
  <c r="E1076" i="39"/>
  <c r="E1077" i="39"/>
  <c r="E1078" i="39"/>
  <c r="E1079" i="39"/>
  <c r="E1080" i="39"/>
  <c r="E1081" i="39"/>
  <c r="E1082" i="39"/>
  <c r="E1083" i="39"/>
  <c r="E1084" i="39"/>
  <c r="E1085" i="39"/>
  <c r="E1086" i="39"/>
  <c r="E1087" i="39"/>
  <c r="E1088" i="39"/>
  <c r="E1089" i="39"/>
  <c r="E1090" i="39"/>
  <c r="E1091" i="39"/>
  <c r="E1092" i="39"/>
  <c r="E1093" i="39"/>
  <c r="E1094" i="39"/>
  <c r="E1095" i="39"/>
  <c r="E1096" i="39"/>
  <c r="E1097" i="39"/>
  <c r="E1098" i="39"/>
  <c r="E1099" i="39"/>
  <c r="E1100" i="39"/>
  <c r="E1101" i="39"/>
  <c r="E1102" i="39"/>
  <c r="E1103" i="39"/>
  <c r="E1104" i="39"/>
  <c r="E1105" i="39"/>
  <c r="E1106" i="39"/>
  <c r="E1107" i="39"/>
  <c r="E1108" i="39"/>
  <c r="E1109" i="39"/>
  <c r="E1110" i="39"/>
  <c r="E1111" i="39"/>
  <c r="E1112" i="39"/>
  <c r="E1113" i="39"/>
  <c r="E1114" i="39"/>
  <c r="E1115" i="39"/>
  <c r="E1116" i="39"/>
  <c r="E1117" i="39"/>
  <c r="E1118" i="39"/>
  <c r="E1119" i="39"/>
  <c r="E1120" i="39"/>
  <c r="E1121" i="39"/>
  <c r="E1122" i="39"/>
  <c r="E1123" i="39"/>
  <c r="E1124" i="39"/>
  <c r="E1125" i="39"/>
  <c r="E1126" i="39"/>
  <c r="E1127" i="39"/>
  <c r="E1128" i="39"/>
  <c r="E1129" i="39"/>
  <c r="E1130" i="39"/>
  <c r="E1131" i="39"/>
  <c r="E1132" i="39"/>
  <c r="E1133" i="39"/>
  <c r="E1134" i="39"/>
  <c r="E1135" i="39"/>
  <c r="E1136" i="39"/>
  <c r="E1137" i="39"/>
  <c r="E1138" i="39"/>
  <c r="E1139" i="39"/>
  <c r="E1140" i="39"/>
  <c r="E1141" i="39"/>
  <c r="E1142" i="39"/>
  <c r="E1143" i="39"/>
  <c r="E1144" i="39"/>
  <c r="E1145" i="39"/>
  <c r="E1146" i="39"/>
  <c r="E1147" i="39"/>
  <c r="E1148" i="39"/>
  <c r="E1149" i="39"/>
  <c r="E1150" i="39"/>
  <c r="E1151" i="39"/>
  <c r="E1152" i="39"/>
  <c r="E1153" i="39"/>
  <c r="E1154" i="39"/>
  <c r="E1155" i="39"/>
  <c r="E1156" i="39"/>
  <c r="E1157" i="39"/>
  <c r="E1158" i="39"/>
  <c r="E1159" i="39"/>
  <c r="E1160" i="39"/>
  <c r="E1161" i="39"/>
  <c r="E1162" i="39"/>
  <c r="E1163" i="39"/>
  <c r="E1164" i="39"/>
  <c r="E1165" i="39"/>
  <c r="E1166" i="39"/>
  <c r="E1167" i="39"/>
  <c r="E1168" i="39"/>
  <c r="E1169" i="39"/>
  <c r="E1170" i="39"/>
  <c r="E1171" i="39"/>
  <c r="E1172" i="39"/>
  <c r="E1173" i="39"/>
  <c r="E1174" i="39"/>
  <c r="E1175" i="39"/>
  <c r="E1176" i="39"/>
  <c r="E1177" i="39"/>
  <c r="E1178" i="39"/>
  <c r="E1179" i="39"/>
  <c r="E1180" i="39"/>
  <c r="E1181" i="39"/>
  <c r="E1182" i="39"/>
  <c r="E1183" i="39"/>
  <c r="E1184" i="39"/>
  <c r="E1185" i="39"/>
  <c r="E1186" i="39"/>
  <c r="E1187" i="39"/>
  <c r="E1188" i="39"/>
  <c r="E1189" i="39"/>
  <c r="E1190" i="39"/>
  <c r="E1191" i="39"/>
  <c r="E1192" i="39"/>
  <c r="E1193" i="39"/>
  <c r="E1194" i="39"/>
  <c r="E1195" i="39"/>
  <c r="E1196" i="39"/>
  <c r="E1197" i="39"/>
  <c r="E1198" i="39"/>
  <c r="E1199" i="39"/>
  <c r="E1200" i="39"/>
  <c r="E1201" i="39"/>
  <c r="E1202" i="39"/>
  <c r="E1203" i="39"/>
  <c r="E1204" i="39"/>
  <c r="E1205" i="39"/>
  <c r="E1206" i="39"/>
  <c r="E1207" i="39"/>
  <c r="E1208" i="39"/>
  <c r="E1209" i="39"/>
  <c r="E1210" i="39"/>
  <c r="E1211" i="39"/>
  <c r="E1212" i="39"/>
  <c r="E1213" i="39"/>
  <c r="E1214" i="39"/>
  <c r="E1215" i="39"/>
  <c r="E1216" i="39"/>
  <c r="E1217" i="39"/>
  <c r="E1218" i="39"/>
  <c r="E1219" i="39"/>
  <c r="E1220" i="39"/>
  <c r="E1221" i="39"/>
  <c r="E1222" i="39"/>
  <c r="E1223" i="39"/>
  <c r="E1224" i="39"/>
  <c r="E1225" i="39"/>
  <c r="E1226" i="39"/>
  <c r="E1227" i="39"/>
  <c r="E1228" i="39"/>
  <c r="E1229" i="39"/>
  <c r="E1230" i="39"/>
  <c r="E1231" i="39"/>
  <c r="E1232" i="39"/>
  <c r="E1233" i="39"/>
  <c r="E1234" i="39"/>
  <c r="E1235" i="39"/>
  <c r="E1236" i="39"/>
  <c r="E1237" i="39"/>
  <c r="E1238" i="39"/>
  <c r="E1239" i="39"/>
  <c r="E1240" i="39"/>
  <c r="E1241" i="39"/>
  <c r="E1242" i="39"/>
  <c r="E1243" i="39"/>
  <c r="E1244" i="39"/>
  <c r="E1245" i="39"/>
  <c r="E1246" i="39"/>
  <c r="E1247" i="39"/>
  <c r="E1248" i="39"/>
  <c r="E1249" i="39"/>
  <c r="E1250" i="39"/>
  <c r="E1251" i="39"/>
  <c r="E1252" i="39"/>
  <c r="E1253" i="39"/>
  <c r="E1254" i="39"/>
  <c r="E1255" i="39"/>
  <c r="E1256" i="39"/>
  <c r="E1257" i="39"/>
  <c r="E1258" i="39"/>
  <c r="E1259" i="39"/>
  <c r="E1260" i="39"/>
  <c r="E1261" i="39"/>
  <c r="E1262" i="39"/>
  <c r="E1263" i="39"/>
  <c r="E1264" i="39"/>
  <c r="E1265" i="39"/>
  <c r="E1266" i="39"/>
  <c r="E1267" i="39"/>
  <c r="E1268" i="39"/>
  <c r="E1269" i="39"/>
  <c r="E1270" i="39"/>
  <c r="E1271" i="39"/>
  <c r="E1272" i="39"/>
  <c r="E1273" i="39"/>
  <c r="E1274" i="39"/>
  <c r="E1275" i="39"/>
  <c r="E1276" i="39"/>
  <c r="E1277" i="39"/>
  <c r="E1278" i="39"/>
  <c r="E1279" i="39"/>
  <c r="E1280" i="39"/>
  <c r="E1281" i="39"/>
  <c r="E1282" i="39"/>
  <c r="E1283" i="39"/>
  <c r="E1284" i="39"/>
  <c r="E1285" i="39"/>
  <c r="E1286" i="39"/>
  <c r="E1287" i="39"/>
  <c r="E1288" i="39"/>
  <c r="E1289" i="39"/>
  <c r="E1290" i="39"/>
  <c r="E1291" i="39"/>
  <c r="E1292" i="39"/>
  <c r="E1293" i="39"/>
  <c r="E1294" i="39"/>
  <c r="E1295" i="39"/>
  <c r="E1296" i="39"/>
  <c r="E1297" i="39"/>
  <c r="E1298" i="39"/>
  <c r="E1299" i="39"/>
  <c r="E1300" i="39"/>
  <c r="E1301" i="39"/>
  <c r="E1302" i="39"/>
  <c r="E1303" i="39"/>
  <c r="E1304" i="39"/>
  <c r="E1305" i="39"/>
  <c r="E1306" i="39"/>
  <c r="E1307" i="39"/>
  <c r="E1308" i="39"/>
  <c r="E1309" i="39"/>
  <c r="E1310" i="39"/>
  <c r="E1311" i="39"/>
  <c r="E1312" i="39"/>
  <c r="E1313" i="39"/>
  <c r="E1314" i="39"/>
  <c r="E1315" i="39"/>
  <c r="E1316" i="39"/>
  <c r="E1317" i="39"/>
  <c r="E1318" i="39"/>
  <c r="E1319" i="39"/>
  <c r="E1320" i="39"/>
  <c r="E1321" i="39"/>
  <c r="E1322" i="39"/>
  <c r="E1323" i="39"/>
  <c r="E1324" i="39"/>
  <c r="E1325" i="39"/>
  <c r="E1326" i="39"/>
  <c r="E1327" i="39"/>
  <c r="E1328" i="39"/>
  <c r="E1329" i="39"/>
  <c r="E1330" i="39"/>
  <c r="E1331" i="39"/>
  <c r="E1332" i="39"/>
  <c r="E1333" i="39"/>
  <c r="E1334" i="39"/>
  <c r="E1335" i="39"/>
  <c r="E1336" i="39"/>
  <c r="E1337" i="39"/>
  <c r="E1338" i="39"/>
  <c r="E1339" i="39"/>
  <c r="E1340" i="39"/>
  <c r="E1341" i="39"/>
  <c r="E1342" i="39"/>
  <c r="E1343" i="39"/>
  <c r="E1344" i="39"/>
  <c r="E1345" i="39"/>
  <c r="E1346" i="39"/>
  <c r="E1347" i="39"/>
  <c r="E1348" i="39"/>
  <c r="E1349" i="39"/>
  <c r="E1350" i="39"/>
  <c r="E1351" i="39"/>
  <c r="E1352" i="39"/>
  <c r="E1353" i="39"/>
  <c r="E1354" i="39"/>
  <c r="E1355" i="39"/>
  <c r="E1356" i="39"/>
  <c r="E1357" i="39"/>
  <c r="E1358" i="39"/>
  <c r="E1359" i="39"/>
  <c r="E1360" i="39"/>
  <c r="E1361" i="39"/>
  <c r="E1362" i="39"/>
  <c r="E1363" i="39"/>
  <c r="E1364" i="39"/>
  <c r="E1365" i="39"/>
  <c r="E1366" i="39"/>
  <c r="E1367" i="39"/>
  <c r="E1368" i="39"/>
  <c r="E1369" i="39"/>
  <c r="E1370" i="39"/>
  <c r="E1371" i="39"/>
  <c r="E1372" i="39"/>
  <c r="E1373" i="39"/>
  <c r="E1374" i="39"/>
  <c r="E1375" i="39"/>
  <c r="E1376" i="39"/>
  <c r="E1377" i="39"/>
  <c r="E1378" i="39"/>
  <c r="E1379" i="39"/>
  <c r="E1380" i="39"/>
  <c r="E1381" i="39"/>
  <c r="E1382" i="39"/>
  <c r="E1383" i="39"/>
  <c r="E1384" i="39"/>
  <c r="E1385" i="39"/>
  <c r="E1386" i="39"/>
  <c r="E1387" i="39"/>
  <c r="E1388" i="39"/>
  <c r="E1389" i="39"/>
  <c r="E1390" i="39"/>
  <c r="E1391" i="39"/>
  <c r="E1392" i="39"/>
  <c r="E1393" i="39"/>
  <c r="E1394" i="39"/>
  <c r="E1395" i="39"/>
  <c r="E1396" i="39"/>
  <c r="E1397" i="39"/>
  <c r="E1398" i="39"/>
  <c r="E1399" i="39"/>
  <c r="E1400" i="39"/>
  <c r="E1401" i="39"/>
  <c r="E1402" i="39"/>
  <c r="E1403" i="39"/>
  <c r="E1404" i="39"/>
  <c r="E1405" i="39"/>
  <c r="E1406" i="39"/>
  <c r="E1407" i="39"/>
  <c r="E1408" i="39"/>
  <c r="E1409" i="39"/>
  <c r="E1410" i="39"/>
  <c r="E1411" i="39"/>
  <c r="E1412" i="39"/>
  <c r="E1413" i="39"/>
  <c r="E1414" i="39"/>
  <c r="E1415" i="39"/>
  <c r="E1416" i="39"/>
  <c r="E1417" i="39"/>
  <c r="E1418" i="39"/>
  <c r="E1419" i="39"/>
  <c r="E1420" i="39"/>
  <c r="E1421" i="39"/>
  <c r="E1422" i="39"/>
  <c r="E1423" i="39"/>
  <c r="E1424" i="39"/>
  <c r="E1425" i="39"/>
  <c r="E1426" i="39"/>
  <c r="E1427" i="39"/>
  <c r="E1428" i="39"/>
  <c r="E1429" i="39"/>
  <c r="E1430" i="39"/>
  <c r="E1431" i="39"/>
  <c r="E1432" i="39"/>
  <c r="E1433" i="39"/>
  <c r="E1434" i="39"/>
  <c r="E1435" i="39"/>
  <c r="E1436" i="39"/>
  <c r="E1437" i="39"/>
  <c r="E1438" i="39"/>
  <c r="E1439" i="39"/>
  <c r="E1440" i="39"/>
  <c r="E1441" i="39"/>
  <c r="E1442" i="39"/>
  <c r="E1443" i="39"/>
  <c r="E1444" i="39"/>
  <c r="E1445" i="39"/>
  <c r="E1446" i="39"/>
  <c r="E1447" i="39"/>
  <c r="E1448" i="39"/>
  <c r="E1449" i="39"/>
  <c r="E1450" i="39"/>
  <c r="E1451" i="39"/>
  <c r="E1452" i="39"/>
  <c r="E1453" i="39"/>
  <c r="E1454" i="39"/>
  <c r="E1455" i="39"/>
  <c r="E1456" i="39"/>
  <c r="E1457" i="39"/>
  <c r="E1458" i="39"/>
  <c r="E1459" i="39"/>
  <c r="E1460" i="39"/>
  <c r="E1461" i="39"/>
  <c r="E1462" i="39"/>
  <c r="E1463" i="39"/>
  <c r="E1464" i="39"/>
  <c r="E1465" i="39"/>
  <c r="E1466" i="39"/>
  <c r="E1467" i="39"/>
  <c r="E1468" i="39"/>
  <c r="E1469" i="39"/>
  <c r="E1470" i="39"/>
  <c r="E1471" i="39"/>
  <c r="E1472" i="39"/>
  <c r="E1473" i="39"/>
  <c r="E1474" i="39"/>
  <c r="E1475" i="39"/>
  <c r="E1476" i="39"/>
  <c r="E1477" i="39"/>
  <c r="E1478" i="39"/>
  <c r="E1479" i="39"/>
  <c r="E1480" i="39"/>
  <c r="E1481" i="39"/>
  <c r="E1482" i="39"/>
  <c r="E1483" i="39"/>
  <c r="E1484" i="39"/>
  <c r="E1485" i="39"/>
  <c r="E1486" i="39"/>
  <c r="E1487" i="39"/>
  <c r="E1488" i="39"/>
  <c r="E1489" i="39"/>
  <c r="E1490" i="39"/>
  <c r="E1491" i="39"/>
  <c r="E1492" i="39"/>
  <c r="E1493" i="39"/>
  <c r="E1494" i="39"/>
  <c r="E1495" i="39"/>
  <c r="E1496" i="39"/>
  <c r="E1497" i="39"/>
  <c r="E1498" i="39"/>
  <c r="E1499" i="39"/>
  <c r="E1500" i="39"/>
  <c r="E1501" i="39"/>
  <c r="E1502" i="39"/>
  <c r="E1503" i="39"/>
  <c r="E1504" i="39"/>
  <c r="E1505" i="39"/>
  <c r="E1506" i="39"/>
  <c r="E1507" i="39"/>
  <c r="E1508" i="39"/>
  <c r="E1509" i="39"/>
  <c r="E1510" i="39"/>
  <c r="E1511" i="39"/>
  <c r="E1512" i="39"/>
  <c r="E1513" i="39"/>
  <c r="E1514" i="39"/>
  <c r="E1515" i="39"/>
  <c r="E1516" i="39"/>
  <c r="E1517" i="39"/>
  <c r="E1518" i="39"/>
  <c r="E1519" i="39"/>
  <c r="E1520" i="39"/>
  <c r="E1521" i="39"/>
  <c r="E1522" i="39"/>
  <c r="E1523" i="39"/>
  <c r="E1524" i="39"/>
  <c r="E1525" i="39"/>
  <c r="E1526" i="39"/>
  <c r="E1527" i="39"/>
  <c r="E1528" i="39"/>
  <c r="E1529" i="39"/>
  <c r="E1530" i="39"/>
  <c r="E1531" i="39"/>
  <c r="E1532" i="39"/>
  <c r="E1533" i="39"/>
  <c r="E1534" i="39"/>
  <c r="E1535" i="39"/>
  <c r="E1536" i="39"/>
  <c r="E1537" i="39"/>
  <c r="E1538" i="39"/>
  <c r="E1539" i="39"/>
  <c r="E1540" i="39"/>
  <c r="E1541" i="39"/>
  <c r="E1542" i="39"/>
  <c r="E1543" i="39"/>
  <c r="E1544" i="39"/>
  <c r="E1545" i="39"/>
  <c r="E1546" i="39"/>
  <c r="E1547" i="39"/>
  <c r="E1548" i="39"/>
  <c r="E1549" i="39"/>
  <c r="E1550" i="39"/>
  <c r="E1551" i="39"/>
  <c r="E1552" i="39"/>
  <c r="E1553" i="39"/>
  <c r="E1554" i="39"/>
  <c r="E1555" i="39"/>
  <c r="E1556" i="39"/>
  <c r="E1557" i="39"/>
  <c r="E1558" i="39"/>
  <c r="E1559" i="39"/>
  <c r="E1560" i="39"/>
  <c r="E1561" i="39"/>
  <c r="E1562" i="39"/>
  <c r="E1563" i="39"/>
  <c r="E1564" i="39"/>
  <c r="E1565" i="39"/>
  <c r="E1566" i="39"/>
  <c r="E1567" i="39"/>
  <c r="E1568" i="39"/>
  <c r="E1569" i="39"/>
  <c r="E1570" i="39"/>
  <c r="E1571" i="39"/>
  <c r="E1572" i="39"/>
  <c r="E1573" i="39"/>
  <c r="E1574" i="39"/>
  <c r="E1575" i="39"/>
  <c r="E1576" i="39"/>
  <c r="E1577" i="39"/>
  <c r="E1578" i="39"/>
  <c r="E1579" i="39"/>
  <c r="E1580" i="39"/>
  <c r="E1581" i="39"/>
  <c r="E1582" i="39"/>
  <c r="E1583" i="39"/>
  <c r="E1584" i="39"/>
  <c r="E1585" i="39"/>
  <c r="E1586" i="39"/>
  <c r="E1587" i="39"/>
  <c r="E1588" i="39"/>
  <c r="E1589" i="39"/>
  <c r="E1590" i="39"/>
  <c r="E1591" i="39"/>
  <c r="E1592" i="39"/>
  <c r="E1593" i="39"/>
  <c r="E1594" i="39"/>
  <c r="E1595" i="39"/>
  <c r="E1596" i="39"/>
  <c r="E1597" i="39"/>
  <c r="E1598" i="39"/>
  <c r="E1599" i="39"/>
  <c r="E1600" i="39"/>
  <c r="E1601" i="39"/>
  <c r="E1602" i="39"/>
  <c r="E1603" i="39"/>
  <c r="E1604" i="39"/>
  <c r="E1605" i="39"/>
  <c r="E1606" i="39"/>
  <c r="E1607" i="39"/>
  <c r="E1608" i="39"/>
  <c r="E1609" i="39"/>
  <c r="E1610" i="39"/>
  <c r="E1611" i="39"/>
  <c r="E1612" i="39"/>
  <c r="E1613" i="39"/>
  <c r="E1614" i="39"/>
  <c r="E1615" i="39"/>
  <c r="E1616" i="39"/>
  <c r="E1617" i="39"/>
  <c r="E1618" i="39"/>
  <c r="E1619" i="39"/>
  <c r="E1620" i="39"/>
  <c r="E1621" i="39"/>
  <c r="E1622" i="39"/>
  <c r="E1623" i="39"/>
  <c r="E1624" i="39"/>
  <c r="E1625" i="39"/>
  <c r="E1626" i="39"/>
  <c r="E1627" i="39"/>
  <c r="E1628" i="39"/>
  <c r="E1629" i="39"/>
  <c r="E1630" i="39"/>
  <c r="E1631" i="39"/>
  <c r="E1632" i="39"/>
  <c r="E1633" i="39"/>
  <c r="E1634" i="39"/>
  <c r="E1635" i="39"/>
  <c r="E1636" i="39"/>
  <c r="E1637" i="39"/>
  <c r="E1638" i="39"/>
  <c r="E1639" i="39"/>
  <c r="E1640" i="39"/>
  <c r="E1641" i="39"/>
  <c r="E1642" i="39"/>
  <c r="E1643" i="39"/>
  <c r="E1644" i="39"/>
  <c r="E1645" i="39"/>
  <c r="E1646" i="39"/>
  <c r="E1647" i="39"/>
  <c r="E1648" i="39"/>
  <c r="E1649" i="39"/>
  <c r="E1650" i="39"/>
  <c r="E1651" i="39"/>
  <c r="E1652" i="39"/>
  <c r="E1653" i="39"/>
  <c r="E1654" i="39"/>
  <c r="E1655" i="39"/>
  <c r="E1656" i="39"/>
  <c r="E1657" i="39"/>
  <c r="E1658" i="39"/>
  <c r="E1659" i="39"/>
  <c r="E1660" i="39"/>
  <c r="E1661" i="39"/>
  <c r="E1662" i="39"/>
  <c r="E1663" i="39"/>
  <c r="E1664" i="39"/>
  <c r="E1665" i="39"/>
  <c r="E1666" i="39"/>
  <c r="E1667" i="39"/>
  <c r="E1668" i="39"/>
  <c r="E1669" i="39"/>
  <c r="E1670" i="39"/>
  <c r="E1671" i="39"/>
  <c r="E1672" i="39"/>
  <c r="E1673" i="39"/>
  <c r="E1674" i="39"/>
  <c r="E1675" i="39"/>
  <c r="E1676" i="39"/>
  <c r="E1677" i="39"/>
  <c r="E1678" i="39"/>
  <c r="E1679" i="39"/>
  <c r="E1680" i="39"/>
  <c r="E1681" i="39"/>
  <c r="E1682" i="39"/>
  <c r="E1683" i="39"/>
  <c r="E1684" i="39"/>
  <c r="E1685" i="39"/>
  <c r="E1686" i="39"/>
  <c r="E1687" i="39"/>
  <c r="E1688" i="39"/>
  <c r="E1689" i="39"/>
  <c r="E1690" i="39"/>
  <c r="E1691" i="39"/>
  <c r="E1692" i="39"/>
  <c r="E1693" i="39"/>
  <c r="E1694" i="39"/>
  <c r="E1695" i="39"/>
  <c r="E1696" i="39"/>
  <c r="E1697" i="39"/>
  <c r="E1698" i="39"/>
  <c r="E1699" i="39"/>
  <c r="E1700" i="39"/>
  <c r="E1701" i="39"/>
  <c r="E1702" i="39"/>
  <c r="E1703" i="39"/>
  <c r="E1704" i="39"/>
  <c r="E1705" i="39"/>
  <c r="E1706" i="39"/>
  <c r="E1707" i="39"/>
  <c r="E1708" i="39"/>
  <c r="E1709" i="39"/>
  <c r="E1710" i="39"/>
  <c r="E1711" i="39"/>
  <c r="E1712" i="39"/>
  <c r="E1713" i="39"/>
  <c r="E1714" i="39"/>
  <c r="E1715" i="39"/>
  <c r="E1716" i="39"/>
  <c r="E1717" i="39"/>
  <c r="E1718" i="39"/>
  <c r="E1719" i="39"/>
  <c r="E1720" i="39"/>
  <c r="E1721" i="39"/>
  <c r="E1722" i="39"/>
  <c r="E1723" i="39"/>
  <c r="E1724" i="39"/>
  <c r="E1725" i="39"/>
  <c r="E1726" i="39"/>
  <c r="E1727" i="39"/>
  <c r="E1728" i="39"/>
  <c r="E1729" i="39"/>
  <c r="E1730" i="39"/>
  <c r="E1731" i="39"/>
  <c r="E1732" i="39"/>
  <c r="E1733" i="39"/>
  <c r="E1734" i="39"/>
  <c r="E1735" i="39"/>
  <c r="E1736" i="39"/>
  <c r="E1737" i="39"/>
  <c r="E1738" i="39"/>
  <c r="E1739" i="39"/>
  <c r="E1740" i="39"/>
  <c r="E1741" i="39"/>
  <c r="E1742" i="39"/>
  <c r="E1743" i="39"/>
  <c r="E1744" i="39"/>
  <c r="E1745" i="39"/>
  <c r="E1746" i="39"/>
  <c r="E1747" i="39"/>
  <c r="E1748" i="39"/>
  <c r="E1749" i="39"/>
  <c r="E1750" i="39"/>
  <c r="E1751" i="39"/>
  <c r="E1752" i="39"/>
  <c r="E1753" i="39"/>
  <c r="E1754" i="39"/>
  <c r="E1755" i="39"/>
  <c r="E1756" i="39"/>
  <c r="E1757" i="39"/>
  <c r="E1758" i="39"/>
  <c r="E1759" i="39"/>
  <c r="E1760" i="39"/>
  <c r="E1761" i="39"/>
  <c r="E1762" i="39"/>
  <c r="E1763" i="39"/>
  <c r="E1764" i="39"/>
  <c r="E1765" i="39"/>
  <c r="E1766" i="39"/>
  <c r="E1767" i="39"/>
  <c r="E1768" i="39"/>
  <c r="E1769" i="39"/>
  <c r="E1770" i="39"/>
  <c r="E1771" i="39"/>
  <c r="E1772" i="39"/>
  <c r="E1773" i="39"/>
  <c r="E1774" i="39"/>
  <c r="E1775" i="39"/>
  <c r="E1776" i="39"/>
  <c r="E1777" i="39"/>
  <c r="E1778" i="39"/>
  <c r="E1779" i="39"/>
  <c r="E1780" i="39"/>
  <c r="E1781" i="39"/>
  <c r="E1782" i="39"/>
  <c r="E1783" i="39"/>
  <c r="E1784" i="39"/>
  <c r="E1785" i="39"/>
  <c r="E1786" i="39"/>
  <c r="E1787" i="39"/>
  <c r="E1788" i="39"/>
  <c r="E1789" i="39"/>
  <c r="E1790" i="39"/>
  <c r="E1791" i="39"/>
  <c r="E1792" i="39"/>
  <c r="E1793" i="39"/>
  <c r="E1794" i="39"/>
  <c r="E1795" i="39"/>
  <c r="E1796" i="39"/>
  <c r="E1797" i="39"/>
  <c r="E1798" i="39"/>
  <c r="E1799" i="39"/>
  <c r="E1800" i="39"/>
  <c r="E1801" i="39"/>
  <c r="E1802" i="39"/>
  <c r="E1803" i="39"/>
  <c r="E1804" i="39"/>
  <c r="E1805" i="39"/>
  <c r="E1806" i="39"/>
  <c r="E1807" i="39"/>
  <c r="E1808" i="39"/>
  <c r="E1809" i="39"/>
  <c r="E1810" i="39"/>
  <c r="E1811" i="39"/>
  <c r="E1812" i="39"/>
  <c r="E1813" i="39"/>
  <c r="E1814" i="39"/>
  <c r="E1815" i="39"/>
  <c r="E1816" i="39"/>
  <c r="E1817" i="39"/>
  <c r="E1818" i="39"/>
  <c r="E1819" i="39"/>
  <c r="E1820" i="39"/>
  <c r="E1821" i="39"/>
  <c r="E1822" i="39"/>
  <c r="E1823" i="39"/>
  <c r="E1824" i="39"/>
  <c r="E1825" i="39"/>
  <c r="E1826" i="39"/>
  <c r="E1827" i="39"/>
  <c r="E1828" i="39"/>
  <c r="E1829" i="39"/>
  <c r="E1830" i="39"/>
  <c r="E1831" i="39"/>
  <c r="E1832" i="39"/>
  <c r="E1833" i="39"/>
  <c r="E1834" i="39"/>
  <c r="E1835" i="39"/>
  <c r="E1836" i="39"/>
  <c r="E1837" i="39"/>
  <c r="E1838" i="39"/>
  <c r="E1839" i="39"/>
  <c r="E1840" i="39"/>
  <c r="E1841" i="39"/>
  <c r="E1842" i="39"/>
  <c r="E1843" i="39"/>
  <c r="E1844" i="39"/>
  <c r="E1845" i="39"/>
  <c r="E1846" i="39"/>
  <c r="E1847" i="39"/>
  <c r="E1848" i="39"/>
  <c r="E1849" i="39"/>
  <c r="E1850" i="39"/>
  <c r="E1851" i="39"/>
  <c r="E1852" i="39"/>
  <c r="E1853" i="39"/>
  <c r="E1854" i="39"/>
  <c r="E1855" i="39"/>
  <c r="E1856" i="39"/>
  <c r="E1857" i="39"/>
  <c r="E1858" i="39"/>
  <c r="E1859" i="39"/>
  <c r="E1860" i="39"/>
  <c r="E1861" i="39"/>
  <c r="E1862" i="39"/>
  <c r="E1863" i="39"/>
  <c r="E1864" i="39"/>
  <c r="E1865" i="39"/>
  <c r="E1866" i="39"/>
  <c r="E1867" i="39"/>
  <c r="E1868" i="39"/>
  <c r="E1869" i="39"/>
  <c r="E1870" i="39"/>
  <c r="E1871" i="39"/>
  <c r="E1872" i="39"/>
  <c r="E1873" i="39"/>
  <c r="E1874" i="39"/>
  <c r="E1875" i="39"/>
  <c r="E1876" i="39"/>
  <c r="E1877" i="39"/>
  <c r="E1878" i="39"/>
  <c r="E1879" i="39"/>
  <c r="E1880" i="39"/>
  <c r="E1881" i="39"/>
  <c r="E1882" i="39"/>
  <c r="E1883" i="39"/>
  <c r="E1884" i="39"/>
  <c r="E1885" i="39"/>
  <c r="E1886" i="39"/>
  <c r="E1887" i="39"/>
  <c r="E1888" i="39"/>
  <c r="E1889" i="39"/>
  <c r="E1890" i="39"/>
  <c r="E1891" i="39"/>
  <c r="E1892" i="39"/>
  <c r="E1893" i="39"/>
  <c r="E1894" i="39"/>
  <c r="E1895" i="39"/>
  <c r="E1896" i="39"/>
  <c r="E1897" i="39"/>
  <c r="E1898" i="39"/>
  <c r="E1899" i="39"/>
  <c r="E1900" i="39"/>
  <c r="E1901" i="39"/>
  <c r="E1902" i="39"/>
  <c r="E1903" i="39"/>
  <c r="E1904" i="39"/>
  <c r="E1905" i="39"/>
  <c r="E1906" i="39"/>
  <c r="E1907" i="39"/>
  <c r="E1908" i="39"/>
  <c r="E1909" i="39"/>
  <c r="E1910" i="39"/>
  <c r="E1911" i="39"/>
  <c r="E1912" i="39"/>
  <c r="E1913" i="39"/>
  <c r="E1914" i="39"/>
  <c r="E1915" i="39"/>
  <c r="E1916" i="39"/>
  <c r="E1917" i="39"/>
  <c r="E1918" i="39"/>
  <c r="E1919" i="39"/>
  <c r="E1920" i="39"/>
  <c r="E1921" i="39"/>
  <c r="E1922" i="39"/>
  <c r="E1923" i="39"/>
  <c r="E1924" i="39"/>
  <c r="E1925" i="39"/>
  <c r="E1926" i="39"/>
  <c r="E1927" i="39"/>
  <c r="E1928" i="39"/>
  <c r="E1929" i="39"/>
  <c r="E1930" i="39"/>
  <c r="E1931" i="39"/>
  <c r="E1932" i="39"/>
  <c r="E1933" i="39"/>
  <c r="E1934" i="39"/>
  <c r="E1935" i="39"/>
  <c r="E1936" i="39"/>
  <c r="E1937" i="39"/>
  <c r="E1938" i="39"/>
  <c r="E1939" i="39"/>
  <c r="E1940" i="39"/>
  <c r="E1941" i="39"/>
  <c r="E1942" i="39"/>
  <c r="E1943" i="39"/>
  <c r="E1944" i="39"/>
  <c r="E1945" i="39"/>
  <c r="E1946" i="39"/>
  <c r="E1947" i="39"/>
  <c r="E1948" i="39"/>
  <c r="E1949" i="39"/>
  <c r="E1950" i="39"/>
  <c r="E1951" i="39"/>
  <c r="E1952" i="39"/>
  <c r="E1953" i="39"/>
  <c r="E1954" i="39"/>
  <c r="E1955" i="39"/>
  <c r="E1956" i="39"/>
  <c r="E1957" i="39"/>
  <c r="E1958" i="39"/>
  <c r="E1959" i="39"/>
  <c r="E1960" i="39"/>
  <c r="E1961" i="39"/>
  <c r="E1962" i="39"/>
  <c r="E1963" i="39"/>
  <c r="E1964" i="39"/>
  <c r="E1965" i="39"/>
  <c r="E1966" i="39"/>
  <c r="E1967" i="39"/>
  <c r="E1968" i="39"/>
  <c r="E1969" i="39"/>
  <c r="E1970" i="39"/>
  <c r="E1971" i="39"/>
  <c r="E1972" i="39"/>
  <c r="E1973" i="39"/>
  <c r="E1974" i="39"/>
  <c r="E1975" i="39"/>
  <c r="E1976" i="39"/>
  <c r="E1977" i="39"/>
  <c r="E1978" i="39"/>
  <c r="E1979" i="39"/>
  <c r="E1980" i="39"/>
  <c r="E1981" i="39"/>
  <c r="E1982" i="39"/>
  <c r="E1983" i="39"/>
  <c r="E1984" i="39"/>
  <c r="E1985" i="39"/>
  <c r="E1986" i="39"/>
  <c r="E1987" i="39"/>
  <c r="E1988" i="39"/>
  <c r="E1989" i="39"/>
  <c r="E1990" i="39"/>
  <c r="E1991" i="39"/>
  <c r="E1992" i="39"/>
  <c r="E1993" i="39"/>
  <c r="E1994" i="39"/>
  <c r="E1995" i="39"/>
  <c r="E1996" i="39"/>
  <c r="E1997" i="39"/>
  <c r="E1998" i="39"/>
  <c r="E1999" i="39"/>
  <c r="E2000" i="39"/>
  <c r="E2001" i="39"/>
  <c r="E2002" i="39"/>
  <c r="E2003" i="39"/>
  <c r="E2004" i="39"/>
  <c r="E2005" i="39"/>
  <c r="E2006" i="39"/>
  <c r="E2007" i="39"/>
  <c r="E2008" i="39"/>
  <c r="E2009" i="39"/>
  <c r="E2010" i="39"/>
  <c r="E2011" i="39"/>
  <c r="E2012" i="39"/>
  <c r="E2013" i="39"/>
  <c r="E2014" i="39"/>
  <c r="E2015" i="39"/>
  <c r="E2016" i="39"/>
  <c r="E2017" i="39"/>
  <c r="E2018" i="39"/>
  <c r="E2019" i="39"/>
  <c r="E2020" i="39"/>
  <c r="E2021" i="39"/>
  <c r="E2022" i="39"/>
  <c r="E2023" i="39"/>
  <c r="E2024" i="39"/>
  <c r="E2025" i="39"/>
  <c r="E2026" i="39"/>
  <c r="E2027" i="39"/>
  <c r="E2028" i="39"/>
  <c r="E2029" i="39"/>
  <c r="E2030" i="39"/>
  <c r="E2031" i="39"/>
  <c r="E2032" i="39"/>
  <c r="E2033" i="39"/>
  <c r="E2034" i="39"/>
  <c r="E2035" i="39"/>
  <c r="E2036" i="39"/>
  <c r="E2037" i="39"/>
  <c r="E2038" i="39"/>
  <c r="E2039" i="39"/>
  <c r="E2040" i="39"/>
  <c r="E2041" i="39"/>
  <c r="E2042" i="39"/>
  <c r="E2043" i="39"/>
  <c r="E2044" i="39"/>
  <c r="E2045" i="39"/>
  <c r="E2046" i="39"/>
  <c r="E2047" i="39"/>
  <c r="E2048" i="39"/>
  <c r="E2049" i="39"/>
  <c r="E2050" i="39"/>
  <c r="E2051" i="39"/>
  <c r="E2052" i="39"/>
  <c r="E2053" i="39"/>
  <c r="E2054" i="39"/>
  <c r="E2055" i="39"/>
  <c r="E2056" i="39"/>
  <c r="E2057" i="39"/>
  <c r="E2058" i="39"/>
  <c r="E2059" i="39"/>
  <c r="E2060" i="39"/>
  <c r="E2061" i="39"/>
  <c r="E2062" i="39"/>
  <c r="E2063" i="39"/>
  <c r="E2064" i="39"/>
  <c r="E2065" i="39"/>
  <c r="E2066" i="39"/>
  <c r="E2067" i="39"/>
  <c r="E2068" i="39"/>
  <c r="E2069" i="39"/>
  <c r="E2070" i="39"/>
  <c r="E2071" i="39"/>
  <c r="E2072" i="39"/>
  <c r="E2073" i="39"/>
  <c r="E2074" i="39"/>
  <c r="E2075" i="39"/>
  <c r="E2076" i="39"/>
  <c r="E2077" i="39"/>
  <c r="E2078" i="39"/>
  <c r="E2079" i="39"/>
  <c r="E2080" i="39"/>
  <c r="E2081" i="39"/>
  <c r="E2082" i="39"/>
  <c r="E2083" i="39"/>
  <c r="E2084" i="39"/>
  <c r="E2085" i="39"/>
  <c r="E2086" i="39"/>
  <c r="E2087" i="39"/>
  <c r="E2088" i="39"/>
  <c r="E2089" i="39"/>
  <c r="E2090" i="39"/>
  <c r="E2091" i="39"/>
  <c r="E2092" i="39"/>
  <c r="E2093" i="39"/>
  <c r="E2094" i="39"/>
  <c r="E2095" i="39"/>
  <c r="E2096" i="39"/>
  <c r="E2097" i="39"/>
  <c r="E2098" i="39"/>
  <c r="E2099" i="39"/>
  <c r="E2100" i="39"/>
  <c r="E2101" i="39"/>
  <c r="E2102" i="39"/>
  <c r="E2103" i="39"/>
  <c r="E2104" i="39"/>
  <c r="E2105" i="39"/>
  <c r="E2106" i="39"/>
  <c r="E2107" i="39"/>
  <c r="E2108" i="39"/>
  <c r="E2109" i="39"/>
  <c r="E2110" i="39"/>
  <c r="E2111" i="39"/>
  <c r="E2112" i="39"/>
  <c r="E2113" i="39"/>
  <c r="E2114" i="39"/>
  <c r="E2115" i="39"/>
  <c r="E2116" i="39"/>
  <c r="E2117" i="39"/>
  <c r="E2118" i="39"/>
  <c r="E2119" i="39"/>
  <c r="E2120" i="39"/>
  <c r="E2121" i="39"/>
  <c r="E2122" i="39"/>
  <c r="E2123" i="39"/>
  <c r="E2124" i="39"/>
  <c r="E2125" i="39"/>
  <c r="E2126" i="39"/>
  <c r="E2127" i="39"/>
  <c r="E2128" i="39"/>
  <c r="E2129" i="39"/>
  <c r="E2130" i="39"/>
  <c r="E2131" i="39"/>
  <c r="E2132" i="39"/>
  <c r="E2133" i="39"/>
  <c r="E2134" i="39"/>
  <c r="E2135" i="39"/>
  <c r="E2136" i="39"/>
  <c r="E2137" i="39"/>
  <c r="E2138" i="39"/>
  <c r="E2139" i="39"/>
  <c r="E2140" i="39"/>
  <c r="E2141" i="39"/>
  <c r="E2142" i="39"/>
  <c r="E2143" i="39"/>
  <c r="E2144" i="39"/>
  <c r="E2145" i="39"/>
  <c r="E2146" i="39"/>
  <c r="E2147" i="39"/>
  <c r="E2148" i="39"/>
  <c r="E2149" i="39"/>
  <c r="E2150" i="39"/>
  <c r="E2151" i="39"/>
  <c r="E2152" i="39"/>
  <c r="E2153" i="39"/>
  <c r="E2154" i="39"/>
  <c r="E2155" i="39"/>
  <c r="E2156" i="39"/>
  <c r="E2157" i="39"/>
  <c r="E2158" i="39"/>
  <c r="E2159" i="39"/>
  <c r="E2160" i="39"/>
  <c r="E2161" i="39"/>
  <c r="E2162" i="39"/>
  <c r="E2163" i="39"/>
  <c r="E2164" i="39"/>
  <c r="E2165" i="39"/>
  <c r="E2166" i="39"/>
  <c r="E2167" i="39"/>
  <c r="E2168" i="39"/>
  <c r="E2169" i="39"/>
  <c r="E2170" i="39"/>
  <c r="E2171" i="39"/>
  <c r="E2172" i="39"/>
  <c r="E2173" i="39"/>
  <c r="E2174" i="39"/>
  <c r="E2175" i="39"/>
  <c r="E2176" i="39"/>
  <c r="E2177" i="39"/>
  <c r="E2178" i="39"/>
  <c r="E2179" i="39"/>
  <c r="E2180" i="39"/>
  <c r="E2181" i="39"/>
  <c r="E2182" i="39"/>
  <c r="E2183" i="39"/>
  <c r="E2184" i="39"/>
  <c r="E2185" i="39"/>
  <c r="E2186" i="39"/>
  <c r="E2187" i="39"/>
  <c r="E2188" i="39"/>
  <c r="E2189" i="39"/>
  <c r="E2190" i="39"/>
  <c r="E2191" i="39"/>
  <c r="E2192" i="39"/>
  <c r="E2193" i="39"/>
  <c r="E2194" i="39"/>
  <c r="E2195" i="39"/>
  <c r="E2196" i="39"/>
  <c r="E2197" i="39"/>
  <c r="E2198" i="39"/>
  <c r="E2199" i="39"/>
  <c r="E2200" i="39"/>
  <c r="E2201" i="39"/>
  <c r="E2202" i="39"/>
  <c r="E2203" i="39"/>
  <c r="E2204" i="39"/>
  <c r="E2205" i="39"/>
  <c r="E2206" i="39"/>
  <c r="E2207" i="39"/>
  <c r="E2208" i="39"/>
  <c r="E2209" i="39"/>
  <c r="E2210" i="39"/>
  <c r="E2211" i="39"/>
  <c r="E2212" i="39"/>
  <c r="E2213" i="39"/>
  <c r="E2214" i="39"/>
  <c r="E2215" i="39"/>
  <c r="E2216" i="39"/>
  <c r="E2217" i="39"/>
  <c r="E2218" i="39"/>
  <c r="E2219" i="39"/>
  <c r="E2220" i="39"/>
  <c r="E2221" i="39"/>
  <c r="E2222" i="39"/>
  <c r="E2223" i="39"/>
  <c r="E2224" i="39"/>
  <c r="E2225" i="39"/>
  <c r="E2226" i="39"/>
  <c r="E2227" i="39"/>
  <c r="E2228" i="39"/>
  <c r="E2229" i="39"/>
  <c r="E2230" i="39"/>
  <c r="E2231" i="39"/>
  <c r="E2232" i="39"/>
  <c r="E2233" i="39"/>
  <c r="E2234" i="39"/>
  <c r="E2235" i="39"/>
  <c r="E2236" i="39"/>
  <c r="E2237" i="39"/>
  <c r="E2238" i="39"/>
  <c r="E2239" i="39"/>
  <c r="E2240" i="39"/>
  <c r="E2241" i="39"/>
  <c r="E2242" i="39"/>
  <c r="E2243" i="39"/>
  <c r="E2244" i="39"/>
  <c r="E2245" i="39"/>
  <c r="E2246" i="39"/>
  <c r="E2247" i="39"/>
  <c r="E2248" i="39"/>
  <c r="E2249" i="39"/>
  <c r="E2250" i="39"/>
  <c r="E2251" i="39"/>
  <c r="E2252" i="39"/>
  <c r="E2253" i="39"/>
  <c r="E2254" i="39"/>
  <c r="E2255" i="39"/>
  <c r="E2256" i="39"/>
  <c r="E2257" i="39"/>
  <c r="E2258" i="39"/>
  <c r="E2259" i="39"/>
  <c r="E2260" i="39"/>
  <c r="E2261" i="39"/>
  <c r="E2262" i="39"/>
  <c r="E2263" i="39"/>
  <c r="E2264" i="39"/>
  <c r="E2265" i="39"/>
  <c r="E2266" i="39"/>
  <c r="E2267" i="39"/>
  <c r="E2268" i="39"/>
  <c r="E2269" i="39"/>
  <c r="E2270" i="39"/>
  <c r="E2271" i="39"/>
  <c r="E2272" i="39"/>
  <c r="E2273" i="39"/>
  <c r="E2274" i="39"/>
  <c r="E2275" i="39"/>
  <c r="E2276" i="39"/>
  <c r="E2277" i="39"/>
  <c r="E2278" i="39"/>
  <c r="E2279" i="39"/>
  <c r="E2280" i="39"/>
  <c r="E2281" i="39"/>
  <c r="E2282" i="39"/>
  <c r="E2283" i="39"/>
  <c r="E2284" i="39"/>
  <c r="E2285" i="39"/>
  <c r="E2286" i="39"/>
  <c r="E2287" i="39"/>
  <c r="E2288" i="39"/>
  <c r="E2289" i="39"/>
  <c r="E2290" i="39"/>
  <c r="E2291" i="39"/>
  <c r="E2292" i="39"/>
  <c r="E2293" i="39"/>
  <c r="E2294" i="39"/>
  <c r="E2295" i="39"/>
  <c r="E2296" i="39"/>
  <c r="E2297" i="39"/>
  <c r="E2298" i="39"/>
  <c r="E2299" i="39"/>
  <c r="E2300" i="39"/>
  <c r="E2301" i="39"/>
  <c r="E2302" i="39"/>
  <c r="E2303" i="39"/>
  <c r="E2304" i="39"/>
  <c r="E2305" i="39"/>
  <c r="E2306" i="39"/>
  <c r="E2307" i="39"/>
  <c r="E2308" i="39"/>
  <c r="E2309" i="39"/>
  <c r="E2310" i="39"/>
  <c r="E2311" i="39"/>
  <c r="E2312" i="39"/>
  <c r="E2313" i="39"/>
  <c r="E2314" i="39"/>
  <c r="E2315" i="39"/>
  <c r="E2316" i="39"/>
  <c r="E2317" i="39"/>
  <c r="E2318" i="39"/>
  <c r="E2319" i="39"/>
  <c r="E2320" i="39"/>
  <c r="E2321" i="39"/>
  <c r="E2322" i="39"/>
  <c r="E2323" i="39"/>
  <c r="E2324" i="39"/>
  <c r="E2325" i="39"/>
  <c r="E2326" i="39"/>
  <c r="E2327" i="39"/>
  <c r="E2328" i="39"/>
  <c r="E2329" i="39"/>
  <c r="E2330" i="39"/>
  <c r="E2331" i="39"/>
  <c r="E2332" i="39"/>
  <c r="E2333" i="39"/>
  <c r="E2334" i="39"/>
  <c r="E2335" i="39"/>
  <c r="E2336" i="39"/>
  <c r="E2337" i="39"/>
  <c r="E2338" i="39"/>
  <c r="E2339" i="39"/>
  <c r="E2340" i="39"/>
  <c r="E2341" i="39"/>
  <c r="E2342" i="39"/>
  <c r="E2343" i="39"/>
  <c r="E2344" i="39"/>
  <c r="E2345" i="39"/>
  <c r="E2346" i="39"/>
  <c r="E2347" i="39"/>
  <c r="E2348" i="39"/>
  <c r="E2349" i="39"/>
  <c r="E2350" i="39"/>
  <c r="E2351" i="39"/>
  <c r="E2352" i="39"/>
  <c r="E2353" i="39"/>
  <c r="E2354" i="39"/>
  <c r="E2355" i="39"/>
  <c r="E2356" i="39"/>
  <c r="E2357" i="39"/>
  <c r="E2358" i="39"/>
  <c r="E2359" i="39"/>
  <c r="E2360" i="39"/>
  <c r="E2361" i="39"/>
  <c r="E2362" i="39"/>
  <c r="E2363" i="39"/>
  <c r="E2364" i="39"/>
  <c r="E2365" i="39"/>
  <c r="E2366" i="39"/>
  <c r="E2367" i="39"/>
  <c r="E2368" i="39"/>
  <c r="E2369" i="39"/>
  <c r="E2370" i="39"/>
  <c r="E2371" i="39"/>
  <c r="E2372" i="39"/>
  <c r="E2373" i="39"/>
  <c r="E2374" i="39"/>
  <c r="E2375" i="39"/>
  <c r="E2376" i="39"/>
  <c r="E2377" i="39"/>
  <c r="E2378" i="39"/>
  <c r="E2379" i="39"/>
  <c r="E2380" i="39"/>
  <c r="E2381" i="39"/>
  <c r="E2382" i="39"/>
  <c r="E2383" i="39"/>
  <c r="E2384" i="39"/>
  <c r="E2385" i="39"/>
  <c r="E2386" i="39"/>
  <c r="E2387" i="39"/>
  <c r="E2388" i="39"/>
  <c r="E2389" i="39"/>
  <c r="E2390" i="39"/>
  <c r="E2391" i="39"/>
  <c r="E2392" i="39"/>
  <c r="E2393" i="39"/>
  <c r="E2394" i="39"/>
  <c r="E2395" i="39"/>
  <c r="E2396" i="39"/>
  <c r="E2397" i="39"/>
  <c r="E2398" i="39"/>
  <c r="E2399" i="39"/>
  <c r="E2400" i="39"/>
  <c r="E2401" i="39"/>
  <c r="E2402" i="39"/>
  <c r="E2403" i="39"/>
  <c r="E2404" i="39"/>
  <c r="E2405" i="39"/>
  <c r="E2406" i="39"/>
  <c r="E2407" i="39"/>
  <c r="E2408" i="39"/>
  <c r="E2409" i="39"/>
  <c r="E2410" i="39"/>
  <c r="E2411" i="39"/>
  <c r="E2412" i="39"/>
  <c r="E2413" i="39"/>
  <c r="E2414" i="39"/>
  <c r="E2415" i="39"/>
  <c r="E2416" i="39"/>
  <c r="E2417" i="39"/>
  <c r="E2418" i="39"/>
  <c r="E2419" i="39"/>
  <c r="E2420" i="39"/>
  <c r="E2421" i="39"/>
  <c r="E2422" i="39"/>
  <c r="E2423" i="39"/>
  <c r="E2424" i="39"/>
  <c r="E2425" i="39"/>
  <c r="E2426" i="39"/>
  <c r="E2427" i="39"/>
  <c r="E2428" i="39"/>
  <c r="E2429" i="39"/>
  <c r="E2430" i="39"/>
  <c r="E2431" i="39"/>
  <c r="E2432" i="39"/>
  <c r="E2433" i="39"/>
  <c r="E2434" i="39"/>
  <c r="E2435" i="39"/>
  <c r="E2436" i="39"/>
  <c r="E2437" i="39"/>
  <c r="E2438" i="39"/>
  <c r="E2439" i="39"/>
  <c r="E2440" i="39"/>
  <c r="E2441" i="39"/>
  <c r="E2442" i="39"/>
  <c r="E2443" i="39"/>
  <c r="E2444" i="39"/>
  <c r="E2445" i="39"/>
  <c r="E2446" i="39"/>
  <c r="E2447" i="39"/>
  <c r="E2448" i="39"/>
  <c r="E2449" i="39"/>
  <c r="E2450" i="39"/>
  <c r="E2451" i="39"/>
  <c r="E2452" i="39"/>
  <c r="E2453" i="39"/>
  <c r="E2454" i="39"/>
  <c r="E2455" i="39"/>
  <c r="E2456" i="39"/>
  <c r="E2457" i="39"/>
  <c r="E2458" i="39"/>
  <c r="E2459" i="39"/>
  <c r="E2460" i="39"/>
  <c r="E2461" i="39"/>
  <c r="E2462" i="39"/>
  <c r="E2463" i="39"/>
  <c r="E2464" i="39"/>
  <c r="E2465" i="39"/>
  <c r="E2466" i="39"/>
  <c r="E2467" i="39"/>
  <c r="E2468" i="39"/>
  <c r="E2469" i="39"/>
  <c r="E2470" i="39"/>
  <c r="E2471" i="39"/>
  <c r="E2472" i="39"/>
  <c r="E2473" i="39"/>
  <c r="E2474" i="39"/>
  <c r="E2475" i="39"/>
  <c r="E2476" i="39"/>
  <c r="E2477" i="39"/>
  <c r="E2478" i="39"/>
  <c r="E2479" i="39"/>
  <c r="E2480" i="39"/>
  <c r="E2481" i="39"/>
  <c r="E2482" i="39"/>
  <c r="E2483" i="39"/>
  <c r="E2484" i="39"/>
  <c r="E2485" i="39"/>
  <c r="E2486" i="39"/>
  <c r="E2487" i="39"/>
  <c r="E2488" i="39"/>
  <c r="E2489" i="39"/>
  <c r="E2490" i="39"/>
  <c r="E2491" i="39"/>
  <c r="E2492" i="39"/>
  <c r="E2493" i="39"/>
  <c r="E2494" i="39"/>
  <c r="E2495" i="39"/>
  <c r="E2496" i="39"/>
  <c r="E2497" i="39"/>
  <c r="E2498" i="39"/>
  <c r="E2499" i="39"/>
  <c r="E2500" i="39"/>
  <c r="E2501" i="39"/>
  <c r="E2502" i="39"/>
  <c r="E2503" i="39"/>
  <c r="E2504" i="39"/>
  <c r="E2505" i="39"/>
  <c r="E2506" i="39"/>
  <c r="E2507" i="39"/>
  <c r="E2508" i="39"/>
  <c r="E2509" i="39"/>
  <c r="E2510" i="39"/>
  <c r="E2511" i="39"/>
  <c r="E2512" i="39"/>
  <c r="E2513" i="39"/>
  <c r="E2514" i="39"/>
  <c r="E2515" i="39"/>
  <c r="E2516" i="39"/>
  <c r="E2517" i="39"/>
  <c r="E2518" i="39"/>
  <c r="E2519" i="39"/>
  <c r="E2520" i="39"/>
  <c r="E2521" i="39"/>
  <c r="E2522" i="39"/>
  <c r="E2523" i="39"/>
  <c r="E2524" i="39"/>
  <c r="E2525" i="39"/>
  <c r="E2526" i="39"/>
  <c r="E2527" i="39"/>
  <c r="E2528" i="39"/>
  <c r="E2529" i="39"/>
  <c r="E2530" i="39"/>
  <c r="E2531" i="39"/>
  <c r="E2532" i="39"/>
  <c r="E2533" i="39"/>
  <c r="E2534" i="39"/>
  <c r="E2535" i="39"/>
  <c r="E2536" i="39"/>
  <c r="E2537" i="39"/>
  <c r="E2538" i="39"/>
  <c r="E2539" i="39"/>
  <c r="E2540" i="39"/>
  <c r="E2541" i="39"/>
  <c r="E2542" i="39"/>
  <c r="E2543" i="39"/>
  <c r="E2544" i="39"/>
  <c r="E2545" i="39"/>
  <c r="E2546" i="39"/>
  <c r="E2547" i="39"/>
  <c r="E2548" i="39"/>
  <c r="E2549" i="39"/>
  <c r="E2550" i="39"/>
  <c r="E2551" i="39"/>
  <c r="E2552" i="39"/>
  <c r="E2553" i="39"/>
  <c r="E2554" i="39"/>
  <c r="E2555" i="39"/>
  <c r="E2556" i="39"/>
  <c r="E2557" i="39"/>
  <c r="E2558" i="39"/>
  <c r="E2559" i="39"/>
  <c r="E2560" i="39"/>
  <c r="E2561" i="39"/>
  <c r="E2562" i="39"/>
  <c r="E2563" i="39"/>
  <c r="E2564" i="39"/>
  <c r="E2565" i="39"/>
  <c r="E2566" i="39"/>
  <c r="E2567" i="39"/>
  <c r="E2568" i="39"/>
  <c r="E2569" i="39"/>
  <c r="E2570" i="39"/>
  <c r="E2571" i="39"/>
  <c r="E2572" i="39"/>
  <c r="E2573" i="39"/>
  <c r="E2574" i="39"/>
  <c r="E2575" i="39"/>
  <c r="E2576" i="39"/>
  <c r="E2577" i="39"/>
  <c r="E2578" i="39"/>
  <c r="E2579" i="39"/>
  <c r="E2580" i="39"/>
  <c r="E2581" i="39"/>
  <c r="E2582" i="39"/>
  <c r="E2583" i="39"/>
  <c r="E2584" i="39"/>
  <c r="E2585" i="39"/>
  <c r="E2586" i="39"/>
  <c r="E2587" i="39"/>
  <c r="E2588" i="39"/>
  <c r="E2589" i="39"/>
  <c r="E2590" i="39"/>
  <c r="E2591" i="39"/>
  <c r="E2592" i="39"/>
  <c r="E2593" i="39"/>
  <c r="E2594" i="39"/>
  <c r="E2595" i="39"/>
  <c r="E2596" i="39"/>
  <c r="E2597" i="39"/>
  <c r="E2598" i="39"/>
  <c r="E2599" i="39"/>
  <c r="E2600" i="39"/>
  <c r="E2601" i="39"/>
  <c r="E2602" i="39"/>
  <c r="E2603" i="39"/>
  <c r="E2604" i="39"/>
  <c r="E2605" i="39"/>
  <c r="E2606" i="39"/>
  <c r="E2607" i="39"/>
  <c r="E2608" i="39"/>
  <c r="E2609" i="39"/>
  <c r="E2610" i="39"/>
  <c r="E2611" i="39"/>
  <c r="E2612" i="39"/>
  <c r="E2613" i="39"/>
  <c r="E2614" i="39"/>
  <c r="E2615" i="39"/>
  <c r="E2616" i="39"/>
  <c r="E2617" i="39"/>
  <c r="E2618" i="39"/>
  <c r="E2619" i="39"/>
  <c r="E2620" i="39"/>
  <c r="E2621" i="39"/>
  <c r="E2622" i="39"/>
  <c r="E2623" i="39"/>
  <c r="E2624" i="39"/>
  <c r="E2625" i="39"/>
  <c r="E2626" i="39"/>
  <c r="E2627" i="39"/>
  <c r="E2628" i="39"/>
  <c r="E2629" i="39"/>
  <c r="E2630" i="39"/>
  <c r="E2631" i="39"/>
  <c r="E2632" i="39"/>
  <c r="E2633" i="39"/>
  <c r="E2634" i="39"/>
  <c r="E2635" i="39"/>
  <c r="E2636" i="39"/>
  <c r="E2637" i="39"/>
  <c r="E2638" i="39"/>
  <c r="E2639" i="39"/>
  <c r="E2640" i="39"/>
  <c r="E2641" i="39"/>
  <c r="E2642" i="39"/>
  <c r="E2643" i="39"/>
  <c r="E2644" i="39"/>
  <c r="E2645" i="39"/>
  <c r="E2646" i="39"/>
  <c r="E2647" i="39"/>
  <c r="E2648" i="39"/>
  <c r="E2649" i="39"/>
  <c r="E2650" i="39"/>
  <c r="E2651" i="39"/>
  <c r="E2652" i="39"/>
  <c r="E2653" i="39"/>
  <c r="E2654" i="39"/>
  <c r="E2655" i="39"/>
  <c r="E2656" i="39"/>
  <c r="E2657" i="39"/>
  <c r="E2658" i="39"/>
  <c r="E2659" i="39"/>
  <c r="E2660" i="39"/>
  <c r="E2661" i="39"/>
  <c r="E2662" i="39"/>
  <c r="E2663" i="39"/>
  <c r="E2664" i="39"/>
  <c r="E2665" i="39"/>
  <c r="E2666" i="39"/>
  <c r="E2667" i="39"/>
  <c r="E2668" i="39"/>
  <c r="E2669" i="39"/>
  <c r="E2670" i="39"/>
  <c r="E2671" i="39"/>
  <c r="E2672" i="39"/>
  <c r="E2673" i="39"/>
  <c r="E2674" i="39"/>
  <c r="E2675" i="39"/>
  <c r="E2676" i="39"/>
  <c r="E2677" i="39"/>
  <c r="E2678" i="39"/>
  <c r="E2679" i="39"/>
  <c r="E2680" i="39"/>
  <c r="E2681" i="39"/>
  <c r="E2682" i="39"/>
  <c r="E2683" i="39"/>
  <c r="E2684" i="39"/>
  <c r="E2685" i="39"/>
  <c r="E2686" i="39"/>
  <c r="E2687" i="39"/>
  <c r="E2688" i="39"/>
  <c r="E2689" i="39"/>
  <c r="E2690" i="39"/>
  <c r="E2691" i="39"/>
  <c r="E2692" i="39"/>
  <c r="E2693" i="39"/>
  <c r="E2694" i="39"/>
  <c r="E2695" i="39"/>
  <c r="E2696" i="39"/>
  <c r="E2697" i="39"/>
  <c r="E2698" i="39"/>
  <c r="E2699" i="39"/>
  <c r="E2700" i="39"/>
  <c r="E2701" i="39"/>
  <c r="E2702" i="39"/>
  <c r="E2703" i="39"/>
  <c r="E2704" i="39"/>
  <c r="E2705" i="39"/>
  <c r="E2706" i="39"/>
  <c r="E2707" i="39"/>
  <c r="E2708" i="39"/>
  <c r="E2709" i="39"/>
  <c r="E2710" i="39"/>
  <c r="E2711" i="39"/>
  <c r="E2712" i="39"/>
  <c r="E2713" i="39"/>
  <c r="E2714" i="39"/>
  <c r="E2715" i="39"/>
  <c r="E2716" i="39"/>
  <c r="E2717" i="39"/>
  <c r="E2718" i="39"/>
  <c r="E2719" i="39"/>
  <c r="E2720" i="39"/>
  <c r="E2721" i="39"/>
  <c r="E2722" i="39"/>
  <c r="E2723" i="39"/>
  <c r="E2724" i="39"/>
  <c r="E2725" i="39"/>
  <c r="E2726" i="39"/>
  <c r="E2727" i="39"/>
  <c r="E2728" i="39"/>
  <c r="E2729" i="39"/>
  <c r="E2730" i="39"/>
  <c r="E2731" i="39"/>
  <c r="E2732" i="39"/>
  <c r="E2733" i="39"/>
  <c r="E2734" i="39"/>
  <c r="E2735" i="39"/>
  <c r="E2736" i="39"/>
  <c r="E2737" i="39"/>
  <c r="E2738" i="39"/>
  <c r="E2739" i="39"/>
  <c r="E2740" i="39"/>
  <c r="E2741" i="39"/>
  <c r="E2742" i="39"/>
  <c r="E2743" i="39"/>
  <c r="E2744" i="39"/>
  <c r="E2745" i="39"/>
  <c r="E2746" i="39"/>
  <c r="E2747" i="39"/>
  <c r="E2748" i="39"/>
  <c r="E2749" i="39"/>
  <c r="E2750" i="39"/>
  <c r="E2751" i="39"/>
  <c r="E2752" i="39"/>
  <c r="E2753" i="39"/>
  <c r="E2754" i="39"/>
  <c r="E2755" i="39"/>
  <c r="E2756" i="39"/>
  <c r="E2757" i="39"/>
  <c r="E2758" i="39"/>
  <c r="E2759" i="39"/>
  <c r="E2760" i="39"/>
  <c r="E2761" i="39"/>
  <c r="E2762" i="39"/>
  <c r="E2763" i="39"/>
  <c r="E2764" i="39"/>
  <c r="E2765" i="39"/>
  <c r="E2766" i="39"/>
  <c r="E2767" i="39"/>
  <c r="E2768" i="39"/>
  <c r="E2769" i="39"/>
  <c r="E2770" i="39"/>
  <c r="E2771" i="39"/>
  <c r="E2772" i="39"/>
  <c r="E2773" i="39"/>
  <c r="E2774" i="39"/>
  <c r="E2775" i="39"/>
  <c r="E2776" i="39"/>
  <c r="E2777" i="39"/>
  <c r="E2778" i="39"/>
  <c r="E2779" i="39"/>
  <c r="E2780" i="39"/>
  <c r="E2781" i="39"/>
  <c r="E2782" i="39"/>
  <c r="E2783" i="39"/>
  <c r="E2784" i="39"/>
  <c r="E2785" i="39"/>
  <c r="E2786" i="39"/>
  <c r="E2787" i="39"/>
  <c r="E2788" i="39"/>
  <c r="E2789" i="39"/>
  <c r="E2790" i="39"/>
  <c r="E2791" i="39"/>
  <c r="E2792" i="39"/>
  <c r="E2793" i="39"/>
  <c r="E2794" i="39"/>
  <c r="E2795" i="39"/>
  <c r="E2796" i="39"/>
  <c r="E2797" i="39"/>
  <c r="E2798" i="39"/>
  <c r="E2799" i="39"/>
  <c r="E2800" i="39"/>
  <c r="E2801" i="39"/>
  <c r="E2802" i="39"/>
  <c r="E2803" i="39"/>
  <c r="E2804" i="39"/>
  <c r="E2805" i="39"/>
  <c r="E2806" i="39"/>
  <c r="E2807" i="39"/>
  <c r="E2808" i="39"/>
  <c r="E2809" i="39"/>
  <c r="E2810" i="39"/>
  <c r="E2811" i="39"/>
  <c r="E2812" i="39"/>
  <c r="E2813" i="39"/>
  <c r="E2814" i="39"/>
  <c r="E2815" i="39"/>
  <c r="E2816" i="39"/>
  <c r="E2817" i="39"/>
  <c r="E2818" i="39"/>
  <c r="E2819" i="39"/>
  <c r="E2820" i="39"/>
  <c r="E2821" i="39"/>
  <c r="E2822" i="39"/>
  <c r="E2823" i="39"/>
  <c r="E2824" i="39"/>
  <c r="E2825" i="39"/>
  <c r="E2826" i="39"/>
  <c r="E2827" i="39"/>
  <c r="E2828" i="39"/>
  <c r="E2829" i="39"/>
  <c r="E2830" i="39"/>
  <c r="E2831" i="39"/>
  <c r="E2832" i="39"/>
  <c r="E2833" i="39"/>
  <c r="E2834" i="39"/>
  <c r="E2835" i="39"/>
  <c r="E2836" i="39"/>
  <c r="E2837" i="39"/>
  <c r="E2838" i="39"/>
  <c r="E2839" i="39"/>
  <c r="E2840" i="39"/>
  <c r="E2841" i="39"/>
  <c r="E2842" i="39"/>
  <c r="E2843" i="39"/>
  <c r="E2844" i="39"/>
  <c r="E2845" i="39"/>
  <c r="E2846" i="39"/>
  <c r="E2847" i="39"/>
  <c r="E2848" i="39"/>
  <c r="E2849" i="39"/>
  <c r="E2850" i="39"/>
  <c r="E2851" i="39"/>
  <c r="E2852" i="39"/>
  <c r="E2853" i="39"/>
  <c r="E2854" i="39"/>
  <c r="E2855" i="39"/>
  <c r="E2856" i="39"/>
  <c r="E2857" i="39"/>
  <c r="E2858" i="39"/>
  <c r="E2859" i="39"/>
  <c r="E2860" i="39"/>
  <c r="E2861" i="39"/>
  <c r="E2862" i="39"/>
  <c r="E2863" i="39"/>
  <c r="E2864" i="39"/>
  <c r="E2865" i="39"/>
  <c r="E2866" i="39"/>
  <c r="E2867" i="39"/>
  <c r="E2868" i="39"/>
  <c r="E2869" i="39"/>
  <c r="E2870" i="39"/>
  <c r="E2871" i="39"/>
  <c r="E2872" i="39"/>
  <c r="E2873" i="39"/>
  <c r="E2874" i="39"/>
  <c r="E2875" i="39"/>
  <c r="E2876" i="39"/>
  <c r="E2877" i="39"/>
  <c r="E2878" i="39"/>
  <c r="E2879" i="39"/>
  <c r="E2880" i="39"/>
  <c r="E2881" i="39"/>
  <c r="E2882" i="39"/>
  <c r="E2883" i="39"/>
  <c r="E2884" i="39"/>
  <c r="E2885" i="39"/>
  <c r="E2886" i="39"/>
  <c r="E2887" i="39"/>
  <c r="E2888" i="39"/>
  <c r="E2889" i="39"/>
  <c r="E2890" i="39"/>
  <c r="E2891" i="39"/>
  <c r="E2892" i="39"/>
  <c r="E2893" i="39"/>
  <c r="E2894" i="39"/>
  <c r="E2895" i="39"/>
  <c r="E2896" i="39"/>
  <c r="E2897" i="39"/>
  <c r="E2898" i="39"/>
  <c r="E2899" i="39"/>
  <c r="E2900" i="39"/>
  <c r="E2901" i="39"/>
  <c r="E2902" i="39"/>
  <c r="E2903" i="39"/>
  <c r="E2904" i="39"/>
  <c r="E2905" i="39"/>
  <c r="E2906" i="39"/>
  <c r="E2907" i="39"/>
  <c r="E2908" i="39"/>
  <c r="E2909" i="39"/>
  <c r="E2910" i="39"/>
  <c r="E2911" i="39"/>
  <c r="E2912" i="39"/>
  <c r="E2913" i="39"/>
  <c r="E2914" i="39"/>
  <c r="E2915" i="39"/>
  <c r="E2916" i="39"/>
  <c r="E2917" i="39"/>
  <c r="E2918" i="39"/>
  <c r="E2919" i="39"/>
  <c r="E2920" i="39"/>
  <c r="E2921" i="39"/>
  <c r="E2922" i="39"/>
  <c r="E2923" i="39"/>
  <c r="E2924" i="39"/>
  <c r="E2925" i="39"/>
  <c r="E2926" i="39"/>
  <c r="E2927" i="39"/>
  <c r="E2928" i="39"/>
  <c r="E2929" i="39"/>
  <c r="E2930" i="39"/>
  <c r="E2931" i="39"/>
  <c r="E2932" i="39"/>
  <c r="E2933" i="39"/>
  <c r="E2934" i="39"/>
  <c r="E2935" i="39"/>
  <c r="E2936" i="39"/>
  <c r="E2937" i="39"/>
  <c r="E2938" i="39"/>
  <c r="E2939" i="39"/>
  <c r="E2940" i="39"/>
  <c r="E2941" i="39"/>
  <c r="E2942" i="39"/>
  <c r="E2943" i="39"/>
  <c r="E2944" i="39"/>
  <c r="E2945" i="39"/>
  <c r="E2946" i="39"/>
  <c r="E2947" i="39"/>
  <c r="E2948" i="39"/>
  <c r="E2949" i="39"/>
  <c r="E2950" i="39"/>
  <c r="E2951" i="39"/>
  <c r="E2952" i="39"/>
  <c r="E2953" i="39"/>
  <c r="E2954" i="39"/>
  <c r="E2955" i="39"/>
  <c r="E2956" i="39"/>
  <c r="E2957" i="39"/>
  <c r="E2958" i="39"/>
  <c r="E2959" i="39"/>
  <c r="E2960" i="39"/>
  <c r="E2961" i="39"/>
  <c r="E2962" i="39"/>
  <c r="E2963" i="39"/>
  <c r="E2964" i="39"/>
  <c r="E2965" i="39"/>
  <c r="E2966" i="39"/>
  <c r="E2967" i="39"/>
  <c r="E2968" i="39"/>
  <c r="E2969" i="39"/>
  <c r="E2970" i="39"/>
  <c r="E2971" i="39"/>
  <c r="E2972" i="39"/>
  <c r="E2973" i="39"/>
  <c r="E2974" i="39"/>
  <c r="E2975" i="39"/>
  <c r="E2976" i="39"/>
  <c r="E2977" i="39"/>
  <c r="E2978" i="39"/>
  <c r="E2979" i="39"/>
  <c r="E2980" i="39"/>
  <c r="E2981" i="39"/>
  <c r="E2982" i="39"/>
  <c r="E2983" i="39"/>
  <c r="E2984" i="39"/>
  <c r="E2985" i="39"/>
  <c r="E2986" i="39"/>
  <c r="E2987" i="39"/>
  <c r="E2988" i="39"/>
  <c r="E2989" i="39"/>
  <c r="E2990" i="39"/>
  <c r="E2991" i="39"/>
  <c r="E2992" i="39"/>
  <c r="E2993" i="39"/>
  <c r="E2994" i="39"/>
  <c r="E2995" i="39"/>
  <c r="E2996" i="39"/>
  <c r="E2997" i="39"/>
  <c r="E2998" i="39"/>
  <c r="E2999" i="39"/>
  <c r="E3000" i="39"/>
  <c r="E3001" i="39"/>
  <c r="E3002" i="39"/>
  <c r="E3003" i="39"/>
  <c r="E3004" i="39"/>
  <c r="E3005" i="39"/>
  <c r="E3006" i="39"/>
  <c r="E3007" i="39"/>
  <c r="E3008" i="39"/>
  <c r="E3009" i="39"/>
  <c r="E3010" i="39"/>
  <c r="E3011" i="39"/>
  <c r="E3012" i="39"/>
  <c r="E3013" i="39"/>
  <c r="E3014" i="39"/>
  <c r="E3015" i="39"/>
  <c r="E3016" i="39"/>
  <c r="E3017" i="39"/>
  <c r="E3018" i="39"/>
  <c r="E3019" i="39"/>
  <c r="E3020" i="39"/>
  <c r="E3021" i="39"/>
  <c r="E3022" i="39"/>
  <c r="E3023" i="39"/>
  <c r="E3024" i="39"/>
  <c r="E3025" i="39"/>
  <c r="E3026" i="39"/>
  <c r="E3027" i="39"/>
  <c r="E3028" i="39"/>
  <c r="E3029" i="39"/>
  <c r="E3030" i="39"/>
  <c r="E3031" i="39"/>
  <c r="E3032" i="39"/>
  <c r="E3033" i="39"/>
  <c r="E3034" i="39"/>
  <c r="E3035" i="39"/>
  <c r="E3036" i="39"/>
  <c r="E3037" i="39"/>
  <c r="E3038" i="39"/>
  <c r="E3039" i="39"/>
  <c r="E3040" i="39"/>
  <c r="E3041" i="39"/>
  <c r="E3042" i="39"/>
  <c r="E3043" i="39"/>
  <c r="E3044" i="39"/>
  <c r="E3045" i="39"/>
  <c r="E3046" i="39"/>
  <c r="E3047" i="39"/>
  <c r="E3048" i="39"/>
  <c r="E3049" i="39"/>
  <c r="E3050" i="39"/>
  <c r="E3051" i="39"/>
  <c r="E3052" i="39"/>
  <c r="E3053" i="39"/>
  <c r="E3054" i="39"/>
  <c r="E3055" i="39"/>
  <c r="E3056" i="39"/>
  <c r="E3057" i="39"/>
  <c r="E3058" i="39"/>
  <c r="E3059" i="39"/>
  <c r="E3060" i="39"/>
  <c r="E3061" i="39"/>
  <c r="E3062" i="39"/>
  <c r="E3063" i="39"/>
  <c r="E3064" i="39"/>
  <c r="E3065" i="39"/>
  <c r="E3066" i="39"/>
  <c r="E3067" i="39"/>
  <c r="E3068" i="39"/>
  <c r="E3069" i="39"/>
  <c r="E3070" i="39"/>
  <c r="E3071" i="39"/>
  <c r="E3072" i="39"/>
  <c r="E3073" i="39"/>
  <c r="E3074" i="39"/>
  <c r="E3075" i="39"/>
  <c r="E3076" i="39"/>
  <c r="E3077" i="39"/>
  <c r="E3078" i="39"/>
  <c r="E3079" i="39"/>
  <c r="E3080" i="39"/>
  <c r="E3081" i="39"/>
  <c r="E3082" i="39"/>
  <c r="E3083" i="39"/>
  <c r="E3084" i="39"/>
  <c r="E3085" i="39"/>
  <c r="E3086" i="39"/>
  <c r="E3087" i="39"/>
  <c r="E3088" i="39"/>
  <c r="E3089" i="39"/>
  <c r="E3090" i="39"/>
  <c r="E3091" i="39"/>
  <c r="E3092" i="39"/>
  <c r="E3093" i="39"/>
  <c r="E3094" i="39"/>
  <c r="E3095" i="39"/>
  <c r="E3096" i="39"/>
  <c r="E3097" i="39"/>
  <c r="E3098" i="39"/>
  <c r="E3099" i="39"/>
  <c r="E3100" i="39"/>
  <c r="E3101" i="39"/>
  <c r="E3102" i="39"/>
  <c r="E3103" i="39"/>
  <c r="E3104" i="39"/>
  <c r="E3105" i="39"/>
  <c r="E3106" i="39"/>
  <c r="E3107" i="39"/>
  <c r="E3108" i="39"/>
  <c r="E3109" i="39"/>
  <c r="E3110" i="39"/>
  <c r="E3111" i="39"/>
  <c r="E3112" i="39"/>
  <c r="E3113" i="39"/>
  <c r="E3114" i="39"/>
  <c r="E3115" i="39"/>
  <c r="E3116" i="39"/>
  <c r="E3117" i="39"/>
  <c r="E3118" i="39"/>
  <c r="E3119" i="39"/>
  <c r="E3120" i="39"/>
  <c r="E3121" i="39"/>
  <c r="E3122" i="39"/>
  <c r="E3123" i="39"/>
  <c r="E3124" i="39"/>
  <c r="E3125" i="39"/>
  <c r="E3126" i="39"/>
  <c r="E3127" i="39"/>
  <c r="E3128" i="39"/>
  <c r="E3129" i="39"/>
  <c r="E3130" i="39"/>
  <c r="E3131" i="39"/>
  <c r="E3132" i="39"/>
  <c r="E3133" i="39"/>
  <c r="E3134" i="39"/>
  <c r="E3135" i="39"/>
  <c r="E3136" i="39"/>
  <c r="E3137" i="39"/>
  <c r="E3138" i="39"/>
  <c r="E3139" i="39"/>
  <c r="E3140" i="39"/>
  <c r="E3141" i="39"/>
  <c r="E3142" i="39"/>
  <c r="E3143" i="39"/>
  <c r="E3144" i="39"/>
  <c r="E3145" i="39"/>
  <c r="E3146" i="39"/>
  <c r="E3147" i="39"/>
  <c r="E3148" i="39"/>
  <c r="E3149" i="39"/>
  <c r="E3150" i="39"/>
  <c r="E3151" i="39"/>
  <c r="E3152" i="39"/>
  <c r="E3153" i="39"/>
  <c r="E3154" i="39"/>
  <c r="E3155" i="39"/>
  <c r="E3156" i="39"/>
  <c r="E3157" i="39"/>
  <c r="E3158" i="39"/>
  <c r="E3159" i="39"/>
  <c r="E3160" i="39"/>
  <c r="E3161" i="39"/>
  <c r="E3162" i="39"/>
  <c r="E3163" i="39"/>
  <c r="E3164" i="39"/>
  <c r="E3165" i="39"/>
  <c r="E3166" i="39"/>
  <c r="E3167" i="39"/>
  <c r="E3168" i="39"/>
  <c r="E3169" i="39"/>
  <c r="E3170" i="39"/>
  <c r="E3171" i="39"/>
  <c r="E3172" i="39"/>
  <c r="E3173" i="39"/>
  <c r="E3174" i="39"/>
  <c r="E3175" i="39"/>
  <c r="E3176" i="39"/>
  <c r="E3177" i="39"/>
  <c r="E3178" i="39"/>
  <c r="E3179" i="39"/>
  <c r="E3180" i="39"/>
  <c r="E3181" i="39"/>
  <c r="E3182" i="39"/>
  <c r="E3183" i="39"/>
  <c r="E3184" i="39"/>
  <c r="E3185" i="39"/>
  <c r="E3186" i="39"/>
  <c r="E3187" i="39"/>
  <c r="E3188" i="39"/>
  <c r="E3189" i="39"/>
  <c r="E3190" i="39"/>
  <c r="E3191" i="39"/>
  <c r="E3192" i="39"/>
  <c r="E3193" i="39"/>
  <c r="E3194" i="39"/>
  <c r="E3195" i="39"/>
  <c r="E3196" i="39"/>
  <c r="E3197" i="39"/>
  <c r="E3198" i="39"/>
  <c r="E3199" i="39"/>
  <c r="E3200" i="39"/>
  <c r="E3201" i="39"/>
  <c r="E3202" i="39"/>
  <c r="E3203" i="39"/>
  <c r="E3204" i="39"/>
  <c r="E3205" i="39"/>
  <c r="E3206" i="39"/>
  <c r="E3207" i="39"/>
  <c r="E3208" i="39"/>
  <c r="E3209" i="39"/>
  <c r="E3210" i="39"/>
  <c r="E3211" i="39"/>
  <c r="E3212" i="39"/>
  <c r="E3213" i="39"/>
  <c r="E3214" i="39"/>
  <c r="E3215" i="39"/>
  <c r="E3216" i="39"/>
  <c r="E3217" i="39"/>
  <c r="E3218" i="39"/>
  <c r="E3219" i="39"/>
  <c r="E3220" i="39"/>
  <c r="E3221" i="39"/>
  <c r="E3222" i="39"/>
  <c r="E3223" i="39"/>
  <c r="E3224" i="39"/>
  <c r="E3225" i="39"/>
  <c r="E3226" i="39"/>
  <c r="E3227" i="39"/>
  <c r="E3228" i="39"/>
  <c r="E3229" i="39"/>
  <c r="E3230" i="39"/>
  <c r="E3231" i="39"/>
  <c r="E3232" i="39"/>
  <c r="E3233" i="39"/>
  <c r="E3234" i="39"/>
  <c r="E3235" i="39"/>
  <c r="E3236" i="39"/>
  <c r="E3237" i="39"/>
  <c r="E3238" i="39"/>
  <c r="E3239" i="39"/>
  <c r="E3240" i="39"/>
  <c r="E3241" i="39"/>
  <c r="E3242" i="39"/>
  <c r="E3243" i="39"/>
  <c r="E3244" i="39"/>
  <c r="E3245" i="39"/>
  <c r="E3246" i="39"/>
  <c r="E3247" i="39"/>
  <c r="E3248" i="39"/>
  <c r="E3249" i="39"/>
  <c r="E3250" i="39"/>
  <c r="E3251" i="39"/>
  <c r="E3252" i="39"/>
  <c r="E3253" i="39"/>
  <c r="E3254" i="39"/>
  <c r="E3255" i="39"/>
  <c r="E3256" i="39"/>
  <c r="E3257" i="39"/>
  <c r="E3258" i="39"/>
  <c r="E3259" i="39"/>
  <c r="E3260" i="39"/>
  <c r="E3261" i="39"/>
  <c r="E3262" i="39"/>
  <c r="E3263" i="39"/>
  <c r="E3264" i="39"/>
  <c r="E3265" i="39"/>
  <c r="E3266" i="39"/>
  <c r="E3267" i="39"/>
  <c r="E3268" i="39"/>
  <c r="E3269" i="39"/>
  <c r="E3270" i="39"/>
  <c r="E3271" i="39"/>
  <c r="E3272" i="39"/>
  <c r="E3273" i="39"/>
  <c r="E3274" i="39"/>
  <c r="E3275" i="39"/>
  <c r="E3276" i="39"/>
  <c r="E3277" i="39"/>
  <c r="E3278" i="39"/>
  <c r="E3279" i="39"/>
  <c r="E3280" i="39"/>
  <c r="E3281" i="39"/>
  <c r="E3282" i="39"/>
  <c r="E3283" i="39"/>
  <c r="E3284" i="39"/>
  <c r="E3285" i="39"/>
  <c r="E3286" i="39"/>
  <c r="E3287" i="39"/>
  <c r="E3288" i="39"/>
  <c r="E3289" i="39"/>
  <c r="E3290" i="39"/>
  <c r="E3291" i="39"/>
  <c r="E3292" i="39"/>
  <c r="E3293" i="39"/>
  <c r="E3294" i="39"/>
  <c r="E3295" i="39"/>
  <c r="E3296" i="39"/>
  <c r="E3297" i="39"/>
  <c r="E3298" i="39"/>
  <c r="E3299" i="39"/>
  <c r="E3300" i="39"/>
  <c r="E3301" i="39"/>
  <c r="E3302" i="39"/>
  <c r="E3303" i="39"/>
  <c r="E3304" i="39"/>
  <c r="E3305" i="39"/>
  <c r="E3306" i="39"/>
  <c r="E3307" i="39"/>
  <c r="E3308" i="39"/>
  <c r="E3309" i="39"/>
  <c r="E3310" i="39"/>
  <c r="E3311" i="39"/>
  <c r="E3312" i="39"/>
  <c r="E3313" i="39"/>
  <c r="E3314" i="39"/>
  <c r="E3315" i="39"/>
  <c r="E3316" i="39"/>
  <c r="E3317" i="39"/>
  <c r="E3318" i="39"/>
  <c r="E3319" i="39"/>
  <c r="E3320" i="39"/>
  <c r="E3321" i="39"/>
  <c r="E3322" i="39"/>
  <c r="E3323" i="39"/>
  <c r="E3324" i="39"/>
  <c r="E3325" i="39"/>
  <c r="E3326" i="39"/>
  <c r="E3327" i="39"/>
  <c r="E3328" i="39"/>
  <c r="E3329" i="39"/>
  <c r="E3330" i="39"/>
  <c r="E3331" i="39"/>
  <c r="E3332" i="39"/>
  <c r="E3333" i="39"/>
  <c r="E3334" i="39"/>
  <c r="E3335" i="39"/>
  <c r="E3336" i="39"/>
  <c r="E3337" i="39"/>
  <c r="E3338" i="39"/>
  <c r="E3339" i="39"/>
  <c r="E3340" i="39"/>
  <c r="E3341" i="39"/>
  <c r="E3342" i="39"/>
  <c r="E3343" i="39"/>
  <c r="E3344" i="39"/>
  <c r="E3345" i="39"/>
  <c r="E3346" i="39"/>
  <c r="E3347" i="39"/>
  <c r="E3348" i="39"/>
  <c r="E3349" i="39"/>
  <c r="E3350" i="39"/>
  <c r="E3351" i="39"/>
  <c r="E3352" i="39"/>
  <c r="E3353" i="39"/>
  <c r="E3354" i="39"/>
  <c r="E3355" i="39"/>
  <c r="E3356" i="39"/>
  <c r="E3357" i="39"/>
  <c r="E3358" i="39"/>
  <c r="E3359" i="39"/>
  <c r="E3360" i="39"/>
  <c r="E3361" i="39"/>
  <c r="E3362" i="39"/>
  <c r="E3363" i="39"/>
  <c r="E3364" i="39"/>
  <c r="E3365" i="39"/>
  <c r="E3366" i="39"/>
  <c r="E3367" i="39"/>
  <c r="E3368" i="39"/>
  <c r="E3369" i="39"/>
  <c r="E3370" i="39"/>
  <c r="E3371" i="39"/>
  <c r="E3372" i="39"/>
  <c r="E3373" i="39"/>
  <c r="E3374" i="39"/>
  <c r="E3375" i="39"/>
  <c r="E3376" i="39"/>
  <c r="E3377" i="39"/>
  <c r="E3378" i="39"/>
  <c r="E3379" i="39"/>
  <c r="E3380" i="39"/>
  <c r="E3381" i="39"/>
  <c r="E3382" i="39"/>
  <c r="E3383" i="39"/>
  <c r="E3384" i="39"/>
  <c r="E3385" i="39"/>
  <c r="E3386" i="39"/>
  <c r="E3387" i="39"/>
  <c r="E3388" i="39"/>
  <c r="E3389" i="39"/>
  <c r="E3390" i="39"/>
  <c r="E3391" i="39"/>
  <c r="E3392" i="39"/>
  <c r="E3393" i="39"/>
  <c r="E3394" i="39"/>
  <c r="E3395" i="39"/>
  <c r="E3396" i="39"/>
  <c r="E3397" i="39"/>
  <c r="E3398" i="39"/>
  <c r="E3399" i="39"/>
  <c r="E3400" i="39"/>
  <c r="E3401" i="39"/>
  <c r="E3402" i="39"/>
  <c r="E3403" i="39"/>
  <c r="E3404" i="39"/>
  <c r="E3405" i="39"/>
  <c r="E3406" i="39"/>
  <c r="E3407" i="39"/>
  <c r="E3408" i="39"/>
  <c r="E3409" i="39"/>
  <c r="E3410" i="39"/>
  <c r="E3411" i="39"/>
  <c r="E3412" i="39"/>
  <c r="E3413" i="39"/>
  <c r="E3414" i="39"/>
  <c r="E3415" i="39"/>
  <c r="E3416" i="39"/>
  <c r="E3417" i="39"/>
  <c r="E3418" i="39"/>
  <c r="E3419" i="39"/>
  <c r="E3420" i="39"/>
  <c r="E3421" i="39"/>
  <c r="E3422" i="39"/>
  <c r="E3423" i="39"/>
  <c r="E3424" i="39"/>
  <c r="E3425" i="39"/>
  <c r="E3426" i="39"/>
  <c r="E3427" i="39"/>
  <c r="E3428" i="39"/>
  <c r="E3429" i="39"/>
  <c r="E3430" i="39"/>
  <c r="E3431" i="39"/>
  <c r="E3432" i="39"/>
  <c r="E3433" i="39"/>
  <c r="E3434" i="39"/>
  <c r="E3435" i="39"/>
  <c r="E3436" i="39"/>
  <c r="E3437" i="39"/>
  <c r="E3438" i="39"/>
  <c r="E3439" i="39"/>
  <c r="E3440" i="39"/>
  <c r="E3441" i="39"/>
  <c r="E3442" i="39"/>
  <c r="E3443" i="39"/>
  <c r="E3444" i="39"/>
  <c r="E3445" i="39"/>
  <c r="E3446" i="39"/>
  <c r="E3447" i="39"/>
  <c r="E3448" i="39"/>
  <c r="E3449" i="39"/>
  <c r="E3450" i="39"/>
  <c r="E3451" i="39"/>
  <c r="E3452" i="39"/>
  <c r="E3453" i="39"/>
  <c r="E3454" i="39"/>
  <c r="E3455" i="39"/>
  <c r="E3456" i="39"/>
  <c r="E3457" i="39"/>
  <c r="E3458" i="39"/>
  <c r="E3459" i="39"/>
  <c r="E3460" i="39"/>
  <c r="E3461" i="39"/>
  <c r="E3462" i="39"/>
  <c r="E3463" i="39"/>
  <c r="E3464" i="39"/>
  <c r="E3465" i="39"/>
  <c r="E3466" i="39"/>
  <c r="E3467" i="39"/>
  <c r="E3468" i="39"/>
  <c r="E3469" i="39"/>
  <c r="E3470" i="39"/>
  <c r="E3471" i="39"/>
  <c r="E3472" i="39"/>
  <c r="E3473" i="39"/>
  <c r="E3474" i="39"/>
  <c r="E3475" i="39"/>
  <c r="E3476" i="39"/>
  <c r="E3477" i="39"/>
  <c r="E3478" i="39"/>
  <c r="E3479" i="39"/>
  <c r="E3480" i="39"/>
  <c r="E3481" i="39"/>
  <c r="E3482" i="39"/>
  <c r="E3483" i="39"/>
  <c r="E3484" i="39"/>
  <c r="E3485" i="39"/>
  <c r="E3486" i="39"/>
  <c r="E3487" i="39"/>
  <c r="E3488" i="39"/>
  <c r="E3489" i="39"/>
  <c r="E3490" i="39"/>
  <c r="E3491" i="39"/>
  <c r="E3492" i="39"/>
  <c r="E3493" i="39"/>
  <c r="E3494" i="39"/>
  <c r="E3495" i="39"/>
  <c r="E3496" i="39"/>
  <c r="E3497" i="39"/>
  <c r="E3498" i="39"/>
  <c r="E3499" i="39"/>
  <c r="E3500" i="39"/>
  <c r="E3501" i="39"/>
  <c r="E3502" i="39"/>
  <c r="E3503" i="39"/>
  <c r="E3504" i="39"/>
  <c r="E3505" i="39"/>
  <c r="E3506" i="39"/>
  <c r="E3507" i="39"/>
  <c r="E3508" i="39"/>
  <c r="E3509" i="39"/>
  <c r="E3510" i="39"/>
  <c r="E3511" i="39"/>
  <c r="E3512" i="39"/>
  <c r="E3513" i="39"/>
  <c r="E3514" i="39"/>
  <c r="E3515" i="39"/>
  <c r="E3516" i="39"/>
  <c r="E3517" i="39"/>
  <c r="E3518" i="39"/>
  <c r="E3519" i="39"/>
  <c r="E3520" i="39"/>
  <c r="E3521" i="39"/>
  <c r="E3522" i="39"/>
  <c r="E3523" i="39"/>
  <c r="E3524" i="39"/>
  <c r="E3525" i="39"/>
  <c r="E3526" i="39"/>
  <c r="E3527" i="39"/>
  <c r="E3528" i="39"/>
  <c r="E3529" i="39"/>
  <c r="E3530" i="39"/>
  <c r="E3531" i="39"/>
  <c r="E3532" i="39"/>
  <c r="E3533" i="39"/>
  <c r="E3534" i="39"/>
  <c r="E3535" i="39"/>
  <c r="E3536" i="39"/>
  <c r="E3537" i="39"/>
  <c r="E3538" i="39"/>
  <c r="E3539" i="39"/>
  <c r="E3540" i="39"/>
  <c r="E3541" i="39"/>
  <c r="E3542" i="39"/>
  <c r="E3543" i="39"/>
  <c r="E3544" i="39"/>
  <c r="E3545" i="39"/>
  <c r="E3546" i="39"/>
  <c r="E3547" i="39"/>
  <c r="E3548" i="39"/>
  <c r="E3549" i="39"/>
  <c r="E3550" i="39"/>
  <c r="E3551" i="39"/>
  <c r="E3552" i="39"/>
  <c r="E3553" i="39"/>
  <c r="E3554" i="39"/>
  <c r="E3555" i="39"/>
  <c r="E3556" i="39"/>
  <c r="E3557" i="39"/>
  <c r="E3558" i="39"/>
  <c r="E3559" i="39"/>
  <c r="E3560" i="39"/>
  <c r="E3561" i="39"/>
  <c r="E3562" i="39"/>
  <c r="E3563" i="39"/>
  <c r="E3564" i="39"/>
  <c r="E3565" i="39"/>
  <c r="E3566" i="39"/>
  <c r="E3567" i="39"/>
  <c r="E3568" i="39"/>
  <c r="E3569" i="39"/>
  <c r="E3570" i="39"/>
  <c r="E3571" i="39"/>
  <c r="E3572" i="39"/>
  <c r="E3573" i="39"/>
  <c r="E3574" i="39"/>
  <c r="E3575" i="39"/>
  <c r="E3576" i="39"/>
  <c r="E3577" i="39"/>
  <c r="E3578" i="39"/>
  <c r="E3579" i="39"/>
  <c r="E3580" i="39"/>
  <c r="E3581" i="39"/>
  <c r="E3582" i="39"/>
  <c r="E3583" i="39"/>
  <c r="E3584" i="39"/>
  <c r="E3585" i="39"/>
  <c r="E3586" i="39"/>
  <c r="E3587" i="39"/>
  <c r="E3588" i="39"/>
  <c r="E3589" i="39"/>
  <c r="E3590" i="39"/>
  <c r="E3591" i="39"/>
  <c r="E3592" i="39"/>
  <c r="E3593" i="39"/>
  <c r="E3594" i="39"/>
  <c r="E3595" i="39"/>
  <c r="E3596" i="39"/>
  <c r="E3597" i="39"/>
  <c r="E3598" i="39"/>
  <c r="E3599" i="39"/>
  <c r="E3600" i="39"/>
  <c r="E3601" i="39"/>
  <c r="E3602" i="39"/>
  <c r="E3603" i="39"/>
  <c r="E3604" i="39"/>
  <c r="E3605" i="39"/>
  <c r="E3606" i="39"/>
  <c r="E3607" i="39"/>
  <c r="E3608" i="39"/>
  <c r="E3609" i="39"/>
  <c r="E3610" i="39"/>
  <c r="E3611" i="39"/>
  <c r="E3612" i="39"/>
  <c r="E3613" i="39"/>
  <c r="E3614" i="39"/>
  <c r="E3615" i="39"/>
  <c r="E3616" i="39"/>
  <c r="E3617" i="39"/>
  <c r="E3618" i="39"/>
  <c r="E3619" i="39"/>
  <c r="E3620" i="39"/>
  <c r="E3621" i="39"/>
  <c r="E3622" i="39"/>
  <c r="E3623" i="39"/>
  <c r="E3624" i="39"/>
  <c r="E3625" i="39"/>
  <c r="E3626" i="39"/>
  <c r="E3627" i="39"/>
  <c r="E3628" i="39"/>
  <c r="E3629" i="39"/>
  <c r="E3630" i="39"/>
  <c r="E3631" i="39"/>
  <c r="E3632" i="39"/>
  <c r="E3633" i="39"/>
  <c r="E3634" i="39"/>
  <c r="E3635" i="39"/>
  <c r="E3636" i="39"/>
  <c r="E3637" i="39"/>
  <c r="E3638" i="39"/>
  <c r="E3639" i="39"/>
  <c r="E3640" i="39"/>
  <c r="E3641" i="39"/>
  <c r="E3642" i="39"/>
  <c r="E3643" i="39"/>
  <c r="E3644" i="39"/>
  <c r="E3645" i="39"/>
  <c r="E3646" i="39"/>
  <c r="E3647" i="39"/>
  <c r="E3648" i="39"/>
  <c r="E3649" i="39"/>
  <c r="E3650" i="39"/>
  <c r="E3651" i="39"/>
  <c r="E3652" i="39"/>
  <c r="E3653" i="39"/>
  <c r="E3654" i="39"/>
  <c r="E3655" i="39"/>
  <c r="E3656" i="39"/>
  <c r="E3657" i="39"/>
  <c r="E3658" i="39"/>
  <c r="E3659" i="39"/>
  <c r="E3660" i="39"/>
  <c r="E3661" i="39"/>
  <c r="E3662" i="39"/>
  <c r="E3663" i="39"/>
  <c r="E3664" i="39"/>
  <c r="E3665" i="39"/>
  <c r="E3666" i="39"/>
  <c r="E3667" i="39"/>
  <c r="E3668" i="39"/>
  <c r="E3669" i="39"/>
  <c r="E3670" i="39"/>
  <c r="E3671" i="39"/>
  <c r="E3672" i="39"/>
  <c r="E3673" i="39"/>
  <c r="E3674" i="39"/>
  <c r="E3675" i="39"/>
  <c r="E3676" i="39"/>
  <c r="E3677" i="39"/>
  <c r="E3678" i="39"/>
  <c r="E3679" i="39"/>
  <c r="E3680" i="39"/>
  <c r="E3681" i="39"/>
  <c r="E3682" i="39"/>
  <c r="E3683" i="39"/>
  <c r="E3684" i="39"/>
  <c r="E3685" i="39"/>
  <c r="E3686" i="39"/>
  <c r="E3687" i="39"/>
  <c r="E3688" i="39"/>
  <c r="E3689" i="39"/>
  <c r="E3690" i="39"/>
  <c r="E3691" i="39"/>
  <c r="E3692" i="39"/>
  <c r="E3693" i="39"/>
  <c r="E3694" i="39"/>
  <c r="E3695" i="39"/>
  <c r="E3696" i="39"/>
  <c r="E3697" i="39"/>
  <c r="E3698" i="39"/>
  <c r="E3699" i="39"/>
  <c r="E3700" i="39"/>
  <c r="E3701" i="39"/>
  <c r="E3702" i="39"/>
  <c r="E3703" i="39"/>
  <c r="E3704" i="39"/>
  <c r="E3705" i="39"/>
  <c r="E3706" i="39"/>
  <c r="E3707" i="39"/>
  <c r="E3708" i="39"/>
  <c r="E3709" i="39"/>
  <c r="E3710" i="39"/>
  <c r="E3711" i="39"/>
  <c r="E3712" i="39"/>
  <c r="E3713" i="39"/>
  <c r="E3714" i="39"/>
  <c r="E3715" i="39"/>
  <c r="E3716" i="39"/>
  <c r="E3717" i="39"/>
  <c r="E3718" i="39"/>
  <c r="E3719" i="39"/>
  <c r="E3720" i="39"/>
  <c r="E3721" i="39"/>
  <c r="E3722" i="39"/>
  <c r="E3723" i="39"/>
  <c r="E3724" i="39"/>
  <c r="E3725" i="39"/>
  <c r="E3726" i="39"/>
  <c r="E3727" i="39"/>
  <c r="F2" i="39"/>
  <c r="F3" i="39"/>
  <c r="F4" i="39"/>
  <c r="F5" i="39"/>
  <c r="F6" i="39"/>
  <c r="F7" i="39"/>
  <c r="F8" i="39"/>
  <c r="F9" i="39"/>
  <c r="F10" i="39"/>
  <c r="F11" i="39"/>
  <c r="F12" i="39"/>
  <c r="F13" i="39"/>
  <c r="F14" i="39"/>
  <c r="F15" i="39"/>
  <c r="F16" i="39"/>
  <c r="F17" i="39"/>
  <c r="F18" i="39"/>
  <c r="F19" i="39"/>
  <c r="F20" i="39"/>
  <c r="F21" i="39"/>
  <c r="F22" i="39"/>
  <c r="F23" i="39"/>
  <c r="F24" i="39"/>
  <c r="F25" i="39"/>
  <c r="F26" i="39"/>
  <c r="F27" i="39"/>
  <c r="F28" i="39"/>
  <c r="F29" i="39"/>
  <c r="F30" i="39"/>
  <c r="F31" i="39"/>
  <c r="F32" i="39"/>
  <c r="F33" i="39"/>
  <c r="F34" i="39"/>
  <c r="F35" i="39"/>
  <c r="F36" i="39"/>
  <c r="F37" i="39"/>
  <c r="F38" i="39"/>
  <c r="F39" i="39"/>
  <c r="F40" i="39"/>
  <c r="F41" i="39"/>
  <c r="F42" i="39"/>
  <c r="F43" i="39"/>
  <c r="F44" i="39"/>
  <c r="F45" i="39"/>
  <c r="F46" i="39"/>
  <c r="F47" i="39"/>
  <c r="F48" i="39"/>
  <c r="F49" i="39"/>
  <c r="F50" i="39"/>
  <c r="F51" i="39"/>
  <c r="F52" i="39"/>
  <c r="F53" i="39"/>
  <c r="F54" i="39"/>
  <c r="F55" i="39"/>
  <c r="F56" i="39"/>
  <c r="F57" i="39"/>
  <c r="F58" i="39"/>
  <c r="F59" i="39"/>
  <c r="F60" i="39"/>
  <c r="F61" i="39"/>
  <c r="F62" i="39"/>
  <c r="F63" i="39"/>
  <c r="F64" i="39"/>
  <c r="F65" i="39"/>
  <c r="F66" i="39"/>
  <c r="F67" i="39"/>
  <c r="F68" i="39"/>
  <c r="F69" i="39"/>
  <c r="F70" i="39"/>
  <c r="F71" i="39"/>
  <c r="F72" i="39"/>
  <c r="F73" i="39"/>
  <c r="F74" i="39"/>
  <c r="F75" i="39"/>
  <c r="F76" i="39"/>
  <c r="F77" i="39"/>
  <c r="F78" i="39"/>
  <c r="F79" i="39"/>
  <c r="F80" i="39"/>
  <c r="F81" i="39"/>
  <c r="F82" i="39"/>
  <c r="F83" i="39"/>
  <c r="F84" i="39"/>
  <c r="F85" i="39"/>
  <c r="F86" i="39"/>
  <c r="F87" i="39"/>
  <c r="F88" i="39"/>
  <c r="F89" i="39"/>
  <c r="F90" i="39"/>
  <c r="F91" i="39"/>
  <c r="F92" i="39"/>
  <c r="F93" i="39"/>
  <c r="F94" i="39"/>
  <c r="F95" i="39"/>
  <c r="F96" i="39"/>
  <c r="F97" i="39"/>
  <c r="F98" i="39"/>
  <c r="F99" i="39"/>
  <c r="F100" i="39"/>
  <c r="F101" i="39"/>
  <c r="F102" i="39"/>
  <c r="F103" i="39"/>
  <c r="F104" i="39"/>
  <c r="F105" i="39"/>
  <c r="F106" i="39"/>
  <c r="F107" i="39"/>
  <c r="F108" i="39"/>
  <c r="F109" i="39"/>
  <c r="F110" i="39"/>
  <c r="F111" i="39"/>
  <c r="F112" i="39"/>
  <c r="F113" i="39"/>
  <c r="F114" i="39"/>
  <c r="F115" i="39"/>
  <c r="F116" i="39"/>
  <c r="F117" i="39"/>
  <c r="F118" i="39"/>
  <c r="F119" i="39"/>
  <c r="F120" i="39"/>
  <c r="F121" i="39"/>
  <c r="F122" i="39"/>
  <c r="F123" i="39"/>
  <c r="F124" i="39"/>
  <c r="F125" i="39"/>
  <c r="F126" i="39"/>
  <c r="F127" i="39"/>
  <c r="F128" i="39"/>
  <c r="F129" i="39"/>
  <c r="F130" i="39"/>
  <c r="F131" i="39"/>
  <c r="F132" i="39"/>
  <c r="F133" i="39"/>
  <c r="F134" i="39"/>
  <c r="F135" i="39"/>
  <c r="F136" i="39"/>
  <c r="F137" i="39"/>
  <c r="F138" i="39"/>
  <c r="F139" i="39"/>
  <c r="F140" i="39"/>
  <c r="F141" i="39"/>
  <c r="F142" i="39"/>
  <c r="F143" i="39"/>
  <c r="F144" i="39"/>
  <c r="F145" i="39"/>
  <c r="F146" i="39"/>
  <c r="F147" i="39"/>
  <c r="F148" i="39"/>
  <c r="F149" i="39"/>
  <c r="F150" i="39"/>
  <c r="F151" i="39"/>
  <c r="F152" i="39"/>
  <c r="F153" i="39"/>
  <c r="F154" i="39"/>
  <c r="F155" i="39"/>
  <c r="F156" i="39"/>
  <c r="F157" i="39"/>
  <c r="F158" i="39"/>
  <c r="F159" i="39"/>
  <c r="F160" i="39"/>
  <c r="F161" i="39"/>
  <c r="F162" i="39"/>
  <c r="F163" i="39"/>
  <c r="F164" i="39"/>
  <c r="F165" i="39"/>
  <c r="F166" i="39"/>
  <c r="F167" i="39"/>
  <c r="F168" i="39"/>
  <c r="F169" i="39"/>
  <c r="F170" i="39"/>
  <c r="F171" i="39"/>
  <c r="F172" i="39"/>
  <c r="F173" i="39"/>
  <c r="F174" i="39"/>
  <c r="F175" i="39"/>
  <c r="F176" i="39"/>
  <c r="F177" i="39"/>
  <c r="F178" i="39"/>
  <c r="F179" i="39"/>
  <c r="F180" i="39"/>
  <c r="F181" i="39"/>
  <c r="F182" i="39"/>
  <c r="F183" i="39"/>
  <c r="F184" i="39"/>
  <c r="F185" i="39"/>
  <c r="F186" i="39"/>
  <c r="F187" i="39"/>
  <c r="F188" i="39"/>
  <c r="F189" i="39"/>
  <c r="F190" i="39"/>
  <c r="F191" i="39"/>
  <c r="F192" i="39"/>
  <c r="F193" i="39"/>
  <c r="F194" i="39"/>
  <c r="F195" i="39"/>
  <c r="F196" i="39"/>
  <c r="F197" i="39"/>
  <c r="F198" i="39"/>
  <c r="F199" i="39"/>
  <c r="F200" i="39"/>
  <c r="F201" i="39"/>
  <c r="F202" i="39"/>
  <c r="F203" i="39"/>
  <c r="F204" i="39"/>
  <c r="F205" i="39"/>
  <c r="F206" i="39"/>
  <c r="F207" i="39"/>
  <c r="F208" i="39"/>
  <c r="F209" i="39"/>
  <c r="F210" i="39"/>
  <c r="F211" i="39"/>
  <c r="F212" i="39"/>
  <c r="F213" i="39"/>
  <c r="F214" i="39"/>
  <c r="F215" i="39"/>
  <c r="F216" i="39"/>
  <c r="F217" i="39"/>
  <c r="F218" i="39"/>
  <c r="F219" i="39"/>
  <c r="F220" i="39"/>
  <c r="F221" i="39"/>
  <c r="F222" i="39"/>
  <c r="F223" i="39"/>
  <c r="F224" i="39"/>
  <c r="F225" i="39"/>
  <c r="F226" i="39"/>
  <c r="F227" i="39"/>
  <c r="F228" i="39"/>
  <c r="F229" i="39"/>
  <c r="F230" i="39"/>
  <c r="F231" i="39"/>
  <c r="F232" i="39"/>
  <c r="F233" i="39"/>
  <c r="F234" i="39"/>
  <c r="F235" i="39"/>
  <c r="F236" i="39"/>
  <c r="F237" i="39"/>
  <c r="F238" i="39"/>
  <c r="F239" i="39"/>
  <c r="F240" i="39"/>
  <c r="F241" i="39"/>
  <c r="F242" i="39"/>
  <c r="F243" i="39"/>
  <c r="F244" i="39"/>
  <c r="F245" i="39"/>
  <c r="F246" i="39"/>
  <c r="F247" i="39"/>
  <c r="F248" i="39"/>
  <c r="F249" i="39"/>
  <c r="F250" i="39"/>
  <c r="F251" i="39"/>
  <c r="F252" i="39"/>
  <c r="F253" i="39"/>
  <c r="F254" i="39"/>
  <c r="F255" i="39"/>
  <c r="F256" i="39"/>
  <c r="F257" i="39"/>
  <c r="F258" i="39"/>
  <c r="F259" i="39"/>
  <c r="F260" i="39"/>
  <c r="F261" i="39"/>
  <c r="F262" i="39"/>
  <c r="F263" i="39"/>
  <c r="F264" i="39"/>
  <c r="F265" i="39"/>
  <c r="F266" i="39"/>
  <c r="F267" i="39"/>
  <c r="F268" i="39"/>
  <c r="F269" i="39"/>
  <c r="F270" i="39"/>
  <c r="F271" i="39"/>
  <c r="F272" i="39"/>
  <c r="F273" i="39"/>
  <c r="F274" i="39"/>
  <c r="F275" i="39"/>
  <c r="F276" i="39"/>
  <c r="F277" i="39"/>
  <c r="F278" i="39"/>
  <c r="F279" i="39"/>
  <c r="F280" i="39"/>
  <c r="F281" i="39"/>
  <c r="F282" i="39"/>
  <c r="F283" i="39"/>
  <c r="F284" i="39"/>
  <c r="F285" i="39"/>
  <c r="F286" i="39"/>
  <c r="F287" i="39"/>
  <c r="F288" i="39"/>
  <c r="F289" i="39"/>
  <c r="F290" i="39"/>
  <c r="F291" i="39"/>
  <c r="F292" i="39"/>
  <c r="F293" i="39"/>
  <c r="F294" i="39"/>
  <c r="F295" i="39"/>
  <c r="F296" i="39"/>
  <c r="F297" i="39"/>
  <c r="F298" i="39"/>
  <c r="F299" i="39"/>
  <c r="F300" i="39"/>
  <c r="F301" i="39"/>
  <c r="F302" i="39"/>
  <c r="F303" i="39"/>
  <c r="F304" i="39"/>
  <c r="F305" i="39"/>
  <c r="F306" i="39"/>
  <c r="F307" i="39"/>
  <c r="F308" i="39"/>
  <c r="F309" i="39"/>
  <c r="F310" i="39"/>
  <c r="F311" i="39"/>
  <c r="F312" i="39"/>
  <c r="F313" i="39"/>
  <c r="F314" i="39"/>
  <c r="F315" i="39"/>
  <c r="F316" i="39"/>
  <c r="F317" i="39"/>
  <c r="F318" i="39"/>
  <c r="F319" i="39"/>
  <c r="F320" i="39"/>
  <c r="F321" i="39"/>
  <c r="F322" i="39"/>
  <c r="F323" i="39"/>
  <c r="F324" i="39"/>
  <c r="F325" i="39"/>
  <c r="F326" i="39"/>
  <c r="F327" i="39"/>
  <c r="F328" i="39"/>
  <c r="F329" i="39"/>
  <c r="F330" i="39"/>
  <c r="F331" i="39"/>
  <c r="F332" i="39"/>
  <c r="F333" i="39"/>
  <c r="F334" i="39"/>
  <c r="F335" i="39"/>
  <c r="F336" i="39"/>
  <c r="F337" i="39"/>
  <c r="F338" i="39"/>
  <c r="F339" i="39"/>
  <c r="F340" i="39"/>
  <c r="F341" i="39"/>
  <c r="F342" i="39"/>
  <c r="F343" i="39"/>
  <c r="F344" i="39"/>
  <c r="F345" i="39"/>
  <c r="F346" i="39"/>
  <c r="F347" i="39"/>
  <c r="F348" i="39"/>
  <c r="F349" i="39"/>
  <c r="F350" i="39"/>
  <c r="F351" i="39"/>
  <c r="F352" i="39"/>
  <c r="F353" i="39"/>
  <c r="F354" i="39"/>
  <c r="F355" i="39"/>
  <c r="F356" i="39"/>
  <c r="F357" i="39"/>
  <c r="F358" i="39"/>
  <c r="F359" i="39"/>
  <c r="F360" i="39"/>
  <c r="F361" i="39"/>
  <c r="F362" i="39"/>
  <c r="F363" i="39"/>
  <c r="F364" i="39"/>
  <c r="F365" i="39"/>
  <c r="F366" i="39"/>
  <c r="F367" i="39"/>
  <c r="F368" i="39"/>
  <c r="F369" i="39"/>
  <c r="F370" i="39"/>
  <c r="F371" i="39"/>
  <c r="F372" i="39"/>
  <c r="F373" i="39"/>
  <c r="F374" i="39"/>
  <c r="F375" i="39"/>
  <c r="F376" i="39"/>
  <c r="F377" i="39"/>
  <c r="F378" i="39"/>
  <c r="F379" i="39"/>
  <c r="F380" i="39"/>
  <c r="F381" i="39"/>
  <c r="F382" i="39"/>
  <c r="F383" i="39"/>
  <c r="F384" i="39"/>
  <c r="F385" i="39"/>
  <c r="F386" i="39"/>
  <c r="F387" i="39"/>
  <c r="F388" i="39"/>
  <c r="F389" i="39"/>
  <c r="F390" i="39"/>
  <c r="F391" i="39"/>
  <c r="F392" i="39"/>
  <c r="F393" i="39"/>
  <c r="F394" i="39"/>
  <c r="F395" i="39"/>
  <c r="F396" i="39"/>
  <c r="F397" i="39"/>
  <c r="F398" i="39"/>
  <c r="F399" i="39"/>
  <c r="F400" i="39"/>
  <c r="F401" i="39"/>
  <c r="F402" i="39"/>
  <c r="F403" i="39"/>
  <c r="F404" i="39"/>
  <c r="F405" i="39"/>
  <c r="F406" i="39"/>
  <c r="F407" i="39"/>
  <c r="F408" i="39"/>
  <c r="F409" i="39"/>
  <c r="F410" i="39"/>
  <c r="F411" i="39"/>
  <c r="F412" i="39"/>
  <c r="F413" i="39"/>
  <c r="F414" i="39"/>
  <c r="F415" i="39"/>
  <c r="F416" i="39"/>
  <c r="F417" i="39"/>
  <c r="F418" i="39"/>
  <c r="F419" i="39"/>
  <c r="F420" i="39"/>
  <c r="F421" i="39"/>
  <c r="F422" i="39"/>
  <c r="F423" i="39"/>
  <c r="F424" i="39"/>
  <c r="F425" i="39"/>
  <c r="F426" i="39"/>
  <c r="F427" i="39"/>
  <c r="F428" i="39"/>
  <c r="F429" i="39"/>
  <c r="F430" i="39"/>
  <c r="F431" i="39"/>
  <c r="F432" i="39"/>
  <c r="F433" i="39"/>
  <c r="F434" i="39"/>
  <c r="F435" i="39"/>
  <c r="F436" i="39"/>
  <c r="F437" i="39"/>
  <c r="F438" i="39"/>
  <c r="F439" i="39"/>
  <c r="F440" i="39"/>
  <c r="F441" i="39"/>
  <c r="F442" i="39"/>
  <c r="F443" i="39"/>
  <c r="F444" i="39"/>
  <c r="F445" i="39"/>
  <c r="F446" i="39"/>
  <c r="F447" i="39"/>
  <c r="F448" i="39"/>
  <c r="F449" i="39"/>
  <c r="F450" i="39"/>
  <c r="F451" i="39"/>
  <c r="F452" i="39"/>
  <c r="F453" i="39"/>
  <c r="F454" i="39"/>
  <c r="F455" i="39"/>
  <c r="F456" i="39"/>
  <c r="F457" i="39"/>
  <c r="F458" i="39"/>
  <c r="F459" i="39"/>
  <c r="F460" i="39"/>
  <c r="F461" i="39"/>
  <c r="F462" i="39"/>
  <c r="F463" i="39"/>
  <c r="F464" i="39"/>
  <c r="F465" i="39"/>
  <c r="F466" i="39"/>
  <c r="F467" i="39"/>
  <c r="F468" i="39"/>
  <c r="F469" i="39"/>
  <c r="F470" i="39"/>
  <c r="F471" i="39"/>
  <c r="F472" i="39"/>
  <c r="F473" i="39"/>
  <c r="F474" i="39"/>
  <c r="F475" i="39"/>
  <c r="F476" i="39"/>
  <c r="F477" i="39"/>
  <c r="F478" i="39"/>
  <c r="F479" i="39"/>
  <c r="F480" i="39"/>
  <c r="F481" i="39"/>
  <c r="F482" i="39"/>
  <c r="F483" i="39"/>
  <c r="F484" i="39"/>
  <c r="F485" i="39"/>
  <c r="F486" i="39"/>
  <c r="F487" i="39"/>
  <c r="F488" i="39"/>
  <c r="F489" i="39"/>
  <c r="F490" i="39"/>
  <c r="F491" i="39"/>
  <c r="F492" i="39"/>
  <c r="F493" i="39"/>
  <c r="F494" i="39"/>
  <c r="F495" i="39"/>
  <c r="F496" i="39"/>
  <c r="F497" i="39"/>
  <c r="F498" i="39"/>
  <c r="F499" i="39"/>
  <c r="F500" i="39"/>
  <c r="F501" i="39"/>
  <c r="F502" i="39"/>
  <c r="F503" i="39"/>
  <c r="F504" i="39"/>
  <c r="F505" i="39"/>
  <c r="F506" i="39"/>
  <c r="F507" i="39"/>
  <c r="F508" i="39"/>
  <c r="F509" i="39"/>
  <c r="F510" i="39"/>
  <c r="F511" i="39"/>
  <c r="F512" i="39"/>
  <c r="F513" i="39"/>
  <c r="F514" i="39"/>
  <c r="F515" i="39"/>
  <c r="F516" i="39"/>
  <c r="F517" i="39"/>
  <c r="F518" i="39"/>
  <c r="F519" i="39"/>
  <c r="F520" i="39"/>
  <c r="F521" i="39"/>
  <c r="F522" i="39"/>
  <c r="F523" i="39"/>
  <c r="F524" i="39"/>
  <c r="F525" i="39"/>
  <c r="F526" i="39"/>
  <c r="F527" i="39"/>
  <c r="F528" i="39"/>
  <c r="F529" i="39"/>
  <c r="F530" i="39"/>
  <c r="F531" i="39"/>
  <c r="F532" i="39"/>
  <c r="F533" i="39"/>
  <c r="F534" i="39"/>
  <c r="F535" i="39"/>
  <c r="F536" i="39"/>
  <c r="F537" i="39"/>
  <c r="F538" i="39"/>
  <c r="F539" i="39"/>
  <c r="F540" i="39"/>
  <c r="F541" i="39"/>
  <c r="F542" i="39"/>
  <c r="F543" i="39"/>
  <c r="F544" i="39"/>
  <c r="F545" i="39"/>
  <c r="F546" i="39"/>
  <c r="F547" i="39"/>
  <c r="F548" i="39"/>
  <c r="F549" i="39"/>
  <c r="F550" i="39"/>
  <c r="F551" i="39"/>
  <c r="F552" i="39"/>
  <c r="F553" i="39"/>
  <c r="F554" i="39"/>
  <c r="F555" i="39"/>
  <c r="F556" i="39"/>
  <c r="F557" i="39"/>
  <c r="F558" i="39"/>
  <c r="F559" i="39"/>
  <c r="F560" i="39"/>
  <c r="F561" i="39"/>
  <c r="F562" i="39"/>
  <c r="F563" i="39"/>
  <c r="F564" i="39"/>
  <c r="F565" i="39"/>
  <c r="F566" i="39"/>
  <c r="F567" i="39"/>
  <c r="F568" i="39"/>
  <c r="F569" i="39"/>
  <c r="F570" i="39"/>
  <c r="F571" i="39"/>
  <c r="F572" i="39"/>
  <c r="F573" i="39"/>
  <c r="F574" i="39"/>
  <c r="F575" i="39"/>
  <c r="F576" i="39"/>
  <c r="F577" i="39"/>
  <c r="F578" i="39"/>
  <c r="F579" i="39"/>
  <c r="F580" i="39"/>
  <c r="F581" i="39"/>
  <c r="F582" i="39"/>
  <c r="F583" i="39"/>
  <c r="F584" i="39"/>
  <c r="F585" i="39"/>
  <c r="F586" i="39"/>
  <c r="F587" i="39"/>
  <c r="F588" i="39"/>
  <c r="F589" i="39"/>
  <c r="F590" i="39"/>
  <c r="F591" i="39"/>
  <c r="F592" i="39"/>
  <c r="F593" i="39"/>
  <c r="F594" i="39"/>
  <c r="F595" i="39"/>
  <c r="F596" i="39"/>
  <c r="F597" i="39"/>
  <c r="F598" i="39"/>
  <c r="F599" i="39"/>
  <c r="F600" i="39"/>
  <c r="F601" i="39"/>
  <c r="F602" i="39"/>
  <c r="F603" i="39"/>
  <c r="F604" i="39"/>
  <c r="F605" i="39"/>
  <c r="F606" i="39"/>
  <c r="F607" i="39"/>
  <c r="F608" i="39"/>
  <c r="F609" i="39"/>
  <c r="F610" i="39"/>
  <c r="F611" i="39"/>
  <c r="F612" i="39"/>
  <c r="F613" i="39"/>
  <c r="F614" i="39"/>
  <c r="F615" i="39"/>
  <c r="F616" i="39"/>
  <c r="F617" i="39"/>
  <c r="F618" i="39"/>
  <c r="F619" i="39"/>
  <c r="F620" i="39"/>
  <c r="F621" i="39"/>
  <c r="F622" i="39"/>
  <c r="F623" i="39"/>
  <c r="F624" i="39"/>
  <c r="F625" i="39"/>
  <c r="F626" i="39"/>
  <c r="F627" i="39"/>
  <c r="F628" i="39"/>
  <c r="F629" i="39"/>
  <c r="F630" i="39"/>
  <c r="F631" i="39"/>
  <c r="F632" i="39"/>
  <c r="F633" i="39"/>
  <c r="F634" i="39"/>
  <c r="F635" i="39"/>
  <c r="F636" i="39"/>
  <c r="F637" i="39"/>
  <c r="F638" i="39"/>
  <c r="F639" i="39"/>
  <c r="F640" i="39"/>
  <c r="F641" i="39"/>
  <c r="F642" i="39"/>
  <c r="F643" i="39"/>
  <c r="F644" i="39"/>
  <c r="F645" i="39"/>
  <c r="F646" i="39"/>
  <c r="F647" i="39"/>
  <c r="F648" i="39"/>
  <c r="F649" i="39"/>
  <c r="F650" i="39"/>
  <c r="F651" i="39"/>
  <c r="F652" i="39"/>
  <c r="F653" i="39"/>
  <c r="F654" i="39"/>
  <c r="F655" i="39"/>
  <c r="F656" i="39"/>
  <c r="F657" i="39"/>
  <c r="F658" i="39"/>
  <c r="F659" i="39"/>
  <c r="F660" i="39"/>
  <c r="F661" i="39"/>
  <c r="F662" i="39"/>
  <c r="F663" i="39"/>
  <c r="F664" i="39"/>
  <c r="F665" i="39"/>
  <c r="F666" i="39"/>
  <c r="F667" i="39"/>
  <c r="F668" i="39"/>
  <c r="F669" i="39"/>
  <c r="F670" i="39"/>
  <c r="F671" i="39"/>
  <c r="F672" i="39"/>
  <c r="F673" i="39"/>
  <c r="F674" i="39"/>
  <c r="F675" i="39"/>
  <c r="F676" i="39"/>
  <c r="F677" i="39"/>
  <c r="F678" i="39"/>
  <c r="F679" i="39"/>
  <c r="F680" i="39"/>
  <c r="F681" i="39"/>
  <c r="F682" i="39"/>
  <c r="F683" i="39"/>
  <c r="F684" i="39"/>
  <c r="F685" i="39"/>
  <c r="F686" i="39"/>
  <c r="F687" i="39"/>
  <c r="F688" i="39"/>
  <c r="F689" i="39"/>
  <c r="F690" i="39"/>
  <c r="F691" i="39"/>
  <c r="F692" i="39"/>
  <c r="F693" i="39"/>
  <c r="F694" i="39"/>
  <c r="F695" i="39"/>
  <c r="F696" i="39"/>
  <c r="F697" i="39"/>
  <c r="F698" i="39"/>
  <c r="F699" i="39"/>
  <c r="F700" i="39"/>
  <c r="F701" i="39"/>
  <c r="F702" i="39"/>
  <c r="F703" i="39"/>
  <c r="F704" i="39"/>
  <c r="F705" i="39"/>
  <c r="F706" i="39"/>
  <c r="F707" i="39"/>
  <c r="F708" i="39"/>
  <c r="F709" i="39"/>
  <c r="F710" i="39"/>
  <c r="F711" i="39"/>
  <c r="F712" i="39"/>
  <c r="F713" i="39"/>
  <c r="F714" i="39"/>
  <c r="F715" i="39"/>
  <c r="F716" i="39"/>
  <c r="F717" i="39"/>
  <c r="F718" i="39"/>
  <c r="F719" i="39"/>
  <c r="F720" i="39"/>
  <c r="F721" i="39"/>
  <c r="F722" i="39"/>
  <c r="F723" i="39"/>
  <c r="F724" i="39"/>
  <c r="F725" i="39"/>
  <c r="F726" i="39"/>
  <c r="F727" i="39"/>
  <c r="F728" i="39"/>
  <c r="F729" i="39"/>
  <c r="F730" i="39"/>
  <c r="F731" i="39"/>
  <c r="F732" i="39"/>
  <c r="F733" i="39"/>
  <c r="F734" i="39"/>
  <c r="F735" i="39"/>
  <c r="F736" i="39"/>
  <c r="F737" i="39"/>
  <c r="F738" i="39"/>
  <c r="F739" i="39"/>
  <c r="F740" i="39"/>
  <c r="F741" i="39"/>
  <c r="F742" i="39"/>
  <c r="F743" i="39"/>
  <c r="F744" i="39"/>
  <c r="F745" i="39"/>
  <c r="F746" i="39"/>
  <c r="F747" i="39"/>
  <c r="F748" i="39"/>
  <c r="F749" i="39"/>
  <c r="F750" i="39"/>
  <c r="F751" i="39"/>
  <c r="F752" i="39"/>
  <c r="F753" i="39"/>
  <c r="F754" i="39"/>
  <c r="F755" i="39"/>
  <c r="F756" i="39"/>
  <c r="F757" i="39"/>
  <c r="F758" i="39"/>
  <c r="F759" i="39"/>
  <c r="F760" i="39"/>
  <c r="F761" i="39"/>
  <c r="F762" i="39"/>
  <c r="F763" i="39"/>
  <c r="F764" i="39"/>
  <c r="F765" i="39"/>
  <c r="F766" i="39"/>
  <c r="F767" i="39"/>
  <c r="F768" i="39"/>
  <c r="F769" i="39"/>
  <c r="F770" i="39"/>
  <c r="F771" i="39"/>
  <c r="F772" i="39"/>
  <c r="F773" i="39"/>
  <c r="F774" i="39"/>
  <c r="F775" i="39"/>
  <c r="F776" i="39"/>
  <c r="F777" i="39"/>
  <c r="F778" i="39"/>
  <c r="F779" i="39"/>
  <c r="F780" i="39"/>
  <c r="F781" i="39"/>
  <c r="F782" i="39"/>
  <c r="F783" i="39"/>
  <c r="F784" i="39"/>
  <c r="F785" i="39"/>
  <c r="F786" i="39"/>
  <c r="F787" i="39"/>
  <c r="F788" i="39"/>
  <c r="F789" i="39"/>
  <c r="F790" i="39"/>
  <c r="F791" i="39"/>
  <c r="F792" i="39"/>
  <c r="F793" i="39"/>
  <c r="F794" i="39"/>
  <c r="F795" i="39"/>
  <c r="F796" i="39"/>
  <c r="F797" i="39"/>
  <c r="F798" i="39"/>
  <c r="F799" i="39"/>
  <c r="F800" i="39"/>
  <c r="F801" i="39"/>
  <c r="F802" i="39"/>
  <c r="F803" i="39"/>
  <c r="F804" i="39"/>
  <c r="F805" i="39"/>
  <c r="F806" i="39"/>
  <c r="F807" i="39"/>
  <c r="F808" i="39"/>
  <c r="F809" i="39"/>
  <c r="F810" i="39"/>
  <c r="F811" i="39"/>
  <c r="F812" i="39"/>
  <c r="F813" i="39"/>
  <c r="F814" i="39"/>
  <c r="F815" i="39"/>
  <c r="F816" i="39"/>
  <c r="F817" i="39"/>
  <c r="F818" i="39"/>
  <c r="F819" i="39"/>
  <c r="F820" i="39"/>
  <c r="F821" i="39"/>
  <c r="F822" i="39"/>
  <c r="F823" i="39"/>
  <c r="F824" i="39"/>
  <c r="F825" i="39"/>
  <c r="F826" i="39"/>
  <c r="F827" i="39"/>
  <c r="F828" i="39"/>
  <c r="F829" i="39"/>
  <c r="F830" i="39"/>
  <c r="F831" i="39"/>
  <c r="F832" i="39"/>
  <c r="F833" i="39"/>
  <c r="F834" i="39"/>
  <c r="F835" i="39"/>
  <c r="F836" i="39"/>
  <c r="F837" i="39"/>
  <c r="F838" i="39"/>
  <c r="F839" i="39"/>
  <c r="F840" i="39"/>
  <c r="F841" i="39"/>
  <c r="F842" i="39"/>
  <c r="F843" i="39"/>
  <c r="F844" i="39"/>
  <c r="F845" i="39"/>
  <c r="F846" i="39"/>
  <c r="F847" i="39"/>
  <c r="F848" i="39"/>
  <c r="F849" i="39"/>
  <c r="F850" i="39"/>
  <c r="F851" i="39"/>
  <c r="F852" i="39"/>
  <c r="F853" i="39"/>
  <c r="F854" i="39"/>
  <c r="F855" i="39"/>
  <c r="F856" i="39"/>
  <c r="F857" i="39"/>
  <c r="F858" i="39"/>
  <c r="F859" i="39"/>
  <c r="F860" i="39"/>
  <c r="F861" i="39"/>
  <c r="F862" i="39"/>
  <c r="F863" i="39"/>
  <c r="F864" i="39"/>
  <c r="F865" i="39"/>
  <c r="F866" i="39"/>
  <c r="F867" i="39"/>
  <c r="F868" i="39"/>
  <c r="F869" i="39"/>
  <c r="F870" i="39"/>
  <c r="F871" i="39"/>
  <c r="F872" i="39"/>
  <c r="F873" i="39"/>
  <c r="F874" i="39"/>
  <c r="F875" i="39"/>
  <c r="F876" i="39"/>
  <c r="F877" i="39"/>
  <c r="F878" i="39"/>
  <c r="F879" i="39"/>
  <c r="F880" i="39"/>
  <c r="F881" i="39"/>
  <c r="F882" i="39"/>
  <c r="F883" i="39"/>
  <c r="F884" i="39"/>
  <c r="F885" i="39"/>
  <c r="F886" i="39"/>
  <c r="F887" i="39"/>
  <c r="F888" i="39"/>
  <c r="F889" i="39"/>
  <c r="F890" i="39"/>
  <c r="F891" i="39"/>
  <c r="F892" i="39"/>
  <c r="F893" i="39"/>
  <c r="F894" i="39"/>
  <c r="F895" i="39"/>
  <c r="F896" i="39"/>
  <c r="F897" i="39"/>
  <c r="F898" i="39"/>
  <c r="F899" i="39"/>
  <c r="F900" i="39"/>
  <c r="F901" i="39"/>
  <c r="F902" i="39"/>
  <c r="F903" i="39"/>
  <c r="F904" i="39"/>
  <c r="F905" i="39"/>
  <c r="F906" i="39"/>
  <c r="F907" i="39"/>
  <c r="F908" i="39"/>
  <c r="F909" i="39"/>
  <c r="F910" i="39"/>
  <c r="F911" i="39"/>
  <c r="F912" i="39"/>
  <c r="F913" i="39"/>
  <c r="F914" i="39"/>
  <c r="F915" i="39"/>
  <c r="F916" i="39"/>
  <c r="F917" i="39"/>
  <c r="F918" i="39"/>
  <c r="F919" i="39"/>
  <c r="F920" i="39"/>
  <c r="F921" i="39"/>
  <c r="F922" i="39"/>
  <c r="F923" i="39"/>
  <c r="F924" i="39"/>
  <c r="F925" i="39"/>
  <c r="F926" i="39"/>
  <c r="F927" i="39"/>
  <c r="F928" i="39"/>
  <c r="F929" i="39"/>
  <c r="F930" i="39"/>
  <c r="F931" i="39"/>
  <c r="F932" i="39"/>
  <c r="F933" i="39"/>
  <c r="F934" i="39"/>
  <c r="F935" i="39"/>
  <c r="F936" i="39"/>
  <c r="F937" i="39"/>
  <c r="F938" i="39"/>
  <c r="F939" i="39"/>
  <c r="F940" i="39"/>
  <c r="F941" i="39"/>
  <c r="F942" i="39"/>
  <c r="F943" i="39"/>
  <c r="F944" i="39"/>
  <c r="F945" i="39"/>
  <c r="F946" i="39"/>
  <c r="F947" i="39"/>
  <c r="F948" i="39"/>
  <c r="F949" i="39"/>
  <c r="F950" i="39"/>
  <c r="F951" i="39"/>
  <c r="F952" i="39"/>
  <c r="F953" i="39"/>
  <c r="F954" i="39"/>
  <c r="F955" i="39"/>
  <c r="F956" i="39"/>
  <c r="F957" i="39"/>
  <c r="F958" i="39"/>
  <c r="F959" i="39"/>
  <c r="F960" i="39"/>
  <c r="F961" i="39"/>
  <c r="F962" i="39"/>
  <c r="F963" i="39"/>
  <c r="F964" i="39"/>
  <c r="F965" i="39"/>
  <c r="F966" i="39"/>
  <c r="F967" i="39"/>
  <c r="F968" i="39"/>
  <c r="F969" i="39"/>
  <c r="F970" i="39"/>
  <c r="F971" i="39"/>
  <c r="F972" i="39"/>
  <c r="F973" i="39"/>
  <c r="F974" i="39"/>
  <c r="F975" i="39"/>
  <c r="F976" i="39"/>
  <c r="F977" i="39"/>
  <c r="F978" i="39"/>
  <c r="F979" i="39"/>
  <c r="F980" i="39"/>
  <c r="F981" i="39"/>
  <c r="F982" i="39"/>
  <c r="F983" i="39"/>
  <c r="F984" i="39"/>
  <c r="F985" i="39"/>
  <c r="F986" i="39"/>
  <c r="F987" i="39"/>
  <c r="F988" i="39"/>
  <c r="F989" i="39"/>
  <c r="F990" i="39"/>
  <c r="F991" i="39"/>
  <c r="F992" i="39"/>
  <c r="F993" i="39"/>
  <c r="F994" i="39"/>
  <c r="F995" i="39"/>
  <c r="F996" i="39"/>
  <c r="F997" i="39"/>
  <c r="F998" i="39"/>
  <c r="F999" i="39"/>
  <c r="F1000" i="39"/>
  <c r="F1001" i="39"/>
  <c r="F1002" i="39"/>
  <c r="F1003" i="39"/>
  <c r="F1004" i="39"/>
  <c r="F1005" i="39"/>
  <c r="F1006" i="39"/>
  <c r="F1007" i="39"/>
  <c r="F1008" i="39"/>
  <c r="F1009" i="39"/>
  <c r="F1010" i="39"/>
  <c r="F1011" i="39"/>
  <c r="F1012" i="39"/>
  <c r="F1013" i="39"/>
  <c r="F1014" i="39"/>
  <c r="F1015" i="39"/>
  <c r="F1016" i="39"/>
  <c r="F1017" i="39"/>
  <c r="F1018" i="39"/>
  <c r="F1019" i="39"/>
  <c r="F1020" i="39"/>
  <c r="F1021" i="39"/>
  <c r="F1022" i="39"/>
  <c r="F1023" i="39"/>
  <c r="F1024" i="39"/>
  <c r="F1025" i="39"/>
  <c r="F1026" i="39"/>
  <c r="F1027" i="39"/>
  <c r="F1028" i="39"/>
  <c r="F1029" i="39"/>
  <c r="F1030" i="39"/>
  <c r="F1031" i="39"/>
  <c r="F1032" i="39"/>
  <c r="F1033" i="39"/>
  <c r="F1034" i="39"/>
  <c r="F1035" i="39"/>
  <c r="F1036" i="39"/>
  <c r="F1037" i="39"/>
  <c r="F1038" i="39"/>
  <c r="F1039" i="39"/>
  <c r="F1040" i="39"/>
  <c r="F1041" i="39"/>
  <c r="F1042" i="39"/>
  <c r="F1043" i="39"/>
  <c r="F1044" i="39"/>
  <c r="F1045" i="39"/>
  <c r="F1046" i="39"/>
  <c r="F1047" i="39"/>
  <c r="F1048" i="39"/>
  <c r="F1049" i="39"/>
  <c r="F1050" i="39"/>
  <c r="F1051" i="39"/>
  <c r="F1052" i="39"/>
  <c r="F1053" i="39"/>
  <c r="F1054" i="39"/>
  <c r="F1055" i="39"/>
  <c r="F1056" i="39"/>
  <c r="F1057" i="39"/>
  <c r="F1058" i="39"/>
  <c r="F1059" i="39"/>
  <c r="F1060" i="39"/>
  <c r="F1061" i="39"/>
  <c r="F1062" i="39"/>
  <c r="F1063" i="39"/>
  <c r="F1064" i="39"/>
  <c r="F1065" i="39"/>
  <c r="F1066" i="39"/>
  <c r="F1067" i="39"/>
  <c r="F1068" i="39"/>
  <c r="F1069" i="39"/>
  <c r="F1070" i="39"/>
  <c r="F1071" i="39"/>
  <c r="F1072" i="39"/>
  <c r="F1073" i="39"/>
  <c r="F1074" i="39"/>
  <c r="F1075" i="39"/>
  <c r="F1076" i="39"/>
  <c r="F1077" i="39"/>
  <c r="F1078" i="39"/>
  <c r="F1079" i="39"/>
  <c r="F1080" i="39"/>
  <c r="F1081" i="39"/>
  <c r="F1082" i="39"/>
  <c r="F1083" i="39"/>
  <c r="F1084" i="39"/>
  <c r="F1085" i="39"/>
  <c r="F1086" i="39"/>
  <c r="F1087" i="39"/>
  <c r="F1088" i="39"/>
  <c r="F1089" i="39"/>
  <c r="F1090" i="39"/>
  <c r="F1091" i="39"/>
  <c r="F1092" i="39"/>
  <c r="F1093" i="39"/>
  <c r="F1094" i="39"/>
  <c r="F1095" i="39"/>
  <c r="F1096" i="39"/>
  <c r="F1097" i="39"/>
  <c r="F1098" i="39"/>
  <c r="F1099" i="39"/>
  <c r="F1100" i="39"/>
  <c r="F1101" i="39"/>
  <c r="F1102" i="39"/>
  <c r="F1103" i="39"/>
  <c r="F1104" i="39"/>
  <c r="F1105" i="39"/>
  <c r="F1106" i="39"/>
  <c r="F1107" i="39"/>
  <c r="F1108" i="39"/>
  <c r="F1109" i="39"/>
  <c r="F1110" i="39"/>
  <c r="F1111" i="39"/>
  <c r="F1112" i="39"/>
  <c r="F1113" i="39"/>
  <c r="F1114" i="39"/>
  <c r="F1115" i="39"/>
  <c r="F1116" i="39"/>
  <c r="F1117" i="39"/>
  <c r="F1118" i="39"/>
  <c r="F1119" i="39"/>
  <c r="F1120" i="39"/>
  <c r="F1121" i="39"/>
  <c r="F1122" i="39"/>
  <c r="F1123" i="39"/>
  <c r="F1124" i="39"/>
  <c r="F1125" i="39"/>
  <c r="F1126" i="39"/>
  <c r="F1127" i="39"/>
  <c r="F1128" i="39"/>
  <c r="F1129" i="39"/>
  <c r="F1130" i="39"/>
  <c r="F1131" i="39"/>
  <c r="F1132" i="39"/>
  <c r="F1133" i="39"/>
  <c r="F1134" i="39"/>
  <c r="F1135" i="39"/>
  <c r="F1136" i="39"/>
  <c r="F1137" i="39"/>
  <c r="F1138" i="39"/>
  <c r="F1139" i="39"/>
  <c r="F1140" i="39"/>
  <c r="F1141" i="39"/>
  <c r="F1142" i="39"/>
  <c r="F1143" i="39"/>
  <c r="F1144" i="39"/>
  <c r="F1145" i="39"/>
  <c r="F1146" i="39"/>
  <c r="F1147" i="39"/>
  <c r="F1148" i="39"/>
  <c r="F1149" i="39"/>
  <c r="F1150" i="39"/>
  <c r="F1151" i="39"/>
  <c r="F1152" i="39"/>
  <c r="F1153" i="39"/>
  <c r="F1154" i="39"/>
  <c r="F1155" i="39"/>
  <c r="F1156" i="39"/>
  <c r="F1157" i="39"/>
  <c r="F1158" i="39"/>
  <c r="F1159" i="39"/>
  <c r="F1160" i="39"/>
  <c r="F1161" i="39"/>
  <c r="F1162" i="39"/>
  <c r="F1163" i="39"/>
  <c r="F1164" i="39"/>
  <c r="F1165" i="39"/>
  <c r="F1166" i="39"/>
  <c r="F1167" i="39"/>
  <c r="F1168" i="39"/>
  <c r="F1169" i="39"/>
  <c r="F1170" i="39"/>
  <c r="F1171" i="39"/>
  <c r="F1172" i="39"/>
  <c r="F1173" i="39"/>
  <c r="F1174" i="39"/>
  <c r="F1175" i="39"/>
  <c r="F1176" i="39"/>
  <c r="F1177" i="39"/>
  <c r="F1178" i="39"/>
  <c r="F1179" i="39"/>
  <c r="F1180" i="39"/>
  <c r="F1181" i="39"/>
  <c r="F1182" i="39"/>
  <c r="F1183" i="39"/>
  <c r="F1184" i="39"/>
  <c r="F1185" i="39"/>
  <c r="F1186" i="39"/>
  <c r="F1187" i="39"/>
  <c r="F1188" i="39"/>
  <c r="F1189" i="39"/>
  <c r="F1190" i="39"/>
  <c r="F1191" i="39"/>
  <c r="F1192" i="39"/>
  <c r="F1193" i="39"/>
  <c r="F1194" i="39"/>
  <c r="F1195" i="39"/>
  <c r="F1196" i="39"/>
  <c r="F1197" i="39"/>
  <c r="F1198" i="39"/>
  <c r="F1199" i="39"/>
  <c r="F1200" i="39"/>
  <c r="F1201" i="39"/>
  <c r="F1202" i="39"/>
  <c r="F1203" i="39"/>
  <c r="F1204" i="39"/>
  <c r="F1205" i="39"/>
  <c r="F1206" i="39"/>
  <c r="F1207" i="39"/>
  <c r="F1208" i="39"/>
  <c r="F1209" i="39"/>
  <c r="F1210" i="39"/>
  <c r="F1211" i="39"/>
  <c r="F1212" i="39"/>
  <c r="F1213" i="39"/>
  <c r="F1214" i="39"/>
  <c r="F1215" i="39"/>
  <c r="F1216" i="39"/>
  <c r="F1217" i="39"/>
  <c r="F1218" i="39"/>
  <c r="F1219" i="39"/>
  <c r="F1220" i="39"/>
  <c r="F1221" i="39"/>
  <c r="F1222" i="39"/>
  <c r="F1223" i="39"/>
  <c r="F1224" i="39"/>
  <c r="F1225" i="39"/>
  <c r="F1226" i="39"/>
  <c r="F1227" i="39"/>
  <c r="F1228" i="39"/>
  <c r="F1229" i="39"/>
  <c r="F1230" i="39"/>
  <c r="F1231" i="39"/>
  <c r="F1232" i="39"/>
  <c r="F1233" i="39"/>
  <c r="F1234" i="39"/>
  <c r="F1235" i="39"/>
  <c r="F1236" i="39"/>
  <c r="F1237" i="39"/>
  <c r="F1238" i="39"/>
  <c r="F1239" i="39"/>
  <c r="F1240" i="39"/>
  <c r="F1241" i="39"/>
  <c r="F1242" i="39"/>
  <c r="F1243" i="39"/>
  <c r="F1244" i="39"/>
  <c r="F1245" i="39"/>
  <c r="F1246" i="39"/>
  <c r="F1247" i="39"/>
  <c r="F1248" i="39"/>
  <c r="F1249" i="39"/>
  <c r="F1250" i="39"/>
  <c r="F1251" i="39"/>
  <c r="F1252" i="39"/>
  <c r="F1253" i="39"/>
  <c r="F1254" i="39"/>
  <c r="F1255" i="39"/>
  <c r="F1256" i="39"/>
  <c r="F1257" i="39"/>
  <c r="F1258" i="39"/>
  <c r="F1259" i="39"/>
  <c r="F1260" i="39"/>
  <c r="F1261" i="39"/>
  <c r="F1262" i="39"/>
  <c r="F1263" i="39"/>
  <c r="F1264" i="39"/>
  <c r="F1265" i="39"/>
  <c r="F1266" i="39"/>
  <c r="F1267" i="39"/>
  <c r="F1268" i="39"/>
  <c r="F1269" i="39"/>
  <c r="F1270" i="39"/>
  <c r="F1271" i="39"/>
  <c r="F1272" i="39"/>
  <c r="F1273" i="39"/>
  <c r="F1274" i="39"/>
  <c r="F1275" i="39"/>
  <c r="F1276" i="39"/>
  <c r="F1277" i="39"/>
  <c r="F1278" i="39"/>
  <c r="F1279" i="39"/>
  <c r="F1280" i="39"/>
  <c r="F1281" i="39"/>
  <c r="F1282" i="39"/>
  <c r="F1283" i="39"/>
  <c r="F1284" i="39"/>
  <c r="F1285" i="39"/>
  <c r="F1286" i="39"/>
  <c r="F1287" i="39"/>
  <c r="F1288" i="39"/>
  <c r="F1289" i="39"/>
  <c r="F1290" i="39"/>
  <c r="F1291" i="39"/>
  <c r="F1292" i="39"/>
  <c r="F1293" i="39"/>
  <c r="F1294" i="39"/>
  <c r="F1295" i="39"/>
  <c r="F1296" i="39"/>
  <c r="F1297" i="39"/>
  <c r="F1298" i="39"/>
  <c r="F1299" i="39"/>
  <c r="F1300" i="39"/>
  <c r="F1301" i="39"/>
  <c r="F1302" i="39"/>
  <c r="F1303" i="39"/>
  <c r="F1304" i="39"/>
  <c r="F1305" i="39"/>
  <c r="F1306" i="39"/>
  <c r="F1307" i="39"/>
  <c r="F1308" i="39"/>
  <c r="F1309" i="39"/>
  <c r="F1310" i="39"/>
  <c r="F1311" i="39"/>
  <c r="F1312" i="39"/>
  <c r="F1313" i="39"/>
  <c r="F1314" i="39"/>
  <c r="F1315" i="39"/>
  <c r="F1316" i="39"/>
  <c r="F1317" i="39"/>
  <c r="F1318" i="39"/>
  <c r="F1319" i="39"/>
  <c r="F1320" i="39"/>
  <c r="F1321" i="39"/>
  <c r="F1322" i="39"/>
  <c r="F1323" i="39"/>
  <c r="F1324" i="39"/>
  <c r="F1325" i="39"/>
  <c r="F1326" i="39"/>
  <c r="F1327" i="39"/>
  <c r="F1328" i="39"/>
  <c r="F1329" i="39"/>
  <c r="F1330" i="39"/>
  <c r="F1331" i="39"/>
  <c r="F1332" i="39"/>
  <c r="F1333" i="39"/>
  <c r="F1334" i="39"/>
  <c r="F1335" i="39"/>
  <c r="F1336" i="39"/>
  <c r="F1337" i="39"/>
  <c r="F1338" i="39"/>
  <c r="F1339" i="39"/>
  <c r="F1340" i="39"/>
  <c r="F1341" i="39"/>
  <c r="F1342" i="39"/>
  <c r="F1343" i="39"/>
  <c r="F1344" i="39"/>
  <c r="F1345" i="39"/>
  <c r="F1346" i="39"/>
  <c r="F1347" i="39"/>
  <c r="F1348" i="39"/>
  <c r="F1349" i="39"/>
  <c r="F1350" i="39"/>
  <c r="F1351" i="39"/>
  <c r="F1352" i="39"/>
  <c r="F1353" i="39"/>
  <c r="F1354" i="39"/>
  <c r="F1355" i="39"/>
  <c r="F1356" i="39"/>
  <c r="F1357" i="39"/>
  <c r="F1358" i="39"/>
  <c r="F1359" i="39"/>
  <c r="F1360" i="39"/>
  <c r="F1361" i="39"/>
  <c r="F1362" i="39"/>
  <c r="F1363" i="39"/>
  <c r="F1364" i="39"/>
  <c r="F1365" i="39"/>
  <c r="F1366" i="39"/>
  <c r="F1367" i="39"/>
  <c r="F1368" i="39"/>
  <c r="F1369" i="39"/>
  <c r="F1370" i="39"/>
  <c r="F1371" i="39"/>
  <c r="F1372" i="39"/>
  <c r="F1373" i="39"/>
  <c r="F1374" i="39"/>
  <c r="F1375" i="39"/>
  <c r="F1376" i="39"/>
  <c r="F1377" i="39"/>
  <c r="F1378" i="39"/>
  <c r="F1379" i="39"/>
  <c r="F1380" i="39"/>
  <c r="F1381" i="39"/>
  <c r="F1382" i="39"/>
  <c r="F1383" i="39"/>
  <c r="F1384" i="39"/>
  <c r="F1385" i="39"/>
  <c r="F1386" i="39"/>
  <c r="F1387" i="39"/>
  <c r="F1388" i="39"/>
  <c r="F1389" i="39"/>
  <c r="F1390" i="39"/>
  <c r="F1391" i="39"/>
  <c r="F1392" i="39"/>
  <c r="F1393" i="39"/>
  <c r="F1394" i="39"/>
  <c r="F1395" i="39"/>
  <c r="F1396" i="39"/>
  <c r="F1397" i="39"/>
  <c r="F1398" i="39"/>
  <c r="F1399" i="39"/>
  <c r="F1400" i="39"/>
  <c r="F1401" i="39"/>
  <c r="F1402" i="39"/>
  <c r="F1403" i="39"/>
  <c r="F1404" i="39"/>
  <c r="F1405" i="39"/>
  <c r="F1406" i="39"/>
  <c r="F1407" i="39"/>
  <c r="F1408" i="39"/>
  <c r="F1409" i="39"/>
  <c r="F1410" i="39"/>
  <c r="F1411" i="39"/>
  <c r="F1412" i="39"/>
  <c r="F1413" i="39"/>
  <c r="F1414" i="39"/>
  <c r="F1415" i="39"/>
  <c r="F1416" i="39"/>
  <c r="F1417" i="39"/>
  <c r="F1418" i="39"/>
  <c r="F1419" i="39"/>
  <c r="F1420" i="39"/>
  <c r="F1421" i="39"/>
  <c r="F1422" i="39"/>
  <c r="F1423" i="39"/>
  <c r="F1424" i="39"/>
  <c r="F1425" i="39"/>
  <c r="F1426" i="39"/>
  <c r="F1427" i="39"/>
  <c r="F1428" i="39"/>
  <c r="F1429" i="39"/>
  <c r="F1430" i="39"/>
  <c r="F1431" i="39"/>
  <c r="F1432" i="39"/>
  <c r="F1433" i="39"/>
  <c r="F1434" i="39"/>
  <c r="F1435" i="39"/>
  <c r="F1436" i="39"/>
  <c r="F1437" i="39"/>
  <c r="F1438" i="39"/>
  <c r="F1439" i="39"/>
  <c r="F1440" i="39"/>
  <c r="F1441" i="39"/>
  <c r="F1442" i="39"/>
  <c r="F1443" i="39"/>
  <c r="F1444" i="39"/>
  <c r="F1445" i="39"/>
  <c r="F1446" i="39"/>
  <c r="F1447" i="39"/>
  <c r="F1448" i="39"/>
  <c r="F1449" i="39"/>
  <c r="F1450" i="39"/>
  <c r="F1451" i="39"/>
  <c r="F1452" i="39"/>
  <c r="F1453" i="39"/>
  <c r="F1454" i="39"/>
  <c r="F1455" i="39"/>
  <c r="F1456" i="39"/>
  <c r="F1457" i="39"/>
  <c r="F1458" i="39"/>
  <c r="F1459" i="39"/>
  <c r="F1460" i="39"/>
  <c r="F1461" i="39"/>
  <c r="F1462" i="39"/>
  <c r="F1463" i="39"/>
  <c r="F1464" i="39"/>
  <c r="F1465" i="39"/>
  <c r="F1466" i="39"/>
  <c r="F1467" i="39"/>
  <c r="F1468" i="39"/>
  <c r="F1469" i="39"/>
  <c r="F1470" i="39"/>
  <c r="F1471" i="39"/>
  <c r="F1472" i="39"/>
  <c r="F1473" i="39"/>
  <c r="F1474" i="39"/>
  <c r="F1475" i="39"/>
  <c r="F1476" i="39"/>
  <c r="F1477" i="39"/>
  <c r="F1478" i="39"/>
  <c r="F1479" i="39"/>
  <c r="F1480" i="39"/>
  <c r="F1481" i="39"/>
  <c r="F1482" i="39"/>
  <c r="F1483" i="39"/>
  <c r="F1484" i="39"/>
  <c r="F1485" i="39"/>
  <c r="F1486" i="39"/>
  <c r="F1487" i="39"/>
  <c r="F1488" i="39"/>
  <c r="F1489" i="39"/>
  <c r="F1490" i="39"/>
  <c r="F1491" i="39"/>
  <c r="F1492" i="39"/>
  <c r="F1493" i="39"/>
  <c r="F1494" i="39"/>
  <c r="F1495" i="39"/>
  <c r="F1496" i="39"/>
  <c r="F1497" i="39"/>
  <c r="F1498" i="39"/>
  <c r="F1499" i="39"/>
  <c r="F1500" i="39"/>
  <c r="F1501" i="39"/>
  <c r="F1502" i="39"/>
  <c r="F1503" i="39"/>
  <c r="F1504" i="39"/>
  <c r="F1505" i="39"/>
  <c r="F1506" i="39"/>
  <c r="F1507" i="39"/>
  <c r="F1508" i="39"/>
  <c r="F1509" i="39"/>
  <c r="F1510" i="39"/>
  <c r="F1511" i="39"/>
  <c r="F1512" i="39"/>
  <c r="F1513" i="39"/>
  <c r="F1514" i="39"/>
  <c r="F1515" i="39"/>
  <c r="F1516" i="39"/>
  <c r="F1517" i="39"/>
  <c r="F1518" i="39"/>
  <c r="F1519" i="39"/>
  <c r="F1520" i="39"/>
  <c r="F1521" i="39"/>
  <c r="F1522" i="39"/>
  <c r="F1523" i="39"/>
  <c r="F1524" i="39"/>
  <c r="F1525" i="39"/>
  <c r="F1526" i="39"/>
  <c r="F1527" i="39"/>
  <c r="F1528" i="39"/>
  <c r="F1529" i="39"/>
  <c r="F1530" i="39"/>
  <c r="F1531" i="39"/>
  <c r="F1532" i="39"/>
  <c r="F1533" i="39"/>
  <c r="F1534" i="39"/>
  <c r="F1535" i="39"/>
  <c r="F1536" i="39"/>
  <c r="F1537" i="39"/>
  <c r="F1538" i="39"/>
  <c r="F1539" i="39"/>
  <c r="F1540" i="39"/>
  <c r="F1541" i="39"/>
  <c r="F1542" i="39"/>
  <c r="F1543" i="39"/>
  <c r="F1544" i="39"/>
  <c r="F1545" i="39"/>
  <c r="F1546" i="39"/>
  <c r="F1547" i="39"/>
  <c r="F1548" i="39"/>
  <c r="F1549" i="39"/>
  <c r="F1550" i="39"/>
  <c r="F1551" i="39"/>
  <c r="F1552" i="39"/>
  <c r="F1553" i="39"/>
  <c r="F1554" i="39"/>
  <c r="F1555" i="39"/>
  <c r="F1556" i="39"/>
  <c r="F1557" i="39"/>
  <c r="F1558" i="39"/>
  <c r="F1559" i="39"/>
  <c r="F1560" i="39"/>
  <c r="F1561" i="39"/>
  <c r="F1562" i="39"/>
  <c r="F1563" i="39"/>
  <c r="F1564" i="39"/>
  <c r="F1565" i="39"/>
  <c r="F1566" i="39"/>
  <c r="F1567" i="39"/>
  <c r="F1568" i="39"/>
  <c r="F1569" i="39"/>
  <c r="F1570" i="39"/>
  <c r="F1571" i="39"/>
  <c r="F1572" i="39"/>
  <c r="F1573" i="39"/>
  <c r="F1574" i="39"/>
  <c r="F1575" i="39"/>
  <c r="F1576" i="39"/>
  <c r="F1577" i="39"/>
  <c r="F1578" i="39"/>
  <c r="F1579" i="39"/>
  <c r="F1580" i="39"/>
  <c r="F1581" i="39"/>
  <c r="F1582" i="39"/>
  <c r="F1583" i="39"/>
  <c r="F1584" i="39"/>
  <c r="F1585" i="39"/>
  <c r="F1586" i="39"/>
  <c r="F1587" i="39"/>
  <c r="F1588" i="39"/>
  <c r="F1589" i="39"/>
  <c r="F1590" i="39"/>
  <c r="F1591" i="39"/>
  <c r="F1592" i="39"/>
  <c r="F1593" i="39"/>
  <c r="F1594" i="39"/>
  <c r="F1595" i="39"/>
  <c r="F1596" i="39"/>
  <c r="F1597" i="39"/>
  <c r="F1598" i="39"/>
  <c r="F1599" i="39"/>
  <c r="F1600" i="39"/>
  <c r="F1601" i="39"/>
  <c r="F1602" i="39"/>
  <c r="F1603" i="39"/>
  <c r="F1604" i="39"/>
  <c r="F1605" i="39"/>
  <c r="F1606" i="39"/>
  <c r="F1607" i="39"/>
  <c r="F1608" i="39"/>
  <c r="F1609" i="39"/>
  <c r="F1610" i="39"/>
  <c r="F1611" i="39"/>
  <c r="F1612" i="39"/>
  <c r="F1613" i="39"/>
  <c r="F1614" i="39"/>
  <c r="F1615" i="39"/>
  <c r="F1616" i="39"/>
  <c r="F1617" i="39"/>
  <c r="F1618" i="39"/>
  <c r="F1619" i="39"/>
  <c r="F1620" i="39"/>
  <c r="F1621" i="39"/>
  <c r="F1622" i="39"/>
  <c r="F1623" i="39"/>
  <c r="F1624" i="39"/>
  <c r="F1625" i="39"/>
  <c r="F1626" i="39"/>
  <c r="F1627" i="39"/>
  <c r="F1628" i="39"/>
  <c r="F1629" i="39"/>
  <c r="F1630" i="39"/>
  <c r="F1631" i="39"/>
  <c r="F1632" i="39"/>
  <c r="F1633" i="39"/>
  <c r="F1634" i="39"/>
  <c r="F1635" i="39"/>
  <c r="F1636" i="39"/>
  <c r="F1637" i="39"/>
  <c r="F1638" i="39"/>
  <c r="F1639" i="39"/>
  <c r="F1640" i="39"/>
  <c r="F1641" i="39"/>
  <c r="F1642" i="39"/>
  <c r="F1643" i="39"/>
  <c r="F1644" i="39"/>
  <c r="F1645" i="39"/>
  <c r="F1646" i="39"/>
  <c r="F1647" i="39"/>
  <c r="F1648" i="39"/>
  <c r="F1649" i="39"/>
  <c r="F1650" i="39"/>
  <c r="F1651" i="39"/>
  <c r="F1652" i="39"/>
  <c r="F1653" i="39"/>
  <c r="F1654" i="39"/>
  <c r="F1655" i="39"/>
  <c r="F1656" i="39"/>
  <c r="F1657" i="39"/>
  <c r="F1658" i="39"/>
  <c r="F1659" i="39"/>
  <c r="F1660" i="39"/>
  <c r="F1661" i="39"/>
  <c r="F1662" i="39"/>
  <c r="F1663" i="39"/>
  <c r="F1664" i="39"/>
  <c r="F1665" i="39"/>
  <c r="F1666" i="39"/>
  <c r="F1667" i="39"/>
  <c r="F1668" i="39"/>
  <c r="F1669" i="39"/>
  <c r="F1670" i="39"/>
  <c r="F1671" i="39"/>
  <c r="F1672" i="39"/>
  <c r="F1673" i="39"/>
  <c r="F1674" i="39"/>
  <c r="F1675" i="39"/>
  <c r="F1676" i="39"/>
  <c r="F1677" i="39"/>
  <c r="F1678" i="39"/>
  <c r="F1679" i="39"/>
  <c r="F1680" i="39"/>
  <c r="F1681" i="39"/>
  <c r="F1682" i="39"/>
  <c r="F1683" i="39"/>
  <c r="F1684" i="39"/>
  <c r="F1685" i="39"/>
  <c r="F1686" i="39"/>
  <c r="F1687" i="39"/>
  <c r="F1688" i="39"/>
  <c r="F1689" i="39"/>
  <c r="F1690" i="39"/>
  <c r="F1691" i="39"/>
  <c r="F1692" i="39"/>
  <c r="F1693" i="39"/>
  <c r="F1694" i="39"/>
  <c r="F1695" i="39"/>
  <c r="F1696" i="39"/>
  <c r="F1697" i="39"/>
  <c r="F1698" i="39"/>
  <c r="F1699" i="39"/>
  <c r="F1700" i="39"/>
  <c r="F1701" i="39"/>
  <c r="F1702" i="39"/>
  <c r="F1703" i="39"/>
  <c r="F1704" i="39"/>
  <c r="F1705" i="39"/>
  <c r="F1706" i="39"/>
  <c r="F1707" i="39"/>
  <c r="F1708" i="39"/>
  <c r="F1709" i="39"/>
  <c r="F1710" i="39"/>
  <c r="F1711" i="39"/>
  <c r="F1712" i="39"/>
  <c r="F1713" i="39"/>
  <c r="F1714" i="39"/>
  <c r="F1715" i="39"/>
  <c r="F1716" i="39"/>
  <c r="F1717" i="39"/>
  <c r="F1718" i="39"/>
  <c r="F1719" i="39"/>
  <c r="F1720" i="39"/>
  <c r="F1721" i="39"/>
  <c r="F1722" i="39"/>
  <c r="F1723" i="39"/>
  <c r="F1724" i="39"/>
  <c r="F1725" i="39"/>
  <c r="F1726" i="39"/>
  <c r="F1727" i="39"/>
  <c r="F1728" i="39"/>
  <c r="F1729" i="39"/>
  <c r="F1730" i="39"/>
  <c r="F1731" i="39"/>
  <c r="F1732" i="39"/>
  <c r="F1733" i="39"/>
  <c r="F1734" i="39"/>
  <c r="F1735" i="39"/>
  <c r="F1736" i="39"/>
  <c r="F1737" i="39"/>
  <c r="F1738" i="39"/>
  <c r="F1739" i="39"/>
  <c r="F1740" i="39"/>
  <c r="F1741" i="39"/>
  <c r="F1742" i="39"/>
  <c r="F1743" i="39"/>
  <c r="F1744" i="39"/>
  <c r="F1745" i="39"/>
  <c r="F1746" i="39"/>
  <c r="F1747" i="39"/>
  <c r="F1748" i="39"/>
  <c r="F1749" i="39"/>
  <c r="F1750" i="39"/>
  <c r="F1751" i="39"/>
  <c r="F1752" i="39"/>
  <c r="F1753" i="39"/>
  <c r="F1754" i="39"/>
  <c r="F1755" i="39"/>
  <c r="F1756" i="39"/>
  <c r="F1757" i="39"/>
  <c r="F1758" i="39"/>
  <c r="F1759" i="39"/>
  <c r="F1760" i="39"/>
  <c r="F1761" i="39"/>
  <c r="F1762" i="39"/>
  <c r="F1763" i="39"/>
  <c r="F1764" i="39"/>
  <c r="F1765" i="39"/>
  <c r="F1766" i="39"/>
  <c r="F1767" i="39"/>
  <c r="F1768" i="39"/>
  <c r="F1769" i="39"/>
  <c r="F1770" i="39"/>
  <c r="F1771" i="39"/>
  <c r="F1772" i="39"/>
  <c r="F1773" i="39"/>
  <c r="F1774" i="39"/>
  <c r="F1775" i="39"/>
  <c r="F1776" i="39"/>
  <c r="F1777" i="39"/>
  <c r="F1778" i="39"/>
  <c r="F1779" i="39"/>
  <c r="F1780" i="39"/>
  <c r="F1781" i="39"/>
  <c r="F1782" i="39"/>
  <c r="F1783" i="39"/>
  <c r="F1784" i="39"/>
  <c r="F1785" i="39"/>
  <c r="F1786" i="39"/>
  <c r="F1787" i="39"/>
  <c r="F1788" i="39"/>
  <c r="F1789" i="39"/>
  <c r="F1790" i="39"/>
  <c r="F1791" i="39"/>
  <c r="F1792" i="39"/>
  <c r="F1793" i="39"/>
  <c r="F1794" i="39"/>
  <c r="F1795" i="39"/>
  <c r="F1796" i="39"/>
  <c r="F1797" i="39"/>
  <c r="F1798" i="39"/>
  <c r="F1799" i="39"/>
  <c r="F1800" i="39"/>
  <c r="F1801" i="39"/>
  <c r="F1802" i="39"/>
  <c r="F1803" i="39"/>
  <c r="F1804" i="39"/>
  <c r="F1805" i="39"/>
  <c r="F1806" i="39"/>
  <c r="F1807" i="39"/>
  <c r="F1808" i="39"/>
  <c r="F1809" i="39"/>
  <c r="F1810" i="39"/>
  <c r="F1811" i="39"/>
  <c r="F1812" i="39"/>
  <c r="F1813" i="39"/>
  <c r="F1814" i="39"/>
  <c r="F1815" i="39"/>
  <c r="F1816" i="39"/>
  <c r="F1817" i="39"/>
  <c r="F1818" i="39"/>
  <c r="F1819" i="39"/>
  <c r="F1820" i="39"/>
  <c r="F1821" i="39"/>
  <c r="F1822" i="39"/>
  <c r="F1823" i="39"/>
  <c r="F1824" i="39"/>
  <c r="F1825" i="39"/>
  <c r="F1826" i="39"/>
  <c r="F1827" i="39"/>
  <c r="F1828" i="39"/>
  <c r="F1829" i="39"/>
  <c r="F1830" i="39"/>
  <c r="F1831" i="39"/>
  <c r="F1832" i="39"/>
  <c r="F1833" i="39"/>
  <c r="F1834" i="39"/>
  <c r="F1835" i="39"/>
  <c r="F1836" i="39"/>
  <c r="F1837" i="39"/>
  <c r="F1838" i="39"/>
  <c r="F1839" i="39"/>
  <c r="F1840" i="39"/>
  <c r="F1841" i="39"/>
  <c r="F1842" i="39"/>
  <c r="F1843" i="39"/>
  <c r="F1844" i="39"/>
  <c r="F1845" i="39"/>
  <c r="F1846" i="39"/>
  <c r="F1847" i="39"/>
  <c r="F1848" i="39"/>
  <c r="F1849" i="39"/>
  <c r="F1850" i="39"/>
  <c r="F1851" i="39"/>
  <c r="F1852" i="39"/>
  <c r="F1853" i="39"/>
  <c r="F1854" i="39"/>
  <c r="F1855" i="39"/>
  <c r="F1856" i="39"/>
  <c r="F1857" i="39"/>
  <c r="F1858" i="39"/>
  <c r="F1859" i="39"/>
  <c r="F1860" i="39"/>
  <c r="F1861" i="39"/>
  <c r="F1862" i="39"/>
  <c r="F1863" i="39"/>
  <c r="F1864" i="39"/>
  <c r="F1865" i="39"/>
  <c r="F1866" i="39"/>
  <c r="F1867" i="39"/>
  <c r="F1868" i="39"/>
  <c r="F1869" i="39"/>
  <c r="F1870" i="39"/>
  <c r="F1871" i="39"/>
  <c r="F1872" i="39"/>
  <c r="F1873" i="39"/>
  <c r="F1874" i="39"/>
  <c r="F1875" i="39"/>
  <c r="F1876" i="39"/>
  <c r="F1877" i="39"/>
  <c r="F1878" i="39"/>
  <c r="F1879" i="39"/>
  <c r="F1880" i="39"/>
  <c r="F1881" i="39"/>
  <c r="F1882" i="39"/>
  <c r="F1883" i="39"/>
  <c r="F1884" i="39"/>
  <c r="F1885" i="39"/>
  <c r="F1886" i="39"/>
  <c r="F1887" i="39"/>
  <c r="F1888" i="39"/>
  <c r="F1889" i="39"/>
  <c r="F1890" i="39"/>
  <c r="F1891" i="39"/>
  <c r="F1892" i="39"/>
  <c r="F1893" i="39"/>
  <c r="F1894" i="39"/>
  <c r="F1895" i="39"/>
  <c r="F1896" i="39"/>
  <c r="F1897" i="39"/>
  <c r="F1898" i="39"/>
  <c r="F1899" i="39"/>
  <c r="F1900" i="39"/>
  <c r="F1901" i="39"/>
  <c r="F1902" i="39"/>
  <c r="F1903" i="39"/>
  <c r="F1904" i="39"/>
  <c r="F1905" i="39"/>
  <c r="F1906" i="39"/>
  <c r="F1907" i="39"/>
  <c r="F1908" i="39"/>
  <c r="F1909" i="39"/>
  <c r="F1910" i="39"/>
  <c r="F1911" i="39"/>
  <c r="F1912" i="39"/>
  <c r="F1913" i="39"/>
  <c r="F1914" i="39"/>
  <c r="F1915" i="39"/>
  <c r="F1916" i="39"/>
  <c r="F1917" i="39"/>
  <c r="F1918" i="39"/>
  <c r="F1919" i="39"/>
  <c r="F1920" i="39"/>
  <c r="F1921" i="39"/>
  <c r="F1922" i="39"/>
  <c r="F1923" i="39"/>
  <c r="F1924" i="39"/>
  <c r="F1925" i="39"/>
  <c r="F1926" i="39"/>
  <c r="F1927" i="39"/>
  <c r="F1928" i="39"/>
  <c r="F1929" i="39"/>
  <c r="F1930" i="39"/>
  <c r="F1931" i="39"/>
  <c r="F1932" i="39"/>
  <c r="F1933" i="39"/>
  <c r="F1934" i="39"/>
  <c r="F1935" i="39"/>
  <c r="F1936" i="39"/>
  <c r="F1937" i="39"/>
  <c r="F1938" i="39"/>
  <c r="F1939" i="39"/>
  <c r="F1940" i="39"/>
  <c r="F1941" i="39"/>
  <c r="F1942" i="39"/>
  <c r="F1943" i="39"/>
  <c r="F1944" i="39"/>
  <c r="F1945" i="39"/>
  <c r="F1946" i="39"/>
  <c r="F1947" i="39"/>
  <c r="F1948" i="39"/>
  <c r="F1949" i="39"/>
  <c r="F1950" i="39"/>
  <c r="F1951" i="39"/>
  <c r="F1952" i="39"/>
  <c r="F1953" i="39"/>
  <c r="F1954" i="39"/>
  <c r="F1955" i="39"/>
  <c r="F1956" i="39"/>
  <c r="F1957" i="39"/>
  <c r="F1958" i="39"/>
  <c r="F1959" i="39"/>
  <c r="F1960" i="39"/>
  <c r="F1961" i="39"/>
  <c r="F1962" i="39"/>
  <c r="F1963" i="39"/>
  <c r="F1964" i="39"/>
  <c r="F1965" i="39"/>
  <c r="F1966" i="39"/>
  <c r="F1967" i="39"/>
  <c r="F1968" i="39"/>
  <c r="F1969" i="39"/>
  <c r="F1970" i="39"/>
  <c r="F1971" i="39"/>
  <c r="F1972" i="39"/>
  <c r="F1973" i="39"/>
  <c r="F1974" i="39"/>
  <c r="F1975" i="39"/>
  <c r="F1976" i="39"/>
  <c r="F1977" i="39"/>
  <c r="F1978" i="39"/>
  <c r="F1979" i="39"/>
  <c r="F1980" i="39"/>
  <c r="F1981" i="39"/>
  <c r="F1982" i="39"/>
  <c r="F1983" i="39"/>
  <c r="F1984" i="39"/>
  <c r="F1985" i="39"/>
  <c r="F1986" i="39"/>
  <c r="F1987" i="39"/>
  <c r="F1988" i="39"/>
  <c r="F1989" i="39"/>
  <c r="F1990" i="39"/>
  <c r="F1991" i="39"/>
  <c r="F1992" i="39"/>
  <c r="F1993" i="39"/>
  <c r="F1994" i="39"/>
  <c r="F1995" i="39"/>
  <c r="F1996" i="39"/>
  <c r="F1997" i="39"/>
  <c r="F1998" i="39"/>
  <c r="F1999" i="39"/>
  <c r="F2000" i="39"/>
  <c r="F2001" i="39"/>
  <c r="F2002" i="39"/>
  <c r="F2003" i="39"/>
  <c r="F2004" i="39"/>
  <c r="F2005" i="39"/>
  <c r="F2006" i="39"/>
  <c r="F2007" i="39"/>
  <c r="F2008" i="39"/>
  <c r="F2009" i="39"/>
  <c r="F2010" i="39"/>
  <c r="F2011" i="39"/>
  <c r="F2012" i="39"/>
  <c r="F2013" i="39"/>
  <c r="F2014" i="39"/>
  <c r="F2015" i="39"/>
  <c r="F2016" i="39"/>
  <c r="F2017" i="39"/>
  <c r="F2018" i="39"/>
  <c r="F2019" i="39"/>
  <c r="F2020" i="39"/>
  <c r="F2021" i="39"/>
  <c r="F2022" i="39"/>
  <c r="F2023" i="39"/>
  <c r="F2024" i="39"/>
  <c r="F2025" i="39"/>
  <c r="F2026" i="39"/>
  <c r="F2027" i="39"/>
  <c r="F2028" i="39"/>
  <c r="F2029" i="39"/>
  <c r="F2030" i="39"/>
  <c r="F2031" i="39"/>
  <c r="F2032" i="39"/>
  <c r="F2033" i="39"/>
  <c r="F2034" i="39"/>
  <c r="F2035" i="39"/>
  <c r="F2036" i="39"/>
  <c r="F2037" i="39"/>
  <c r="F2038" i="39"/>
  <c r="F2039" i="39"/>
  <c r="F2040" i="39"/>
  <c r="F2041" i="39"/>
  <c r="F2042" i="39"/>
  <c r="F2043" i="39"/>
  <c r="F2044" i="39"/>
  <c r="F2045" i="39"/>
  <c r="F2046" i="39"/>
  <c r="F2047" i="39"/>
  <c r="F2048" i="39"/>
  <c r="F2049" i="39"/>
  <c r="F2050" i="39"/>
  <c r="F2051" i="39"/>
  <c r="F2052" i="39"/>
  <c r="F2053" i="39"/>
  <c r="F2054" i="39"/>
  <c r="F2055" i="39"/>
  <c r="F2056" i="39"/>
  <c r="F2057" i="39"/>
  <c r="F2058" i="39"/>
  <c r="F2059" i="39"/>
  <c r="F2060" i="39"/>
  <c r="F2061" i="39"/>
  <c r="F2062" i="39"/>
  <c r="F2063" i="39"/>
  <c r="F2064" i="39"/>
  <c r="F2065" i="39"/>
  <c r="F2066" i="39"/>
  <c r="F2067" i="39"/>
  <c r="F2068" i="39"/>
  <c r="F2069" i="39"/>
  <c r="F2070" i="39"/>
  <c r="F2071" i="39"/>
  <c r="F2072" i="39"/>
  <c r="F2073" i="39"/>
  <c r="F2074" i="39"/>
  <c r="F2075" i="39"/>
  <c r="F2076" i="39"/>
  <c r="F2077" i="39"/>
  <c r="F2078" i="39"/>
  <c r="F2079" i="39"/>
  <c r="F2080" i="39"/>
  <c r="F2081" i="39"/>
  <c r="F2082" i="39"/>
  <c r="F2083" i="39"/>
  <c r="F2084" i="39"/>
  <c r="F2085" i="39"/>
  <c r="F2086" i="39"/>
  <c r="F2087" i="39"/>
  <c r="F2088" i="39"/>
  <c r="F2089" i="39"/>
  <c r="F2090" i="39"/>
  <c r="F2091" i="39"/>
  <c r="F2092" i="39"/>
  <c r="F2093" i="39"/>
  <c r="F2094" i="39"/>
  <c r="F2095" i="39"/>
  <c r="F2096" i="39"/>
  <c r="F2097" i="39"/>
  <c r="F2098" i="39"/>
  <c r="F2099" i="39"/>
  <c r="F2100" i="39"/>
  <c r="F2101" i="39"/>
  <c r="F2102" i="39"/>
  <c r="F2103" i="39"/>
  <c r="F2104" i="39"/>
  <c r="F2105" i="39"/>
  <c r="F2106" i="39"/>
  <c r="F2107" i="39"/>
  <c r="F2108" i="39"/>
  <c r="F2109" i="39"/>
  <c r="F2110" i="39"/>
  <c r="F2111" i="39"/>
  <c r="F2112" i="39"/>
  <c r="F2113" i="39"/>
  <c r="F2114" i="39"/>
  <c r="F2115" i="39"/>
  <c r="F2116" i="39"/>
  <c r="F2117" i="39"/>
  <c r="F2118" i="39"/>
  <c r="F2119" i="39"/>
  <c r="F2120" i="39"/>
  <c r="F2121" i="39"/>
  <c r="F2122" i="39"/>
  <c r="F2123" i="39"/>
  <c r="F2124" i="39"/>
  <c r="F2125" i="39"/>
  <c r="F2126" i="39"/>
  <c r="F2127" i="39"/>
  <c r="F2128" i="39"/>
  <c r="F2129" i="39"/>
  <c r="F2130" i="39"/>
  <c r="F2131" i="39"/>
  <c r="F2132" i="39"/>
  <c r="F2133" i="39"/>
  <c r="F2134" i="39"/>
  <c r="F2135" i="39"/>
  <c r="F2136" i="39"/>
  <c r="F2137" i="39"/>
  <c r="F2138" i="39"/>
  <c r="F2139" i="39"/>
  <c r="F2140" i="39"/>
  <c r="F2141" i="39"/>
  <c r="F2142" i="39"/>
  <c r="F2143" i="39"/>
  <c r="F2144" i="39"/>
  <c r="F2145" i="39"/>
  <c r="F2146" i="39"/>
  <c r="F2147" i="39"/>
  <c r="F2148" i="39"/>
  <c r="F2149" i="39"/>
  <c r="F2150" i="39"/>
  <c r="F2151" i="39"/>
  <c r="F2152" i="39"/>
  <c r="F2153" i="39"/>
  <c r="F2154" i="39"/>
  <c r="F2155" i="39"/>
  <c r="F2156" i="39"/>
  <c r="F2157" i="39"/>
  <c r="F2158" i="39"/>
  <c r="F2159" i="39"/>
  <c r="F2160" i="39"/>
  <c r="F2161" i="39"/>
  <c r="F2162" i="39"/>
  <c r="F2163" i="39"/>
  <c r="F2164" i="39"/>
  <c r="F2165" i="39"/>
  <c r="F2166" i="39"/>
  <c r="F2167" i="39"/>
  <c r="F2168" i="39"/>
  <c r="F2169" i="39"/>
  <c r="F2170" i="39"/>
  <c r="F2171" i="39"/>
  <c r="F2172" i="39"/>
  <c r="F2173" i="39"/>
  <c r="F2174" i="39"/>
  <c r="F2175" i="39"/>
  <c r="F2176" i="39"/>
  <c r="F2177" i="39"/>
  <c r="F2178" i="39"/>
  <c r="F2179" i="39"/>
  <c r="F2180" i="39"/>
  <c r="F2181" i="39"/>
  <c r="F2182" i="39"/>
  <c r="F2183" i="39"/>
  <c r="F2184" i="39"/>
  <c r="F2185" i="39"/>
  <c r="F2186" i="39"/>
  <c r="F2187" i="39"/>
  <c r="F2188" i="39"/>
  <c r="F2189" i="39"/>
  <c r="F2190" i="39"/>
  <c r="F2191" i="39"/>
  <c r="F2192" i="39"/>
  <c r="F2193" i="39"/>
  <c r="F2194" i="39"/>
  <c r="F2195" i="39"/>
  <c r="F2196" i="39"/>
  <c r="F2197" i="39"/>
  <c r="F2198" i="39"/>
  <c r="F2199" i="39"/>
  <c r="F2200" i="39"/>
  <c r="F2201" i="39"/>
  <c r="F2202" i="39"/>
  <c r="F2203" i="39"/>
  <c r="F2204" i="39"/>
  <c r="F2205" i="39"/>
  <c r="F2206" i="39"/>
  <c r="F2207" i="39"/>
  <c r="F2208" i="39"/>
  <c r="F2209" i="39"/>
  <c r="F2210" i="39"/>
  <c r="F2211" i="39"/>
  <c r="F2212" i="39"/>
  <c r="F2213" i="39"/>
  <c r="F2214" i="39"/>
  <c r="F2215" i="39"/>
  <c r="F2216" i="39"/>
  <c r="F2217" i="39"/>
  <c r="F2218" i="39"/>
  <c r="F2219" i="39"/>
  <c r="F2220" i="39"/>
  <c r="F2221" i="39"/>
  <c r="F2222" i="39"/>
  <c r="F2223" i="39"/>
  <c r="F2224" i="39"/>
  <c r="F2225" i="39"/>
  <c r="F2226" i="39"/>
  <c r="F2227" i="39"/>
  <c r="F2228" i="39"/>
  <c r="F2229" i="39"/>
  <c r="F2230" i="39"/>
  <c r="F2231" i="39"/>
  <c r="F2232" i="39"/>
  <c r="F2233" i="39"/>
  <c r="F2234" i="39"/>
  <c r="F2235" i="39"/>
  <c r="F2236" i="39"/>
  <c r="F2237" i="39"/>
  <c r="F2238" i="39"/>
  <c r="F2239" i="39"/>
  <c r="F2240" i="39"/>
  <c r="F2241" i="39"/>
  <c r="F2242" i="39"/>
  <c r="F2243" i="39"/>
  <c r="F2244" i="39"/>
  <c r="F2245" i="39"/>
  <c r="F2246" i="39"/>
  <c r="F2247" i="39"/>
  <c r="F2248" i="39"/>
  <c r="F2249" i="39"/>
  <c r="F2250" i="39"/>
  <c r="F2251" i="39"/>
  <c r="F2252" i="39"/>
  <c r="F2253" i="39"/>
  <c r="F2254" i="39"/>
  <c r="F2255" i="39"/>
  <c r="F2256" i="39"/>
  <c r="F2257" i="39"/>
  <c r="F2258" i="39"/>
  <c r="F2259" i="39"/>
  <c r="F2260" i="39"/>
  <c r="F2261" i="39"/>
  <c r="F2262" i="39"/>
  <c r="F2263" i="39"/>
  <c r="F2264" i="39"/>
  <c r="F2265" i="39"/>
  <c r="F2266" i="39"/>
  <c r="F2267" i="39"/>
  <c r="F2268" i="39"/>
  <c r="F2269" i="39"/>
  <c r="F2270" i="39"/>
  <c r="F2271" i="39"/>
  <c r="F2272" i="39"/>
  <c r="F2273" i="39"/>
  <c r="F2274" i="39"/>
  <c r="F2275" i="39"/>
  <c r="F2276" i="39"/>
  <c r="F2277" i="39"/>
  <c r="F2278" i="39"/>
  <c r="F2279" i="39"/>
  <c r="F2280" i="39"/>
  <c r="F2281" i="39"/>
  <c r="F2282" i="39"/>
  <c r="F2283" i="39"/>
  <c r="F2284" i="39"/>
  <c r="F2285" i="39"/>
  <c r="F2286" i="39"/>
  <c r="F2287" i="39"/>
  <c r="F2288" i="39"/>
  <c r="F2289" i="39"/>
  <c r="F2290" i="39"/>
  <c r="F2291" i="39"/>
  <c r="F2292" i="39"/>
  <c r="F2293" i="39"/>
  <c r="F2294" i="39"/>
  <c r="F2295" i="39"/>
  <c r="F2296" i="39"/>
  <c r="F2297" i="39"/>
  <c r="F2298" i="39"/>
  <c r="F2299" i="39"/>
  <c r="F2300" i="39"/>
  <c r="F2301" i="39"/>
  <c r="F2302" i="39"/>
  <c r="F2303" i="39"/>
  <c r="F2304" i="39"/>
  <c r="F2305" i="39"/>
  <c r="F2306" i="39"/>
  <c r="F2307" i="39"/>
  <c r="F2308" i="39"/>
  <c r="F2309" i="39"/>
  <c r="F2310" i="39"/>
  <c r="F2311" i="39"/>
  <c r="F2312" i="39"/>
  <c r="F2313" i="39"/>
  <c r="F2314" i="39"/>
  <c r="F2315" i="39"/>
  <c r="F2316" i="39"/>
  <c r="F2317" i="39"/>
  <c r="F2318" i="39"/>
  <c r="F2319" i="39"/>
  <c r="F2320" i="39"/>
  <c r="F2321" i="39"/>
  <c r="F2322" i="39"/>
  <c r="F2323" i="39"/>
  <c r="F2324" i="39"/>
  <c r="F2325" i="39"/>
  <c r="F2326" i="39"/>
  <c r="F2327" i="39"/>
  <c r="F2328" i="39"/>
  <c r="F2329" i="39"/>
  <c r="F2330" i="39"/>
  <c r="F2331" i="39"/>
  <c r="F2332" i="39"/>
  <c r="F2333" i="39"/>
  <c r="F2334" i="39"/>
  <c r="F2335" i="39"/>
  <c r="F2336" i="39"/>
  <c r="F2337" i="39"/>
  <c r="F2338" i="39"/>
  <c r="F2339" i="39"/>
  <c r="F2340" i="39"/>
  <c r="F2341" i="39"/>
  <c r="F2342" i="39"/>
  <c r="F2343" i="39"/>
  <c r="F2344" i="39"/>
  <c r="F2345" i="39"/>
  <c r="F2346" i="39"/>
  <c r="F2347" i="39"/>
  <c r="F2348" i="39"/>
  <c r="F2349" i="39"/>
  <c r="F2350" i="39"/>
  <c r="F2351" i="39"/>
  <c r="F2352" i="39"/>
  <c r="F2353" i="39"/>
  <c r="F2354" i="39"/>
  <c r="F2355" i="39"/>
  <c r="F2356" i="39"/>
  <c r="F2357" i="39"/>
  <c r="F2358" i="39"/>
  <c r="F2359" i="39"/>
  <c r="F2360" i="39"/>
  <c r="F2361" i="39"/>
  <c r="F2362" i="39"/>
  <c r="F2363" i="39"/>
  <c r="F2364" i="39"/>
  <c r="F2365" i="39"/>
  <c r="F2366" i="39"/>
  <c r="F2367" i="39"/>
  <c r="F2368" i="39"/>
  <c r="F2369" i="39"/>
  <c r="F2370" i="39"/>
  <c r="F2371" i="39"/>
  <c r="F2372" i="39"/>
  <c r="F2373" i="39"/>
  <c r="F2374" i="39"/>
  <c r="F2375" i="39"/>
  <c r="F2376" i="39"/>
  <c r="F2377" i="39"/>
  <c r="F2378" i="39"/>
  <c r="F2379" i="39"/>
  <c r="F2380" i="39"/>
  <c r="F2381" i="39"/>
  <c r="F2382" i="39"/>
  <c r="F2383" i="39"/>
  <c r="F2384" i="39"/>
  <c r="F2385" i="39"/>
  <c r="F2386" i="39"/>
  <c r="F2387" i="39"/>
  <c r="F2388" i="39"/>
  <c r="F2389" i="39"/>
  <c r="F2390" i="39"/>
  <c r="F2391" i="39"/>
  <c r="F2392" i="39"/>
  <c r="F2393" i="39"/>
  <c r="F2394" i="39"/>
  <c r="F2395" i="39"/>
  <c r="F2396" i="39"/>
  <c r="F2397" i="39"/>
  <c r="F2398" i="39"/>
  <c r="F2399" i="39"/>
  <c r="F2400" i="39"/>
  <c r="F2401" i="39"/>
  <c r="F2402" i="39"/>
  <c r="F2403" i="39"/>
  <c r="F2404" i="39"/>
  <c r="F2405" i="39"/>
  <c r="F2406" i="39"/>
  <c r="F2407" i="39"/>
  <c r="F2408" i="39"/>
  <c r="F2409" i="39"/>
  <c r="F2410" i="39"/>
  <c r="F2411" i="39"/>
  <c r="F2412" i="39"/>
  <c r="F2413" i="39"/>
  <c r="F2414" i="39"/>
  <c r="F2415" i="39"/>
  <c r="F2416" i="39"/>
  <c r="F2417" i="39"/>
  <c r="F2418" i="39"/>
  <c r="F2419" i="39"/>
  <c r="F2420" i="39"/>
  <c r="F2421" i="39"/>
  <c r="F2422" i="39"/>
  <c r="F2423" i="39"/>
  <c r="F2424" i="39"/>
  <c r="F2425" i="39"/>
  <c r="F2426" i="39"/>
  <c r="F2427" i="39"/>
  <c r="F2428" i="39"/>
  <c r="F2429" i="39"/>
  <c r="F2430" i="39"/>
  <c r="F2431" i="39"/>
  <c r="F2432" i="39"/>
  <c r="F2433" i="39"/>
  <c r="F2434" i="39"/>
  <c r="F2435" i="39"/>
  <c r="F2436" i="39"/>
  <c r="F2437" i="39"/>
  <c r="F2438" i="39"/>
  <c r="F2439" i="39"/>
  <c r="F2440" i="39"/>
  <c r="F2441" i="39"/>
  <c r="F2442" i="39"/>
  <c r="F2443" i="39"/>
  <c r="F2444" i="39"/>
  <c r="F2445" i="39"/>
  <c r="F2446" i="39"/>
  <c r="F2447" i="39"/>
  <c r="F2448" i="39"/>
  <c r="F2449" i="39"/>
  <c r="F2450" i="39"/>
  <c r="F2451" i="39"/>
  <c r="F2452" i="39"/>
  <c r="F2453" i="39"/>
  <c r="F2454" i="39"/>
  <c r="F2455" i="39"/>
  <c r="F2456" i="39"/>
  <c r="F2457" i="39"/>
  <c r="F2458" i="39"/>
  <c r="F2459" i="39"/>
  <c r="F2460" i="39"/>
  <c r="F2461" i="39"/>
  <c r="F2462" i="39"/>
  <c r="F2463" i="39"/>
  <c r="F2464" i="39"/>
  <c r="F2465" i="39"/>
  <c r="F2466" i="39"/>
  <c r="F2467" i="39"/>
  <c r="F2468" i="39"/>
  <c r="F2469" i="39"/>
  <c r="F2470" i="39"/>
  <c r="F2471" i="39"/>
  <c r="F2472" i="39"/>
  <c r="F2473" i="39"/>
  <c r="F2474" i="39"/>
  <c r="F2475" i="39"/>
  <c r="F2476" i="39"/>
  <c r="F2477" i="39"/>
  <c r="F2478" i="39"/>
  <c r="F2479" i="39"/>
  <c r="F2480" i="39"/>
  <c r="F2481" i="39"/>
  <c r="F2482" i="39"/>
  <c r="F2483" i="39"/>
  <c r="F2484" i="39"/>
  <c r="F2485" i="39"/>
  <c r="F2486" i="39"/>
  <c r="F2487" i="39"/>
  <c r="F2488" i="39"/>
  <c r="F2489" i="39"/>
  <c r="F2490" i="39"/>
  <c r="F2491" i="39"/>
  <c r="F2492" i="39"/>
  <c r="F2493" i="39"/>
  <c r="F2494" i="39"/>
  <c r="F2495" i="39"/>
  <c r="F2496" i="39"/>
  <c r="F2497" i="39"/>
  <c r="F2498" i="39"/>
  <c r="F2499" i="39"/>
  <c r="F2500" i="39"/>
  <c r="F2501" i="39"/>
  <c r="F2502" i="39"/>
  <c r="F2503" i="39"/>
  <c r="F2504" i="39"/>
  <c r="F2505" i="39"/>
  <c r="F2506" i="39"/>
  <c r="F2507" i="39"/>
  <c r="F2508" i="39"/>
  <c r="F2509" i="39"/>
  <c r="F2510" i="39"/>
  <c r="F2511" i="39"/>
  <c r="F2512" i="39"/>
  <c r="F2513" i="39"/>
  <c r="F2514" i="39"/>
  <c r="F2515" i="39"/>
  <c r="F2516" i="39"/>
  <c r="F2517" i="39"/>
  <c r="F2518" i="39"/>
  <c r="F2519" i="39"/>
  <c r="F2520" i="39"/>
  <c r="F2521" i="39"/>
  <c r="F2522" i="39"/>
  <c r="F2523" i="39"/>
  <c r="F2524" i="39"/>
  <c r="F2525" i="39"/>
  <c r="F2526" i="39"/>
  <c r="F2527" i="39"/>
  <c r="F2528" i="39"/>
  <c r="F2529" i="39"/>
  <c r="F2530" i="39"/>
  <c r="F2531" i="39"/>
  <c r="F2532" i="39"/>
  <c r="F2533" i="39"/>
  <c r="F2534" i="39"/>
  <c r="F2535" i="39"/>
  <c r="F2536" i="39"/>
  <c r="F2537" i="39"/>
  <c r="F2538" i="39"/>
  <c r="F2539" i="39"/>
  <c r="F2540" i="39"/>
  <c r="F2541" i="39"/>
  <c r="F2542" i="39"/>
  <c r="F2543" i="39"/>
  <c r="F2544" i="39"/>
  <c r="F2545" i="39"/>
  <c r="F2546" i="39"/>
  <c r="F2547" i="39"/>
  <c r="F2548" i="39"/>
  <c r="F2549" i="39"/>
  <c r="F2550" i="39"/>
  <c r="F2551" i="39"/>
  <c r="F2552" i="39"/>
  <c r="F2553" i="39"/>
  <c r="F2554" i="39"/>
  <c r="F2555" i="39"/>
  <c r="F2556" i="39"/>
  <c r="F2557" i="39"/>
  <c r="F2558" i="39"/>
  <c r="F2559" i="39"/>
  <c r="F2560" i="39"/>
  <c r="F2561" i="39"/>
  <c r="F2562" i="39"/>
  <c r="F2563" i="39"/>
  <c r="F2564" i="39"/>
  <c r="F2565" i="39"/>
  <c r="F2566" i="39"/>
  <c r="F2567" i="39"/>
  <c r="F2568" i="39"/>
  <c r="F2569" i="39"/>
  <c r="F2570" i="39"/>
  <c r="F2571" i="39"/>
  <c r="F2572" i="39"/>
  <c r="F2573" i="39"/>
  <c r="F2574" i="39"/>
  <c r="F2575" i="39"/>
  <c r="F2576" i="39"/>
  <c r="F2577" i="39"/>
  <c r="F2578" i="39"/>
  <c r="F2579" i="39"/>
  <c r="F2580" i="39"/>
  <c r="F2581" i="39"/>
  <c r="F2582" i="39"/>
  <c r="F2583" i="39"/>
  <c r="F2584" i="39"/>
  <c r="F2585" i="39"/>
  <c r="F2586" i="39"/>
  <c r="F2587" i="39"/>
  <c r="F2588" i="39"/>
  <c r="F2589" i="39"/>
  <c r="F2590" i="39"/>
  <c r="F2591" i="39"/>
  <c r="F2592" i="39"/>
  <c r="F2593" i="39"/>
  <c r="F2594" i="39"/>
  <c r="F2595" i="39"/>
  <c r="F2596" i="39"/>
  <c r="F2597" i="39"/>
  <c r="F2598" i="39"/>
  <c r="F2599" i="39"/>
  <c r="F2600" i="39"/>
  <c r="F2601" i="39"/>
  <c r="F2602" i="39"/>
  <c r="F2603" i="39"/>
  <c r="F2604" i="39"/>
  <c r="F2605" i="39"/>
  <c r="F2606" i="39"/>
  <c r="F2607" i="39"/>
  <c r="F2608" i="39"/>
  <c r="F2609" i="39"/>
  <c r="F2610" i="39"/>
  <c r="F2611" i="39"/>
  <c r="F2612" i="39"/>
  <c r="F2613" i="39"/>
  <c r="F2614" i="39"/>
  <c r="F2615" i="39"/>
  <c r="F2616" i="39"/>
  <c r="F2617" i="39"/>
  <c r="F2618" i="39"/>
  <c r="F2619" i="39"/>
  <c r="F2620" i="39"/>
  <c r="F2621" i="39"/>
  <c r="F2622" i="39"/>
  <c r="F2623" i="39"/>
  <c r="F2624" i="39"/>
  <c r="F2625" i="39"/>
  <c r="F2626" i="39"/>
  <c r="F2627" i="39"/>
  <c r="F2628" i="39"/>
  <c r="F2629" i="39"/>
  <c r="F2630" i="39"/>
  <c r="F2631" i="39"/>
  <c r="F2632" i="39"/>
  <c r="F2633" i="39"/>
  <c r="F2634" i="39"/>
  <c r="F2635" i="39"/>
  <c r="F2636" i="39"/>
  <c r="F2637" i="39"/>
  <c r="F2638" i="39"/>
  <c r="F2639" i="39"/>
  <c r="F2640" i="39"/>
  <c r="F2641" i="39"/>
  <c r="F2642" i="39"/>
  <c r="F2643" i="39"/>
  <c r="F2644" i="39"/>
  <c r="F2645" i="39"/>
  <c r="F2646" i="39"/>
  <c r="F2647" i="39"/>
  <c r="F2648" i="39"/>
  <c r="F2649" i="39"/>
  <c r="F2650" i="39"/>
  <c r="F2651" i="39"/>
  <c r="F2652" i="39"/>
  <c r="F2653" i="39"/>
  <c r="F2654" i="39"/>
  <c r="F2655" i="39"/>
  <c r="F2656" i="39"/>
  <c r="F2657" i="39"/>
  <c r="F2658" i="39"/>
  <c r="F2659" i="39"/>
  <c r="F2660" i="39"/>
  <c r="F2661" i="39"/>
  <c r="F2662" i="39"/>
  <c r="F2663" i="39"/>
  <c r="F2664" i="39"/>
  <c r="F2665" i="39"/>
  <c r="F2666" i="39"/>
  <c r="F2667" i="39"/>
  <c r="F2668" i="39"/>
  <c r="F2669" i="39"/>
  <c r="F2670" i="39"/>
  <c r="F2671" i="39"/>
  <c r="F2672" i="39"/>
  <c r="F2673" i="39"/>
  <c r="F2674" i="39"/>
  <c r="F2675" i="39"/>
  <c r="F2676" i="39"/>
  <c r="F2677" i="39"/>
  <c r="F2678" i="39"/>
  <c r="F2679" i="39"/>
  <c r="F2680" i="39"/>
  <c r="F2681" i="39"/>
  <c r="F2682" i="39"/>
  <c r="F2683" i="39"/>
  <c r="F2684" i="39"/>
  <c r="F2685" i="39"/>
  <c r="F2686" i="39"/>
  <c r="F2687" i="39"/>
  <c r="F2688" i="39"/>
  <c r="F2689" i="39"/>
  <c r="F2690" i="39"/>
  <c r="F2691" i="39"/>
  <c r="F2692" i="39"/>
  <c r="F2693" i="39"/>
  <c r="F2694" i="39"/>
  <c r="F2695" i="39"/>
  <c r="F2696" i="39"/>
  <c r="F2697" i="39"/>
  <c r="F2698" i="39"/>
  <c r="F2699" i="39"/>
  <c r="F2700" i="39"/>
  <c r="F2701" i="39"/>
  <c r="F2702" i="39"/>
  <c r="F2703" i="39"/>
  <c r="F2704" i="39"/>
  <c r="F2705" i="39"/>
  <c r="F2706" i="39"/>
  <c r="F2707" i="39"/>
  <c r="F2708" i="39"/>
  <c r="F2709" i="39"/>
  <c r="F2710" i="39"/>
  <c r="F2711" i="39"/>
  <c r="F2712" i="39"/>
  <c r="F2713" i="39"/>
  <c r="F2714" i="39"/>
  <c r="F2715" i="39"/>
  <c r="F2716" i="39"/>
  <c r="F2717" i="39"/>
  <c r="F2718" i="39"/>
  <c r="F2719" i="39"/>
  <c r="F2720" i="39"/>
  <c r="F2721" i="39"/>
  <c r="F2722" i="39"/>
  <c r="F2723" i="39"/>
  <c r="F2724" i="39"/>
  <c r="F2725" i="39"/>
  <c r="F2726" i="39"/>
  <c r="F2727" i="39"/>
  <c r="F2728" i="39"/>
  <c r="F2729" i="39"/>
  <c r="F2730" i="39"/>
  <c r="F2731" i="39"/>
  <c r="F2732" i="39"/>
  <c r="F2733" i="39"/>
  <c r="F2734" i="39"/>
  <c r="F2735" i="39"/>
  <c r="F2736" i="39"/>
  <c r="F2737" i="39"/>
  <c r="F2738" i="39"/>
  <c r="F2739" i="39"/>
  <c r="F2740" i="39"/>
  <c r="F2741" i="39"/>
  <c r="F2742" i="39"/>
  <c r="F2743" i="39"/>
  <c r="F2744" i="39"/>
  <c r="F2745" i="39"/>
  <c r="F2746" i="39"/>
  <c r="F2747" i="39"/>
  <c r="F2748" i="39"/>
  <c r="F2749" i="39"/>
  <c r="F2750" i="39"/>
  <c r="F2751" i="39"/>
  <c r="F2752" i="39"/>
  <c r="F2753" i="39"/>
  <c r="F2754" i="39"/>
  <c r="F2755" i="39"/>
  <c r="F2756" i="39"/>
  <c r="F2757" i="39"/>
  <c r="F2758" i="39"/>
  <c r="F2759" i="39"/>
  <c r="F2760" i="39"/>
  <c r="F2761" i="39"/>
  <c r="F2762" i="39"/>
  <c r="F2763" i="39"/>
  <c r="F2764" i="39"/>
  <c r="F2765" i="39"/>
  <c r="F2766" i="39"/>
  <c r="F2767" i="39"/>
  <c r="F2768" i="39"/>
  <c r="F2769" i="39"/>
  <c r="F2770" i="39"/>
  <c r="F2771" i="39"/>
  <c r="F2772" i="39"/>
  <c r="F2773" i="39"/>
  <c r="F2774" i="39"/>
  <c r="F2775" i="39"/>
  <c r="F2776" i="39"/>
  <c r="F2777" i="39"/>
  <c r="F2778" i="39"/>
  <c r="F2779" i="39"/>
  <c r="F2780" i="39"/>
  <c r="F2781" i="39"/>
  <c r="F2782" i="39"/>
  <c r="F2783" i="39"/>
  <c r="F2784" i="39"/>
  <c r="F2785" i="39"/>
  <c r="F2786" i="39"/>
  <c r="F2787" i="39"/>
  <c r="F2788" i="39"/>
  <c r="F2789" i="39"/>
  <c r="F2790" i="39"/>
  <c r="F2791" i="39"/>
  <c r="F2792" i="39"/>
  <c r="F2793" i="39"/>
  <c r="F2794" i="39"/>
  <c r="F2795" i="39"/>
  <c r="F2796" i="39"/>
  <c r="F2797" i="39"/>
  <c r="F2798" i="39"/>
  <c r="F2799" i="39"/>
  <c r="F2800" i="39"/>
  <c r="F2801" i="39"/>
  <c r="F2802" i="39"/>
  <c r="F2803" i="39"/>
  <c r="F2804" i="39"/>
  <c r="F2805" i="39"/>
  <c r="F2806" i="39"/>
  <c r="F2807" i="39"/>
  <c r="F2808" i="39"/>
  <c r="F2809" i="39"/>
  <c r="F2810" i="39"/>
  <c r="F2811" i="39"/>
  <c r="F2812" i="39"/>
  <c r="F2813" i="39"/>
  <c r="F2814" i="39"/>
  <c r="F2815" i="39"/>
  <c r="F2816" i="39"/>
  <c r="F2817" i="39"/>
  <c r="F2818" i="39"/>
  <c r="F2819" i="39"/>
  <c r="F2820" i="39"/>
  <c r="F2821" i="39"/>
  <c r="F2822" i="39"/>
  <c r="F2823" i="39"/>
  <c r="F2824" i="39"/>
  <c r="F2825" i="39"/>
  <c r="F2826" i="39"/>
  <c r="F2827" i="39"/>
  <c r="F2828" i="39"/>
  <c r="F2829" i="39"/>
  <c r="F2830" i="39"/>
  <c r="F2831" i="39"/>
  <c r="F2832" i="39"/>
  <c r="F2833" i="39"/>
  <c r="F2834" i="39"/>
  <c r="F2835" i="39"/>
  <c r="F2836" i="39"/>
  <c r="F2837" i="39"/>
  <c r="F2838" i="39"/>
  <c r="F2839" i="39"/>
  <c r="F2840" i="39"/>
  <c r="F2841" i="39"/>
  <c r="F2842" i="39"/>
  <c r="F2843" i="39"/>
  <c r="F2844" i="39"/>
  <c r="F2845" i="39"/>
  <c r="F2846" i="39"/>
  <c r="F2847" i="39"/>
  <c r="F2848" i="39"/>
  <c r="F2849" i="39"/>
  <c r="F2850" i="39"/>
  <c r="F2851" i="39"/>
  <c r="F2852" i="39"/>
  <c r="F2853" i="39"/>
  <c r="F2854" i="39"/>
  <c r="F2855" i="39"/>
  <c r="F2856" i="39"/>
  <c r="F2857" i="39"/>
  <c r="F2858" i="39"/>
  <c r="F2859" i="39"/>
  <c r="F2860" i="39"/>
  <c r="F2861" i="39"/>
  <c r="F2862" i="39"/>
  <c r="F2863" i="39"/>
  <c r="F2864" i="39"/>
  <c r="F2865" i="39"/>
  <c r="F2866" i="39"/>
  <c r="F2867" i="39"/>
  <c r="F2868" i="39"/>
  <c r="F2869" i="39"/>
  <c r="F2870" i="39"/>
  <c r="F2871" i="39"/>
  <c r="F2872" i="39"/>
  <c r="F2873" i="39"/>
  <c r="F2874" i="39"/>
  <c r="F2875" i="39"/>
  <c r="F2876" i="39"/>
  <c r="F2877" i="39"/>
  <c r="F2878" i="39"/>
  <c r="F2879" i="39"/>
  <c r="F2880" i="39"/>
  <c r="F2881" i="39"/>
  <c r="F2882" i="39"/>
  <c r="F2883" i="39"/>
  <c r="F2884" i="39"/>
  <c r="F2885" i="39"/>
  <c r="F2886" i="39"/>
  <c r="F2887" i="39"/>
  <c r="F2888" i="39"/>
  <c r="F2889" i="39"/>
  <c r="F2890" i="39"/>
  <c r="F2891" i="39"/>
  <c r="F2892" i="39"/>
  <c r="F2893" i="39"/>
  <c r="F2894" i="39"/>
  <c r="F2895" i="39"/>
  <c r="F2896" i="39"/>
  <c r="F2897" i="39"/>
  <c r="F2898" i="39"/>
  <c r="F2899" i="39"/>
  <c r="F2900" i="39"/>
  <c r="F2901" i="39"/>
  <c r="F2902" i="39"/>
  <c r="F2903" i="39"/>
  <c r="F2904" i="39"/>
  <c r="F2905" i="39"/>
  <c r="F2906" i="39"/>
  <c r="F2907" i="39"/>
  <c r="F2908" i="39"/>
  <c r="F2909" i="39"/>
  <c r="F2910" i="39"/>
  <c r="F2911" i="39"/>
  <c r="F2912" i="39"/>
  <c r="F2913" i="39"/>
  <c r="F2914" i="39"/>
  <c r="F2915" i="39"/>
  <c r="F2916" i="39"/>
  <c r="F2917" i="39"/>
  <c r="F2918" i="39"/>
  <c r="F2919" i="39"/>
  <c r="F2920" i="39"/>
  <c r="F2921" i="39"/>
  <c r="F2922" i="39"/>
  <c r="F2923" i="39"/>
  <c r="F2924" i="39"/>
  <c r="F2925" i="39"/>
  <c r="F2926" i="39"/>
  <c r="F2927" i="39"/>
  <c r="F2928" i="39"/>
  <c r="F2929" i="39"/>
  <c r="F2930" i="39"/>
  <c r="F2931" i="39"/>
  <c r="F2932" i="39"/>
  <c r="F2933" i="39"/>
  <c r="F2934" i="39"/>
  <c r="F2935" i="39"/>
  <c r="F2936" i="39"/>
  <c r="F2937" i="39"/>
  <c r="F2938" i="39"/>
  <c r="F2939" i="39"/>
  <c r="F2940" i="39"/>
  <c r="F2941" i="39"/>
  <c r="F2942" i="39"/>
  <c r="F2943" i="39"/>
  <c r="F2944" i="39"/>
  <c r="F2945" i="39"/>
  <c r="F2946" i="39"/>
  <c r="F2947" i="39"/>
  <c r="F2948" i="39"/>
  <c r="F2949" i="39"/>
  <c r="F2950" i="39"/>
  <c r="F2951" i="39"/>
  <c r="F2952" i="39"/>
  <c r="F2953" i="39"/>
  <c r="F2954" i="39"/>
  <c r="F2955" i="39"/>
  <c r="F2956" i="39"/>
  <c r="F2957" i="39"/>
  <c r="F2958" i="39"/>
  <c r="F2959" i="39"/>
  <c r="F2960" i="39"/>
  <c r="F2961" i="39"/>
  <c r="F2962" i="39"/>
  <c r="F2963" i="39"/>
  <c r="F2964" i="39"/>
  <c r="F2965" i="39"/>
  <c r="F2966" i="39"/>
  <c r="F2967" i="39"/>
  <c r="F2968" i="39"/>
  <c r="F2969" i="39"/>
  <c r="F2970" i="39"/>
  <c r="F2971" i="39"/>
  <c r="F2972" i="39"/>
  <c r="F2973" i="39"/>
  <c r="F2974" i="39"/>
  <c r="F2975" i="39"/>
  <c r="F2976" i="39"/>
  <c r="F2977" i="39"/>
  <c r="F2978" i="39"/>
  <c r="F2979" i="39"/>
  <c r="F2980" i="39"/>
  <c r="F2981" i="39"/>
  <c r="F2982" i="39"/>
  <c r="F2983" i="39"/>
  <c r="F2984" i="39"/>
  <c r="F2985" i="39"/>
  <c r="F2986" i="39"/>
  <c r="F2987" i="39"/>
  <c r="F2988" i="39"/>
  <c r="F2989" i="39"/>
  <c r="F2990" i="39"/>
  <c r="F2991" i="39"/>
  <c r="F2992" i="39"/>
  <c r="F2993" i="39"/>
  <c r="F2994" i="39"/>
  <c r="F2995" i="39"/>
  <c r="F2996" i="39"/>
  <c r="F2997" i="39"/>
  <c r="F2998" i="39"/>
  <c r="F2999" i="39"/>
  <c r="F3000" i="39"/>
  <c r="F3001" i="39"/>
  <c r="F3002" i="39"/>
  <c r="F3003" i="39"/>
  <c r="F3004" i="39"/>
  <c r="F3005" i="39"/>
  <c r="F3006" i="39"/>
  <c r="F3007" i="39"/>
  <c r="F3008" i="39"/>
  <c r="F3009" i="39"/>
  <c r="F3010" i="39"/>
  <c r="F3011" i="39"/>
  <c r="F3012" i="39"/>
  <c r="F3013" i="39"/>
  <c r="F3014" i="39"/>
  <c r="F3015" i="39"/>
  <c r="F3016" i="39"/>
  <c r="F3017" i="39"/>
  <c r="F3018" i="39"/>
  <c r="F3019" i="39"/>
  <c r="F3020" i="39"/>
  <c r="F3021" i="39"/>
  <c r="F3022" i="39"/>
  <c r="F3023" i="39"/>
  <c r="F3024" i="39"/>
  <c r="F3025" i="39"/>
  <c r="F3026" i="39"/>
  <c r="F3027" i="39"/>
  <c r="F3028" i="39"/>
  <c r="F3029" i="39"/>
  <c r="F3030" i="39"/>
  <c r="F3031" i="39"/>
  <c r="F3032" i="39"/>
  <c r="F3033" i="39"/>
  <c r="F3034" i="39"/>
  <c r="F3035" i="39"/>
  <c r="F3036" i="39"/>
  <c r="F3037" i="39"/>
  <c r="F3038" i="39"/>
  <c r="F3039" i="39"/>
  <c r="F3040" i="39"/>
  <c r="F3041" i="39"/>
  <c r="F3042" i="39"/>
  <c r="F3043" i="39"/>
  <c r="F3044" i="39"/>
  <c r="F3045" i="39"/>
  <c r="F3046" i="39"/>
  <c r="F3047" i="39"/>
  <c r="F3048" i="39"/>
  <c r="F3049" i="39"/>
  <c r="F3050" i="39"/>
  <c r="F3051" i="39"/>
  <c r="F3052" i="39"/>
  <c r="F3053" i="39"/>
  <c r="F3054" i="39"/>
  <c r="F3055" i="39"/>
  <c r="F3056" i="39"/>
  <c r="F3057" i="39"/>
  <c r="F3058" i="39"/>
  <c r="F3059" i="39"/>
  <c r="F3060" i="39"/>
  <c r="F3061" i="39"/>
  <c r="F3062" i="39"/>
  <c r="F3063" i="39"/>
  <c r="F3064" i="39"/>
  <c r="F3065" i="39"/>
  <c r="F3066" i="39"/>
  <c r="F3067" i="39"/>
  <c r="F3068" i="39"/>
  <c r="F3069" i="39"/>
  <c r="F3070" i="39"/>
  <c r="F3071" i="39"/>
  <c r="F3072" i="39"/>
  <c r="F3073" i="39"/>
  <c r="F3074" i="39"/>
  <c r="F3075" i="39"/>
  <c r="F3076" i="39"/>
  <c r="F3077" i="39"/>
  <c r="F3078" i="39"/>
  <c r="F3079" i="39"/>
  <c r="F3080" i="39"/>
  <c r="F3081" i="39"/>
  <c r="F3082" i="39"/>
  <c r="F3083" i="39"/>
  <c r="F3084" i="39"/>
  <c r="F3085" i="39"/>
  <c r="F3086" i="39"/>
  <c r="F3087" i="39"/>
  <c r="F3088" i="39"/>
  <c r="F3089" i="39"/>
  <c r="F3090" i="39"/>
  <c r="F3091" i="39"/>
  <c r="F3092" i="39"/>
  <c r="F3093" i="39"/>
  <c r="F3094" i="39"/>
  <c r="F3095" i="39"/>
  <c r="F3096" i="39"/>
  <c r="F3097" i="39"/>
  <c r="F3098" i="39"/>
  <c r="F3099" i="39"/>
  <c r="F3100" i="39"/>
  <c r="F3101" i="39"/>
  <c r="F3102" i="39"/>
  <c r="F3103" i="39"/>
  <c r="F3104" i="39"/>
  <c r="F3105" i="39"/>
  <c r="F3106" i="39"/>
  <c r="F3107" i="39"/>
  <c r="F3108" i="39"/>
  <c r="F3109" i="39"/>
  <c r="F3110" i="39"/>
  <c r="F3111" i="39"/>
  <c r="F3112" i="39"/>
  <c r="F3113" i="39"/>
  <c r="F3114" i="39"/>
  <c r="F3115" i="39"/>
  <c r="F3116" i="39"/>
  <c r="F3117" i="39"/>
  <c r="F3118" i="39"/>
  <c r="F3119" i="39"/>
  <c r="F3120" i="39"/>
  <c r="F3121" i="39"/>
  <c r="F3122" i="39"/>
  <c r="F3123" i="39"/>
  <c r="F3124" i="39"/>
  <c r="F3125" i="39"/>
  <c r="F3126" i="39"/>
  <c r="F3127" i="39"/>
  <c r="F3128" i="39"/>
  <c r="F3129" i="39"/>
  <c r="F3130" i="39"/>
  <c r="F3131" i="39"/>
  <c r="F3132" i="39"/>
  <c r="F3133" i="39"/>
  <c r="F3134" i="39"/>
  <c r="F3135" i="39"/>
  <c r="F3136" i="39"/>
  <c r="F3137" i="39"/>
  <c r="F3138" i="39"/>
  <c r="F3139" i="39"/>
  <c r="F3140" i="39"/>
  <c r="F3141" i="39"/>
  <c r="F3142" i="39"/>
  <c r="F3143" i="39"/>
  <c r="F3144" i="39"/>
  <c r="F3145" i="39"/>
  <c r="F3146" i="39"/>
  <c r="F3147" i="39"/>
  <c r="F3148" i="39"/>
  <c r="F3149" i="39"/>
  <c r="F3150" i="39"/>
  <c r="F3151" i="39"/>
  <c r="F3152" i="39"/>
  <c r="F3153" i="39"/>
  <c r="F3154" i="39"/>
  <c r="F3155" i="39"/>
  <c r="F3156" i="39"/>
  <c r="F3157" i="39"/>
  <c r="F3158" i="39"/>
  <c r="F3159" i="39"/>
  <c r="F3160" i="39"/>
  <c r="F3161" i="39"/>
  <c r="F3162" i="39"/>
  <c r="F3163" i="39"/>
  <c r="F3164" i="39"/>
  <c r="F3165" i="39"/>
  <c r="F3166" i="39"/>
  <c r="F3167" i="39"/>
  <c r="F3168" i="39"/>
  <c r="F3169" i="39"/>
  <c r="F3170" i="39"/>
  <c r="F3171" i="39"/>
  <c r="F3172" i="39"/>
  <c r="F3173" i="39"/>
  <c r="F3174" i="39"/>
  <c r="F3175" i="39"/>
  <c r="F3176" i="39"/>
  <c r="F3177" i="39"/>
  <c r="F3178" i="39"/>
  <c r="F3179" i="39"/>
  <c r="F3180" i="39"/>
  <c r="F3181" i="39"/>
  <c r="F3182" i="39"/>
  <c r="F3183" i="39"/>
  <c r="F3184" i="39"/>
  <c r="F3185" i="39"/>
  <c r="F3186" i="39"/>
  <c r="F3187" i="39"/>
  <c r="F3188" i="39"/>
  <c r="F3189" i="39"/>
  <c r="F3190" i="39"/>
  <c r="F3191" i="39"/>
  <c r="F3192" i="39"/>
  <c r="F3193" i="39"/>
  <c r="F3194" i="39"/>
  <c r="F3195" i="39"/>
  <c r="F3196" i="39"/>
  <c r="F3197" i="39"/>
  <c r="F3198" i="39"/>
  <c r="F3199" i="39"/>
  <c r="F3200" i="39"/>
  <c r="F3201" i="39"/>
  <c r="F3202" i="39"/>
  <c r="F3203" i="39"/>
  <c r="F3204" i="39"/>
  <c r="F3205" i="39"/>
  <c r="F3206" i="39"/>
  <c r="F3207" i="39"/>
  <c r="F3208" i="39"/>
  <c r="F3209" i="39"/>
  <c r="F3210" i="39"/>
  <c r="F3211" i="39"/>
  <c r="F3212" i="39"/>
  <c r="F3213" i="39"/>
  <c r="F3214" i="39"/>
  <c r="F3215" i="39"/>
  <c r="F3216" i="39"/>
  <c r="F3217" i="39"/>
  <c r="F3218" i="39"/>
  <c r="F3219" i="39"/>
  <c r="F3220" i="39"/>
  <c r="F3221" i="39"/>
  <c r="F3222" i="39"/>
  <c r="F3223" i="39"/>
  <c r="F3224" i="39"/>
  <c r="F3225" i="39"/>
  <c r="F3226" i="39"/>
  <c r="F3227" i="39"/>
  <c r="F3228" i="39"/>
  <c r="F3229" i="39"/>
  <c r="F3230" i="39"/>
  <c r="F3231" i="39"/>
  <c r="F3232" i="39"/>
  <c r="F3233" i="39"/>
  <c r="F3234" i="39"/>
  <c r="F3235" i="39"/>
  <c r="F3236" i="39"/>
  <c r="F3237" i="39"/>
  <c r="F3238" i="39"/>
  <c r="F3239" i="39"/>
  <c r="F3240" i="39"/>
  <c r="F3241" i="39"/>
  <c r="F3242" i="39"/>
  <c r="F3243" i="39"/>
  <c r="F3244" i="39"/>
  <c r="F3245" i="39"/>
  <c r="F3246" i="39"/>
  <c r="F3247" i="39"/>
  <c r="F3248" i="39"/>
  <c r="F3249" i="39"/>
  <c r="F3250" i="39"/>
  <c r="F3251" i="39"/>
  <c r="F3252" i="39"/>
  <c r="F3253" i="39"/>
  <c r="F3254" i="39"/>
  <c r="F3255" i="39"/>
  <c r="F3256" i="39"/>
  <c r="F3257" i="39"/>
  <c r="F3258" i="39"/>
  <c r="F3259" i="39"/>
  <c r="F3260" i="39"/>
  <c r="F3261" i="39"/>
  <c r="F3262" i="39"/>
  <c r="F3263" i="39"/>
  <c r="F3264" i="39"/>
  <c r="F3265" i="39"/>
  <c r="F3266" i="39"/>
  <c r="F3267" i="39"/>
  <c r="F3268" i="39"/>
  <c r="F3269" i="39"/>
  <c r="F3270" i="39"/>
  <c r="F3271" i="39"/>
  <c r="F3272" i="39"/>
  <c r="F3273" i="39"/>
  <c r="F3274" i="39"/>
  <c r="F3275" i="39"/>
  <c r="F3276" i="39"/>
  <c r="F3277" i="39"/>
  <c r="F3278" i="39"/>
  <c r="F3279" i="39"/>
  <c r="F3280" i="39"/>
  <c r="F3281" i="39"/>
  <c r="F3282" i="39"/>
  <c r="F3283" i="39"/>
  <c r="F3284" i="39"/>
  <c r="F3285" i="39"/>
  <c r="F3286" i="39"/>
  <c r="F3287" i="39"/>
  <c r="F3288" i="39"/>
  <c r="F3289" i="39"/>
  <c r="F3290" i="39"/>
  <c r="F3291" i="39"/>
  <c r="F3292" i="39"/>
  <c r="F3293" i="39"/>
  <c r="F3294" i="39"/>
  <c r="F3295" i="39"/>
  <c r="F3296" i="39"/>
  <c r="F3297" i="39"/>
  <c r="F3298" i="39"/>
  <c r="F3299" i="39"/>
  <c r="F3300" i="39"/>
  <c r="F3301" i="39"/>
  <c r="F3302" i="39"/>
  <c r="F3303" i="39"/>
  <c r="F3304" i="39"/>
  <c r="F3305" i="39"/>
  <c r="F3306" i="39"/>
  <c r="F3307" i="39"/>
  <c r="F3308" i="39"/>
  <c r="F3309" i="39"/>
  <c r="F3310" i="39"/>
  <c r="F3311" i="39"/>
  <c r="F3312" i="39"/>
  <c r="F3313" i="39"/>
  <c r="F3314" i="39"/>
  <c r="F3315" i="39"/>
  <c r="F3316" i="39"/>
  <c r="F3317" i="39"/>
  <c r="F3318" i="39"/>
  <c r="F3319" i="39"/>
  <c r="F3320" i="39"/>
  <c r="F3321" i="39"/>
  <c r="F3322" i="39"/>
  <c r="F3323" i="39"/>
  <c r="F3324" i="39"/>
  <c r="F3325" i="39"/>
  <c r="F3326" i="39"/>
  <c r="F3327" i="39"/>
  <c r="F3328" i="39"/>
  <c r="F3329" i="39"/>
  <c r="F3330" i="39"/>
  <c r="F3331" i="39"/>
  <c r="F3332" i="39"/>
  <c r="F3333" i="39"/>
  <c r="F3334" i="39"/>
  <c r="F3335" i="39"/>
  <c r="F3336" i="39"/>
  <c r="F3337" i="39"/>
  <c r="F3338" i="39"/>
  <c r="F3339" i="39"/>
  <c r="F3340" i="39"/>
  <c r="F3341" i="39"/>
  <c r="F3342" i="39"/>
  <c r="F3343" i="39"/>
  <c r="F3344" i="39"/>
  <c r="F3345" i="39"/>
  <c r="F3346" i="39"/>
  <c r="F3347" i="39"/>
  <c r="F3348" i="39"/>
  <c r="F3349" i="39"/>
  <c r="F3350" i="39"/>
  <c r="F3351" i="39"/>
  <c r="F3352" i="39"/>
  <c r="F3353" i="39"/>
  <c r="F3354" i="39"/>
  <c r="F3355" i="39"/>
  <c r="F3356" i="39"/>
  <c r="F3357" i="39"/>
  <c r="F3358" i="39"/>
  <c r="F3359" i="39"/>
  <c r="F3360" i="39"/>
  <c r="F3361" i="39"/>
  <c r="F3362" i="39"/>
  <c r="F3363" i="39"/>
  <c r="F3364" i="39"/>
  <c r="F3365" i="39"/>
  <c r="F3366" i="39"/>
  <c r="F3367" i="39"/>
  <c r="F3368" i="39"/>
  <c r="F3369" i="39"/>
  <c r="F3370" i="39"/>
  <c r="F3371" i="39"/>
  <c r="F3372" i="39"/>
  <c r="F3373" i="39"/>
  <c r="F3374" i="39"/>
  <c r="F3375" i="39"/>
  <c r="F3376" i="39"/>
  <c r="F3377" i="39"/>
  <c r="F3378" i="39"/>
  <c r="F3379" i="39"/>
  <c r="F3380" i="39"/>
  <c r="F3381" i="39"/>
  <c r="F3382" i="39"/>
  <c r="F3383" i="39"/>
  <c r="F3384" i="39"/>
  <c r="F3385" i="39"/>
  <c r="F3386" i="39"/>
  <c r="F3387" i="39"/>
  <c r="F3388" i="39"/>
  <c r="F3389" i="39"/>
  <c r="F3390" i="39"/>
  <c r="F3391" i="39"/>
  <c r="F3392" i="39"/>
  <c r="F3393" i="39"/>
  <c r="F3394" i="39"/>
  <c r="F3395" i="39"/>
  <c r="F3396" i="39"/>
  <c r="F3397" i="39"/>
  <c r="F3398" i="39"/>
  <c r="F3399" i="39"/>
  <c r="F3400" i="39"/>
  <c r="F3401" i="39"/>
  <c r="F3402" i="39"/>
  <c r="F3403" i="39"/>
  <c r="F3404" i="39"/>
  <c r="F3405" i="39"/>
  <c r="F3406" i="39"/>
  <c r="F3407" i="39"/>
  <c r="F3408" i="39"/>
  <c r="F3409" i="39"/>
  <c r="F3410" i="39"/>
  <c r="F3411" i="39"/>
  <c r="F3412" i="39"/>
  <c r="F3413" i="39"/>
  <c r="F3414" i="39"/>
  <c r="F3415" i="39"/>
  <c r="F3416" i="39"/>
  <c r="F3417" i="39"/>
  <c r="F3418" i="39"/>
  <c r="F3419" i="39"/>
  <c r="F3420" i="39"/>
  <c r="F3421" i="39"/>
  <c r="F3422" i="39"/>
  <c r="F3423" i="39"/>
  <c r="F3424" i="39"/>
  <c r="F3425" i="39"/>
  <c r="F3426" i="39"/>
  <c r="F3427" i="39"/>
  <c r="F3428" i="39"/>
  <c r="F3429" i="39"/>
  <c r="F3430" i="39"/>
  <c r="F3431" i="39"/>
  <c r="F3432" i="39"/>
  <c r="F3433" i="39"/>
  <c r="F3434" i="39"/>
  <c r="F3435" i="39"/>
  <c r="F3436" i="39"/>
  <c r="F3437" i="39"/>
  <c r="F3438" i="39"/>
  <c r="F3439" i="39"/>
  <c r="F3440" i="39"/>
  <c r="F3441" i="39"/>
  <c r="F3442" i="39"/>
  <c r="F3443" i="39"/>
  <c r="F3444" i="39"/>
  <c r="F3445" i="39"/>
  <c r="F3446" i="39"/>
  <c r="F3447" i="39"/>
  <c r="F3448" i="39"/>
  <c r="F3449" i="39"/>
  <c r="F3450" i="39"/>
  <c r="F3451" i="39"/>
  <c r="F3452" i="39"/>
  <c r="F3453" i="39"/>
  <c r="F3454" i="39"/>
  <c r="F3455" i="39"/>
  <c r="F3456" i="39"/>
  <c r="F3457" i="39"/>
  <c r="F3458" i="39"/>
  <c r="F3459" i="39"/>
  <c r="F3460" i="39"/>
  <c r="F3461" i="39"/>
  <c r="F3462" i="39"/>
  <c r="F3463" i="39"/>
  <c r="F3464" i="39"/>
  <c r="F3465" i="39"/>
  <c r="F3466" i="39"/>
  <c r="F3467" i="39"/>
  <c r="F3468" i="39"/>
  <c r="F3469" i="39"/>
  <c r="F3470" i="39"/>
  <c r="F3471" i="39"/>
  <c r="F3472" i="39"/>
  <c r="F3473" i="39"/>
  <c r="F3474" i="39"/>
  <c r="F3475" i="39"/>
  <c r="F3476" i="39"/>
  <c r="F3477" i="39"/>
  <c r="F3478" i="39"/>
  <c r="F3479" i="39"/>
  <c r="F3480" i="39"/>
  <c r="F3481" i="39"/>
  <c r="F3482" i="39"/>
  <c r="F3483" i="39"/>
  <c r="F3484" i="39"/>
  <c r="F3485" i="39"/>
  <c r="F3486" i="39"/>
  <c r="F3487" i="39"/>
  <c r="F3488" i="39"/>
  <c r="F3489" i="39"/>
  <c r="F3490" i="39"/>
  <c r="F3491" i="39"/>
  <c r="F3492" i="39"/>
  <c r="F3493" i="39"/>
  <c r="F3494" i="39"/>
  <c r="F3495" i="39"/>
  <c r="F3496" i="39"/>
  <c r="F3497" i="39"/>
  <c r="F3498" i="39"/>
  <c r="F3499" i="39"/>
  <c r="F3500" i="39"/>
  <c r="F3501" i="39"/>
  <c r="F3502" i="39"/>
  <c r="F3503" i="39"/>
  <c r="F3504" i="39"/>
  <c r="F3505" i="39"/>
  <c r="F3506" i="39"/>
  <c r="F3507" i="39"/>
  <c r="F3508" i="39"/>
  <c r="F3509" i="39"/>
  <c r="F3510" i="39"/>
  <c r="F3511" i="39"/>
  <c r="F3512" i="39"/>
  <c r="F3513" i="39"/>
  <c r="F3514" i="39"/>
  <c r="F3515" i="39"/>
  <c r="F3516" i="39"/>
  <c r="F3517" i="39"/>
  <c r="F3518" i="39"/>
  <c r="F3519" i="39"/>
  <c r="F3520" i="39"/>
  <c r="F3521" i="39"/>
  <c r="F3522" i="39"/>
  <c r="F3523" i="39"/>
  <c r="F3524" i="39"/>
  <c r="F3525" i="39"/>
  <c r="F3526" i="39"/>
  <c r="F3527" i="39"/>
  <c r="F3528" i="39"/>
  <c r="F3529" i="39"/>
  <c r="F3530" i="39"/>
  <c r="F3531" i="39"/>
  <c r="F3532" i="39"/>
  <c r="F3533" i="39"/>
  <c r="F3534" i="39"/>
  <c r="F3535" i="39"/>
  <c r="F3536" i="39"/>
  <c r="F3537" i="39"/>
  <c r="F3538" i="39"/>
  <c r="F3539" i="39"/>
  <c r="F3540" i="39"/>
  <c r="F3541" i="39"/>
  <c r="F3542" i="39"/>
  <c r="F3543" i="39"/>
  <c r="F3544" i="39"/>
  <c r="F3545" i="39"/>
  <c r="F3546" i="39"/>
  <c r="F3547" i="39"/>
  <c r="F3548" i="39"/>
  <c r="F3549" i="39"/>
  <c r="F3550" i="39"/>
  <c r="F3551" i="39"/>
  <c r="F3552" i="39"/>
  <c r="F3553" i="39"/>
  <c r="F3554" i="39"/>
  <c r="F3555" i="39"/>
  <c r="F3556" i="39"/>
  <c r="F3557" i="39"/>
  <c r="F3558" i="39"/>
  <c r="F3559" i="39"/>
  <c r="F3560" i="39"/>
  <c r="F3561" i="39"/>
  <c r="F3562" i="39"/>
  <c r="F3563" i="39"/>
  <c r="F3564" i="39"/>
  <c r="F3565" i="39"/>
  <c r="F3566" i="39"/>
  <c r="F3567" i="39"/>
  <c r="F3568" i="39"/>
  <c r="F3569" i="39"/>
  <c r="F3570" i="39"/>
  <c r="F3571" i="39"/>
  <c r="F3572" i="39"/>
  <c r="F3573" i="39"/>
  <c r="F3574" i="39"/>
  <c r="F3575" i="39"/>
  <c r="F3576" i="39"/>
  <c r="F3577" i="39"/>
  <c r="F3578" i="39"/>
  <c r="F3579" i="39"/>
  <c r="F3580" i="39"/>
  <c r="F3581" i="39"/>
  <c r="F3582" i="39"/>
  <c r="F3583" i="39"/>
  <c r="F3584" i="39"/>
  <c r="F3585" i="39"/>
  <c r="F3586" i="39"/>
  <c r="F3587" i="39"/>
  <c r="F3588" i="39"/>
  <c r="F3589" i="39"/>
  <c r="F3590" i="39"/>
  <c r="F3591" i="39"/>
  <c r="F3592" i="39"/>
  <c r="F3593" i="39"/>
  <c r="F3594" i="39"/>
  <c r="F3595" i="39"/>
  <c r="F3596" i="39"/>
  <c r="F3597" i="39"/>
  <c r="F3598" i="39"/>
  <c r="F3599" i="39"/>
  <c r="F3600" i="39"/>
  <c r="F3601" i="39"/>
  <c r="F3602" i="39"/>
  <c r="F3603" i="39"/>
  <c r="F3604" i="39"/>
  <c r="F3605" i="39"/>
  <c r="F3606" i="39"/>
  <c r="F3607" i="39"/>
  <c r="F3608" i="39"/>
  <c r="F3609" i="39"/>
  <c r="F3610" i="39"/>
  <c r="F3611" i="39"/>
  <c r="F3612" i="39"/>
  <c r="F3613" i="39"/>
  <c r="F3614" i="39"/>
  <c r="F3615" i="39"/>
  <c r="F3616" i="39"/>
  <c r="F3617" i="39"/>
  <c r="F3618" i="39"/>
  <c r="F3619" i="39"/>
  <c r="F3620" i="39"/>
  <c r="F3621" i="39"/>
  <c r="F3622" i="39"/>
  <c r="F3623" i="39"/>
  <c r="F3624" i="39"/>
  <c r="F3625" i="39"/>
  <c r="F3626" i="39"/>
  <c r="F3627" i="39"/>
  <c r="F3628" i="39"/>
  <c r="F3629" i="39"/>
  <c r="F3630" i="39"/>
  <c r="F3631" i="39"/>
  <c r="F3632" i="39"/>
  <c r="F3633" i="39"/>
  <c r="F3634" i="39"/>
  <c r="F3635" i="39"/>
  <c r="F3636" i="39"/>
  <c r="F3637" i="39"/>
  <c r="F3638" i="39"/>
  <c r="F3639" i="39"/>
  <c r="F3640" i="39"/>
  <c r="F3641" i="39"/>
  <c r="F3642" i="39"/>
  <c r="F3643" i="39"/>
  <c r="F3644" i="39"/>
  <c r="F3645" i="39"/>
  <c r="F3646" i="39"/>
  <c r="F3647" i="39"/>
  <c r="F3648" i="39"/>
  <c r="F3649" i="39"/>
  <c r="F3650" i="39"/>
  <c r="F3651" i="39"/>
  <c r="F3652" i="39"/>
  <c r="F3653" i="39"/>
  <c r="F3654" i="39"/>
  <c r="F3655" i="39"/>
  <c r="F3656" i="39"/>
  <c r="F3657" i="39"/>
  <c r="F3658" i="39"/>
  <c r="F3659" i="39"/>
  <c r="F3660" i="39"/>
  <c r="F3661" i="39"/>
  <c r="F3662" i="39"/>
  <c r="F3663" i="39"/>
  <c r="F3664" i="39"/>
  <c r="F3665" i="39"/>
  <c r="F3666" i="39"/>
  <c r="F3667" i="39"/>
  <c r="F3668" i="39"/>
  <c r="F3669" i="39"/>
  <c r="F3670" i="39"/>
  <c r="F3671" i="39"/>
  <c r="F3672" i="39"/>
  <c r="F3673" i="39"/>
  <c r="F3674" i="39"/>
  <c r="F3675" i="39"/>
  <c r="F3676" i="39"/>
  <c r="F3677" i="39"/>
  <c r="F3678" i="39"/>
  <c r="F3679" i="39"/>
  <c r="F3680" i="39"/>
  <c r="F3681" i="39"/>
  <c r="F3682" i="39"/>
  <c r="F3683" i="39"/>
  <c r="F3684" i="39"/>
  <c r="F3685" i="39"/>
  <c r="F3686" i="39"/>
  <c r="F3687" i="39"/>
  <c r="F3688" i="39"/>
  <c r="F3689" i="39"/>
  <c r="F3690" i="39"/>
  <c r="F3691" i="39"/>
  <c r="F3692" i="39"/>
  <c r="F3693" i="39"/>
  <c r="F3694" i="39"/>
  <c r="F3695" i="39"/>
  <c r="F3696" i="39"/>
  <c r="F3697" i="39"/>
  <c r="F3698" i="39"/>
  <c r="F3699" i="39"/>
  <c r="F3700" i="39"/>
  <c r="F3701" i="39"/>
  <c r="F3702" i="39"/>
  <c r="F3703" i="39"/>
  <c r="F3704" i="39"/>
  <c r="F3705" i="39"/>
  <c r="F3706" i="39"/>
  <c r="F3707" i="39"/>
  <c r="F3708" i="39"/>
  <c r="F3709" i="39"/>
  <c r="F3710" i="39"/>
  <c r="F3711" i="39"/>
  <c r="F3712" i="39"/>
  <c r="F3713" i="39"/>
  <c r="F3714" i="39"/>
  <c r="F3715" i="39"/>
  <c r="F3716" i="39"/>
  <c r="F3717" i="39"/>
  <c r="F3718" i="39"/>
  <c r="F3719" i="39"/>
  <c r="F3720" i="39"/>
  <c r="F3721" i="39"/>
  <c r="F3722" i="39"/>
  <c r="F3723" i="39"/>
  <c r="F3724" i="39"/>
  <c r="F3725" i="39"/>
  <c r="F3726" i="39"/>
  <c r="F3727" i="39"/>
  <c r="G2" i="39"/>
  <c r="G3" i="39"/>
  <c r="G4" i="39"/>
  <c r="G5" i="39"/>
  <c r="G6" i="39"/>
  <c r="G7" i="39"/>
  <c r="G8" i="39"/>
  <c r="G9" i="39"/>
  <c r="G10" i="39"/>
  <c r="G11" i="39"/>
  <c r="G12" i="39"/>
  <c r="G13" i="39"/>
  <c r="G14" i="39"/>
  <c r="G15" i="39"/>
  <c r="G16" i="39"/>
  <c r="G17" i="39"/>
  <c r="G18" i="39"/>
  <c r="G19" i="39"/>
  <c r="G20" i="39"/>
  <c r="G21" i="39"/>
  <c r="G22" i="39"/>
  <c r="G23" i="39"/>
  <c r="G24" i="39"/>
  <c r="G25" i="39"/>
  <c r="G26" i="39"/>
  <c r="G27" i="39"/>
  <c r="G28" i="39"/>
  <c r="G29" i="39"/>
  <c r="G30" i="39"/>
  <c r="G31" i="39"/>
  <c r="G32" i="39"/>
  <c r="G33" i="39"/>
  <c r="G34" i="39"/>
  <c r="G35" i="39"/>
  <c r="G36" i="39"/>
  <c r="G37" i="39"/>
  <c r="G38" i="39"/>
  <c r="G39" i="39"/>
  <c r="G40" i="39"/>
  <c r="G41" i="39"/>
  <c r="G42" i="39"/>
  <c r="G43" i="39"/>
  <c r="G44" i="39"/>
  <c r="G45" i="39"/>
  <c r="G46" i="39"/>
  <c r="G47" i="39"/>
  <c r="G48" i="39"/>
  <c r="G49" i="39"/>
  <c r="G50" i="39"/>
  <c r="G51" i="39"/>
  <c r="G52" i="39"/>
  <c r="G53" i="39"/>
  <c r="G54" i="39"/>
  <c r="G55" i="39"/>
  <c r="G56" i="39"/>
  <c r="G57" i="39"/>
  <c r="G58" i="39"/>
  <c r="G59" i="39"/>
  <c r="G60" i="39"/>
  <c r="G61" i="39"/>
  <c r="G62" i="39"/>
  <c r="G63" i="39"/>
  <c r="G64" i="39"/>
  <c r="G65" i="39"/>
  <c r="G66" i="39"/>
  <c r="G67" i="39"/>
  <c r="G68" i="39"/>
  <c r="G69" i="39"/>
  <c r="G70" i="39"/>
  <c r="G71" i="39"/>
  <c r="G72" i="39"/>
  <c r="G73" i="39"/>
  <c r="G74" i="39"/>
  <c r="G75" i="39"/>
  <c r="G76" i="39"/>
  <c r="G77" i="39"/>
  <c r="G78" i="39"/>
  <c r="G79" i="39"/>
  <c r="G80" i="39"/>
  <c r="G81" i="39"/>
  <c r="G82" i="39"/>
  <c r="G83" i="39"/>
  <c r="G84" i="39"/>
  <c r="G85" i="39"/>
  <c r="G86" i="39"/>
  <c r="G87" i="39"/>
  <c r="G88" i="39"/>
  <c r="G89" i="39"/>
  <c r="G90" i="39"/>
  <c r="G91" i="39"/>
  <c r="G92" i="39"/>
  <c r="G93" i="39"/>
  <c r="G94" i="39"/>
  <c r="G95" i="39"/>
  <c r="G96" i="39"/>
  <c r="G97" i="39"/>
  <c r="G98" i="39"/>
  <c r="G99" i="39"/>
  <c r="G100" i="39"/>
  <c r="G101" i="39"/>
  <c r="G102" i="39"/>
  <c r="G103" i="39"/>
  <c r="G104" i="39"/>
  <c r="G105" i="39"/>
  <c r="G106" i="39"/>
  <c r="G107" i="39"/>
  <c r="G108" i="39"/>
  <c r="G109" i="39"/>
  <c r="G110" i="39"/>
  <c r="G111" i="39"/>
  <c r="G112" i="39"/>
  <c r="G113" i="39"/>
  <c r="G114" i="39"/>
  <c r="G115" i="39"/>
  <c r="G116" i="39"/>
  <c r="G117" i="39"/>
  <c r="G118" i="39"/>
  <c r="G119" i="39"/>
  <c r="G120" i="39"/>
  <c r="G121" i="39"/>
  <c r="G122" i="39"/>
  <c r="G123" i="39"/>
  <c r="G124" i="39"/>
  <c r="G125" i="39"/>
  <c r="G126" i="39"/>
  <c r="G127" i="39"/>
  <c r="G128" i="39"/>
  <c r="G129" i="39"/>
  <c r="G130" i="39"/>
  <c r="G131" i="39"/>
  <c r="G132" i="39"/>
  <c r="G133" i="39"/>
  <c r="G134" i="39"/>
  <c r="G135" i="39"/>
  <c r="G136" i="39"/>
  <c r="G137" i="39"/>
  <c r="G138" i="39"/>
  <c r="G139" i="39"/>
  <c r="G140" i="39"/>
  <c r="G141" i="39"/>
  <c r="G142" i="39"/>
  <c r="G143" i="39"/>
  <c r="G144" i="39"/>
  <c r="G145" i="39"/>
  <c r="G146" i="39"/>
  <c r="G147" i="39"/>
  <c r="G148" i="39"/>
  <c r="G149" i="39"/>
  <c r="G150" i="39"/>
  <c r="G151" i="39"/>
  <c r="G152" i="39"/>
  <c r="G153" i="39"/>
  <c r="G154" i="39"/>
  <c r="G155" i="39"/>
  <c r="G156" i="39"/>
  <c r="G157" i="39"/>
  <c r="G158" i="39"/>
  <c r="G159" i="39"/>
  <c r="G160" i="39"/>
  <c r="G161" i="39"/>
  <c r="G162" i="39"/>
  <c r="G163" i="39"/>
  <c r="G164" i="39"/>
  <c r="G165" i="39"/>
  <c r="G166" i="39"/>
  <c r="G167" i="39"/>
  <c r="G168" i="39"/>
  <c r="G169" i="39"/>
  <c r="G170" i="39"/>
  <c r="G171" i="39"/>
  <c r="G172" i="39"/>
  <c r="G173" i="39"/>
  <c r="G174" i="39"/>
  <c r="G175" i="39"/>
  <c r="G176" i="39"/>
  <c r="G177" i="39"/>
  <c r="G178" i="39"/>
  <c r="G179" i="39"/>
  <c r="G180" i="39"/>
  <c r="G181" i="39"/>
  <c r="G182" i="39"/>
  <c r="G183" i="39"/>
  <c r="G184" i="39"/>
  <c r="G185" i="39"/>
  <c r="G186" i="39"/>
  <c r="G187" i="39"/>
  <c r="G188" i="39"/>
  <c r="G189" i="39"/>
  <c r="G190" i="39"/>
  <c r="G191" i="39"/>
  <c r="G192" i="39"/>
  <c r="G193" i="39"/>
  <c r="G194" i="39"/>
  <c r="G195" i="39"/>
  <c r="G196" i="39"/>
  <c r="G197" i="39"/>
  <c r="G198" i="39"/>
  <c r="G199" i="39"/>
  <c r="G200" i="39"/>
  <c r="G201" i="39"/>
  <c r="G202" i="39"/>
  <c r="G203" i="39"/>
  <c r="G204" i="39"/>
  <c r="G205" i="39"/>
  <c r="G206" i="39"/>
  <c r="G207" i="39"/>
  <c r="G208" i="39"/>
  <c r="G209" i="39"/>
  <c r="G210" i="39"/>
  <c r="G211" i="39"/>
  <c r="G212" i="39"/>
  <c r="G213" i="39"/>
  <c r="G214" i="39"/>
  <c r="G215" i="39"/>
  <c r="G216" i="39"/>
  <c r="G217" i="39"/>
  <c r="G218" i="39"/>
  <c r="G219" i="39"/>
  <c r="G220" i="39"/>
  <c r="G221" i="39"/>
  <c r="G222" i="39"/>
  <c r="G223" i="39"/>
  <c r="G224" i="39"/>
  <c r="G225" i="39"/>
  <c r="G226" i="39"/>
  <c r="G227" i="39"/>
  <c r="G228" i="39"/>
  <c r="G229" i="39"/>
  <c r="G230" i="39"/>
  <c r="G231" i="39"/>
  <c r="G232" i="39"/>
  <c r="G233" i="39"/>
  <c r="G234" i="39"/>
  <c r="G235" i="39"/>
  <c r="G236" i="39"/>
  <c r="G237" i="39"/>
  <c r="G238" i="39"/>
  <c r="G239" i="39"/>
  <c r="G240" i="39"/>
  <c r="G241" i="39"/>
  <c r="G242" i="39"/>
  <c r="G243" i="39"/>
  <c r="G244" i="39"/>
  <c r="G245" i="39"/>
  <c r="G246" i="39"/>
  <c r="G247" i="39"/>
  <c r="G248" i="39"/>
  <c r="G249" i="39"/>
  <c r="G250" i="39"/>
  <c r="G251" i="39"/>
  <c r="G252" i="39"/>
  <c r="G253" i="39"/>
  <c r="G254" i="39"/>
  <c r="G255" i="39"/>
  <c r="G256" i="39"/>
  <c r="G257" i="39"/>
  <c r="G258" i="39"/>
  <c r="G259" i="39"/>
  <c r="G260" i="39"/>
  <c r="G261" i="39"/>
  <c r="G262" i="39"/>
  <c r="G263" i="39"/>
  <c r="G264" i="39"/>
  <c r="G265" i="39"/>
  <c r="G266" i="39"/>
  <c r="G267" i="39"/>
  <c r="G268" i="39"/>
  <c r="G269" i="39"/>
  <c r="G270" i="39"/>
  <c r="G271" i="39"/>
  <c r="G272" i="39"/>
  <c r="G273" i="39"/>
  <c r="G274" i="39"/>
  <c r="G275" i="39"/>
  <c r="G276" i="39"/>
  <c r="G277" i="39"/>
  <c r="G278" i="39"/>
  <c r="G279" i="39"/>
  <c r="G280" i="39"/>
  <c r="G281" i="39"/>
  <c r="G282" i="39"/>
  <c r="G283" i="39"/>
  <c r="G284" i="39"/>
  <c r="G285" i="39"/>
  <c r="G286" i="39"/>
  <c r="G287" i="39"/>
  <c r="G288" i="39"/>
  <c r="G289" i="39"/>
  <c r="G290" i="39"/>
  <c r="G291" i="39"/>
  <c r="G292" i="39"/>
  <c r="G293" i="39"/>
  <c r="G294" i="39"/>
  <c r="G295" i="39"/>
  <c r="G296" i="39"/>
  <c r="G297" i="39"/>
  <c r="G298" i="39"/>
  <c r="G299" i="39"/>
  <c r="G300" i="39"/>
  <c r="G301" i="39"/>
  <c r="G302" i="39"/>
  <c r="G303" i="39"/>
  <c r="G304" i="39"/>
  <c r="G305" i="39"/>
  <c r="G306" i="39"/>
  <c r="G307" i="39"/>
  <c r="G308" i="39"/>
  <c r="G309" i="39"/>
  <c r="G310" i="39"/>
  <c r="G311" i="39"/>
  <c r="G312" i="39"/>
  <c r="G313" i="39"/>
  <c r="G314" i="39"/>
  <c r="G315" i="39"/>
  <c r="G316" i="39"/>
  <c r="G317" i="39"/>
  <c r="G318" i="39"/>
  <c r="G319" i="39"/>
  <c r="G320" i="39"/>
  <c r="G321" i="39"/>
  <c r="G322" i="39"/>
  <c r="G323" i="39"/>
  <c r="G324" i="39"/>
  <c r="G325" i="39"/>
  <c r="G326" i="39"/>
  <c r="G327" i="39"/>
  <c r="G328" i="39"/>
  <c r="G329" i="39"/>
  <c r="G330" i="39"/>
  <c r="G331" i="39"/>
  <c r="G332" i="39"/>
  <c r="G333" i="39"/>
  <c r="G334" i="39"/>
  <c r="G335" i="39"/>
  <c r="G336" i="39"/>
  <c r="G337" i="39"/>
  <c r="G338" i="39"/>
  <c r="G339" i="39"/>
  <c r="G340" i="39"/>
  <c r="G341" i="39"/>
  <c r="G342" i="39"/>
  <c r="G343" i="39"/>
  <c r="G344" i="39"/>
  <c r="G345" i="39"/>
  <c r="G346" i="39"/>
  <c r="G347" i="39"/>
  <c r="G348" i="39"/>
  <c r="G349" i="39"/>
  <c r="G350" i="39"/>
  <c r="G351" i="39"/>
  <c r="G352" i="39"/>
  <c r="G353" i="39"/>
  <c r="G354" i="39"/>
  <c r="G355" i="39"/>
  <c r="G356" i="39"/>
  <c r="G357" i="39"/>
  <c r="G358" i="39"/>
  <c r="G359" i="39"/>
  <c r="G360" i="39"/>
  <c r="G361" i="39"/>
  <c r="G362" i="39"/>
  <c r="G363" i="39"/>
  <c r="G364" i="39"/>
  <c r="G365" i="39"/>
  <c r="G366" i="39"/>
  <c r="G367" i="39"/>
  <c r="G368" i="39"/>
  <c r="G369" i="39"/>
  <c r="G370" i="39"/>
  <c r="G371" i="39"/>
  <c r="G372" i="39"/>
  <c r="G373" i="39"/>
  <c r="G374" i="39"/>
  <c r="G375" i="39"/>
  <c r="G376" i="39"/>
  <c r="G377" i="39"/>
  <c r="G378" i="39"/>
  <c r="G379" i="39"/>
  <c r="G380" i="39"/>
  <c r="G381" i="39"/>
  <c r="G382" i="39"/>
  <c r="G383" i="39"/>
  <c r="G384" i="39"/>
  <c r="G385" i="39"/>
  <c r="G386" i="39"/>
  <c r="G387" i="39"/>
  <c r="G388" i="39"/>
  <c r="G389" i="39"/>
  <c r="G390" i="39"/>
  <c r="G391" i="39"/>
  <c r="G392" i="39"/>
  <c r="G393" i="39"/>
  <c r="G394" i="39"/>
  <c r="G395" i="39"/>
  <c r="G396" i="39"/>
  <c r="G397" i="39"/>
  <c r="G398" i="39"/>
  <c r="G399" i="39"/>
  <c r="G400" i="39"/>
  <c r="G401" i="39"/>
  <c r="G402" i="39"/>
  <c r="G403" i="39"/>
  <c r="G404" i="39"/>
  <c r="G405" i="39"/>
  <c r="G406" i="39"/>
  <c r="G407" i="39"/>
  <c r="G408" i="39"/>
  <c r="G409" i="39"/>
  <c r="G410" i="39"/>
  <c r="G411" i="39"/>
  <c r="G412" i="39"/>
  <c r="G413" i="39"/>
  <c r="G414" i="39"/>
  <c r="G415" i="39"/>
  <c r="G416" i="39"/>
  <c r="G417" i="39"/>
  <c r="G418" i="39"/>
  <c r="G419" i="39"/>
  <c r="G420" i="39"/>
  <c r="G421" i="39"/>
  <c r="G422" i="39"/>
  <c r="G423" i="39"/>
  <c r="G424" i="39"/>
  <c r="G425" i="39"/>
  <c r="G426" i="39"/>
  <c r="G427" i="39"/>
  <c r="G428" i="39"/>
  <c r="G429" i="39"/>
  <c r="G430" i="39"/>
  <c r="G431" i="39"/>
  <c r="G432" i="39"/>
  <c r="G433" i="39"/>
  <c r="G434" i="39"/>
  <c r="G435" i="39"/>
  <c r="G436" i="39"/>
  <c r="G437" i="39"/>
  <c r="G438" i="39"/>
  <c r="G439" i="39"/>
  <c r="G440" i="39"/>
  <c r="G441" i="39"/>
  <c r="G442" i="39"/>
  <c r="G443" i="39"/>
  <c r="G444" i="39"/>
  <c r="G445" i="39"/>
  <c r="G446" i="39"/>
  <c r="G447" i="39"/>
  <c r="G448" i="39"/>
  <c r="G449" i="39"/>
  <c r="G450" i="39"/>
  <c r="G451" i="39"/>
  <c r="G452" i="39"/>
  <c r="G453" i="39"/>
  <c r="G454" i="39"/>
  <c r="G455" i="39"/>
  <c r="G456" i="39"/>
  <c r="G457" i="39"/>
  <c r="G458" i="39"/>
  <c r="G459" i="39"/>
  <c r="G460" i="39"/>
  <c r="G461" i="39"/>
  <c r="G462" i="39"/>
  <c r="G463" i="39"/>
  <c r="G464" i="39"/>
  <c r="G465" i="39"/>
  <c r="G466" i="39"/>
  <c r="G467" i="39"/>
  <c r="G468" i="39"/>
  <c r="G469" i="39"/>
  <c r="G470" i="39"/>
  <c r="G471" i="39"/>
  <c r="G472" i="39"/>
  <c r="G473" i="39"/>
  <c r="G474" i="39"/>
  <c r="G475" i="39"/>
  <c r="G476" i="39"/>
  <c r="G477" i="39"/>
  <c r="G478" i="39"/>
  <c r="G479" i="39"/>
  <c r="G480" i="39"/>
  <c r="G481" i="39"/>
  <c r="G482" i="39"/>
  <c r="G483" i="39"/>
  <c r="G484" i="39"/>
  <c r="G485" i="39"/>
  <c r="G486" i="39"/>
  <c r="G487" i="39"/>
  <c r="G488" i="39"/>
  <c r="G489" i="39"/>
  <c r="G490" i="39"/>
  <c r="G491" i="39"/>
  <c r="G492" i="39"/>
  <c r="G493" i="39"/>
  <c r="G494" i="39"/>
  <c r="G495" i="39"/>
  <c r="G496" i="39"/>
  <c r="G497" i="39"/>
  <c r="G498" i="39"/>
  <c r="G499" i="39"/>
  <c r="G500" i="39"/>
  <c r="G501" i="39"/>
  <c r="G502" i="39"/>
  <c r="G503" i="39"/>
  <c r="G504" i="39"/>
  <c r="G505" i="39"/>
  <c r="G506" i="39"/>
  <c r="G507" i="39"/>
  <c r="G508" i="39"/>
  <c r="G509" i="39"/>
  <c r="G510" i="39"/>
  <c r="G511" i="39"/>
  <c r="G512" i="39"/>
  <c r="G513" i="39"/>
  <c r="G514" i="39"/>
  <c r="G515" i="39"/>
  <c r="G516" i="39"/>
  <c r="G517" i="39"/>
  <c r="G518" i="39"/>
  <c r="G519" i="39"/>
  <c r="G520" i="39"/>
  <c r="G521" i="39"/>
  <c r="G522" i="39"/>
  <c r="G523" i="39"/>
  <c r="G524" i="39"/>
  <c r="G525" i="39"/>
  <c r="G526" i="39"/>
  <c r="G527" i="39"/>
  <c r="G528" i="39"/>
  <c r="G529" i="39"/>
  <c r="G530" i="39"/>
  <c r="G531" i="39"/>
  <c r="G532" i="39"/>
  <c r="G533" i="39"/>
  <c r="G534" i="39"/>
  <c r="G535" i="39"/>
  <c r="G536" i="39"/>
  <c r="G537" i="39"/>
  <c r="G538" i="39"/>
  <c r="G539" i="39"/>
  <c r="G540" i="39"/>
  <c r="G541" i="39"/>
  <c r="G542" i="39"/>
  <c r="G543" i="39"/>
  <c r="G544" i="39"/>
  <c r="G545" i="39"/>
  <c r="G546" i="39"/>
  <c r="G547" i="39"/>
  <c r="G548" i="39"/>
  <c r="G549" i="39"/>
  <c r="G550" i="39"/>
  <c r="G551" i="39"/>
  <c r="G552" i="39"/>
  <c r="G553" i="39"/>
  <c r="G554" i="39"/>
  <c r="G555" i="39"/>
  <c r="G556" i="39"/>
  <c r="G557" i="39"/>
  <c r="G558" i="39"/>
  <c r="G559" i="39"/>
  <c r="G560" i="39"/>
  <c r="G561" i="39"/>
  <c r="G562" i="39"/>
  <c r="G563" i="39"/>
  <c r="G564" i="39"/>
  <c r="G565" i="39"/>
  <c r="G566" i="39"/>
  <c r="G567" i="39"/>
  <c r="G568" i="39"/>
  <c r="G569" i="39"/>
  <c r="G570" i="39"/>
  <c r="G571" i="39"/>
  <c r="G572" i="39"/>
  <c r="G573" i="39"/>
  <c r="G574" i="39"/>
  <c r="G575" i="39"/>
  <c r="G576" i="39"/>
  <c r="G577" i="39"/>
  <c r="G578" i="39"/>
  <c r="G579" i="39"/>
  <c r="G580" i="39"/>
  <c r="G581" i="39"/>
  <c r="G582" i="39"/>
  <c r="G583" i="39"/>
  <c r="G584" i="39"/>
  <c r="G585" i="39"/>
  <c r="G586" i="39"/>
  <c r="G587" i="39"/>
  <c r="G588" i="39"/>
  <c r="G589" i="39"/>
  <c r="G590" i="39"/>
  <c r="G591" i="39"/>
  <c r="G592" i="39"/>
  <c r="G593" i="39"/>
  <c r="G594" i="39"/>
  <c r="G595" i="39"/>
  <c r="G596" i="39"/>
  <c r="G597" i="39"/>
  <c r="G598" i="39"/>
  <c r="G599" i="39"/>
  <c r="G600" i="39"/>
  <c r="G601" i="39"/>
  <c r="G602" i="39"/>
  <c r="G603" i="39"/>
  <c r="G604" i="39"/>
  <c r="G605" i="39"/>
  <c r="G606" i="39"/>
  <c r="G607" i="39"/>
  <c r="G608" i="39"/>
  <c r="G609" i="39"/>
  <c r="G610" i="39"/>
  <c r="G611" i="39"/>
  <c r="G612" i="39"/>
  <c r="G613" i="39"/>
  <c r="G614" i="39"/>
  <c r="G615" i="39"/>
  <c r="G616" i="39"/>
  <c r="G617" i="39"/>
  <c r="G618" i="39"/>
  <c r="G619" i="39"/>
  <c r="G620" i="39"/>
  <c r="G621" i="39"/>
  <c r="G622" i="39"/>
  <c r="G623" i="39"/>
  <c r="G624" i="39"/>
  <c r="G625" i="39"/>
  <c r="G626" i="39"/>
  <c r="G627" i="39"/>
  <c r="G628" i="39"/>
  <c r="G629" i="39"/>
  <c r="G630" i="39"/>
  <c r="G631" i="39"/>
  <c r="G632" i="39"/>
  <c r="G633" i="39"/>
  <c r="G634" i="39"/>
  <c r="G635" i="39"/>
  <c r="G636" i="39"/>
  <c r="G637" i="39"/>
  <c r="G638" i="39"/>
  <c r="G639" i="39"/>
  <c r="G640" i="39"/>
  <c r="G641" i="39"/>
  <c r="G642" i="39"/>
  <c r="G643" i="39"/>
  <c r="G644" i="39"/>
  <c r="G645" i="39"/>
  <c r="G646" i="39"/>
  <c r="G647" i="39"/>
  <c r="G648" i="39"/>
  <c r="G649" i="39"/>
  <c r="G650" i="39"/>
  <c r="G651" i="39"/>
  <c r="G652" i="39"/>
  <c r="G653" i="39"/>
  <c r="G654" i="39"/>
  <c r="G655" i="39"/>
  <c r="G656" i="39"/>
  <c r="G657" i="39"/>
  <c r="G658" i="39"/>
  <c r="G659" i="39"/>
  <c r="G660" i="39"/>
  <c r="G661" i="39"/>
  <c r="G662" i="39"/>
  <c r="G663" i="39"/>
  <c r="G664" i="39"/>
  <c r="G665" i="39"/>
  <c r="G666" i="39"/>
  <c r="G667" i="39"/>
  <c r="G668" i="39"/>
  <c r="G669" i="39"/>
  <c r="G670" i="39"/>
  <c r="G671" i="39"/>
  <c r="G672" i="39"/>
  <c r="G673" i="39"/>
  <c r="G674" i="39"/>
  <c r="G675" i="39"/>
  <c r="G676" i="39"/>
  <c r="G677" i="39"/>
  <c r="G678" i="39"/>
  <c r="G679" i="39"/>
  <c r="G680" i="39"/>
  <c r="G681" i="39"/>
  <c r="G682" i="39"/>
  <c r="G683" i="39"/>
  <c r="G684" i="39"/>
  <c r="G685" i="39"/>
  <c r="G686" i="39"/>
  <c r="G687" i="39"/>
  <c r="G688" i="39"/>
  <c r="G689" i="39"/>
  <c r="G690" i="39"/>
  <c r="G691" i="39"/>
  <c r="G692" i="39"/>
  <c r="G693" i="39"/>
  <c r="G694" i="39"/>
  <c r="G695" i="39"/>
  <c r="G696" i="39"/>
  <c r="G697" i="39"/>
  <c r="G698" i="39"/>
  <c r="G699" i="39"/>
  <c r="G700" i="39"/>
  <c r="G701" i="39"/>
  <c r="G702" i="39"/>
  <c r="G703" i="39"/>
  <c r="G704" i="39"/>
  <c r="G705" i="39"/>
  <c r="G706" i="39"/>
  <c r="G707" i="39"/>
  <c r="G708" i="39"/>
  <c r="G709" i="39"/>
  <c r="G710" i="39"/>
  <c r="G711" i="39"/>
  <c r="G712" i="39"/>
  <c r="G713" i="39"/>
  <c r="G714" i="39"/>
  <c r="G715" i="39"/>
  <c r="G716" i="39"/>
  <c r="G717" i="39"/>
  <c r="G718" i="39"/>
  <c r="G719" i="39"/>
  <c r="G720" i="39"/>
  <c r="G721" i="39"/>
  <c r="G722" i="39"/>
  <c r="G723" i="39"/>
  <c r="G724" i="39"/>
  <c r="G725" i="39"/>
  <c r="G726" i="39"/>
  <c r="G727" i="39"/>
  <c r="G728" i="39"/>
  <c r="G729" i="39"/>
  <c r="G730" i="39"/>
  <c r="G731" i="39"/>
  <c r="G732" i="39"/>
  <c r="G733" i="39"/>
  <c r="G734" i="39"/>
  <c r="G735" i="39"/>
  <c r="G736" i="39"/>
  <c r="G737" i="39"/>
  <c r="G738" i="39"/>
  <c r="G739" i="39"/>
  <c r="G740" i="39"/>
  <c r="G741" i="39"/>
  <c r="G742" i="39"/>
  <c r="G743" i="39"/>
  <c r="G744" i="39"/>
  <c r="G745" i="39"/>
  <c r="G746" i="39"/>
  <c r="G747" i="39"/>
  <c r="G748" i="39"/>
  <c r="G749" i="39"/>
  <c r="G750" i="39"/>
  <c r="G751" i="39"/>
  <c r="G752" i="39"/>
  <c r="G753" i="39"/>
  <c r="G754" i="39"/>
  <c r="G755" i="39"/>
  <c r="G756" i="39"/>
  <c r="G757" i="39"/>
  <c r="G758" i="39"/>
  <c r="G759" i="39"/>
  <c r="G760" i="39"/>
  <c r="G761" i="39"/>
  <c r="G762" i="39"/>
  <c r="G763" i="39"/>
  <c r="G764" i="39"/>
  <c r="G765" i="39"/>
  <c r="G766" i="39"/>
  <c r="G767" i="39"/>
  <c r="G768" i="39"/>
  <c r="G769" i="39"/>
  <c r="G770" i="39"/>
  <c r="G771" i="39"/>
  <c r="G772" i="39"/>
  <c r="G773" i="39"/>
  <c r="G774" i="39"/>
  <c r="G775" i="39"/>
  <c r="G776" i="39"/>
  <c r="G777" i="39"/>
  <c r="G778" i="39"/>
  <c r="G779" i="39"/>
  <c r="G780" i="39"/>
  <c r="G781" i="39"/>
  <c r="G782" i="39"/>
  <c r="G783" i="39"/>
  <c r="G784" i="39"/>
  <c r="G785" i="39"/>
  <c r="G786" i="39"/>
  <c r="G787" i="39"/>
  <c r="G788" i="39"/>
  <c r="G789" i="39"/>
  <c r="G790" i="39"/>
  <c r="G791" i="39"/>
  <c r="G792" i="39"/>
  <c r="G793" i="39"/>
  <c r="G794" i="39"/>
  <c r="G795" i="39"/>
  <c r="G796" i="39"/>
  <c r="G797" i="39"/>
  <c r="G798" i="39"/>
  <c r="G799" i="39"/>
  <c r="G800" i="39"/>
  <c r="G801" i="39"/>
  <c r="G802" i="39"/>
  <c r="G803" i="39"/>
  <c r="G804" i="39"/>
  <c r="G805" i="39"/>
  <c r="G806" i="39"/>
  <c r="G807" i="39"/>
  <c r="G808" i="39"/>
  <c r="G809" i="39"/>
  <c r="G810" i="39"/>
  <c r="G811" i="39"/>
  <c r="G812" i="39"/>
  <c r="G813" i="39"/>
  <c r="G814" i="39"/>
  <c r="G815" i="39"/>
  <c r="G816" i="39"/>
  <c r="G817" i="39"/>
  <c r="G818" i="39"/>
  <c r="G819" i="39"/>
  <c r="G820" i="39"/>
  <c r="G821" i="39"/>
  <c r="G822" i="39"/>
  <c r="G823" i="39"/>
  <c r="G824" i="39"/>
  <c r="G825" i="39"/>
  <c r="G826" i="39"/>
  <c r="G827" i="39"/>
  <c r="G828" i="39"/>
  <c r="G829" i="39"/>
  <c r="G830" i="39"/>
  <c r="G831" i="39"/>
  <c r="G832" i="39"/>
  <c r="G833" i="39"/>
  <c r="G834" i="39"/>
  <c r="G835" i="39"/>
  <c r="G836" i="39"/>
  <c r="G837" i="39"/>
  <c r="G838" i="39"/>
  <c r="G839" i="39"/>
  <c r="G840" i="39"/>
  <c r="G841" i="39"/>
  <c r="G842" i="39"/>
  <c r="G843" i="39"/>
  <c r="G844" i="39"/>
  <c r="G845" i="39"/>
  <c r="G846" i="39"/>
  <c r="G847" i="39"/>
  <c r="G848" i="39"/>
  <c r="G849" i="39"/>
  <c r="G850" i="39"/>
  <c r="G851" i="39"/>
  <c r="G852" i="39"/>
  <c r="G853" i="39"/>
  <c r="G854" i="39"/>
  <c r="G855" i="39"/>
  <c r="G856" i="39"/>
  <c r="G857" i="39"/>
  <c r="G858" i="39"/>
  <c r="G859" i="39"/>
  <c r="G860" i="39"/>
  <c r="G861" i="39"/>
  <c r="G862" i="39"/>
  <c r="G863" i="39"/>
  <c r="G864" i="39"/>
  <c r="G865" i="39"/>
  <c r="G866" i="39"/>
  <c r="G867" i="39"/>
  <c r="G868" i="39"/>
  <c r="G869" i="39"/>
  <c r="G870" i="39"/>
  <c r="G871" i="39"/>
  <c r="G872" i="39"/>
  <c r="G873" i="39"/>
  <c r="G874" i="39"/>
  <c r="G875" i="39"/>
  <c r="G876" i="39"/>
  <c r="G877" i="39"/>
  <c r="G878" i="39"/>
  <c r="G879" i="39"/>
  <c r="G880" i="39"/>
  <c r="G881" i="39"/>
  <c r="G882" i="39"/>
  <c r="G883" i="39"/>
  <c r="G884" i="39"/>
  <c r="G885" i="39"/>
  <c r="G886" i="39"/>
  <c r="G887" i="39"/>
  <c r="G888" i="39"/>
  <c r="G889" i="39"/>
  <c r="G890" i="39"/>
  <c r="G891" i="39"/>
  <c r="G892" i="39"/>
  <c r="G893" i="39"/>
  <c r="G894" i="39"/>
  <c r="G895" i="39"/>
  <c r="G896" i="39"/>
  <c r="G897" i="39"/>
  <c r="G898" i="39"/>
  <c r="G899" i="39"/>
  <c r="G900" i="39"/>
  <c r="G901" i="39"/>
  <c r="G902" i="39"/>
  <c r="G903" i="39"/>
  <c r="G904" i="39"/>
  <c r="G905" i="39"/>
  <c r="G906" i="39"/>
  <c r="G907" i="39"/>
  <c r="G908" i="39"/>
  <c r="G909" i="39"/>
  <c r="G910" i="39"/>
  <c r="G911" i="39"/>
  <c r="G912" i="39"/>
  <c r="G913" i="39"/>
  <c r="G914" i="39"/>
  <c r="G915" i="39"/>
  <c r="G916" i="39"/>
  <c r="G917" i="39"/>
  <c r="G918" i="39"/>
  <c r="G919" i="39"/>
  <c r="G920" i="39"/>
  <c r="G921" i="39"/>
  <c r="G922" i="39"/>
  <c r="G923" i="39"/>
  <c r="G924" i="39"/>
  <c r="G925" i="39"/>
  <c r="G926" i="39"/>
  <c r="G927" i="39"/>
  <c r="G928" i="39"/>
  <c r="G929" i="39"/>
  <c r="G930" i="39"/>
  <c r="G931" i="39"/>
  <c r="G932" i="39"/>
  <c r="G933" i="39"/>
  <c r="G934" i="39"/>
  <c r="G935" i="39"/>
  <c r="G936" i="39"/>
  <c r="G937" i="39"/>
  <c r="G938" i="39"/>
  <c r="G939" i="39"/>
  <c r="G940" i="39"/>
  <c r="G941" i="39"/>
  <c r="G942" i="39"/>
  <c r="G943" i="39"/>
  <c r="G944" i="39"/>
  <c r="G945" i="39"/>
  <c r="G946" i="39"/>
  <c r="G947" i="39"/>
  <c r="G948" i="39"/>
  <c r="G949" i="39"/>
  <c r="G950" i="39"/>
  <c r="G951" i="39"/>
  <c r="G952" i="39"/>
  <c r="G953" i="39"/>
  <c r="G954" i="39"/>
  <c r="G955" i="39"/>
  <c r="G956" i="39"/>
  <c r="G957" i="39"/>
  <c r="G958" i="39"/>
  <c r="G959" i="39"/>
  <c r="G960" i="39"/>
  <c r="G961" i="39"/>
  <c r="G962" i="39"/>
  <c r="G963" i="39"/>
  <c r="G964" i="39"/>
  <c r="G965" i="39"/>
  <c r="G966" i="39"/>
  <c r="G967" i="39"/>
  <c r="G968" i="39"/>
  <c r="G969" i="39"/>
  <c r="G970" i="39"/>
  <c r="G971" i="39"/>
  <c r="G972" i="39"/>
  <c r="G973" i="39"/>
  <c r="G974" i="39"/>
  <c r="G975" i="39"/>
  <c r="G976" i="39"/>
  <c r="G977" i="39"/>
  <c r="G978" i="39"/>
  <c r="G979" i="39"/>
  <c r="G980" i="39"/>
  <c r="G981" i="39"/>
  <c r="G982" i="39"/>
  <c r="G983" i="39"/>
  <c r="G984" i="39"/>
  <c r="G985" i="39"/>
  <c r="G986" i="39"/>
  <c r="G987" i="39"/>
  <c r="G988" i="39"/>
  <c r="G989" i="39"/>
  <c r="G990" i="39"/>
  <c r="G991" i="39"/>
  <c r="G992" i="39"/>
  <c r="G993" i="39"/>
  <c r="G994" i="39"/>
  <c r="G995" i="39"/>
  <c r="G996" i="39"/>
  <c r="G997" i="39"/>
  <c r="G998" i="39"/>
  <c r="G999" i="39"/>
  <c r="G1000" i="39"/>
  <c r="G1001" i="39"/>
  <c r="G1002" i="39"/>
  <c r="G1003" i="39"/>
  <c r="G1004" i="39"/>
  <c r="G1005" i="39"/>
  <c r="G1006" i="39"/>
  <c r="G1007" i="39"/>
  <c r="G1008" i="39"/>
  <c r="G1009" i="39"/>
  <c r="G1010" i="39"/>
  <c r="G1011" i="39"/>
  <c r="G1012" i="39"/>
  <c r="G1013" i="39"/>
  <c r="G1014" i="39"/>
  <c r="G1015" i="39"/>
  <c r="G1016" i="39"/>
  <c r="G1017" i="39"/>
  <c r="G1018" i="39"/>
  <c r="G1019" i="39"/>
  <c r="G1020" i="39"/>
  <c r="G1021" i="39"/>
  <c r="G1022" i="39"/>
  <c r="G1023" i="39"/>
  <c r="G1024" i="39"/>
  <c r="G1025" i="39"/>
  <c r="G1026" i="39"/>
  <c r="G1027" i="39"/>
  <c r="G1028" i="39"/>
  <c r="G1029" i="39"/>
  <c r="G1030" i="39"/>
  <c r="G1031" i="39"/>
  <c r="G1032" i="39"/>
  <c r="G1033" i="39"/>
  <c r="G1034" i="39"/>
  <c r="G1035" i="39"/>
  <c r="G1036" i="39"/>
  <c r="G1037" i="39"/>
  <c r="G1038" i="39"/>
  <c r="G1039" i="39"/>
  <c r="G1040" i="39"/>
  <c r="G1041" i="39"/>
  <c r="G1042" i="39"/>
  <c r="G1043" i="39"/>
  <c r="G1044" i="39"/>
  <c r="G1045" i="39"/>
  <c r="G1046" i="39"/>
  <c r="G1047" i="39"/>
  <c r="G1048" i="39"/>
  <c r="G1049" i="39"/>
  <c r="G1050" i="39"/>
  <c r="G1051" i="39"/>
  <c r="G1052" i="39"/>
  <c r="G1053" i="39"/>
  <c r="G1054" i="39"/>
  <c r="G1055" i="39"/>
  <c r="G1056" i="39"/>
  <c r="G1057" i="39"/>
  <c r="G1058" i="39"/>
  <c r="G1059" i="39"/>
  <c r="G1060" i="39"/>
  <c r="G1061" i="39"/>
  <c r="G1062" i="39"/>
  <c r="G1063" i="39"/>
  <c r="G1064" i="39"/>
  <c r="G1065" i="39"/>
  <c r="G1066" i="39"/>
  <c r="G1067" i="39"/>
  <c r="G1068" i="39"/>
  <c r="G1069" i="39"/>
  <c r="G1070" i="39"/>
  <c r="G1071" i="39"/>
  <c r="G1072" i="39"/>
  <c r="G1073" i="39"/>
  <c r="G1074" i="39"/>
  <c r="G1075" i="39"/>
  <c r="G1076" i="39"/>
  <c r="G1077" i="39"/>
  <c r="G1078" i="39"/>
  <c r="G1079" i="39"/>
  <c r="G1080" i="39"/>
  <c r="G1081" i="39"/>
  <c r="G1082" i="39"/>
  <c r="G1083" i="39"/>
  <c r="G1084" i="39"/>
  <c r="G1085" i="39"/>
  <c r="G1086" i="39"/>
  <c r="G1087" i="39"/>
  <c r="G1088" i="39"/>
  <c r="G1089" i="39"/>
  <c r="G1090" i="39"/>
  <c r="G1091" i="39"/>
  <c r="G1092" i="39"/>
  <c r="G1093" i="39"/>
  <c r="G1094" i="39"/>
  <c r="G1095" i="39"/>
  <c r="G1096" i="39"/>
  <c r="G1097" i="39"/>
  <c r="G1098" i="39"/>
  <c r="G1099" i="39"/>
  <c r="G1100" i="39"/>
  <c r="G1101" i="39"/>
  <c r="G1102" i="39"/>
  <c r="G1103" i="39"/>
  <c r="G1104" i="39"/>
  <c r="G1105" i="39"/>
  <c r="G1106" i="39"/>
  <c r="G1107" i="39"/>
  <c r="G1108" i="39"/>
  <c r="G1109" i="39"/>
  <c r="G1110" i="39"/>
  <c r="G1111" i="39"/>
  <c r="G1112" i="39"/>
  <c r="G1113" i="39"/>
  <c r="G1114" i="39"/>
  <c r="G1115" i="39"/>
  <c r="G1116" i="39"/>
  <c r="G1117" i="39"/>
  <c r="G1118" i="39"/>
  <c r="G1119" i="39"/>
  <c r="G1120" i="39"/>
  <c r="G1121" i="39"/>
  <c r="G1122" i="39"/>
  <c r="G1123" i="39"/>
  <c r="G1124" i="39"/>
  <c r="G1125" i="39"/>
  <c r="G1126" i="39"/>
  <c r="G1127" i="39"/>
  <c r="G1128" i="39"/>
  <c r="G1129" i="39"/>
  <c r="G1130" i="39"/>
  <c r="G1131" i="39"/>
  <c r="G1132" i="39"/>
  <c r="G1133" i="39"/>
  <c r="G1134" i="39"/>
  <c r="G1135" i="39"/>
  <c r="G1136" i="39"/>
  <c r="G1137" i="39"/>
  <c r="G1138" i="39"/>
  <c r="G1139" i="39"/>
  <c r="G1140" i="39"/>
  <c r="G1141" i="39"/>
  <c r="G1142" i="39"/>
  <c r="G1143" i="39"/>
  <c r="G1144" i="39"/>
  <c r="G1145" i="39"/>
  <c r="G1146" i="39"/>
  <c r="G1147" i="39"/>
  <c r="G1148" i="39"/>
  <c r="G1149" i="39"/>
  <c r="G1150" i="39"/>
  <c r="G1151" i="39"/>
  <c r="G1152" i="39"/>
  <c r="G1153" i="39"/>
  <c r="G1154" i="39"/>
  <c r="G1155" i="39"/>
  <c r="G1156" i="39"/>
  <c r="G1157" i="39"/>
  <c r="G1158" i="39"/>
  <c r="G1159" i="39"/>
  <c r="G1160" i="39"/>
  <c r="G1161" i="39"/>
  <c r="G1162" i="39"/>
  <c r="G1163" i="39"/>
  <c r="G1164" i="39"/>
  <c r="G1165" i="39"/>
  <c r="G1166" i="39"/>
  <c r="G1167" i="39"/>
  <c r="G1168" i="39"/>
  <c r="G1169" i="39"/>
  <c r="G1170" i="39"/>
  <c r="G1171" i="39"/>
  <c r="G1172" i="39"/>
  <c r="G1173" i="39"/>
  <c r="G1174" i="39"/>
  <c r="G1175" i="39"/>
  <c r="G1176" i="39"/>
  <c r="G1177" i="39"/>
  <c r="G1178" i="39"/>
  <c r="G1179" i="39"/>
  <c r="G1180" i="39"/>
  <c r="G1181" i="39"/>
  <c r="G1182" i="39"/>
  <c r="G1183" i="39"/>
  <c r="G1184" i="39"/>
  <c r="G1185" i="39"/>
  <c r="G1186" i="39"/>
  <c r="G1187" i="39"/>
  <c r="G1188" i="39"/>
  <c r="G1189" i="39"/>
  <c r="G1190" i="39"/>
  <c r="G1191" i="39"/>
  <c r="G1192" i="39"/>
  <c r="G1193" i="39"/>
  <c r="G1194" i="39"/>
  <c r="G1195" i="39"/>
  <c r="G1196" i="39"/>
  <c r="G1197" i="39"/>
  <c r="G1198" i="39"/>
  <c r="G1199" i="39"/>
  <c r="G1200" i="39"/>
  <c r="G1201" i="39"/>
  <c r="G1202" i="39"/>
  <c r="G1203" i="39"/>
  <c r="G1204" i="39"/>
  <c r="G1205" i="39"/>
  <c r="G1206" i="39"/>
  <c r="G1207" i="39"/>
  <c r="G1208" i="39"/>
  <c r="G1209" i="39"/>
  <c r="G1210" i="39"/>
  <c r="G1211" i="39"/>
  <c r="G1212" i="39"/>
  <c r="G1213" i="39"/>
  <c r="G1214" i="39"/>
  <c r="G1215" i="39"/>
  <c r="G1216" i="39"/>
  <c r="G1217" i="39"/>
  <c r="G1218" i="39"/>
  <c r="G1219" i="39"/>
  <c r="G1220" i="39"/>
  <c r="G1221" i="39"/>
  <c r="G1222" i="39"/>
  <c r="G1223" i="39"/>
  <c r="G1224" i="39"/>
  <c r="G1225" i="39"/>
  <c r="G1226" i="39"/>
  <c r="G1227" i="39"/>
  <c r="G1228" i="39"/>
  <c r="G1229" i="39"/>
  <c r="G1230" i="39"/>
  <c r="G1231" i="39"/>
  <c r="G1232" i="39"/>
  <c r="G1233" i="39"/>
  <c r="G1234" i="39"/>
  <c r="G1235" i="39"/>
  <c r="G1236" i="39"/>
  <c r="G1237" i="39"/>
  <c r="G1238" i="39"/>
  <c r="G1239" i="39"/>
  <c r="G1240" i="39"/>
  <c r="G1241" i="39"/>
  <c r="G1242" i="39"/>
  <c r="G1243" i="39"/>
  <c r="G1244" i="39"/>
  <c r="G1245" i="39"/>
  <c r="G1246" i="39"/>
  <c r="G1247" i="39"/>
  <c r="G1248" i="39"/>
  <c r="G1249" i="39"/>
  <c r="G1250" i="39"/>
  <c r="G1251" i="39"/>
  <c r="G1252" i="39"/>
  <c r="G1253" i="39"/>
  <c r="G1254" i="39"/>
  <c r="G1255" i="39"/>
  <c r="G1256" i="39"/>
  <c r="G1257" i="39"/>
  <c r="G1258" i="39"/>
  <c r="G1259" i="39"/>
  <c r="G1260" i="39"/>
  <c r="G1261" i="39"/>
  <c r="G1262" i="39"/>
  <c r="G1263" i="39"/>
  <c r="G1264" i="39"/>
  <c r="G1265" i="39"/>
  <c r="G1266" i="39"/>
  <c r="G1267" i="39"/>
  <c r="G1268" i="39"/>
  <c r="G1269" i="39"/>
  <c r="G1270" i="39"/>
  <c r="G1271" i="39"/>
  <c r="G1272" i="39"/>
  <c r="G1273" i="39"/>
  <c r="G1274" i="39"/>
  <c r="G1275" i="39"/>
  <c r="G1276" i="39"/>
  <c r="G1277" i="39"/>
  <c r="G1278" i="39"/>
  <c r="G1279" i="39"/>
  <c r="G1280" i="39"/>
  <c r="G1281" i="39"/>
  <c r="G1282" i="39"/>
  <c r="G1283" i="39"/>
  <c r="G1284" i="39"/>
  <c r="G1285" i="39"/>
  <c r="G1286" i="39"/>
  <c r="G1287" i="39"/>
  <c r="G1288" i="39"/>
  <c r="G1289" i="39"/>
  <c r="G1290" i="39"/>
  <c r="G1291" i="39"/>
  <c r="G1292" i="39"/>
  <c r="G1293" i="39"/>
  <c r="G1294" i="39"/>
  <c r="G1295" i="39"/>
  <c r="G1296" i="39"/>
  <c r="G1297" i="39"/>
  <c r="G1298" i="39"/>
  <c r="G1299" i="39"/>
  <c r="G1300" i="39"/>
  <c r="G1301" i="39"/>
  <c r="G1302" i="39"/>
  <c r="G1303" i="39"/>
  <c r="G1304" i="39"/>
  <c r="G1305" i="39"/>
  <c r="G1306" i="39"/>
  <c r="G1307" i="39"/>
  <c r="G1308" i="39"/>
  <c r="G1309" i="39"/>
  <c r="G1310" i="39"/>
  <c r="G1311" i="39"/>
  <c r="G1312" i="39"/>
  <c r="G1313" i="39"/>
  <c r="G1314" i="39"/>
  <c r="G1315" i="39"/>
  <c r="G1316" i="39"/>
  <c r="G1317" i="39"/>
  <c r="G1318" i="39"/>
  <c r="G1319" i="39"/>
  <c r="G1320" i="39"/>
  <c r="G1321" i="39"/>
  <c r="G1322" i="39"/>
  <c r="G1323" i="39"/>
  <c r="G1324" i="39"/>
  <c r="G1325" i="39"/>
  <c r="G1326" i="39"/>
  <c r="G1327" i="39"/>
  <c r="G1328" i="39"/>
  <c r="G1329" i="39"/>
  <c r="G1330" i="39"/>
  <c r="G1331" i="39"/>
  <c r="G1332" i="39"/>
  <c r="G1333" i="39"/>
  <c r="G1334" i="39"/>
  <c r="G1335" i="39"/>
  <c r="G1336" i="39"/>
  <c r="G1337" i="39"/>
  <c r="G1338" i="39"/>
  <c r="G1339" i="39"/>
  <c r="G1340" i="39"/>
  <c r="G1341" i="39"/>
  <c r="G1342" i="39"/>
  <c r="G1343" i="39"/>
  <c r="G1344" i="39"/>
  <c r="G1345" i="39"/>
  <c r="G1346" i="39"/>
  <c r="G1347" i="39"/>
  <c r="G1348" i="39"/>
  <c r="G1349" i="39"/>
  <c r="G1350" i="39"/>
  <c r="G1351" i="39"/>
  <c r="G1352" i="39"/>
  <c r="G1353" i="39"/>
  <c r="G1354" i="39"/>
  <c r="G1355" i="39"/>
  <c r="G1356" i="39"/>
  <c r="G1357" i="39"/>
  <c r="G1358" i="39"/>
  <c r="G1359" i="39"/>
  <c r="G1360" i="39"/>
  <c r="G1361" i="39"/>
  <c r="G1362" i="39"/>
  <c r="G1363" i="39"/>
  <c r="G1364" i="39"/>
  <c r="G1365" i="39"/>
  <c r="G1366" i="39"/>
  <c r="G1367" i="39"/>
  <c r="G1368" i="39"/>
  <c r="G1369" i="39"/>
  <c r="G1370" i="39"/>
  <c r="G1371" i="39"/>
  <c r="G1372" i="39"/>
  <c r="G1373" i="39"/>
  <c r="G1374" i="39"/>
  <c r="G1375" i="39"/>
  <c r="G1376" i="39"/>
  <c r="G1377" i="39"/>
  <c r="G1378" i="39"/>
  <c r="G1379" i="39"/>
  <c r="G1380" i="39"/>
  <c r="G1381" i="39"/>
  <c r="G1382" i="39"/>
  <c r="G1383" i="39"/>
  <c r="G1384" i="39"/>
  <c r="G1385" i="39"/>
  <c r="G1386" i="39"/>
  <c r="G1387" i="39"/>
  <c r="G1388" i="39"/>
  <c r="G1389" i="39"/>
  <c r="G1390" i="39"/>
  <c r="G1391" i="39"/>
  <c r="G1392" i="39"/>
  <c r="G1393" i="39"/>
  <c r="G1394" i="39"/>
  <c r="G1395" i="39"/>
  <c r="G1396" i="39"/>
  <c r="G1397" i="39"/>
  <c r="G1398" i="39"/>
  <c r="G1399" i="39"/>
  <c r="G1400" i="39"/>
  <c r="G1401" i="39"/>
  <c r="G1402" i="39"/>
  <c r="G1403" i="39"/>
  <c r="G1404" i="39"/>
  <c r="G1405" i="39"/>
  <c r="G1406" i="39"/>
  <c r="G1407" i="39"/>
  <c r="G1408" i="39"/>
  <c r="G1409" i="39"/>
  <c r="G1410" i="39"/>
  <c r="G1411" i="39"/>
  <c r="G1412" i="39"/>
  <c r="G1413" i="39"/>
  <c r="G1414" i="39"/>
  <c r="G1415" i="39"/>
  <c r="G1416" i="39"/>
  <c r="G1417" i="39"/>
  <c r="G1418" i="39"/>
  <c r="G1419" i="39"/>
  <c r="G1420" i="39"/>
  <c r="G1421" i="39"/>
  <c r="G1422" i="39"/>
  <c r="G1423" i="39"/>
  <c r="G1424" i="39"/>
  <c r="G1425" i="39"/>
  <c r="G1426" i="39"/>
  <c r="G1427" i="39"/>
  <c r="G1428" i="39"/>
  <c r="G1429" i="39"/>
  <c r="G1430" i="39"/>
  <c r="G1431" i="39"/>
  <c r="G1432" i="39"/>
  <c r="G1433" i="39"/>
  <c r="G1434" i="39"/>
  <c r="G1435" i="39"/>
  <c r="G1436" i="39"/>
  <c r="G1437" i="39"/>
  <c r="G1438" i="39"/>
  <c r="G1439" i="39"/>
  <c r="G1440" i="39"/>
  <c r="G1441" i="39"/>
  <c r="G1442" i="39"/>
  <c r="G1443" i="39"/>
  <c r="G1444" i="39"/>
  <c r="G1445" i="39"/>
  <c r="G1446" i="39"/>
  <c r="G1447" i="39"/>
  <c r="G1448" i="39"/>
  <c r="G1449" i="39"/>
  <c r="G1450" i="39"/>
  <c r="G1451" i="39"/>
  <c r="G1452" i="39"/>
  <c r="G1453" i="39"/>
  <c r="G1454" i="39"/>
  <c r="G1455" i="39"/>
  <c r="G1456" i="39"/>
  <c r="G1457" i="39"/>
  <c r="G1458" i="39"/>
  <c r="G1459" i="39"/>
  <c r="G1460" i="39"/>
  <c r="G1461" i="39"/>
  <c r="G1462" i="39"/>
  <c r="G1463" i="39"/>
  <c r="G1464" i="39"/>
  <c r="G1465" i="39"/>
  <c r="G1466" i="39"/>
  <c r="G1467" i="39"/>
  <c r="G1468" i="39"/>
  <c r="G1469" i="39"/>
  <c r="G1470" i="39"/>
  <c r="G1471" i="39"/>
  <c r="G1472" i="39"/>
  <c r="G1473" i="39"/>
  <c r="G1474" i="39"/>
  <c r="G1475" i="39"/>
  <c r="G1476" i="39"/>
  <c r="G1477" i="39"/>
  <c r="G1478" i="39"/>
  <c r="G1479" i="39"/>
  <c r="G1480" i="39"/>
  <c r="G1481" i="39"/>
  <c r="G1482" i="39"/>
  <c r="G1483" i="39"/>
  <c r="G1484" i="39"/>
  <c r="G1485" i="39"/>
  <c r="G1486" i="39"/>
  <c r="G1487" i="39"/>
  <c r="G1488" i="39"/>
  <c r="G1489" i="39"/>
  <c r="G1490" i="39"/>
  <c r="G1491" i="39"/>
  <c r="G1492" i="39"/>
  <c r="G1493" i="39"/>
  <c r="G1494" i="39"/>
  <c r="G1495" i="39"/>
  <c r="G1496" i="39"/>
  <c r="G1497" i="39"/>
  <c r="G1498" i="39"/>
  <c r="G1499" i="39"/>
  <c r="G1500" i="39"/>
  <c r="G1501" i="39"/>
  <c r="G1502" i="39"/>
  <c r="G1503" i="39"/>
  <c r="G1504" i="39"/>
  <c r="G1505" i="39"/>
  <c r="G1506" i="39"/>
  <c r="G1507" i="39"/>
  <c r="G1508" i="39"/>
  <c r="G1509" i="39"/>
  <c r="G1510" i="39"/>
  <c r="G1511" i="39"/>
  <c r="G1512" i="39"/>
  <c r="G1513" i="39"/>
  <c r="G1514" i="39"/>
  <c r="G1515" i="39"/>
  <c r="G1516" i="39"/>
  <c r="G1517" i="39"/>
  <c r="G1518" i="39"/>
  <c r="G1519" i="39"/>
  <c r="G1520" i="39"/>
  <c r="G1521" i="39"/>
  <c r="G1522" i="39"/>
  <c r="G1523" i="39"/>
  <c r="G1524" i="39"/>
  <c r="G1525" i="39"/>
  <c r="G1526" i="39"/>
  <c r="G1527" i="39"/>
  <c r="G1528" i="39"/>
  <c r="G1529" i="39"/>
  <c r="G1530" i="39"/>
  <c r="G1531" i="39"/>
  <c r="G1532" i="39"/>
  <c r="G1533" i="39"/>
  <c r="G1534" i="39"/>
  <c r="G1535" i="39"/>
  <c r="G1536" i="39"/>
  <c r="G1537" i="39"/>
  <c r="G1538" i="39"/>
  <c r="G1539" i="39"/>
  <c r="G1540" i="39"/>
  <c r="G1541" i="39"/>
  <c r="G1542" i="39"/>
  <c r="G1543" i="39"/>
  <c r="G1544" i="39"/>
  <c r="G1545" i="39"/>
  <c r="G1546" i="39"/>
  <c r="G1547" i="39"/>
  <c r="G1548" i="39"/>
  <c r="G1549" i="39"/>
  <c r="G1550" i="39"/>
  <c r="G1551" i="39"/>
  <c r="G1552" i="39"/>
  <c r="G1553" i="39"/>
  <c r="G1554" i="39"/>
  <c r="G1555" i="39"/>
  <c r="G1556" i="39"/>
  <c r="G1557" i="39"/>
  <c r="G1558" i="39"/>
  <c r="G1559" i="39"/>
  <c r="G1560" i="39"/>
  <c r="G1561" i="39"/>
  <c r="G1562" i="39"/>
  <c r="G1563" i="39"/>
  <c r="G1564" i="39"/>
  <c r="G1565" i="39"/>
  <c r="G1566" i="39"/>
  <c r="G1567" i="39"/>
  <c r="G1568" i="39"/>
  <c r="G1569" i="39"/>
  <c r="G1570" i="39"/>
  <c r="G1571" i="39"/>
  <c r="G1572" i="39"/>
  <c r="G1573" i="39"/>
  <c r="G1574" i="39"/>
  <c r="G1575" i="39"/>
  <c r="G1576" i="39"/>
  <c r="G1577" i="39"/>
  <c r="G1578" i="39"/>
  <c r="G1579" i="39"/>
  <c r="G1580" i="39"/>
  <c r="G1581" i="39"/>
  <c r="G1582" i="39"/>
  <c r="G1583" i="39"/>
  <c r="G1584" i="39"/>
  <c r="G1585" i="39"/>
  <c r="G1586" i="39"/>
  <c r="G1587" i="39"/>
  <c r="G1588" i="39"/>
  <c r="G1589" i="39"/>
  <c r="G1590" i="39"/>
  <c r="G1591" i="39"/>
  <c r="G1592" i="39"/>
  <c r="G1593" i="39"/>
  <c r="G1594" i="39"/>
  <c r="G1595" i="39"/>
  <c r="G1596" i="39"/>
  <c r="G1597" i="39"/>
  <c r="G1598" i="39"/>
  <c r="G1599" i="39"/>
  <c r="G1600" i="39"/>
  <c r="G1601" i="39"/>
  <c r="G1602" i="39"/>
  <c r="G1603" i="39"/>
  <c r="G1604" i="39"/>
  <c r="G1605" i="39"/>
  <c r="G1606" i="39"/>
  <c r="G1607" i="39"/>
  <c r="G1608" i="39"/>
  <c r="G1609" i="39"/>
  <c r="G1610" i="39"/>
  <c r="G1611" i="39"/>
  <c r="G1612" i="39"/>
  <c r="G1613" i="39"/>
  <c r="G1614" i="39"/>
  <c r="G1615" i="39"/>
  <c r="G1616" i="39"/>
  <c r="G1617" i="39"/>
  <c r="G1618" i="39"/>
  <c r="G1619" i="39"/>
  <c r="G1620" i="39"/>
  <c r="G1621" i="39"/>
  <c r="G1622" i="39"/>
  <c r="G1623" i="39"/>
  <c r="G1624" i="39"/>
  <c r="G1625" i="39"/>
  <c r="G1626" i="39"/>
  <c r="G1627" i="39"/>
  <c r="G1628" i="39"/>
  <c r="G1629" i="39"/>
  <c r="G1630" i="39"/>
  <c r="G1631" i="39"/>
  <c r="G1632" i="39"/>
  <c r="G1633" i="39"/>
  <c r="G1634" i="39"/>
  <c r="G1635" i="39"/>
  <c r="G1636" i="39"/>
  <c r="G1637" i="39"/>
  <c r="G1638" i="39"/>
  <c r="G1639" i="39"/>
  <c r="G1640" i="39"/>
  <c r="G1641" i="39"/>
  <c r="G1642" i="39"/>
  <c r="G1643" i="39"/>
  <c r="G1644" i="39"/>
  <c r="G1645" i="39"/>
  <c r="G1646" i="39"/>
  <c r="G1647" i="39"/>
  <c r="G1648" i="39"/>
  <c r="G1649" i="39"/>
  <c r="G1650" i="39"/>
  <c r="G1651" i="39"/>
  <c r="G1652" i="39"/>
  <c r="G1653" i="39"/>
  <c r="G1654" i="39"/>
  <c r="G1655" i="39"/>
  <c r="G1656" i="39"/>
  <c r="G1657" i="39"/>
  <c r="G1658" i="39"/>
  <c r="G1659" i="39"/>
  <c r="G1660" i="39"/>
  <c r="G1661" i="39"/>
  <c r="G1662" i="39"/>
  <c r="G1663" i="39"/>
  <c r="G1664" i="39"/>
  <c r="G1665" i="39"/>
  <c r="G1666" i="39"/>
  <c r="G1667" i="39"/>
  <c r="G1668" i="39"/>
  <c r="G1669" i="39"/>
  <c r="G1670" i="39"/>
  <c r="G1671" i="39"/>
  <c r="G1672" i="39"/>
  <c r="G1673" i="39"/>
  <c r="G1674" i="39"/>
  <c r="G1675" i="39"/>
  <c r="G1676" i="39"/>
  <c r="G1677" i="39"/>
  <c r="G1678" i="39"/>
  <c r="G1679" i="39"/>
  <c r="G1680" i="39"/>
  <c r="G1681" i="39"/>
  <c r="G1682" i="39"/>
  <c r="G1683" i="39"/>
  <c r="G1684" i="39"/>
  <c r="G1685" i="39"/>
  <c r="G1686" i="39"/>
  <c r="G1687" i="39"/>
  <c r="G1688" i="39"/>
  <c r="G1689" i="39"/>
  <c r="G1690" i="39"/>
  <c r="G1691" i="39"/>
  <c r="G1692" i="39"/>
  <c r="G1693" i="39"/>
  <c r="G1694" i="39"/>
  <c r="G1695" i="39"/>
  <c r="G1696" i="39"/>
  <c r="G1697" i="39"/>
  <c r="G1698" i="39"/>
  <c r="G1699" i="39"/>
  <c r="G1700" i="39"/>
  <c r="G1701" i="39"/>
  <c r="G1702" i="39"/>
  <c r="G1703" i="39"/>
  <c r="G1704" i="39"/>
  <c r="G1705" i="39"/>
  <c r="G1706" i="39"/>
  <c r="G1707" i="39"/>
  <c r="G1708" i="39"/>
  <c r="G1709" i="39"/>
  <c r="G1710" i="39"/>
  <c r="G1711" i="39"/>
  <c r="G1712" i="39"/>
  <c r="G1713" i="39"/>
  <c r="G1714" i="39"/>
  <c r="G1715" i="39"/>
  <c r="G1716" i="39"/>
  <c r="G1717" i="39"/>
  <c r="G1718" i="39"/>
  <c r="G1719" i="39"/>
  <c r="G1720" i="39"/>
  <c r="G1721" i="39"/>
  <c r="G1722" i="39"/>
  <c r="G1723" i="39"/>
  <c r="G1724" i="39"/>
  <c r="G1725" i="39"/>
  <c r="G1726" i="39"/>
  <c r="G1727" i="39"/>
  <c r="G1728" i="39"/>
  <c r="G1729" i="39"/>
  <c r="G1730" i="39"/>
  <c r="G1731" i="39"/>
  <c r="G1732" i="39"/>
  <c r="G1733" i="39"/>
  <c r="G1734" i="39"/>
  <c r="G1735" i="39"/>
  <c r="G1736" i="39"/>
  <c r="G1737" i="39"/>
  <c r="G1738" i="39"/>
  <c r="G1739" i="39"/>
  <c r="G1740" i="39"/>
  <c r="G1741" i="39"/>
  <c r="G1742" i="39"/>
  <c r="G1743" i="39"/>
  <c r="G1744" i="39"/>
  <c r="G1745" i="39"/>
  <c r="G1746" i="39"/>
  <c r="G1747" i="39"/>
  <c r="G1748" i="39"/>
  <c r="G1749" i="39"/>
  <c r="G1750" i="39"/>
  <c r="G1751" i="39"/>
  <c r="G1752" i="39"/>
  <c r="G1753" i="39"/>
  <c r="G1754" i="39"/>
  <c r="G1755" i="39"/>
  <c r="G1756" i="39"/>
  <c r="G1757" i="39"/>
  <c r="G1758" i="39"/>
  <c r="G1759" i="39"/>
  <c r="G1760" i="39"/>
  <c r="G1761" i="39"/>
  <c r="G1762" i="39"/>
  <c r="G1763" i="39"/>
  <c r="G1764" i="39"/>
  <c r="G1765" i="39"/>
  <c r="G1766" i="39"/>
  <c r="G1767" i="39"/>
  <c r="G1768" i="39"/>
  <c r="G1769" i="39"/>
  <c r="G1770" i="39"/>
  <c r="G1771" i="39"/>
  <c r="G1772" i="39"/>
  <c r="G1773" i="39"/>
  <c r="G1774" i="39"/>
  <c r="G1775" i="39"/>
  <c r="G1776" i="39"/>
  <c r="G1777" i="39"/>
  <c r="G1778" i="39"/>
  <c r="G1779" i="39"/>
  <c r="G1780" i="39"/>
  <c r="G1781" i="39"/>
  <c r="G1782" i="39"/>
  <c r="G1783" i="39"/>
  <c r="G1784" i="39"/>
  <c r="G1785" i="39"/>
  <c r="G1786" i="39"/>
  <c r="G1787" i="39"/>
  <c r="G1788" i="39"/>
  <c r="G1789" i="39"/>
  <c r="G1790" i="39"/>
  <c r="G1791" i="39"/>
  <c r="G1792" i="39"/>
  <c r="G1793" i="39"/>
  <c r="G1794" i="39"/>
  <c r="G1795" i="39"/>
  <c r="G1796" i="39"/>
  <c r="G1797" i="39"/>
  <c r="G1798" i="39"/>
  <c r="G1799" i="39"/>
  <c r="G1800" i="39"/>
  <c r="G1801" i="39"/>
  <c r="G1802" i="39"/>
  <c r="G1803" i="39"/>
  <c r="G1804" i="39"/>
  <c r="G1805" i="39"/>
  <c r="G1806" i="39"/>
  <c r="G1807" i="39"/>
  <c r="G1808" i="39"/>
  <c r="G1809" i="39"/>
  <c r="G1810" i="39"/>
  <c r="G1811" i="39"/>
  <c r="G1812" i="39"/>
  <c r="G1813" i="39"/>
  <c r="G1814" i="39"/>
  <c r="G1815" i="39"/>
  <c r="G1816" i="39"/>
  <c r="G1817" i="39"/>
  <c r="G1818" i="39"/>
  <c r="G1819" i="39"/>
  <c r="G1820" i="39"/>
  <c r="G1821" i="39"/>
  <c r="G1822" i="39"/>
  <c r="G1823" i="39"/>
  <c r="G1824" i="39"/>
  <c r="G1825" i="39"/>
  <c r="G1826" i="39"/>
  <c r="G1827" i="39"/>
  <c r="G1828" i="39"/>
  <c r="G1829" i="39"/>
  <c r="G1830" i="39"/>
  <c r="G1831" i="39"/>
  <c r="G1832" i="39"/>
  <c r="G1833" i="39"/>
  <c r="G1834" i="39"/>
  <c r="G1835" i="39"/>
  <c r="G1836" i="39"/>
  <c r="G1837" i="39"/>
  <c r="G1838" i="39"/>
  <c r="G1839" i="39"/>
  <c r="G1840" i="39"/>
  <c r="G1841" i="39"/>
  <c r="G1842" i="39"/>
  <c r="G1843" i="39"/>
  <c r="G1844" i="39"/>
  <c r="G1845" i="39"/>
  <c r="G1846" i="39"/>
  <c r="G1847" i="39"/>
  <c r="G1848" i="39"/>
  <c r="G1849" i="39"/>
  <c r="G1850" i="39"/>
  <c r="G1851" i="39"/>
  <c r="G1852" i="39"/>
  <c r="G1853" i="39"/>
  <c r="G1854" i="39"/>
  <c r="G1855" i="39"/>
  <c r="G1856" i="39"/>
  <c r="G1857" i="39"/>
  <c r="G1858" i="39"/>
  <c r="G1859" i="39"/>
  <c r="G1860" i="39"/>
  <c r="G1861" i="39"/>
  <c r="G1862" i="39"/>
  <c r="G1863" i="39"/>
  <c r="G1864" i="39"/>
  <c r="G1865" i="39"/>
  <c r="G1866" i="39"/>
  <c r="G1867" i="39"/>
  <c r="G1868" i="39"/>
  <c r="G1869" i="39"/>
  <c r="G1870" i="39"/>
  <c r="G1871" i="39"/>
  <c r="G1872" i="39"/>
  <c r="G1873" i="39"/>
  <c r="G1874" i="39"/>
  <c r="G1875" i="39"/>
  <c r="G1876" i="39"/>
  <c r="G1877" i="39"/>
  <c r="G1878" i="39"/>
  <c r="G1879" i="39"/>
  <c r="G1880" i="39"/>
  <c r="G1881" i="39"/>
  <c r="G1882" i="39"/>
  <c r="G1883" i="39"/>
  <c r="G1884" i="39"/>
  <c r="G1885" i="39"/>
  <c r="G1886" i="39"/>
  <c r="G1887" i="39"/>
  <c r="G1888" i="39"/>
  <c r="G1889" i="39"/>
  <c r="G1890" i="39"/>
  <c r="G1891" i="39"/>
  <c r="G1892" i="39"/>
  <c r="G1893" i="39"/>
  <c r="G1894" i="39"/>
  <c r="G1895" i="39"/>
  <c r="G1896" i="39"/>
  <c r="G1897" i="39"/>
  <c r="G1898" i="39"/>
  <c r="G1899" i="39"/>
  <c r="G1900" i="39"/>
  <c r="G1901" i="39"/>
  <c r="G1902" i="39"/>
  <c r="G1903" i="39"/>
  <c r="G1904" i="39"/>
  <c r="G1905" i="39"/>
  <c r="G1906" i="39"/>
  <c r="G1907" i="39"/>
  <c r="G1908" i="39"/>
  <c r="G1909" i="39"/>
  <c r="G1910" i="39"/>
  <c r="G1911" i="39"/>
  <c r="G1912" i="39"/>
  <c r="G1913" i="39"/>
  <c r="G1914" i="39"/>
  <c r="G1915" i="39"/>
  <c r="G1916" i="39"/>
  <c r="G1917" i="39"/>
  <c r="G1918" i="39"/>
  <c r="G1919" i="39"/>
  <c r="G1920" i="39"/>
  <c r="G1921" i="39"/>
  <c r="G1922" i="39"/>
  <c r="G1923" i="39"/>
  <c r="G1924" i="39"/>
  <c r="G1925" i="39"/>
  <c r="G1926" i="39"/>
  <c r="G1927" i="39"/>
  <c r="G1928" i="39"/>
  <c r="G1929" i="39"/>
  <c r="G1930" i="39"/>
  <c r="G1931" i="39"/>
  <c r="G1932" i="39"/>
  <c r="G1933" i="39"/>
  <c r="G1934" i="39"/>
  <c r="G1935" i="39"/>
  <c r="G1936" i="39"/>
  <c r="G1937" i="39"/>
  <c r="G1938" i="39"/>
  <c r="G1939" i="39"/>
  <c r="G1940" i="39"/>
  <c r="G1941" i="39"/>
  <c r="G1942" i="39"/>
  <c r="G1943" i="39"/>
  <c r="G1944" i="39"/>
  <c r="G1945" i="39"/>
  <c r="G1946" i="39"/>
  <c r="G1947" i="39"/>
  <c r="G1948" i="39"/>
  <c r="G1949" i="39"/>
  <c r="G1950" i="39"/>
  <c r="G1951" i="39"/>
  <c r="G1952" i="39"/>
  <c r="G1953" i="39"/>
  <c r="G1954" i="39"/>
  <c r="G1955" i="39"/>
  <c r="G1956" i="39"/>
  <c r="G1957" i="39"/>
  <c r="G1958" i="39"/>
  <c r="G1959" i="39"/>
  <c r="G1960" i="39"/>
  <c r="G1961" i="39"/>
  <c r="G1962" i="39"/>
  <c r="G1963" i="39"/>
  <c r="G1964" i="39"/>
  <c r="G1965" i="39"/>
  <c r="G1966" i="39"/>
  <c r="G1967" i="39"/>
  <c r="G1968" i="39"/>
  <c r="G1969" i="39"/>
  <c r="G1970" i="39"/>
  <c r="G1971" i="39"/>
  <c r="G1972" i="39"/>
  <c r="G1973" i="39"/>
  <c r="G1974" i="39"/>
  <c r="G1975" i="39"/>
  <c r="G1976" i="39"/>
  <c r="G1977" i="39"/>
  <c r="G1978" i="39"/>
  <c r="G1979" i="39"/>
  <c r="G1980" i="39"/>
  <c r="G1981" i="39"/>
  <c r="G1982" i="39"/>
  <c r="G1983" i="39"/>
  <c r="G1984" i="39"/>
  <c r="G1985" i="39"/>
  <c r="G1986" i="39"/>
  <c r="G1987" i="39"/>
  <c r="G1988" i="39"/>
  <c r="G1989" i="39"/>
  <c r="G1990" i="39"/>
  <c r="G1991" i="39"/>
  <c r="G1992" i="39"/>
  <c r="G1993" i="39"/>
  <c r="G1994" i="39"/>
  <c r="G1995" i="39"/>
  <c r="G1996" i="39"/>
  <c r="G1997" i="39"/>
  <c r="G1998" i="39"/>
  <c r="G1999" i="39"/>
  <c r="G2000" i="39"/>
  <c r="G2001" i="39"/>
  <c r="G2002" i="39"/>
  <c r="G2003" i="39"/>
  <c r="G2004" i="39"/>
  <c r="G2005" i="39"/>
  <c r="G2006" i="39"/>
  <c r="G2007" i="39"/>
  <c r="G2008" i="39"/>
  <c r="G2009" i="39"/>
  <c r="G2010" i="39"/>
  <c r="G2011" i="39"/>
  <c r="G2012" i="39"/>
  <c r="G2013" i="39"/>
  <c r="G2014" i="39"/>
  <c r="G2015" i="39"/>
  <c r="G2016" i="39"/>
  <c r="G2017" i="39"/>
  <c r="G2018" i="39"/>
  <c r="G2019" i="39"/>
  <c r="G2020" i="39"/>
  <c r="G2021" i="39"/>
  <c r="G2022" i="39"/>
  <c r="G2023" i="39"/>
  <c r="G2024" i="39"/>
  <c r="G2025" i="39"/>
  <c r="G2026" i="39"/>
  <c r="G2027" i="39"/>
  <c r="G2028" i="39"/>
  <c r="G2029" i="39"/>
  <c r="G2030" i="39"/>
  <c r="G2031" i="39"/>
  <c r="G2032" i="39"/>
  <c r="G2033" i="39"/>
  <c r="G2034" i="39"/>
  <c r="G2035" i="39"/>
  <c r="G2036" i="39"/>
  <c r="G2037" i="39"/>
  <c r="G2038" i="39"/>
  <c r="G2039" i="39"/>
  <c r="G2040" i="39"/>
  <c r="G2041" i="39"/>
  <c r="G2042" i="39"/>
  <c r="G2043" i="39"/>
  <c r="G2044" i="39"/>
  <c r="G2045" i="39"/>
  <c r="G2046" i="39"/>
  <c r="G2047" i="39"/>
  <c r="G2048" i="39"/>
  <c r="G2049" i="39"/>
  <c r="G2050" i="39"/>
  <c r="G2051" i="39"/>
  <c r="G2052" i="39"/>
  <c r="G2053" i="39"/>
  <c r="G2054" i="39"/>
  <c r="G2055" i="39"/>
  <c r="G2056" i="39"/>
  <c r="G2057" i="39"/>
  <c r="G2058" i="39"/>
  <c r="G2059" i="39"/>
  <c r="G2060" i="39"/>
  <c r="G2061" i="39"/>
  <c r="G2062" i="39"/>
  <c r="G2063" i="39"/>
  <c r="G2064" i="39"/>
  <c r="G2065" i="39"/>
  <c r="G2066" i="39"/>
  <c r="G2067" i="39"/>
  <c r="G2068" i="39"/>
  <c r="G2069" i="39"/>
  <c r="G2070" i="39"/>
  <c r="G2071" i="39"/>
  <c r="G2072" i="39"/>
  <c r="G2073" i="39"/>
  <c r="G2074" i="39"/>
  <c r="G2075" i="39"/>
  <c r="G2076" i="39"/>
  <c r="G2077" i="39"/>
  <c r="G2078" i="39"/>
  <c r="G2079" i="39"/>
  <c r="G2080" i="39"/>
  <c r="G2081" i="39"/>
  <c r="G2082" i="39"/>
  <c r="G2083" i="39"/>
  <c r="G2084" i="39"/>
  <c r="G2085" i="39"/>
  <c r="G2086" i="39"/>
  <c r="G2087" i="39"/>
  <c r="G2088" i="39"/>
  <c r="G2089" i="39"/>
  <c r="G2090" i="39"/>
  <c r="G2091" i="39"/>
  <c r="G2092" i="39"/>
  <c r="G2093" i="39"/>
  <c r="G2094" i="39"/>
  <c r="G2095" i="39"/>
  <c r="G2096" i="39"/>
  <c r="G2097" i="39"/>
  <c r="G2098" i="39"/>
  <c r="G2099" i="39"/>
  <c r="G2100" i="39"/>
  <c r="G2101" i="39"/>
  <c r="G2102" i="39"/>
  <c r="G2103" i="39"/>
  <c r="G2104" i="39"/>
  <c r="G2105" i="39"/>
  <c r="G2106" i="39"/>
  <c r="G2107" i="39"/>
  <c r="G2108" i="39"/>
  <c r="G2109" i="39"/>
  <c r="G2110" i="39"/>
  <c r="G2111" i="39"/>
  <c r="G2112" i="39"/>
  <c r="G2113" i="39"/>
  <c r="G2114" i="39"/>
  <c r="G2115" i="39"/>
  <c r="G2116" i="39"/>
  <c r="G2117" i="39"/>
  <c r="G2118" i="39"/>
  <c r="G2119" i="39"/>
  <c r="G2120" i="39"/>
  <c r="G2121" i="39"/>
  <c r="G2122" i="39"/>
  <c r="G2123" i="39"/>
  <c r="G2124" i="39"/>
  <c r="G2125" i="39"/>
  <c r="G2126" i="39"/>
  <c r="G2127" i="39"/>
  <c r="G2128" i="39"/>
  <c r="G2129" i="39"/>
  <c r="G2130" i="39"/>
  <c r="G2131" i="39"/>
  <c r="G2132" i="39"/>
  <c r="G2133" i="39"/>
  <c r="G2134" i="39"/>
  <c r="G2135" i="39"/>
  <c r="G2136" i="39"/>
  <c r="G2137" i="39"/>
  <c r="G2138" i="39"/>
  <c r="G2139" i="39"/>
  <c r="G2140" i="39"/>
  <c r="G2141" i="39"/>
  <c r="G2142" i="39"/>
  <c r="G2143" i="39"/>
  <c r="G2144" i="39"/>
  <c r="G2145" i="39"/>
  <c r="G2146" i="39"/>
  <c r="G2147" i="39"/>
  <c r="G2148" i="39"/>
  <c r="G2149" i="39"/>
  <c r="G2150" i="39"/>
  <c r="G2151" i="39"/>
  <c r="G2152" i="39"/>
  <c r="G2153" i="39"/>
  <c r="G2154" i="39"/>
  <c r="G2155" i="39"/>
  <c r="G2156" i="39"/>
  <c r="G2157" i="39"/>
  <c r="G2158" i="39"/>
  <c r="G2159" i="39"/>
  <c r="G2160" i="39"/>
  <c r="G2161" i="39"/>
  <c r="G2162" i="39"/>
  <c r="G2163" i="39"/>
  <c r="G2164" i="39"/>
  <c r="G2165" i="39"/>
  <c r="G2166" i="39"/>
  <c r="G2167" i="39"/>
  <c r="G2168" i="39"/>
  <c r="G2169" i="39"/>
  <c r="G2170" i="39"/>
  <c r="G2171" i="39"/>
  <c r="G2172" i="39"/>
  <c r="G2173" i="39"/>
  <c r="G2174" i="39"/>
  <c r="G2175" i="39"/>
  <c r="G2176" i="39"/>
  <c r="G2177" i="39"/>
  <c r="G2178" i="39"/>
  <c r="G2179" i="39"/>
  <c r="G2180" i="39"/>
  <c r="G2181" i="39"/>
  <c r="G2182" i="39"/>
  <c r="G2183" i="39"/>
  <c r="G2184" i="39"/>
  <c r="G2185" i="39"/>
  <c r="G2186" i="39"/>
  <c r="G2187" i="39"/>
  <c r="G2188" i="39"/>
  <c r="G2189" i="39"/>
  <c r="G2190" i="39"/>
  <c r="G2191" i="39"/>
  <c r="G2192" i="39"/>
  <c r="G2193" i="39"/>
  <c r="G2194" i="39"/>
  <c r="G2195" i="39"/>
  <c r="G2196" i="39"/>
  <c r="G2197" i="39"/>
  <c r="G2198" i="39"/>
  <c r="G2199" i="39"/>
  <c r="G2200" i="39"/>
  <c r="G2201" i="39"/>
  <c r="G2202" i="39"/>
  <c r="G2203" i="39"/>
  <c r="G2204" i="39"/>
  <c r="G2205" i="39"/>
  <c r="G2206" i="39"/>
  <c r="G2207" i="39"/>
  <c r="G2208" i="39"/>
  <c r="G2209" i="39"/>
  <c r="G2210" i="39"/>
  <c r="G2211" i="39"/>
  <c r="G2212" i="39"/>
  <c r="G2213" i="39"/>
  <c r="G2214" i="39"/>
  <c r="G2215" i="39"/>
  <c r="G2216" i="39"/>
  <c r="G2217" i="39"/>
  <c r="G2218" i="39"/>
  <c r="G2219" i="39"/>
  <c r="G2220" i="39"/>
  <c r="G2221" i="39"/>
  <c r="G2222" i="39"/>
  <c r="G2223" i="39"/>
  <c r="G2224" i="39"/>
  <c r="G2225" i="39"/>
  <c r="G2226" i="39"/>
  <c r="G2227" i="39"/>
  <c r="G2228" i="39"/>
  <c r="G2229" i="39"/>
  <c r="G2230" i="39"/>
  <c r="G2231" i="39"/>
  <c r="G2232" i="39"/>
  <c r="G2233" i="39"/>
  <c r="G2234" i="39"/>
  <c r="G2235" i="39"/>
  <c r="G2236" i="39"/>
  <c r="G2237" i="39"/>
  <c r="G2238" i="39"/>
  <c r="G2239" i="39"/>
  <c r="G2240" i="39"/>
  <c r="G2241" i="39"/>
  <c r="G2242" i="39"/>
  <c r="G2243" i="39"/>
  <c r="G2244" i="39"/>
  <c r="G2245" i="39"/>
  <c r="G2246" i="39"/>
  <c r="G2247" i="39"/>
  <c r="G2248" i="39"/>
  <c r="G2249" i="39"/>
  <c r="G2250" i="39"/>
  <c r="G2251" i="39"/>
  <c r="G2252" i="39"/>
  <c r="G2253" i="39"/>
  <c r="G2254" i="39"/>
  <c r="G2255" i="39"/>
  <c r="G2256" i="39"/>
  <c r="G2257" i="39"/>
  <c r="G2258" i="39"/>
  <c r="G2259" i="39"/>
  <c r="G2260" i="39"/>
  <c r="G2261" i="39"/>
  <c r="G2262" i="39"/>
  <c r="G2263" i="39"/>
  <c r="G2264" i="39"/>
  <c r="G2265" i="39"/>
  <c r="G2266" i="39"/>
  <c r="G2267" i="39"/>
  <c r="G2268" i="39"/>
  <c r="G2269" i="39"/>
  <c r="G2270" i="39"/>
  <c r="G2271" i="39"/>
  <c r="G2272" i="39"/>
  <c r="G2273" i="39"/>
  <c r="G2274" i="39"/>
  <c r="G2275" i="39"/>
  <c r="G2276" i="39"/>
  <c r="G2277" i="39"/>
  <c r="G2278" i="39"/>
  <c r="G2279" i="39"/>
  <c r="G2280" i="39"/>
  <c r="G2281" i="39"/>
  <c r="G2282" i="39"/>
  <c r="G2283" i="39"/>
  <c r="G2284" i="39"/>
  <c r="G2285" i="39"/>
  <c r="G2286" i="39"/>
  <c r="G2287" i="39"/>
  <c r="G2288" i="39"/>
  <c r="G2289" i="39"/>
  <c r="G2290" i="39"/>
  <c r="G2291" i="39"/>
  <c r="G2292" i="39"/>
  <c r="G2293" i="39"/>
  <c r="G2294" i="39"/>
  <c r="G2295" i="39"/>
  <c r="G2296" i="39"/>
  <c r="G2297" i="39"/>
  <c r="G2298" i="39"/>
  <c r="G2299" i="39"/>
  <c r="G2300" i="39"/>
  <c r="G2301" i="39"/>
  <c r="G2302" i="39"/>
  <c r="G2303" i="39"/>
  <c r="G2304" i="39"/>
  <c r="G2305" i="39"/>
  <c r="G2306" i="39"/>
  <c r="G2307" i="39"/>
  <c r="G2308" i="39"/>
  <c r="G2309" i="39"/>
  <c r="G2310" i="39"/>
  <c r="G2311" i="39"/>
  <c r="G2312" i="39"/>
  <c r="G2313" i="39"/>
  <c r="G2314" i="39"/>
  <c r="G2315" i="39"/>
  <c r="G2316" i="39"/>
  <c r="G2317" i="39"/>
  <c r="G2318" i="39"/>
  <c r="G2319" i="39"/>
  <c r="G2320" i="39"/>
  <c r="G2321" i="39"/>
  <c r="G2322" i="39"/>
  <c r="G2323" i="39"/>
  <c r="G2324" i="39"/>
  <c r="G2325" i="39"/>
  <c r="G2326" i="39"/>
  <c r="G2327" i="39"/>
  <c r="G2328" i="39"/>
  <c r="G2329" i="39"/>
  <c r="G2330" i="39"/>
  <c r="G2331" i="39"/>
  <c r="G2332" i="39"/>
  <c r="G2333" i="39"/>
  <c r="G2334" i="39"/>
  <c r="G2335" i="39"/>
  <c r="G2336" i="39"/>
  <c r="G2337" i="39"/>
  <c r="G2338" i="39"/>
  <c r="G2339" i="39"/>
  <c r="G2340" i="39"/>
  <c r="G2341" i="39"/>
  <c r="G2342" i="39"/>
  <c r="G2343" i="39"/>
  <c r="G2344" i="39"/>
  <c r="G2345" i="39"/>
  <c r="G2346" i="39"/>
  <c r="G2347" i="39"/>
  <c r="G2348" i="39"/>
  <c r="G2349" i="39"/>
  <c r="G2350" i="39"/>
  <c r="G2351" i="39"/>
  <c r="G2352" i="39"/>
  <c r="G2353" i="39"/>
  <c r="G2354" i="39"/>
  <c r="G2355" i="39"/>
  <c r="G2356" i="39"/>
  <c r="G2357" i="39"/>
  <c r="G2358" i="39"/>
  <c r="G2359" i="39"/>
  <c r="G2360" i="39"/>
  <c r="G2361" i="39"/>
  <c r="G2362" i="39"/>
  <c r="G2363" i="39"/>
  <c r="G2364" i="39"/>
  <c r="G2365" i="39"/>
  <c r="G2366" i="39"/>
  <c r="G2367" i="39"/>
  <c r="G2368" i="39"/>
  <c r="G2369" i="39"/>
  <c r="G2370" i="39"/>
  <c r="G2371" i="39"/>
  <c r="G2372" i="39"/>
  <c r="G2373" i="39"/>
  <c r="G2374" i="39"/>
  <c r="G2375" i="39"/>
  <c r="G2376" i="39"/>
  <c r="G2377" i="39"/>
  <c r="G2378" i="39"/>
  <c r="G2379" i="39"/>
  <c r="G2380" i="39"/>
  <c r="G2381" i="39"/>
  <c r="G2382" i="39"/>
  <c r="G2383" i="39"/>
  <c r="G2384" i="39"/>
  <c r="G2385" i="39"/>
  <c r="G2386" i="39"/>
  <c r="G2387" i="39"/>
  <c r="G2388" i="39"/>
  <c r="G2389" i="39"/>
  <c r="G2390" i="39"/>
  <c r="G2391" i="39"/>
  <c r="G2392" i="39"/>
  <c r="G2393" i="39"/>
  <c r="G2394" i="39"/>
  <c r="G2395" i="39"/>
  <c r="G2396" i="39"/>
  <c r="G2397" i="39"/>
  <c r="G2398" i="39"/>
  <c r="G2399" i="39"/>
  <c r="G2400" i="39"/>
  <c r="G2401" i="39"/>
  <c r="G2402" i="39"/>
  <c r="G2403" i="39"/>
  <c r="G2404" i="39"/>
  <c r="G2405" i="39"/>
  <c r="G2406" i="39"/>
  <c r="G2407" i="39"/>
  <c r="G2408" i="39"/>
  <c r="G2409" i="39"/>
  <c r="G2410" i="39"/>
  <c r="G2411" i="39"/>
  <c r="G2412" i="39"/>
  <c r="G2413" i="39"/>
  <c r="G2414" i="39"/>
  <c r="G2415" i="39"/>
  <c r="G2416" i="39"/>
  <c r="G2417" i="39"/>
  <c r="G2418" i="39"/>
  <c r="G2419" i="39"/>
  <c r="G2420" i="39"/>
  <c r="G2421" i="39"/>
  <c r="G2422" i="39"/>
  <c r="G2423" i="39"/>
  <c r="G2424" i="39"/>
  <c r="G2425" i="39"/>
  <c r="G2426" i="39"/>
  <c r="G2427" i="39"/>
  <c r="G2428" i="39"/>
  <c r="G2429" i="39"/>
  <c r="G2430" i="39"/>
  <c r="G2431" i="39"/>
  <c r="G2432" i="39"/>
  <c r="G2433" i="39"/>
  <c r="G2434" i="39"/>
  <c r="G2435" i="39"/>
  <c r="G2436" i="39"/>
  <c r="G2437" i="39"/>
  <c r="G2438" i="39"/>
  <c r="G2439" i="39"/>
  <c r="G2440" i="39"/>
  <c r="G2441" i="39"/>
  <c r="G2442" i="39"/>
  <c r="G2443" i="39"/>
  <c r="G2444" i="39"/>
  <c r="G2445" i="39"/>
  <c r="G2446" i="39"/>
  <c r="G2447" i="39"/>
  <c r="G2448" i="39"/>
  <c r="G2449" i="39"/>
  <c r="G2450" i="39"/>
  <c r="G2451" i="39"/>
  <c r="G2452" i="39"/>
  <c r="G2453" i="39"/>
  <c r="G2454" i="39"/>
  <c r="G2455" i="39"/>
  <c r="G2456" i="39"/>
  <c r="G2457" i="39"/>
  <c r="G2458" i="39"/>
  <c r="G2459" i="39"/>
  <c r="G2460" i="39"/>
  <c r="G2461" i="39"/>
  <c r="G2462" i="39"/>
  <c r="G2463" i="39"/>
  <c r="G2464" i="39"/>
  <c r="G2465" i="39"/>
  <c r="G2466" i="39"/>
  <c r="G2467" i="39"/>
  <c r="G2468" i="39"/>
  <c r="G2469" i="39"/>
  <c r="G2470" i="39"/>
  <c r="G2471" i="39"/>
  <c r="G2472" i="39"/>
  <c r="G2473" i="39"/>
  <c r="G2474" i="39"/>
  <c r="G2475" i="39"/>
  <c r="G2476" i="39"/>
  <c r="G2477" i="39"/>
  <c r="G2478" i="39"/>
  <c r="G2479" i="39"/>
  <c r="G2480" i="39"/>
  <c r="G2481" i="39"/>
  <c r="G2482" i="39"/>
  <c r="G2483" i="39"/>
  <c r="G2484" i="39"/>
  <c r="G2485" i="39"/>
  <c r="G2486" i="39"/>
  <c r="G2487" i="39"/>
  <c r="G2488" i="39"/>
  <c r="G2489" i="39"/>
  <c r="G2490" i="39"/>
  <c r="G2491" i="39"/>
  <c r="G2492" i="39"/>
  <c r="G2493" i="39"/>
  <c r="G2494" i="39"/>
  <c r="G2495" i="39"/>
  <c r="G2496" i="39"/>
  <c r="G2497" i="39"/>
  <c r="G2498" i="39"/>
  <c r="G2499" i="39"/>
  <c r="G2500" i="39"/>
  <c r="G2501" i="39"/>
  <c r="G2502" i="39"/>
  <c r="G2503" i="39"/>
  <c r="G2504" i="39"/>
  <c r="G2505" i="39"/>
  <c r="G2506" i="39"/>
  <c r="G2507" i="39"/>
  <c r="G2508" i="39"/>
  <c r="G2509" i="39"/>
  <c r="G2510" i="39"/>
  <c r="G2511" i="39"/>
  <c r="G2512" i="39"/>
  <c r="G2513" i="39"/>
  <c r="G2514" i="39"/>
  <c r="G2515" i="39"/>
  <c r="G2516" i="39"/>
  <c r="G2517" i="39"/>
  <c r="G2518" i="39"/>
  <c r="G2519" i="39"/>
  <c r="G2520" i="39"/>
  <c r="G2521" i="39"/>
  <c r="G2522" i="39"/>
  <c r="G2523" i="39"/>
  <c r="G2524" i="39"/>
  <c r="G2525" i="39"/>
  <c r="G2526" i="39"/>
  <c r="G2527" i="39"/>
  <c r="G2528" i="39"/>
  <c r="G2529" i="39"/>
  <c r="G2530" i="39"/>
  <c r="G2531" i="39"/>
  <c r="G2532" i="39"/>
  <c r="G2533" i="39"/>
  <c r="G2534" i="39"/>
  <c r="G2535" i="39"/>
  <c r="G2536" i="39"/>
  <c r="G2537" i="39"/>
  <c r="G2538" i="39"/>
  <c r="G2539" i="39"/>
  <c r="G2540" i="39"/>
  <c r="G2541" i="39"/>
  <c r="G2542" i="39"/>
  <c r="G2543" i="39"/>
  <c r="G2544" i="39"/>
  <c r="G2545" i="39"/>
  <c r="G2546" i="39"/>
  <c r="G2547" i="39"/>
  <c r="G2548" i="39"/>
  <c r="G2549" i="39"/>
  <c r="G2550" i="39"/>
  <c r="G2551" i="39"/>
  <c r="G2552" i="39"/>
  <c r="G2553" i="39"/>
  <c r="G2554" i="39"/>
  <c r="G2555" i="39"/>
  <c r="G2556" i="39"/>
  <c r="G2557" i="39"/>
  <c r="G2558" i="39"/>
  <c r="G2559" i="39"/>
  <c r="G2560" i="39"/>
  <c r="G2561" i="39"/>
  <c r="G2562" i="39"/>
  <c r="G2563" i="39"/>
  <c r="G2564" i="39"/>
  <c r="G2565" i="39"/>
  <c r="G2566" i="39"/>
  <c r="G2567" i="39"/>
  <c r="G2568" i="39"/>
  <c r="G2569" i="39"/>
  <c r="G2570" i="39"/>
  <c r="G2571" i="39"/>
  <c r="G2572" i="39"/>
  <c r="G2573" i="39"/>
  <c r="G2574" i="39"/>
  <c r="G2575" i="39"/>
  <c r="G2576" i="39"/>
  <c r="G2577" i="39"/>
  <c r="G2578" i="39"/>
  <c r="G2579" i="39"/>
  <c r="G2580" i="39"/>
  <c r="G2581" i="39"/>
  <c r="G2582" i="39"/>
  <c r="G2583" i="39"/>
  <c r="G2584" i="39"/>
  <c r="G2585" i="39"/>
  <c r="G2586" i="39"/>
  <c r="G2587" i="39"/>
  <c r="G2588" i="39"/>
  <c r="G2589" i="39"/>
  <c r="G2590" i="39"/>
  <c r="G2591" i="39"/>
  <c r="G2592" i="39"/>
  <c r="G2593" i="39"/>
  <c r="G2594" i="39"/>
  <c r="G2595" i="39"/>
  <c r="G2596" i="39"/>
  <c r="G2597" i="39"/>
  <c r="G2598" i="39"/>
  <c r="G2599" i="39"/>
  <c r="G2600" i="39"/>
  <c r="G2601" i="39"/>
  <c r="G2602" i="39"/>
  <c r="G2603" i="39"/>
  <c r="G2604" i="39"/>
  <c r="G2605" i="39"/>
  <c r="G2606" i="39"/>
  <c r="G2607" i="39"/>
  <c r="G2608" i="39"/>
  <c r="G2609" i="39"/>
  <c r="G2610" i="39"/>
  <c r="G2611" i="39"/>
  <c r="G2612" i="39"/>
  <c r="G2613" i="39"/>
  <c r="G2614" i="39"/>
  <c r="G2615" i="39"/>
  <c r="G2616" i="39"/>
  <c r="G2617" i="39"/>
  <c r="G2618" i="39"/>
  <c r="G2619" i="39"/>
  <c r="G2620" i="39"/>
  <c r="G2621" i="39"/>
  <c r="G2622" i="39"/>
  <c r="G2623" i="39"/>
  <c r="G2624" i="39"/>
  <c r="G2625" i="39"/>
  <c r="G2626" i="39"/>
  <c r="G2627" i="39"/>
  <c r="G2628" i="39"/>
  <c r="G2629" i="39"/>
  <c r="G2630" i="39"/>
  <c r="G2631" i="39"/>
  <c r="G2632" i="39"/>
  <c r="G2633" i="39"/>
  <c r="G2634" i="39"/>
  <c r="G2635" i="39"/>
  <c r="G2636" i="39"/>
  <c r="G2637" i="39"/>
  <c r="G2638" i="39"/>
  <c r="G2639" i="39"/>
  <c r="G2640" i="39"/>
  <c r="G2641" i="39"/>
  <c r="G2642" i="39"/>
  <c r="G2643" i="39"/>
  <c r="G2644" i="39"/>
  <c r="G2645" i="39"/>
  <c r="G2646" i="39"/>
  <c r="G2647" i="39"/>
  <c r="G2648" i="39"/>
  <c r="G2649" i="39"/>
  <c r="G2650" i="39"/>
  <c r="G2651" i="39"/>
  <c r="G2652" i="39"/>
  <c r="G2653" i="39"/>
  <c r="G2654" i="39"/>
  <c r="G2655" i="39"/>
  <c r="G2656" i="39"/>
  <c r="G2657" i="39"/>
  <c r="G2658" i="39"/>
  <c r="G2659" i="39"/>
  <c r="G2660" i="39"/>
  <c r="G2661" i="39"/>
  <c r="G2662" i="39"/>
  <c r="G2663" i="39"/>
  <c r="G2664" i="39"/>
  <c r="G2665" i="39"/>
  <c r="G2666" i="39"/>
  <c r="G2667" i="39"/>
  <c r="G2668" i="39"/>
  <c r="G2669" i="39"/>
  <c r="G2670" i="39"/>
  <c r="G2671" i="39"/>
  <c r="G2672" i="39"/>
  <c r="G2673" i="39"/>
  <c r="G2674" i="39"/>
  <c r="G2675" i="39"/>
  <c r="G2676" i="39"/>
  <c r="G2677" i="39"/>
  <c r="G2678" i="39"/>
  <c r="G2679" i="39"/>
  <c r="G2680" i="39"/>
  <c r="G2681" i="39"/>
  <c r="G2682" i="39"/>
  <c r="G2683" i="39"/>
  <c r="G2684" i="39"/>
  <c r="G2685" i="39"/>
  <c r="G2686" i="39"/>
  <c r="G2687" i="39"/>
  <c r="G2688" i="39"/>
  <c r="G2689" i="39"/>
  <c r="G2690" i="39"/>
  <c r="G2691" i="39"/>
  <c r="G2692" i="39"/>
  <c r="G2693" i="39"/>
  <c r="G2694" i="39"/>
  <c r="G2695" i="39"/>
  <c r="G2696" i="39"/>
  <c r="G2697" i="39"/>
  <c r="G2698" i="39"/>
  <c r="G2699" i="39"/>
  <c r="G2700" i="39"/>
  <c r="G2701" i="39"/>
  <c r="G2702" i="39"/>
  <c r="G2703" i="39"/>
  <c r="G2704" i="39"/>
  <c r="G2705" i="39"/>
  <c r="G2706" i="39"/>
  <c r="G2707" i="39"/>
  <c r="G2708" i="39"/>
  <c r="G2709" i="39"/>
  <c r="G2710" i="39"/>
  <c r="G2711" i="39"/>
  <c r="G2712" i="39"/>
  <c r="G2713" i="39"/>
  <c r="G2714" i="39"/>
  <c r="G2715" i="39"/>
  <c r="G2716" i="39"/>
  <c r="G2717" i="39"/>
  <c r="G2718" i="39"/>
  <c r="G2719" i="39"/>
  <c r="G2720" i="39"/>
  <c r="G2721" i="39"/>
  <c r="G2722" i="39"/>
  <c r="G2723" i="39"/>
  <c r="G2724" i="39"/>
  <c r="G2725" i="39"/>
  <c r="G2726" i="39"/>
  <c r="G2727" i="39"/>
  <c r="G2728" i="39"/>
  <c r="G2729" i="39"/>
  <c r="G2730" i="39"/>
  <c r="G2731" i="39"/>
  <c r="G2732" i="39"/>
  <c r="G2733" i="39"/>
  <c r="G2734" i="39"/>
  <c r="G2735" i="39"/>
  <c r="G2736" i="39"/>
  <c r="G2737" i="39"/>
  <c r="G2738" i="39"/>
  <c r="G2739" i="39"/>
  <c r="G2740" i="39"/>
  <c r="G2741" i="39"/>
  <c r="G2742" i="39"/>
  <c r="G2743" i="39"/>
  <c r="G2744" i="39"/>
  <c r="G2745" i="39"/>
  <c r="G2746" i="39"/>
  <c r="G2747" i="39"/>
  <c r="G2748" i="39"/>
  <c r="G2749" i="39"/>
  <c r="G2750" i="39"/>
  <c r="G2751" i="39"/>
  <c r="G2752" i="39"/>
  <c r="G2753" i="39"/>
  <c r="G2754" i="39"/>
  <c r="G2755" i="39"/>
  <c r="G2756" i="39"/>
  <c r="G2757" i="39"/>
  <c r="G2758" i="39"/>
  <c r="G2759" i="39"/>
  <c r="G2760" i="39"/>
  <c r="G2761" i="39"/>
  <c r="G2762" i="39"/>
  <c r="G2763" i="39"/>
  <c r="G2764" i="39"/>
  <c r="G2765" i="39"/>
  <c r="G2766" i="39"/>
  <c r="G2767" i="39"/>
  <c r="G2768" i="39"/>
  <c r="G2769" i="39"/>
  <c r="G2770" i="39"/>
  <c r="G2771" i="39"/>
  <c r="G2772" i="39"/>
  <c r="G2773" i="39"/>
  <c r="G2774" i="39"/>
  <c r="G2775" i="39"/>
  <c r="G2776" i="39"/>
  <c r="G2777" i="39"/>
  <c r="G2778" i="39"/>
  <c r="G2779" i="39"/>
  <c r="G2780" i="39"/>
  <c r="G2781" i="39"/>
  <c r="G2782" i="39"/>
  <c r="G2783" i="39"/>
  <c r="G2784" i="39"/>
  <c r="G2785" i="39"/>
  <c r="G2786" i="39"/>
  <c r="G2787" i="39"/>
  <c r="G2788" i="39"/>
  <c r="G2789" i="39"/>
  <c r="G2790" i="39"/>
  <c r="G2791" i="39"/>
  <c r="G2792" i="39"/>
  <c r="G2793" i="39"/>
  <c r="G2794" i="39"/>
  <c r="G2795" i="39"/>
  <c r="G2796" i="39"/>
  <c r="G2797" i="39"/>
  <c r="G2798" i="39"/>
  <c r="G2799" i="39"/>
  <c r="G2800" i="39"/>
  <c r="G2801" i="39"/>
  <c r="G2802" i="39"/>
  <c r="G2803" i="39"/>
  <c r="G2804" i="39"/>
  <c r="G2805" i="39"/>
  <c r="G2806" i="39"/>
  <c r="G2807" i="39"/>
  <c r="G2808" i="39"/>
  <c r="G2809" i="39"/>
  <c r="G2810" i="39"/>
  <c r="G2811" i="39"/>
  <c r="G2812" i="39"/>
  <c r="G2813" i="39"/>
  <c r="G2814" i="39"/>
  <c r="G2815" i="39"/>
  <c r="G2816" i="39"/>
  <c r="G2817" i="39"/>
  <c r="G2818" i="39"/>
  <c r="G2819" i="39"/>
  <c r="G2820" i="39"/>
  <c r="G2821" i="39"/>
  <c r="G2822" i="39"/>
  <c r="G2823" i="39"/>
  <c r="G2824" i="39"/>
  <c r="G2825" i="39"/>
  <c r="G2826" i="39"/>
  <c r="G2827" i="39"/>
  <c r="G2828" i="39"/>
  <c r="G2829" i="39"/>
  <c r="G2830" i="39"/>
  <c r="G2831" i="39"/>
  <c r="G2832" i="39"/>
  <c r="G2833" i="39"/>
  <c r="G2834" i="39"/>
  <c r="G2835" i="39"/>
  <c r="G2836" i="39"/>
  <c r="G2837" i="39"/>
  <c r="G2838" i="39"/>
  <c r="G2839" i="39"/>
  <c r="G2840" i="39"/>
  <c r="G2841" i="39"/>
  <c r="G2842" i="39"/>
  <c r="G2843" i="39"/>
  <c r="G2844" i="39"/>
  <c r="G2845" i="39"/>
  <c r="G2846" i="39"/>
  <c r="G2847" i="39"/>
  <c r="G2848" i="39"/>
  <c r="G2849" i="39"/>
  <c r="G2850" i="39"/>
  <c r="G2851" i="39"/>
  <c r="G2852" i="39"/>
  <c r="G2853" i="39"/>
  <c r="G2854" i="39"/>
  <c r="G2855" i="39"/>
  <c r="G2856" i="39"/>
  <c r="G2857" i="39"/>
  <c r="G2858" i="39"/>
  <c r="G2859" i="39"/>
  <c r="G2860" i="39"/>
  <c r="G2861" i="39"/>
  <c r="G2862" i="39"/>
  <c r="G2863" i="39"/>
  <c r="G2864" i="39"/>
  <c r="G2865" i="39"/>
  <c r="G2866" i="39"/>
  <c r="G2867" i="39"/>
  <c r="G2868" i="39"/>
  <c r="G2869" i="39"/>
  <c r="G2870" i="39"/>
  <c r="G2871" i="39"/>
  <c r="G2872" i="39"/>
  <c r="G2873" i="39"/>
  <c r="G2874" i="39"/>
  <c r="G2875" i="39"/>
  <c r="G2876" i="39"/>
  <c r="G2877" i="39"/>
  <c r="G2878" i="39"/>
  <c r="G2879" i="39"/>
  <c r="G2880" i="39"/>
  <c r="G2881" i="39"/>
  <c r="G2882" i="39"/>
  <c r="G2883" i="39"/>
  <c r="G2884" i="39"/>
  <c r="G2885" i="39"/>
  <c r="G2886" i="39"/>
  <c r="G2887" i="39"/>
  <c r="G2888" i="39"/>
  <c r="G2889" i="39"/>
  <c r="G2890" i="39"/>
  <c r="G2891" i="39"/>
  <c r="G2892" i="39"/>
  <c r="G2893" i="39"/>
  <c r="G2894" i="39"/>
  <c r="G2895" i="39"/>
  <c r="G2896" i="39"/>
  <c r="G2897" i="39"/>
  <c r="G2898" i="39"/>
  <c r="G2899" i="39"/>
  <c r="G2900" i="39"/>
  <c r="G2901" i="39"/>
  <c r="G2902" i="39"/>
  <c r="G2903" i="39"/>
  <c r="G2904" i="39"/>
  <c r="G2905" i="39"/>
  <c r="G2906" i="39"/>
  <c r="G2907" i="39"/>
  <c r="G2908" i="39"/>
  <c r="G2909" i="39"/>
  <c r="G2910" i="39"/>
  <c r="G2911" i="39"/>
  <c r="G2912" i="39"/>
  <c r="G2913" i="39"/>
  <c r="G2914" i="39"/>
  <c r="G2915" i="39"/>
  <c r="G2916" i="39"/>
  <c r="G2917" i="39"/>
  <c r="G2918" i="39"/>
  <c r="G2919" i="39"/>
  <c r="G2920" i="39"/>
  <c r="G2921" i="39"/>
  <c r="G2922" i="39"/>
  <c r="G2923" i="39"/>
  <c r="G2924" i="39"/>
  <c r="G2925" i="39"/>
  <c r="G2926" i="39"/>
  <c r="G2927" i="39"/>
  <c r="G2928" i="39"/>
  <c r="G2929" i="39"/>
  <c r="G2930" i="39"/>
  <c r="G2931" i="39"/>
  <c r="G2932" i="39"/>
  <c r="G2933" i="39"/>
  <c r="G2934" i="39"/>
  <c r="G2935" i="39"/>
  <c r="G2936" i="39"/>
  <c r="G2937" i="39"/>
  <c r="G2938" i="39"/>
  <c r="G2939" i="39"/>
  <c r="G2940" i="39"/>
  <c r="G2941" i="39"/>
  <c r="G2942" i="39"/>
  <c r="G2943" i="39"/>
  <c r="G2944" i="39"/>
  <c r="G2945" i="39"/>
  <c r="G2946" i="39"/>
  <c r="G2947" i="39"/>
  <c r="G2948" i="39"/>
  <c r="G2949" i="39"/>
  <c r="G2950" i="39"/>
  <c r="G2951" i="39"/>
  <c r="G2952" i="39"/>
  <c r="G2953" i="39"/>
  <c r="G2954" i="39"/>
  <c r="G2955" i="39"/>
  <c r="G2956" i="39"/>
  <c r="G2957" i="39"/>
  <c r="G2958" i="39"/>
  <c r="G2959" i="39"/>
  <c r="G2960" i="39"/>
  <c r="G2961" i="39"/>
  <c r="G2962" i="39"/>
  <c r="G2963" i="39"/>
  <c r="G2964" i="39"/>
  <c r="G2965" i="39"/>
  <c r="G2966" i="39"/>
  <c r="G2967" i="39"/>
  <c r="G2968" i="39"/>
  <c r="G2969" i="39"/>
  <c r="G2970" i="39"/>
  <c r="G2971" i="39"/>
  <c r="G2972" i="39"/>
  <c r="G2973" i="39"/>
  <c r="G2974" i="39"/>
  <c r="G2975" i="39"/>
  <c r="G2976" i="39"/>
  <c r="G2977" i="39"/>
  <c r="G2978" i="39"/>
  <c r="G2979" i="39"/>
  <c r="G2980" i="39"/>
  <c r="G2981" i="39"/>
  <c r="G2982" i="39"/>
  <c r="G2983" i="39"/>
  <c r="G2984" i="39"/>
  <c r="G2985" i="39"/>
  <c r="G2986" i="39"/>
  <c r="G2987" i="39"/>
  <c r="G2988" i="39"/>
  <c r="G2989" i="39"/>
  <c r="G2990" i="39"/>
  <c r="G2991" i="39"/>
  <c r="G2992" i="39"/>
  <c r="G2993" i="39"/>
  <c r="G2994" i="39"/>
  <c r="G2995" i="39"/>
  <c r="G2996" i="39"/>
  <c r="G2997" i="39"/>
  <c r="G2998" i="39"/>
  <c r="G2999" i="39"/>
  <c r="G3000" i="39"/>
  <c r="G3001" i="39"/>
  <c r="G3002" i="39"/>
  <c r="G3003" i="39"/>
  <c r="G3004" i="39"/>
  <c r="G3005" i="39"/>
  <c r="G3006" i="39"/>
  <c r="G3007" i="39"/>
  <c r="G3008" i="39"/>
  <c r="G3009" i="39"/>
  <c r="G3010" i="39"/>
  <c r="G3011" i="39"/>
  <c r="G3012" i="39"/>
  <c r="G3013" i="39"/>
  <c r="G3014" i="39"/>
  <c r="G3015" i="39"/>
  <c r="G3016" i="39"/>
  <c r="G3017" i="39"/>
  <c r="G3018" i="39"/>
  <c r="G3019" i="39"/>
  <c r="G3020" i="39"/>
  <c r="G3021" i="39"/>
  <c r="G3022" i="39"/>
  <c r="G3023" i="39"/>
  <c r="G3024" i="39"/>
  <c r="G3025" i="39"/>
  <c r="G3026" i="39"/>
  <c r="G3027" i="39"/>
  <c r="G3028" i="39"/>
  <c r="G3029" i="39"/>
  <c r="G3030" i="39"/>
  <c r="G3031" i="39"/>
  <c r="G3032" i="39"/>
  <c r="G3033" i="39"/>
  <c r="G3034" i="39"/>
  <c r="G3035" i="39"/>
  <c r="G3036" i="39"/>
  <c r="G3037" i="39"/>
  <c r="G3038" i="39"/>
  <c r="G3039" i="39"/>
  <c r="G3040" i="39"/>
  <c r="G3041" i="39"/>
  <c r="G3042" i="39"/>
  <c r="G3043" i="39"/>
  <c r="G3044" i="39"/>
  <c r="G3045" i="39"/>
  <c r="G3046" i="39"/>
  <c r="G3047" i="39"/>
  <c r="G3048" i="39"/>
  <c r="G3049" i="39"/>
  <c r="G3050" i="39"/>
  <c r="G3051" i="39"/>
  <c r="G3052" i="39"/>
  <c r="G3053" i="39"/>
  <c r="G3054" i="39"/>
  <c r="G3055" i="39"/>
  <c r="G3056" i="39"/>
  <c r="G3057" i="39"/>
  <c r="G3058" i="39"/>
  <c r="G3059" i="39"/>
  <c r="G3060" i="39"/>
  <c r="G3061" i="39"/>
  <c r="G3062" i="39"/>
  <c r="G3063" i="39"/>
  <c r="G3064" i="39"/>
  <c r="G3065" i="39"/>
  <c r="G3066" i="39"/>
  <c r="G3067" i="39"/>
  <c r="G3068" i="39"/>
  <c r="G3069" i="39"/>
  <c r="G3070" i="39"/>
  <c r="G3071" i="39"/>
  <c r="G3072" i="39"/>
  <c r="G3073" i="39"/>
  <c r="G3074" i="39"/>
  <c r="G3075" i="39"/>
  <c r="G3076" i="39"/>
  <c r="G3077" i="39"/>
  <c r="G3078" i="39"/>
  <c r="G3079" i="39"/>
  <c r="G3080" i="39"/>
  <c r="G3081" i="39"/>
  <c r="G3082" i="39"/>
  <c r="G3083" i="39"/>
  <c r="G3084" i="39"/>
  <c r="G3085" i="39"/>
  <c r="G3086" i="39"/>
  <c r="G3087" i="39"/>
  <c r="G3088" i="39"/>
  <c r="G3089" i="39"/>
  <c r="G3090" i="39"/>
  <c r="G3091" i="39"/>
  <c r="G3092" i="39"/>
  <c r="G3093" i="39"/>
  <c r="G3094" i="39"/>
  <c r="G3095" i="39"/>
  <c r="G3096" i="39"/>
  <c r="G3097" i="39"/>
  <c r="G3098" i="39"/>
  <c r="G3099" i="39"/>
  <c r="G3100" i="39"/>
  <c r="G3101" i="39"/>
  <c r="G3102" i="39"/>
  <c r="G3103" i="39"/>
  <c r="G3104" i="39"/>
  <c r="G3105" i="39"/>
  <c r="G3106" i="39"/>
  <c r="G3107" i="39"/>
  <c r="G3108" i="39"/>
  <c r="G3109" i="39"/>
  <c r="G3110" i="39"/>
  <c r="G3111" i="39"/>
  <c r="G3112" i="39"/>
  <c r="G3113" i="39"/>
  <c r="G3114" i="39"/>
  <c r="G3115" i="39"/>
  <c r="G3116" i="39"/>
  <c r="G3117" i="39"/>
  <c r="G3118" i="39"/>
  <c r="G3119" i="39"/>
  <c r="G3120" i="39"/>
  <c r="G3121" i="39"/>
  <c r="G3122" i="39"/>
  <c r="G3123" i="39"/>
  <c r="G3124" i="39"/>
  <c r="G3125" i="39"/>
  <c r="G3126" i="39"/>
  <c r="G3127" i="39"/>
  <c r="G3128" i="39"/>
  <c r="G3129" i="39"/>
  <c r="G3130" i="39"/>
  <c r="G3131" i="39"/>
  <c r="G3132" i="39"/>
  <c r="G3133" i="39"/>
  <c r="G3134" i="39"/>
  <c r="G3135" i="39"/>
  <c r="G3136" i="39"/>
  <c r="G3137" i="39"/>
  <c r="G3138" i="39"/>
  <c r="G3139" i="39"/>
  <c r="G3140" i="39"/>
  <c r="G3141" i="39"/>
  <c r="G3142" i="39"/>
  <c r="G3143" i="39"/>
  <c r="G3144" i="39"/>
  <c r="G3145" i="39"/>
  <c r="G3146" i="39"/>
  <c r="G3147" i="39"/>
  <c r="G3148" i="39"/>
  <c r="G3149" i="39"/>
  <c r="G3150" i="39"/>
  <c r="G3151" i="39"/>
  <c r="G3152" i="39"/>
  <c r="G3153" i="39"/>
  <c r="G3154" i="39"/>
  <c r="G3155" i="39"/>
  <c r="G3156" i="39"/>
  <c r="G3157" i="39"/>
  <c r="G3158" i="39"/>
  <c r="G3159" i="39"/>
  <c r="G3160" i="39"/>
  <c r="G3161" i="39"/>
  <c r="G3162" i="39"/>
  <c r="G3163" i="39"/>
  <c r="G3164" i="39"/>
  <c r="G3165" i="39"/>
  <c r="G3166" i="39"/>
  <c r="G3167" i="39"/>
  <c r="G3168" i="39"/>
  <c r="G3169" i="39"/>
  <c r="G3170" i="39"/>
  <c r="G3171" i="39"/>
  <c r="G3172" i="39"/>
  <c r="G3173" i="39"/>
  <c r="G3174" i="39"/>
  <c r="G3175" i="39"/>
  <c r="G3176" i="39"/>
  <c r="G3177" i="39"/>
  <c r="G3178" i="39"/>
  <c r="G3179" i="39"/>
  <c r="G3180" i="39"/>
  <c r="G3181" i="39"/>
  <c r="G3182" i="39"/>
  <c r="G3183" i="39"/>
  <c r="G3184" i="39"/>
  <c r="G3185" i="39"/>
  <c r="G3186" i="39"/>
  <c r="G3187" i="39"/>
  <c r="G3188" i="39"/>
  <c r="G3189" i="39"/>
  <c r="G3190" i="39"/>
  <c r="G3191" i="39"/>
  <c r="G3192" i="39"/>
  <c r="G3193" i="39"/>
  <c r="G3194" i="39"/>
  <c r="G3195" i="39"/>
  <c r="G3196" i="39"/>
  <c r="G3197" i="39"/>
  <c r="G3198" i="39"/>
  <c r="G3199" i="39"/>
  <c r="G3200" i="39"/>
  <c r="G3201" i="39"/>
  <c r="G3202" i="39"/>
  <c r="G3203" i="39"/>
  <c r="G3204" i="39"/>
  <c r="G3205" i="39"/>
  <c r="G3206" i="39"/>
  <c r="G3207" i="39"/>
  <c r="G3208" i="39"/>
  <c r="G3209" i="39"/>
  <c r="G3210" i="39"/>
  <c r="G3211" i="39"/>
  <c r="G3212" i="39"/>
  <c r="G3213" i="39"/>
  <c r="G3214" i="39"/>
  <c r="G3215" i="39"/>
  <c r="G3216" i="39"/>
  <c r="G3217" i="39"/>
  <c r="G3218" i="39"/>
  <c r="G3219" i="39"/>
  <c r="G3220" i="39"/>
  <c r="G3221" i="39"/>
  <c r="G3222" i="39"/>
  <c r="G3223" i="39"/>
  <c r="G3224" i="39"/>
  <c r="G3225" i="39"/>
  <c r="G3226" i="39"/>
  <c r="G3227" i="39"/>
  <c r="G3228" i="39"/>
  <c r="G3229" i="39"/>
  <c r="G3230" i="39"/>
  <c r="G3231" i="39"/>
  <c r="G3232" i="39"/>
  <c r="G3233" i="39"/>
  <c r="G3234" i="39"/>
  <c r="G3235" i="39"/>
  <c r="G3236" i="39"/>
  <c r="G3237" i="39"/>
  <c r="G3238" i="39"/>
  <c r="G3239" i="39"/>
  <c r="G3240" i="39"/>
  <c r="G3241" i="39"/>
  <c r="G3242" i="39"/>
  <c r="G3243" i="39"/>
  <c r="G3244" i="39"/>
  <c r="G3245" i="39"/>
  <c r="G3246" i="39"/>
  <c r="G3247" i="39"/>
  <c r="G3248" i="39"/>
  <c r="G3249" i="39"/>
  <c r="G3250" i="39"/>
  <c r="G3251" i="39"/>
  <c r="G3252" i="39"/>
  <c r="G3253" i="39"/>
  <c r="G3254" i="39"/>
  <c r="G3255" i="39"/>
  <c r="G3256" i="39"/>
  <c r="G3257" i="39"/>
  <c r="G3258" i="39"/>
  <c r="G3259" i="39"/>
  <c r="G3260" i="39"/>
  <c r="G3261" i="39"/>
  <c r="G3262" i="39"/>
  <c r="G3263" i="39"/>
  <c r="G3264" i="39"/>
  <c r="G3265" i="39"/>
  <c r="G3266" i="39"/>
  <c r="G3267" i="39"/>
  <c r="G3268" i="39"/>
  <c r="G3269" i="39"/>
  <c r="G3270" i="39"/>
  <c r="G3271" i="39"/>
  <c r="G3272" i="39"/>
  <c r="G3273" i="39"/>
  <c r="G3274" i="39"/>
  <c r="G3275" i="39"/>
  <c r="G3276" i="39"/>
  <c r="G3277" i="39"/>
  <c r="G3278" i="39"/>
  <c r="G3279" i="39"/>
  <c r="G3280" i="39"/>
  <c r="G3281" i="39"/>
  <c r="G3282" i="39"/>
  <c r="G3283" i="39"/>
  <c r="G3284" i="39"/>
  <c r="G3285" i="39"/>
  <c r="G3286" i="39"/>
  <c r="G3287" i="39"/>
  <c r="G3288" i="39"/>
  <c r="G3289" i="39"/>
  <c r="G3290" i="39"/>
  <c r="G3291" i="39"/>
  <c r="G3292" i="39"/>
  <c r="G3293" i="39"/>
  <c r="G3294" i="39"/>
  <c r="G3295" i="39"/>
  <c r="G3296" i="39"/>
  <c r="G3297" i="39"/>
  <c r="G3298" i="39"/>
  <c r="G3299" i="39"/>
  <c r="G3300" i="39"/>
  <c r="G3301" i="39"/>
  <c r="G3302" i="39"/>
  <c r="G3303" i="39"/>
  <c r="G3304" i="39"/>
  <c r="G3305" i="39"/>
  <c r="G3306" i="39"/>
  <c r="G3307" i="39"/>
  <c r="G3308" i="39"/>
  <c r="G3309" i="39"/>
  <c r="G3310" i="39"/>
  <c r="G3311" i="39"/>
  <c r="G3312" i="39"/>
  <c r="G3313" i="39"/>
  <c r="G3314" i="39"/>
  <c r="G3315" i="39"/>
  <c r="G3316" i="39"/>
  <c r="G3317" i="39"/>
  <c r="G3318" i="39"/>
  <c r="G3319" i="39"/>
  <c r="G3320" i="39"/>
  <c r="G3321" i="39"/>
  <c r="G3322" i="39"/>
  <c r="G3323" i="39"/>
  <c r="G3324" i="39"/>
  <c r="G3325" i="39"/>
  <c r="G3326" i="39"/>
  <c r="G3327" i="39"/>
  <c r="G3328" i="39"/>
  <c r="G3329" i="39"/>
  <c r="G3330" i="39"/>
  <c r="G3331" i="39"/>
  <c r="G3332" i="39"/>
  <c r="G3333" i="39"/>
  <c r="G3334" i="39"/>
  <c r="G3335" i="39"/>
  <c r="G3336" i="39"/>
  <c r="G3337" i="39"/>
  <c r="G3338" i="39"/>
  <c r="G3339" i="39"/>
  <c r="G3340" i="39"/>
  <c r="G3341" i="39"/>
  <c r="G3342" i="39"/>
  <c r="G3343" i="39"/>
  <c r="G3344" i="39"/>
  <c r="G3345" i="39"/>
  <c r="G3346" i="39"/>
  <c r="G3347" i="39"/>
  <c r="G3348" i="39"/>
  <c r="G3349" i="39"/>
  <c r="G3350" i="39"/>
  <c r="G3351" i="39"/>
  <c r="G3352" i="39"/>
  <c r="G3353" i="39"/>
  <c r="G3354" i="39"/>
  <c r="G3355" i="39"/>
  <c r="G3356" i="39"/>
  <c r="G3357" i="39"/>
  <c r="G3358" i="39"/>
  <c r="G3359" i="39"/>
  <c r="G3360" i="39"/>
  <c r="G3361" i="39"/>
  <c r="G3362" i="39"/>
  <c r="G3363" i="39"/>
  <c r="G3364" i="39"/>
  <c r="G3365" i="39"/>
  <c r="G3366" i="39"/>
  <c r="G3367" i="39"/>
  <c r="G3368" i="39"/>
  <c r="G3369" i="39"/>
  <c r="G3370" i="39"/>
  <c r="G3371" i="39"/>
  <c r="G3372" i="39"/>
  <c r="G3373" i="39"/>
  <c r="G3374" i="39"/>
  <c r="G3375" i="39"/>
  <c r="G3376" i="39"/>
  <c r="G3377" i="39"/>
  <c r="G3378" i="39"/>
  <c r="G3379" i="39"/>
  <c r="G3380" i="39"/>
  <c r="G3381" i="39"/>
  <c r="G3382" i="39"/>
  <c r="G3383" i="39"/>
  <c r="G3384" i="39"/>
  <c r="G3385" i="39"/>
  <c r="G3386" i="39"/>
  <c r="G3387" i="39"/>
  <c r="G3388" i="39"/>
  <c r="G3389" i="39"/>
  <c r="G3390" i="39"/>
  <c r="G3391" i="39"/>
  <c r="G3392" i="39"/>
  <c r="G3393" i="39"/>
  <c r="G3394" i="39"/>
  <c r="G3395" i="39"/>
  <c r="G3396" i="39"/>
  <c r="G3397" i="39"/>
  <c r="G3398" i="39"/>
  <c r="G3399" i="39"/>
  <c r="G3400" i="39"/>
  <c r="G3401" i="39"/>
  <c r="G3402" i="39"/>
  <c r="G3403" i="39"/>
  <c r="G3404" i="39"/>
  <c r="G3405" i="39"/>
  <c r="G3406" i="39"/>
  <c r="G3407" i="39"/>
  <c r="G3408" i="39"/>
  <c r="G3409" i="39"/>
  <c r="G3410" i="39"/>
  <c r="G3411" i="39"/>
  <c r="G3412" i="39"/>
  <c r="G3413" i="39"/>
  <c r="G3414" i="39"/>
  <c r="G3415" i="39"/>
  <c r="G3416" i="39"/>
  <c r="G3417" i="39"/>
  <c r="G3418" i="39"/>
  <c r="G3419" i="39"/>
  <c r="G3420" i="39"/>
  <c r="G3421" i="39"/>
  <c r="G3422" i="39"/>
  <c r="G3423" i="39"/>
  <c r="G3424" i="39"/>
  <c r="G3425" i="39"/>
  <c r="G3426" i="39"/>
  <c r="G3427" i="39"/>
  <c r="G3428" i="39"/>
  <c r="G3429" i="39"/>
  <c r="G3430" i="39"/>
  <c r="G3431" i="39"/>
  <c r="G3432" i="39"/>
  <c r="G3433" i="39"/>
  <c r="G3434" i="39"/>
  <c r="G3435" i="39"/>
  <c r="G3436" i="39"/>
  <c r="G3437" i="39"/>
  <c r="G3438" i="39"/>
  <c r="G3439" i="39"/>
  <c r="G3440" i="39"/>
  <c r="G3441" i="39"/>
  <c r="G3442" i="39"/>
  <c r="G3443" i="39"/>
  <c r="G3444" i="39"/>
  <c r="G3445" i="39"/>
  <c r="G3446" i="39"/>
  <c r="G3447" i="39"/>
  <c r="G3448" i="39"/>
  <c r="G3449" i="39"/>
  <c r="G3450" i="39"/>
  <c r="G3451" i="39"/>
  <c r="G3452" i="39"/>
  <c r="G3453" i="39"/>
  <c r="G3454" i="39"/>
  <c r="G3455" i="39"/>
  <c r="G3456" i="39"/>
  <c r="G3457" i="39"/>
  <c r="G3458" i="39"/>
  <c r="G3459" i="39"/>
  <c r="G3460" i="39"/>
  <c r="G3461" i="39"/>
  <c r="G3462" i="39"/>
  <c r="G3463" i="39"/>
  <c r="G3464" i="39"/>
  <c r="G3465" i="39"/>
  <c r="G3466" i="39"/>
  <c r="G3467" i="39"/>
  <c r="G3468" i="39"/>
  <c r="G3469" i="39"/>
  <c r="G3470" i="39"/>
  <c r="G3471" i="39"/>
  <c r="G3472" i="39"/>
  <c r="G3473" i="39"/>
  <c r="G3474" i="39"/>
  <c r="G3475" i="39"/>
  <c r="G3476" i="39"/>
  <c r="G3477" i="39"/>
  <c r="G3478" i="39"/>
  <c r="G3479" i="39"/>
  <c r="G3480" i="39"/>
  <c r="G3481" i="39"/>
  <c r="G3482" i="39"/>
  <c r="G3483" i="39"/>
  <c r="G3484" i="39"/>
  <c r="G3485" i="39"/>
  <c r="G3486" i="39"/>
  <c r="G3487" i="39"/>
  <c r="G3488" i="39"/>
  <c r="G3489" i="39"/>
  <c r="G3490" i="39"/>
  <c r="G3491" i="39"/>
  <c r="G3492" i="39"/>
  <c r="G3493" i="39"/>
  <c r="G3494" i="39"/>
  <c r="G3495" i="39"/>
  <c r="G3496" i="39"/>
  <c r="G3497" i="39"/>
  <c r="G3498" i="39"/>
  <c r="G3499" i="39"/>
  <c r="G3500" i="39"/>
  <c r="G3501" i="39"/>
  <c r="G3502" i="39"/>
  <c r="G3503" i="39"/>
  <c r="G3504" i="39"/>
  <c r="G3505" i="39"/>
  <c r="G3506" i="39"/>
  <c r="G3507" i="39"/>
  <c r="G3508" i="39"/>
  <c r="G3509" i="39"/>
  <c r="G3510" i="39"/>
  <c r="G3511" i="39"/>
  <c r="G3512" i="39"/>
  <c r="G3513" i="39"/>
  <c r="G3514" i="39"/>
  <c r="G3515" i="39"/>
  <c r="G3516" i="39"/>
  <c r="G3517" i="39"/>
  <c r="G3518" i="39"/>
  <c r="G3519" i="39"/>
  <c r="G3520" i="39"/>
  <c r="G3521" i="39"/>
  <c r="G3522" i="39"/>
  <c r="G3523" i="39"/>
  <c r="G3524" i="39"/>
  <c r="G3525" i="39"/>
  <c r="G3526" i="39"/>
  <c r="G3527" i="39"/>
  <c r="G3528" i="39"/>
  <c r="G3529" i="39"/>
  <c r="G3530" i="39"/>
  <c r="G3531" i="39"/>
  <c r="G3532" i="39"/>
  <c r="G3533" i="39"/>
  <c r="G3534" i="39"/>
  <c r="G3535" i="39"/>
  <c r="G3536" i="39"/>
  <c r="G3537" i="39"/>
  <c r="G3538" i="39"/>
  <c r="G3539" i="39"/>
  <c r="G3540" i="39"/>
  <c r="G3541" i="39"/>
  <c r="G3542" i="39"/>
  <c r="G3543" i="39"/>
  <c r="G3544" i="39"/>
  <c r="G3545" i="39"/>
  <c r="G3546" i="39"/>
  <c r="G3547" i="39"/>
  <c r="G3548" i="39"/>
  <c r="G3549" i="39"/>
  <c r="G3550" i="39"/>
  <c r="G3551" i="39"/>
  <c r="G3552" i="39"/>
  <c r="G3553" i="39"/>
  <c r="G3554" i="39"/>
  <c r="G3555" i="39"/>
  <c r="G3556" i="39"/>
  <c r="G3557" i="39"/>
  <c r="G3558" i="39"/>
  <c r="G3559" i="39"/>
  <c r="G3560" i="39"/>
  <c r="G3561" i="39"/>
  <c r="G3562" i="39"/>
  <c r="G3563" i="39"/>
  <c r="G3564" i="39"/>
  <c r="G3565" i="39"/>
  <c r="G3566" i="39"/>
  <c r="G3567" i="39"/>
  <c r="G3568" i="39"/>
  <c r="G3569" i="39"/>
  <c r="G3570" i="39"/>
  <c r="G3571" i="39"/>
  <c r="G3572" i="39"/>
  <c r="G3573" i="39"/>
  <c r="G3574" i="39"/>
  <c r="G3575" i="39"/>
  <c r="G3576" i="39"/>
  <c r="G3577" i="39"/>
  <c r="G3578" i="39"/>
  <c r="G3579" i="39"/>
  <c r="G3580" i="39"/>
  <c r="G3581" i="39"/>
  <c r="G3582" i="39"/>
  <c r="G3583" i="39"/>
  <c r="G3584" i="39"/>
  <c r="G3585" i="39"/>
  <c r="G3586" i="39"/>
  <c r="G3587" i="39"/>
  <c r="G3588" i="39"/>
  <c r="G3589" i="39"/>
  <c r="G3590" i="39"/>
  <c r="G3591" i="39"/>
  <c r="G3592" i="39"/>
  <c r="G3593" i="39"/>
  <c r="G3594" i="39"/>
  <c r="G3595" i="39"/>
  <c r="G3596" i="39"/>
  <c r="G3597" i="39"/>
  <c r="G3598" i="39"/>
  <c r="G3599" i="39"/>
  <c r="G3600" i="39"/>
  <c r="G3601" i="39"/>
  <c r="G3602" i="39"/>
  <c r="G3603" i="39"/>
  <c r="G3604" i="39"/>
  <c r="G3605" i="39"/>
  <c r="G3606" i="39"/>
  <c r="G3607" i="39"/>
  <c r="G3608" i="39"/>
  <c r="G3609" i="39"/>
  <c r="G3610" i="39"/>
  <c r="G3611" i="39"/>
  <c r="G3612" i="39"/>
  <c r="G3613" i="39"/>
  <c r="G3614" i="39"/>
  <c r="G3615" i="39"/>
  <c r="G3616" i="39"/>
  <c r="G3617" i="39"/>
  <c r="G3618" i="39"/>
  <c r="G3619" i="39"/>
  <c r="G3620" i="39"/>
  <c r="G3621" i="39"/>
  <c r="G3622" i="39"/>
  <c r="G3623" i="39"/>
  <c r="G3624" i="39"/>
  <c r="G3625" i="39"/>
  <c r="G3626" i="39"/>
  <c r="G3627" i="39"/>
  <c r="G3628" i="39"/>
  <c r="G3629" i="39"/>
  <c r="G3630" i="39"/>
  <c r="G3631" i="39"/>
  <c r="G3632" i="39"/>
  <c r="G3633" i="39"/>
  <c r="G3634" i="39"/>
  <c r="G3635" i="39"/>
  <c r="G3636" i="39"/>
  <c r="G3637" i="39"/>
  <c r="G3638" i="39"/>
  <c r="G3639" i="39"/>
  <c r="G3640" i="39"/>
  <c r="G3641" i="39"/>
  <c r="G3642" i="39"/>
  <c r="G3643" i="39"/>
  <c r="G3644" i="39"/>
  <c r="G3645" i="39"/>
  <c r="G3646" i="39"/>
  <c r="G3647" i="39"/>
  <c r="G3648" i="39"/>
  <c r="G3649" i="39"/>
  <c r="G3650" i="39"/>
  <c r="G3651" i="39"/>
  <c r="G3652" i="39"/>
  <c r="G3653" i="39"/>
  <c r="G3654" i="39"/>
  <c r="G3655" i="39"/>
  <c r="G3656" i="39"/>
  <c r="G3657" i="39"/>
  <c r="G3658" i="39"/>
  <c r="G3659" i="39"/>
  <c r="G3660" i="39"/>
  <c r="G3661" i="39"/>
  <c r="G3662" i="39"/>
  <c r="G3663" i="39"/>
  <c r="G3664" i="39"/>
  <c r="G3665" i="39"/>
  <c r="G3666" i="39"/>
  <c r="G3667" i="39"/>
  <c r="G3668" i="39"/>
  <c r="G3669" i="39"/>
  <c r="G3670" i="39"/>
  <c r="G3671" i="39"/>
  <c r="G3672" i="39"/>
  <c r="G3673" i="39"/>
  <c r="G3674" i="39"/>
  <c r="G3675" i="39"/>
  <c r="G3676" i="39"/>
  <c r="G3677" i="39"/>
  <c r="G3678" i="39"/>
  <c r="G3679" i="39"/>
  <c r="G3680" i="39"/>
  <c r="G3681" i="39"/>
  <c r="G3682" i="39"/>
  <c r="G3683" i="39"/>
  <c r="G3684" i="39"/>
  <c r="G3685" i="39"/>
  <c r="G3686" i="39"/>
  <c r="G3687" i="39"/>
  <c r="G3688" i="39"/>
  <c r="G3689" i="39"/>
  <c r="G3690" i="39"/>
  <c r="G3691" i="39"/>
  <c r="G3692" i="39"/>
  <c r="G3693" i="39"/>
  <c r="G3694" i="39"/>
  <c r="G3695" i="39"/>
  <c r="G3696" i="39"/>
  <c r="G3697" i="39"/>
  <c r="G3698" i="39"/>
  <c r="G3699" i="39"/>
  <c r="G3700" i="39"/>
  <c r="G3701" i="39"/>
  <c r="G3702" i="39"/>
  <c r="G3703" i="39"/>
  <c r="G3704" i="39"/>
  <c r="G3705" i="39"/>
  <c r="G3706" i="39"/>
  <c r="G3707" i="39"/>
  <c r="G3708" i="39"/>
  <c r="G3709" i="39"/>
  <c r="G3710" i="39"/>
  <c r="G3711" i="39"/>
  <c r="G3712" i="39"/>
  <c r="G3713" i="39"/>
  <c r="G3714" i="39"/>
  <c r="G3715" i="39"/>
  <c r="G3716" i="39"/>
  <c r="G3717" i="39"/>
  <c r="G3718" i="39"/>
  <c r="G3719" i="39"/>
  <c r="G3720" i="39"/>
  <c r="G3721" i="39"/>
  <c r="G3722" i="39"/>
  <c r="G3723" i="39"/>
  <c r="G3724" i="39"/>
  <c r="G3725" i="39"/>
  <c r="G3726" i="39"/>
  <c r="G3727" i="39"/>
  <c r="A24" i="30" l="1"/>
  <c r="D338" i="18"/>
  <c r="D337" i="18"/>
  <c r="D336" i="18"/>
  <c r="D311" i="18"/>
  <c r="D310" i="18"/>
  <c r="D309" i="18"/>
  <c r="D301" i="18"/>
  <c r="D300" i="18"/>
  <c r="D299" i="18"/>
  <c r="D31" i="18"/>
  <c r="D30" i="18"/>
  <c r="D29" i="18"/>
  <c r="N45" i="30" l="1"/>
  <c r="F25" i="38"/>
  <c r="F19" i="38"/>
  <c r="F15" i="38"/>
  <c r="F13" i="38"/>
  <c r="F35" i="38"/>
  <c r="F34" i="38"/>
  <c r="F33" i="38"/>
  <c r="F31" i="38"/>
  <c r="F29" i="38"/>
  <c r="F28" i="38"/>
  <c r="F27" i="38"/>
  <c r="F23" i="38"/>
  <c r="F21" i="38"/>
  <c r="F22" i="38"/>
  <c r="F17" i="38"/>
  <c r="F16" i="38"/>
  <c r="F11" i="38"/>
  <c r="F10" i="38"/>
  <c r="F9" i="38"/>
  <c r="F7" i="38"/>
  <c r="G5" i="38"/>
  <c r="D7" i="38"/>
  <c r="L544" i="18"/>
  <c r="B202" i="39"/>
  <c r="C202" i="39" s="1"/>
  <c r="D202" i="39"/>
  <c r="H202" i="39"/>
  <c r="B541" i="39"/>
  <c r="D541" i="39"/>
  <c r="H541" i="39"/>
  <c r="B2066" i="39"/>
  <c r="D2066" i="39"/>
  <c r="H2066" i="39"/>
  <c r="B2069" i="39"/>
  <c r="C2069" i="39" s="1"/>
  <c r="D2069" i="39"/>
  <c r="H2069" i="39"/>
  <c r="B2084" i="39"/>
  <c r="D2084" i="39"/>
  <c r="H2084" i="39"/>
  <c r="B2092" i="39"/>
  <c r="D2092" i="39"/>
  <c r="H2092" i="39"/>
  <c r="B2106" i="39"/>
  <c r="C2106" i="39" s="1"/>
  <c r="D2106" i="39"/>
  <c r="H2106" i="39"/>
  <c r="B2108" i="39"/>
  <c r="D2108" i="39"/>
  <c r="H2108" i="39"/>
  <c r="B2119" i="39"/>
  <c r="D2119" i="39"/>
  <c r="H2119" i="39"/>
  <c r="B2120" i="39"/>
  <c r="C2120" i="39" s="1"/>
  <c r="D2120" i="39"/>
  <c r="H2120" i="39"/>
  <c r="B2123" i="39"/>
  <c r="D2123" i="39"/>
  <c r="H2123" i="39"/>
  <c r="B2137" i="39"/>
  <c r="C2137" i="39" s="1"/>
  <c r="D2137" i="39"/>
  <c r="H2137" i="39"/>
  <c r="B2151" i="39"/>
  <c r="C2151" i="39" s="1"/>
  <c r="D2151" i="39"/>
  <c r="H2151" i="39"/>
  <c r="B2157" i="39"/>
  <c r="D2157" i="39"/>
  <c r="H2157" i="39"/>
  <c r="B2175" i="39"/>
  <c r="D2175" i="39"/>
  <c r="H2175" i="39"/>
  <c r="B2176" i="39"/>
  <c r="C2176" i="39" s="1"/>
  <c r="D2176" i="39"/>
  <c r="H2176" i="39"/>
  <c r="B2179" i="39"/>
  <c r="D2179" i="39"/>
  <c r="H2179" i="39"/>
  <c r="B2190" i="39"/>
  <c r="C2190" i="39" s="1"/>
  <c r="D2190" i="39"/>
  <c r="H2190" i="39"/>
  <c r="B2192" i="39"/>
  <c r="C2192" i="39" s="1"/>
  <c r="D2192" i="39"/>
  <c r="H2192" i="39"/>
  <c r="B2198" i="39"/>
  <c r="D2198" i="39"/>
  <c r="H2198" i="39"/>
  <c r="B2206" i="39"/>
  <c r="D2206" i="39"/>
  <c r="H2206" i="39"/>
  <c r="B2208" i="39"/>
  <c r="C2208" i="39" s="1"/>
  <c r="D2208" i="39"/>
  <c r="H2208" i="39"/>
  <c r="B2211" i="39"/>
  <c r="D2211" i="39"/>
  <c r="H2211" i="39"/>
  <c r="B2212" i="39"/>
  <c r="D2212" i="39"/>
  <c r="H2212" i="39"/>
  <c r="B2217" i="39"/>
  <c r="C2217" i="39" s="1"/>
  <c r="D2217" i="39"/>
  <c r="H2217" i="39"/>
  <c r="B2258" i="39"/>
  <c r="D2258" i="39"/>
  <c r="H2258" i="39"/>
  <c r="B2271" i="39"/>
  <c r="D2271" i="39"/>
  <c r="H2271" i="39"/>
  <c r="B2273" i="39"/>
  <c r="C2273" i="39" s="1"/>
  <c r="D2273" i="39"/>
  <c r="H2273" i="39"/>
  <c r="B2326" i="39"/>
  <c r="D2326" i="39"/>
  <c r="H2326" i="39"/>
  <c r="B2353" i="39"/>
  <c r="C2353" i="39" s="1"/>
  <c r="D2353" i="39"/>
  <c r="H2353" i="39"/>
  <c r="B2360" i="39"/>
  <c r="C2360" i="39" s="1"/>
  <c r="D2360" i="39"/>
  <c r="H2360" i="39"/>
  <c r="B2366" i="39"/>
  <c r="D2366" i="39"/>
  <c r="H2366" i="39"/>
  <c r="B2383" i="39"/>
  <c r="D2383" i="39"/>
  <c r="H2383" i="39"/>
  <c r="B2386" i="39"/>
  <c r="C2386" i="39"/>
  <c r="D2386" i="39"/>
  <c r="H2386" i="39"/>
  <c r="B2389" i="39"/>
  <c r="D2389" i="39"/>
  <c r="H2389" i="39"/>
  <c r="B2393" i="39"/>
  <c r="C2393" i="39" s="1"/>
  <c r="D2393" i="39"/>
  <c r="H2393" i="39"/>
  <c r="B2396" i="39"/>
  <c r="C2396" i="39" s="1"/>
  <c r="D2396" i="39"/>
  <c r="H2396" i="39"/>
  <c r="B2418" i="39"/>
  <c r="D2418" i="39"/>
  <c r="H2418" i="39"/>
  <c r="B2419" i="39"/>
  <c r="D2419" i="39"/>
  <c r="H2419" i="39"/>
  <c r="B2420" i="39"/>
  <c r="C2420" i="39" s="1"/>
  <c r="D2420" i="39"/>
  <c r="H2420" i="39"/>
  <c r="B2421" i="39"/>
  <c r="D2421" i="39"/>
  <c r="H2421" i="39"/>
  <c r="B2430" i="39"/>
  <c r="C2430" i="39" s="1"/>
  <c r="D2430" i="39"/>
  <c r="H2430" i="39"/>
  <c r="B2437" i="39"/>
  <c r="C2437" i="39" s="1"/>
  <c r="D2437" i="39"/>
  <c r="H2437" i="39"/>
  <c r="B2442" i="39"/>
  <c r="D2442" i="39"/>
  <c r="H2442" i="39"/>
  <c r="B2448" i="39"/>
  <c r="D2448" i="39"/>
  <c r="H2448" i="39"/>
  <c r="B2451" i="39"/>
  <c r="C2451" i="39" s="1"/>
  <c r="D2451" i="39"/>
  <c r="H2451" i="39"/>
  <c r="B2452" i="39"/>
  <c r="D2452" i="39"/>
  <c r="H2452" i="39"/>
  <c r="B2457" i="39"/>
  <c r="C2457" i="39" s="1"/>
  <c r="D2457" i="39"/>
  <c r="H2457" i="39"/>
  <c r="B2460" i="39"/>
  <c r="C2460" i="39" s="1"/>
  <c r="D2460" i="39"/>
  <c r="H2460" i="39"/>
  <c r="B2468" i="39"/>
  <c r="D2468" i="39"/>
  <c r="H2468" i="39"/>
  <c r="B2477" i="39"/>
  <c r="D2477" i="39"/>
  <c r="H2477" i="39"/>
  <c r="B2480" i="39"/>
  <c r="C2480" i="39" s="1"/>
  <c r="D2480" i="39"/>
  <c r="H2480" i="39"/>
  <c r="B2482" i="39"/>
  <c r="D2482" i="39"/>
  <c r="H2482" i="39"/>
  <c r="B2679" i="39"/>
  <c r="C2679" i="39" s="1"/>
  <c r="D2679" i="39"/>
  <c r="H2679" i="39"/>
  <c r="B2684" i="39"/>
  <c r="C2684" i="39" s="1"/>
  <c r="D2684" i="39"/>
  <c r="H2684" i="39"/>
  <c r="B2685" i="39"/>
  <c r="D2685" i="39"/>
  <c r="H2685" i="39"/>
  <c r="B2689" i="39"/>
  <c r="D2689" i="39"/>
  <c r="H2689" i="39"/>
  <c r="B2690" i="39"/>
  <c r="C2690" i="39" s="1"/>
  <c r="D2690" i="39"/>
  <c r="H2690" i="39"/>
  <c r="B2701" i="39"/>
  <c r="D2701" i="39"/>
  <c r="H2701" i="39"/>
  <c r="B2765" i="39"/>
  <c r="C2765" i="39" s="1"/>
  <c r="D2765" i="39"/>
  <c r="H2765" i="39"/>
  <c r="B2767" i="39"/>
  <c r="C2767" i="39" s="1"/>
  <c r="D2767" i="39"/>
  <c r="H2767" i="39"/>
  <c r="B2769" i="39"/>
  <c r="D2769" i="39"/>
  <c r="H2769" i="39"/>
  <c r="B2776" i="39"/>
  <c r="A2776" i="39" s="1"/>
  <c r="D2776" i="39"/>
  <c r="H2776" i="39"/>
  <c r="B2777" i="39"/>
  <c r="A2777" i="39" s="1"/>
  <c r="D2777" i="39"/>
  <c r="H2777" i="39"/>
  <c r="B2778" i="39"/>
  <c r="D2778" i="39"/>
  <c r="H2778" i="39"/>
  <c r="B2779" i="39"/>
  <c r="C2779" i="39" s="1"/>
  <c r="D2779" i="39"/>
  <c r="H2779" i="39"/>
  <c r="B2780" i="39"/>
  <c r="A2780" i="39" s="1"/>
  <c r="D2780" i="39"/>
  <c r="H2780" i="39"/>
  <c r="B2781" i="39"/>
  <c r="D2781" i="39"/>
  <c r="H2781" i="39"/>
  <c r="B2782" i="39"/>
  <c r="A2782" i="39" s="1"/>
  <c r="D2782" i="39"/>
  <c r="H2782" i="39"/>
  <c r="B2783" i="39"/>
  <c r="A2783" i="39" s="1"/>
  <c r="D2783" i="39"/>
  <c r="H2783" i="39"/>
  <c r="B2784" i="39"/>
  <c r="D2784" i="39"/>
  <c r="H2784" i="39"/>
  <c r="B2785" i="39"/>
  <c r="C2785" i="39" s="1"/>
  <c r="D2785" i="39"/>
  <c r="H2785" i="39"/>
  <c r="B2786" i="39"/>
  <c r="A2786" i="39" s="1"/>
  <c r="D2786" i="39"/>
  <c r="H2786" i="39"/>
  <c r="B2787" i="39"/>
  <c r="D2787" i="39"/>
  <c r="H2787" i="39"/>
  <c r="B2788" i="39"/>
  <c r="A2788" i="39" s="1"/>
  <c r="D2788" i="39"/>
  <c r="H2788" i="39"/>
  <c r="B2789" i="39"/>
  <c r="A2789" i="39" s="1"/>
  <c r="D2789" i="39"/>
  <c r="H2789" i="39"/>
  <c r="B2790" i="39"/>
  <c r="D2790" i="39"/>
  <c r="H2790" i="39"/>
  <c r="B2791" i="39"/>
  <c r="C2791" i="39" s="1"/>
  <c r="D2791" i="39"/>
  <c r="H2791" i="39"/>
  <c r="B2792" i="39"/>
  <c r="D2792" i="39"/>
  <c r="H2792" i="39"/>
  <c r="B2793" i="39"/>
  <c r="D2793" i="39"/>
  <c r="H2793" i="39"/>
  <c r="B2794" i="39"/>
  <c r="A2794" i="39" s="1"/>
  <c r="D2794" i="39"/>
  <c r="H2794" i="39"/>
  <c r="B2795" i="39"/>
  <c r="A2795" i="39" s="1"/>
  <c r="C2795" i="39"/>
  <c r="D2795" i="39"/>
  <c r="H2795" i="39"/>
  <c r="B2796" i="39"/>
  <c r="D2796" i="39"/>
  <c r="H2796" i="39"/>
  <c r="B2797" i="39"/>
  <c r="C2797" i="39" s="1"/>
  <c r="D2797" i="39"/>
  <c r="H2797" i="39"/>
  <c r="B2798" i="39"/>
  <c r="A2798" i="39" s="1"/>
  <c r="D2798" i="39"/>
  <c r="H2798" i="39"/>
  <c r="B2799" i="39"/>
  <c r="D2799" i="39"/>
  <c r="H2799" i="39"/>
  <c r="B2800" i="39"/>
  <c r="A2800" i="39" s="1"/>
  <c r="D2800" i="39"/>
  <c r="H2800" i="39"/>
  <c r="B2801" i="39"/>
  <c r="A2801" i="39" s="1"/>
  <c r="D2801" i="39"/>
  <c r="H2801" i="39"/>
  <c r="B2802" i="39"/>
  <c r="D2802" i="39"/>
  <c r="H2802" i="39"/>
  <c r="B2803" i="39"/>
  <c r="D2803" i="39"/>
  <c r="H2803" i="39"/>
  <c r="B2804" i="39"/>
  <c r="D2804" i="39"/>
  <c r="H2804" i="39"/>
  <c r="B2805" i="39"/>
  <c r="D2805" i="39"/>
  <c r="H2805" i="39"/>
  <c r="B2806" i="39"/>
  <c r="A2806" i="39" s="1"/>
  <c r="D2806" i="39"/>
  <c r="H2806" i="39"/>
  <c r="B2807" i="39"/>
  <c r="A2807" i="39" s="1"/>
  <c r="D2807" i="39"/>
  <c r="H2807" i="39"/>
  <c r="B2808" i="39"/>
  <c r="D2808" i="39"/>
  <c r="H2808" i="39"/>
  <c r="B2809" i="39"/>
  <c r="C2809" i="39" s="1"/>
  <c r="D2809" i="39"/>
  <c r="H2809" i="39"/>
  <c r="B2810" i="39"/>
  <c r="A2810" i="39" s="1"/>
  <c r="D2810" i="39"/>
  <c r="H2810" i="39"/>
  <c r="B2811" i="39"/>
  <c r="D2811" i="39"/>
  <c r="H2811" i="39"/>
  <c r="B2812" i="39"/>
  <c r="A2812" i="39" s="1"/>
  <c r="D2812" i="39"/>
  <c r="H2812" i="39"/>
  <c r="B2813" i="39"/>
  <c r="D2813" i="39"/>
  <c r="H2813" i="39"/>
  <c r="B2814" i="39"/>
  <c r="D2814" i="39"/>
  <c r="H2814" i="39"/>
  <c r="B2815" i="39"/>
  <c r="C2815" i="39" s="1"/>
  <c r="D2815" i="39"/>
  <c r="H2815" i="39"/>
  <c r="B2816" i="39"/>
  <c r="A2816" i="39" s="1"/>
  <c r="C2816" i="39"/>
  <c r="D2816" i="39"/>
  <c r="H2816" i="39"/>
  <c r="B2817" i="39"/>
  <c r="D2817" i="39"/>
  <c r="H2817" i="39"/>
  <c r="B2818" i="39"/>
  <c r="A2818" i="39" s="1"/>
  <c r="D2818" i="39"/>
  <c r="H2818" i="39"/>
  <c r="B2819" i="39"/>
  <c r="A2819" i="39" s="1"/>
  <c r="D2819" i="39"/>
  <c r="H2819" i="39"/>
  <c r="B2820" i="39"/>
  <c r="D2820" i="39"/>
  <c r="H2820" i="39"/>
  <c r="B2821" i="39"/>
  <c r="C2821" i="39" s="1"/>
  <c r="D2821" i="39"/>
  <c r="H2821" i="39"/>
  <c r="B2822" i="39"/>
  <c r="A2822" i="39" s="1"/>
  <c r="D2822" i="39"/>
  <c r="H2822" i="39"/>
  <c r="B2823" i="39"/>
  <c r="D2823" i="39"/>
  <c r="H2823" i="39"/>
  <c r="B2824" i="39"/>
  <c r="A2824" i="39" s="1"/>
  <c r="D2824" i="39"/>
  <c r="H2824" i="39"/>
  <c r="B2825" i="39"/>
  <c r="A2825" i="39" s="1"/>
  <c r="D2825" i="39"/>
  <c r="H2825" i="39"/>
  <c r="B2826" i="39"/>
  <c r="D2826" i="39"/>
  <c r="H2826" i="39"/>
  <c r="B2827" i="39"/>
  <c r="D2827" i="39"/>
  <c r="H2827" i="39"/>
  <c r="B2828" i="39"/>
  <c r="A2828" i="39" s="1"/>
  <c r="D2828" i="39"/>
  <c r="H2828" i="39"/>
  <c r="B2829" i="39"/>
  <c r="D2829" i="39"/>
  <c r="H2829" i="39"/>
  <c r="B2830" i="39"/>
  <c r="A2830" i="39" s="1"/>
  <c r="D2830" i="39"/>
  <c r="H2830" i="39"/>
  <c r="B2831" i="39"/>
  <c r="A2831" i="39" s="1"/>
  <c r="D2831" i="39"/>
  <c r="H2831" i="39"/>
  <c r="B2832" i="39"/>
  <c r="D2832" i="39"/>
  <c r="H2832" i="39"/>
  <c r="B2833" i="39"/>
  <c r="C2833" i="39" s="1"/>
  <c r="D2833" i="39"/>
  <c r="H2833" i="39"/>
  <c r="B2834" i="39"/>
  <c r="A2834" i="39" s="1"/>
  <c r="D2834" i="39"/>
  <c r="H2834" i="39"/>
  <c r="B2835" i="39"/>
  <c r="D2835" i="39"/>
  <c r="H2835" i="39"/>
  <c r="B2836" i="39"/>
  <c r="A2836" i="39" s="1"/>
  <c r="D2836" i="39"/>
  <c r="H2836" i="39"/>
  <c r="B2837" i="39"/>
  <c r="D2837" i="39"/>
  <c r="H2837" i="39"/>
  <c r="B2838" i="39"/>
  <c r="D2838" i="39"/>
  <c r="H2838" i="39"/>
  <c r="B2839" i="39"/>
  <c r="C2839" i="39" s="1"/>
  <c r="D2839" i="39"/>
  <c r="H2839" i="39"/>
  <c r="B2840" i="39"/>
  <c r="A2840" i="39" s="1"/>
  <c r="D2840" i="39"/>
  <c r="H2840" i="39"/>
  <c r="B2841" i="39"/>
  <c r="C2841" i="39" s="1"/>
  <c r="D2841" i="39"/>
  <c r="H2841" i="39"/>
  <c r="B2842" i="39"/>
  <c r="A2842" i="39" s="1"/>
  <c r="D2842" i="39"/>
  <c r="H2842" i="39"/>
  <c r="B2843" i="39"/>
  <c r="D2843" i="39"/>
  <c r="H2843" i="39"/>
  <c r="B2844" i="39"/>
  <c r="A2844" i="39" s="1"/>
  <c r="D2844" i="39"/>
  <c r="H2844" i="39"/>
  <c r="B2845" i="39"/>
  <c r="A2845" i="39" s="1"/>
  <c r="D2845" i="39"/>
  <c r="H2845" i="39"/>
  <c r="B2846" i="39"/>
  <c r="A2846" i="39" s="1"/>
  <c r="D2846" i="39"/>
  <c r="H2846" i="39"/>
  <c r="B2847" i="39"/>
  <c r="A2847" i="39" s="1"/>
  <c r="D2847" i="39"/>
  <c r="H2847" i="39"/>
  <c r="B2848" i="39"/>
  <c r="A2848" i="39" s="1"/>
  <c r="D2848" i="39"/>
  <c r="H2848" i="39"/>
  <c r="B2849" i="39"/>
  <c r="D2849" i="39"/>
  <c r="H2849" i="39"/>
  <c r="B2850" i="39"/>
  <c r="A2850" i="39" s="1"/>
  <c r="C2850" i="39"/>
  <c r="D2850" i="39"/>
  <c r="H2850" i="39"/>
  <c r="B2851" i="39"/>
  <c r="A2851" i="39" s="1"/>
  <c r="D2851" i="39"/>
  <c r="H2851" i="39"/>
  <c r="B2852" i="39"/>
  <c r="D2852" i="39"/>
  <c r="H2852" i="39"/>
  <c r="B2853" i="39"/>
  <c r="D2853" i="39"/>
  <c r="H2853" i="39"/>
  <c r="B2854" i="39"/>
  <c r="C2854" i="39" s="1"/>
  <c r="D2854" i="39"/>
  <c r="H2854" i="39"/>
  <c r="B2855" i="39"/>
  <c r="A2855" i="39" s="1"/>
  <c r="D2855" i="39"/>
  <c r="H2855" i="39"/>
  <c r="B2856" i="39"/>
  <c r="A2856" i="39" s="1"/>
  <c r="D2856" i="39"/>
  <c r="H2856" i="39"/>
  <c r="B2857" i="39"/>
  <c r="D2857" i="39"/>
  <c r="H2857" i="39"/>
  <c r="B2858" i="39"/>
  <c r="D2858" i="39"/>
  <c r="H2858" i="39"/>
  <c r="B2859" i="39"/>
  <c r="A2859" i="39" s="1"/>
  <c r="D2859" i="39"/>
  <c r="H2859" i="39"/>
  <c r="B2860" i="39"/>
  <c r="A2860" i="39" s="1"/>
  <c r="D2860" i="39"/>
  <c r="H2860" i="39"/>
  <c r="B2861" i="39"/>
  <c r="C2861" i="39" s="1"/>
  <c r="D2861" i="39"/>
  <c r="H2861" i="39"/>
  <c r="B2862" i="39"/>
  <c r="A2862" i="39" s="1"/>
  <c r="D2862" i="39"/>
  <c r="H2862" i="39"/>
  <c r="B2863" i="39"/>
  <c r="A2863" i="39" s="1"/>
  <c r="D2863" i="39"/>
  <c r="H2863" i="39"/>
  <c r="B2864" i="39"/>
  <c r="C2864" i="39" s="1"/>
  <c r="D2864" i="39"/>
  <c r="H2864" i="39"/>
  <c r="B2865" i="39"/>
  <c r="A2865" i="39" s="1"/>
  <c r="D2865" i="39"/>
  <c r="H2865" i="39"/>
  <c r="B2866" i="39"/>
  <c r="A2866" i="39" s="1"/>
  <c r="D2866" i="39"/>
  <c r="H2866" i="39"/>
  <c r="B2867" i="39"/>
  <c r="D2867" i="39"/>
  <c r="H2867" i="39"/>
  <c r="B2868" i="39"/>
  <c r="A2868" i="39" s="1"/>
  <c r="D2868" i="39"/>
  <c r="H2868" i="39"/>
  <c r="B2869" i="39"/>
  <c r="A2869" i="39" s="1"/>
  <c r="D2869" i="39"/>
  <c r="H2869" i="39"/>
  <c r="B2870" i="39"/>
  <c r="D2870" i="39"/>
  <c r="H2870" i="39"/>
  <c r="B2871" i="39"/>
  <c r="D2871" i="39"/>
  <c r="H2871" i="39"/>
  <c r="B2872" i="39"/>
  <c r="C2872" i="39" s="1"/>
  <c r="D2872" i="39"/>
  <c r="H2872" i="39"/>
  <c r="B2873" i="39"/>
  <c r="A2873" i="39" s="1"/>
  <c r="D2873" i="39"/>
  <c r="H2873" i="39"/>
  <c r="B2874" i="39"/>
  <c r="A2874" i="39" s="1"/>
  <c r="D2874" i="39"/>
  <c r="H2874" i="39"/>
  <c r="B2875" i="39"/>
  <c r="C2875" i="39" s="1"/>
  <c r="D2875" i="39"/>
  <c r="H2875" i="39"/>
  <c r="B2876" i="39"/>
  <c r="C2876" i="39" s="1"/>
  <c r="D2876" i="39"/>
  <c r="H2876" i="39"/>
  <c r="B2877" i="39"/>
  <c r="A2877" i="39" s="1"/>
  <c r="D2877" i="39"/>
  <c r="H2877" i="39"/>
  <c r="B2878" i="39"/>
  <c r="C2878" i="39" s="1"/>
  <c r="D2878" i="39"/>
  <c r="H2878" i="39"/>
  <c r="B2879" i="39"/>
  <c r="D2879" i="39"/>
  <c r="H2879" i="39"/>
  <c r="B2880" i="39"/>
  <c r="A2880" i="39" s="1"/>
  <c r="D2880" i="39"/>
  <c r="H2880" i="39"/>
  <c r="B2881" i="39"/>
  <c r="A2881" i="39" s="1"/>
  <c r="D2881" i="39"/>
  <c r="H2881" i="39"/>
  <c r="B2882" i="39"/>
  <c r="C2882" i="39" s="1"/>
  <c r="D2882" i="39"/>
  <c r="H2882" i="39"/>
  <c r="B2883" i="39"/>
  <c r="A2883" i="39" s="1"/>
  <c r="D2883" i="39"/>
  <c r="H2883" i="39"/>
  <c r="B2884" i="39"/>
  <c r="A2884" i="39" s="1"/>
  <c r="D2884" i="39"/>
  <c r="H2884" i="39"/>
  <c r="B2885" i="39"/>
  <c r="A2885" i="39" s="1"/>
  <c r="D2885" i="39"/>
  <c r="H2885" i="39"/>
  <c r="B2886" i="39"/>
  <c r="D2886" i="39"/>
  <c r="H2886" i="39"/>
  <c r="B2887" i="39"/>
  <c r="A2887" i="39" s="1"/>
  <c r="D2887" i="39"/>
  <c r="H2887" i="39"/>
  <c r="B2888" i="39"/>
  <c r="D2888" i="39"/>
  <c r="H2888" i="39"/>
  <c r="B2889" i="39"/>
  <c r="D2889" i="39"/>
  <c r="H2889" i="39"/>
  <c r="B2890" i="39"/>
  <c r="C2890" i="39" s="1"/>
  <c r="D2890" i="39"/>
  <c r="H2890" i="39"/>
  <c r="B2891" i="39"/>
  <c r="A2891" i="39" s="1"/>
  <c r="D2891" i="39"/>
  <c r="H2891" i="39"/>
  <c r="B2892" i="39"/>
  <c r="A2892" i="39" s="1"/>
  <c r="D2892" i="39"/>
  <c r="H2892" i="39"/>
  <c r="B2893" i="39"/>
  <c r="D2893" i="39"/>
  <c r="H2893" i="39"/>
  <c r="B2894" i="39"/>
  <c r="A2894" i="39" s="1"/>
  <c r="D2894" i="39"/>
  <c r="H2894" i="39"/>
  <c r="B2895" i="39"/>
  <c r="D2895" i="39"/>
  <c r="H2895" i="39"/>
  <c r="B2896" i="39"/>
  <c r="D2896" i="39"/>
  <c r="H2896" i="39"/>
  <c r="B2897" i="39"/>
  <c r="C2897" i="39" s="1"/>
  <c r="D2897" i="39"/>
  <c r="H2897" i="39"/>
  <c r="B2898" i="39"/>
  <c r="A2898" i="39" s="1"/>
  <c r="D2898" i="39"/>
  <c r="H2898" i="39"/>
  <c r="B2899" i="39"/>
  <c r="C2899" i="39" s="1"/>
  <c r="D2899" i="39"/>
  <c r="H2899" i="39"/>
  <c r="B2900" i="39"/>
  <c r="A2900" i="39" s="1"/>
  <c r="D2900" i="39"/>
  <c r="H2900" i="39"/>
  <c r="B2901" i="39"/>
  <c r="D2901" i="39"/>
  <c r="H2901" i="39"/>
  <c r="B2902" i="39"/>
  <c r="C2902" i="39" s="1"/>
  <c r="D2902" i="39"/>
  <c r="H2902" i="39"/>
  <c r="B2903" i="39"/>
  <c r="D2903" i="39"/>
  <c r="H2903" i="39"/>
  <c r="B2904" i="39"/>
  <c r="A2904" i="39" s="1"/>
  <c r="D2904" i="39"/>
  <c r="H2904" i="39"/>
  <c r="B2905" i="39"/>
  <c r="A2905" i="39" s="1"/>
  <c r="D2905" i="39"/>
  <c r="H2905" i="39"/>
  <c r="B2906" i="39"/>
  <c r="D2906" i="39"/>
  <c r="H2906" i="39"/>
  <c r="B2907" i="39"/>
  <c r="D2907" i="39"/>
  <c r="H2907" i="39"/>
  <c r="B2908" i="39"/>
  <c r="C2908" i="39" s="1"/>
  <c r="D2908" i="39"/>
  <c r="H2908" i="39"/>
  <c r="B2909" i="39"/>
  <c r="C2909" i="39" s="1"/>
  <c r="D2909" i="39"/>
  <c r="H2909" i="39"/>
  <c r="B2910" i="39"/>
  <c r="A2910" i="39" s="1"/>
  <c r="D2910" i="39"/>
  <c r="H2910" i="39"/>
  <c r="B2911" i="39"/>
  <c r="C2911" i="39" s="1"/>
  <c r="D2911" i="39"/>
  <c r="H2911" i="39"/>
  <c r="B2912" i="39"/>
  <c r="A2912" i="39" s="1"/>
  <c r="D2912" i="39"/>
  <c r="H2912" i="39"/>
  <c r="B2913" i="39"/>
  <c r="D2913" i="39"/>
  <c r="H2913" i="39"/>
  <c r="B2914" i="39"/>
  <c r="D2914" i="39"/>
  <c r="H2914" i="39"/>
  <c r="B2915" i="39"/>
  <c r="D2915" i="39"/>
  <c r="H2915" i="39"/>
  <c r="B2916" i="39"/>
  <c r="A2916" i="39" s="1"/>
  <c r="D2916" i="39"/>
  <c r="H2916" i="39"/>
  <c r="B2917" i="39"/>
  <c r="C2917" i="39" s="1"/>
  <c r="D2917" i="39"/>
  <c r="H2917" i="39"/>
  <c r="B2918" i="39"/>
  <c r="A2918" i="39" s="1"/>
  <c r="D2918" i="39"/>
  <c r="H2918" i="39"/>
  <c r="B2919" i="39"/>
  <c r="A2919" i="39" s="1"/>
  <c r="D2919" i="39"/>
  <c r="H2919" i="39"/>
  <c r="B2920" i="39"/>
  <c r="A2920" i="39" s="1"/>
  <c r="D2920" i="39"/>
  <c r="H2920" i="39"/>
  <c r="B2921" i="39"/>
  <c r="C2921" i="39" s="1"/>
  <c r="D2921" i="39"/>
  <c r="H2921" i="39"/>
  <c r="B2922" i="39"/>
  <c r="A2922" i="39" s="1"/>
  <c r="D2922" i="39"/>
  <c r="H2922" i="39"/>
  <c r="B2923" i="39"/>
  <c r="A2923" i="39" s="1"/>
  <c r="C2923" i="39"/>
  <c r="D2923" i="39"/>
  <c r="H2923" i="39"/>
  <c r="B2924" i="39"/>
  <c r="C2924" i="39" s="1"/>
  <c r="D2924" i="39"/>
  <c r="H2924" i="39"/>
  <c r="B2925" i="39"/>
  <c r="A2925" i="39" s="1"/>
  <c r="D2925" i="39"/>
  <c r="H2925" i="39"/>
  <c r="B2926" i="39"/>
  <c r="C2926" i="39" s="1"/>
  <c r="D2926" i="39"/>
  <c r="H2926" i="39"/>
  <c r="B2927" i="39"/>
  <c r="A2927" i="39" s="1"/>
  <c r="D2927" i="39"/>
  <c r="H2927" i="39"/>
  <c r="B2928" i="39"/>
  <c r="A2928" i="39" s="1"/>
  <c r="D2928" i="39"/>
  <c r="H2928" i="39"/>
  <c r="B2929" i="39"/>
  <c r="C2929" i="39" s="1"/>
  <c r="D2929" i="39"/>
  <c r="H2929" i="39"/>
  <c r="B2930" i="39"/>
  <c r="C2930" i="39" s="1"/>
  <c r="D2930" i="39"/>
  <c r="H2930" i="39"/>
  <c r="B2931" i="39"/>
  <c r="A2931" i="39" s="1"/>
  <c r="D2931" i="39"/>
  <c r="H2931" i="39"/>
  <c r="B2932" i="39"/>
  <c r="A2932" i="39" s="1"/>
  <c r="D2932" i="39"/>
  <c r="H2932" i="39"/>
  <c r="B2933" i="39"/>
  <c r="A2933" i="39" s="1"/>
  <c r="D2933" i="39"/>
  <c r="H2933" i="39"/>
  <c r="B2934" i="39"/>
  <c r="A2934" i="39" s="1"/>
  <c r="D2934" i="39"/>
  <c r="H2934" i="39"/>
  <c r="B2935" i="39"/>
  <c r="C2935" i="39" s="1"/>
  <c r="D2935" i="39"/>
  <c r="H2935" i="39"/>
  <c r="B2936" i="39"/>
  <c r="A2936" i="39" s="1"/>
  <c r="D2936" i="39"/>
  <c r="H2936" i="39"/>
  <c r="B2937" i="39"/>
  <c r="A2937" i="39" s="1"/>
  <c r="D2937" i="39"/>
  <c r="H2937" i="39"/>
  <c r="B2938" i="39"/>
  <c r="A2938" i="39" s="1"/>
  <c r="D2938" i="39"/>
  <c r="H2938" i="39"/>
  <c r="B2939" i="39"/>
  <c r="A2939" i="39" s="1"/>
  <c r="D2939" i="39"/>
  <c r="H2939" i="39"/>
  <c r="B2940" i="39"/>
  <c r="D2940" i="39"/>
  <c r="H2940" i="39"/>
  <c r="B2941" i="39"/>
  <c r="A2941" i="39" s="1"/>
  <c r="D2941" i="39"/>
  <c r="H2941" i="39"/>
  <c r="B2942" i="39"/>
  <c r="D2942" i="39"/>
  <c r="H2942" i="39"/>
  <c r="B2943" i="39"/>
  <c r="A2943" i="39" s="1"/>
  <c r="D2943" i="39"/>
  <c r="H2943" i="39"/>
  <c r="B2944" i="39"/>
  <c r="C2944" i="39" s="1"/>
  <c r="D2944" i="39"/>
  <c r="H2944" i="39"/>
  <c r="B2945" i="39"/>
  <c r="C2945" i="39" s="1"/>
  <c r="D2945" i="39"/>
  <c r="H2945" i="39"/>
  <c r="B2946" i="39"/>
  <c r="A2946" i="39" s="1"/>
  <c r="D2946" i="39"/>
  <c r="H2946" i="39"/>
  <c r="B2947" i="39"/>
  <c r="D2947" i="39"/>
  <c r="H2947" i="39"/>
  <c r="B2948" i="39"/>
  <c r="D2948" i="39"/>
  <c r="H2948" i="39"/>
  <c r="B2949" i="39"/>
  <c r="A2949" i="39" s="1"/>
  <c r="D2949" i="39"/>
  <c r="H2949" i="39"/>
  <c r="B2950" i="39"/>
  <c r="C2950" i="39" s="1"/>
  <c r="D2950" i="39"/>
  <c r="H2950" i="39"/>
  <c r="B2951" i="39"/>
  <c r="C2951" i="39" s="1"/>
  <c r="D2951" i="39"/>
  <c r="H2951" i="39"/>
  <c r="B2952" i="39"/>
  <c r="D2952" i="39"/>
  <c r="H2952" i="39"/>
  <c r="B2953" i="39"/>
  <c r="C2953" i="39" s="1"/>
  <c r="D2953" i="39"/>
  <c r="H2953" i="39"/>
  <c r="B2954" i="39"/>
  <c r="A2954" i="39" s="1"/>
  <c r="D2954" i="39"/>
  <c r="H2954" i="39"/>
  <c r="B2955" i="39"/>
  <c r="A2955" i="39" s="1"/>
  <c r="D2955" i="39"/>
  <c r="H2955" i="39"/>
  <c r="B2956" i="39"/>
  <c r="A2956" i="39" s="1"/>
  <c r="D2956" i="39"/>
  <c r="H2956" i="39"/>
  <c r="B2957" i="39"/>
  <c r="C2957" i="39" s="1"/>
  <c r="D2957" i="39"/>
  <c r="H2957" i="39"/>
  <c r="B2958" i="39"/>
  <c r="A2958" i="39" s="1"/>
  <c r="D2958" i="39"/>
  <c r="H2958" i="39"/>
  <c r="B2959" i="39"/>
  <c r="A2959" i="39" s="1"/>
  <c r="D2959" i="39"/>
  <c r="H2959" i="39"/>
  <c r="B2960" i="39"/>
  <c r="C2960" i="39" s="1"/>
  <c r="D2960" i="39"/>
  <c r="H2960" i="39"/>
  <c r="B2961" i="39"/>
  <c r="A2961" i="39" s="1"/>
  <c r="D2961" i="39"/>
  <c r="H2961" i="39"/>
  <c r="B2962" i="39"/>
  <c r="A2962" i="39" s="1"/>
  <c r="D2962" i="39"/>
  <c r="H2962" i="39"/>
  <c r="B2963" i="39"/>
  <c r="A2963" i="39" s="1"/>
  <c r="D2963" i="39"/>
  <c r="H2963" i="39"/>
  <c r="B2964" i="39"/>
  <c r="D2964" i="39"/>
  <c r="H2964" i="39"/>
  <c r="B2965" i="39"/>
  <c r="A2965" i="39" s="1"/>
  <c r="D2965" i="39"/>
  <c r="H2965" i="39"/>
  <c r="B2966" i="39"/>
  <c r="C2966" i="39" s="1"/>
  <c r="D2966" i="39"/>
  <c r="H2966" i="39"/>
  <c r="B2967" i="39"/>
  <c r="D2967" i="39"/>
  <c r="H2967" i="39"/>
  <c r="B2968" i="39"/>
  <c r="A2968" i="39" s="1"/>
  <c r="D2968" i="39"/>
  <c r="H2968" i="39"/>
  <c r="B2969" i="39"/>
  <c r="A2969" i="39" s="1"/>
  <c r="D2969" i="39"/>
  <c r="H2969" i="39"/>
  <c r="B2970" i="39"/>
  <c r="A2970" i="39" s="1"/>
  <c r="D2970" i="39"/>
  <c r="H2970" i="39"/>
  <c r="B2971" i="39"/>
  <c r="D2971" i="39"/>
  <c r="H2971" i="39"/>
  <c r="B2972" i="39"/>
  <c r="A2972" i="39" s="1"/>
  <c r="D2972" i="39"/>
  <c r="H2972" i="39"/>
  <c r="B2973" i="39"/>
  <c r="C2973" i="39" s="1"/>
  <c r="D2973" i="39"/>
  <c r="H2973" i="39"/>
  <c r="B2974" i="39"/>
  <c r="A2974" i="39" s="1"/>
  <c r="D2974" i="39"/>
  <c r="H2974" i="39"/>
  <c r="B2975" i="39"/>
  <c r="C2975" i="39" s="1"/>
  <c r="D2975" i="39"/>
  <c r="H2975" i="39"/>
  <c r="B2976" i="39"/>
  <c r="A2976" i="39" s="1"/>
  <c r="D2976" i="39"/>
  <c r="H2976" i="39"/>
  <c r="B2977" i="39"/>
  <c r="A2977" i="39" s="1"/>
  <c r="D2977" i="39"/>
  <c r="H2977" i="39"/>
  <c r="B2978" i="39"/>
  <c r="A2978" i="39" s="1"/>
  <c r="D2978" i="39"/>
  <c r="H2978" i="39"/>
  <c r="B2979" i="39"/>
  <c r="A2979" i="39" s="1"/>
  <c r="D2979" i="39"/>
  <c r="H2979" i="39"/>
  <c r="B2980" i="39"/>
  <c r="A2980" i="39" s="1"/>
  <c r="D2980" i="39"/>
  <c r="H2980" i="39"/>
  <c r="B2981" i="39"/>
  <c r="A2981" i="39" s="1"/>
  <c r="D2981" i="39"/>
  <c r="H2981" i="39"/>
  <c r="B2982" i="39"/>
  <c r="D2982" i="39"/>
  <c r="H2982" i="39"/>
  <c r="B2983" i="39"/>
  <c r="A2983" i="39" s="1"/>
  <c r="D2983" i="39"/>
  <c r="H2983" i="39"/>
  <c r="B2984" i="39"/>
  <c r="C2984" i="39" s="1"/>
  <c r="D2984" i="39"/>
  <c r="H2984" i="39"/>
  <c r="B2985" i="39"/>
  <c r="C2985" i="39" s="1"/>
  <c r="D2985" i="39"/>
  <c r="H2985" i="39"/>
  <c r="B2986" i="39"/>
  <c r="A2986" i="39" s="1"/>
  <c r="D2986" i="39"/>
  <c r="H2986" i="39"/>
  <c r="B2987" i="39"/>
  <c r="C2987" i="39" s="1"/>
  <c r="D2987" i="39"/>
  <c r="H2987" i="39"/>
  <c r="B2988" i="39"/>
  <c r="A2988" i="39" s="1"/>
  <c r="D2988" i="39"/>
  <c r="H2988" i="39"/>
  <c r="B2989" i="39"/>
  <c r="A2989" i="39" s="1"/>
  <c r="D2989" i="39"/>
  <c r="H2989" i="39"/>
  <c r="B2990" i="39"/>
  <c r="C2990" i="39" s="1"/>
  <c r="D2990" i="39"/>
  <c r="H2990" i="39"/>
  <c r="B2991" i="39"/>
  <c r="C2991" i="39" s="1"/>
  <c r="D2991" i="39"/>
  <c r="H2991" i="39"/>
  <c r="B2992" i="39"/>
  <c r="A2992" i="39" s="1"/>
  <c r="D2992" i="39"/>
  <c r="H2992" i="39"/>
  <c r="B2993" i="39"/>
  <c r="C2993" i="39" s="1"/>
  <c r="D2993" i="39"/>
  <c r="H2993" i="39"/>
  <c r="B2994" i="39"/>
  <c r="A2994" i="39" s="1"/>
  <c r="D2994" i="39"/>
  <c r="H2994" i="39"/>
  <c r="B2995" i="39"/>
  <c r="A2995" i="39" s="1"/>
  <c r="D2995" i="39"/>
  <c r="H2995" i="39"/>
  <c r="B2996" i="39"/>
  <c r="C2996" i="39" s="1"/>
  <c r="D2996" i="39"/>
  <c r="H2996" i="39"/>
  <c r="B2997" i="39"/>
  <c r="A2997" i="39" s="1"/>
  <c r="D2997" i="39"/>
  <c r="H2997" i="39"/>
  <c r="B2998" i="39"/>
  <c r="A2998" i="39" s="1"/>
  <c r="D2998" i="39"/>
  <c r="H2998" i="39"/>
  <c r="B2999" i="39"/>
  <c r="A2999" i="39" s="1"/>
  <c r="D2999" i="39"/>
  <c r="H2999" i="39"/>
  <c r="B3000" i="39"/>
  <c r="D3000" i="39"/>
  <c r="H3000" i="39"/>
  <c r="B3001" i="39"/>
  <c r="A3001" i="39" s="1"/>
  <c r="D3001" i="39"/>
  <c r="H3001" i="39"/>
  <c r="B3002" i="39"/>
  <c r="C3002" i="39" s="1"/>
  <c r="D3002" i="39"/>
  <c r="H3002" i="39"/>
  <c r="B3003" i="39"/>
  <c r="C3003" i="39" s="1"/>
  <c r="D3003" i="39"/>
  <c r="H3003" i="39"/>
  <c r="B3004" i="39"/>
  <c r="A3004" i="39" s="1"/>
  <c r="D3004" i="39"/>
  <c r="H3004" i="39"/>
  <c r="B3005" i="39"/>
  <c r="D3005" i="39"/>
  <c r="H3005" i="39"/>
  <c r="B3006" i="39"/>
  <c r="A3006" i="39" s="1"/>
  <c r="D3006" i="39"/>
  <c r="H3006" i="39"/>
  <c r="B3007" i="39"/>
  <c r="A3007" i="39" s="1"/>
  <c r="D3007" i="39"/>
  <c r="H3007" i="39"/>
  <c r="B3008" i="39"/>
  <c r="C3008" i="39" s="1"/>
  <c r="D3008" i="39"/>
  <c r="H3008" i="39"/>
  <c r="B3009" i="39"/>
  <c r="D3009" i="39"/>
  <c r="H3009" i="39"/>
  <c r="B3010" i="39"/>
  <c r="A3010" i="39" s="1"/>
  <c r="D3010" i="39"/>
  <c r="H3010" i="39"/>
  <c r="B3011" i="39"/>
  <c r="A3011" i="39" s="1"/>
  <c r="D3011" i="39"/>
  <c r="H3011" i="39"/>
  <c r="B3012" i="39"/>
  <c r="A3012" i="39" s="1"/>
  <c r="D3012" i="39"/>
  <c r="H3012" i="39"/>
  <c r="B3013" i="39"/>
  <c r="A3013" i="39" s="1"/>
  <c r="D3013" i="39"/>
  <c r="H3013" i="39"/>
  <c r="B3014" i="39"/>
  <c r="D3014" i="39"/>
  <c r="H3014" i="39"/>
  <c r="B3015" i="39"/>
  <c r="A3015" i="39" s="1"/>
  <c r="D3015" i="39"/>
  <c r="H3015" i="39"/>
  <c r="B3016" i="39"/>
  <c r="A3016" i="39" s="1"/>
  <c r="D3016" i="39"/>
  <c r="H3016" i="39"/>
  <c r="B3017" i="39"/>
  <c r="C3017" i="39" s="1"/>
  <c r="D3017" i="39"/>
  <c r="H3017" i="39"/>
  <c r="B3018" i="39"/>
  <c r="D3018" i="39"/>
  <c r="H3018" i="39"/>
  <c r="B3019" i="39"/>
  <c r="D3019" i="39"/>
  <c r="H3019" i="39"/>
  <c r="B3020" i="39"/>
  <c r="A3020" i="39" s="1"/>
  <c r="D3020" i="39"/>
  <c r="H3020" i="39"/>
  <c r="B3021" i="39"/>
  <c r="C3021" i="39" s="1"/>
  <c r="D3021" i="39"/>
  <c r="H3021" i="39"/>
  <c r="B3022" i="39"/>
  <c r="D3022" i="39"/>
  <c r="H3022" i="39"/>
  <c r="B3023" i="39"/>
  <c r="D3023" i="39"/>
  <c r="H3023" i="39"/>
  <c r="B3024" i="39"/>
  <c r="C3024" i="39" s="1"/>
  <c r="D3024" i="39"/>
  <c r="H3024" i="39"/>
  <c r="B3025" i="39"/>
  <c r="A3025" i="39" s="1"/>
  <c r="D3025" i="39"/>
  <c r="H3025" i="39"/>
  <c r="B3026" i="39"/>
  <c r="A3026" i="39" s="1"/>
  <c r="D3026" i="39"/>
  <c r="H3026" i="39"/>
  <c r="B3027" i="39"/>
  <c r="C3027" i="39" s="1"/>
  <c r="D3027" i="39"/>
  <c r="H3027" i="39"/>
  <c r="B3028" i="39"/>
  <c r="A3028" i="39" s="1"/>
  <c r="D3028" i="39"/>
  <c r="H3028" i="39"/>
  <c r="B3029" i="39"/>
  <c r="A3029" i="39" s="1"/>
  <c r="D3029" i="39"/>
  <c r="H3029" i="39"/>
  <c r="B3030" i="39"/>
  <c r="A3030" i="39" s="1"/>
  <c r="D3030" i="39"/>
  <c r="H3030" i="39"/>
  <c r="B3031" i="39"/>
  <c r="A3031" i="39" s="1"/>
  <c r="D3031" i="39"/>
  <c r="H3031" i="39"/>
  <c r="B3032" i="39"/>
  <c r="A3032" i="39" s="1"/>
  <c r="D3032" i="39"/>
  <c r="H3032" i="39"/>
  <c r="B3033" i="39"/>
  <c r="A3033" i="39" s="1"/>
  <c r="D3033" i="39"/>
  <c r="H3033" i="39"/>
  <c r="B3034" i="39"/>
  <c r="A3034" i="39" s="1"/>
  <c r="D3034" i="39"/>
  <c r="H3034" i="39"/>
  <c r="B3035" i="39"/>
  <c r="C3035" i="39" s="1"/>
  <c r="D3035" i="39"/>
  <c r="H3035" i="39"/>
  <c r="B3036" i="39"/>
  <c r="D3036" i="39"/>
  <c r="H3036" i="39"/>
  <c r="B3037" i="39"/>
  <c r="A3037" i="39" s="1"/>
  <c r="D3037" i="39"/>
  <c r="H3037" i="39"/>
  <c r="B3038" i="39"/>
  <c r="A3038" i="39" s="1"/>
  <c r="D3038" i="39"/>
  <c r="H3038" i="39"/>
  <c r="B3039" i="39"/>
  <c r="D3039" i="39"/>
  <c r="H3039" i="39"/>
  <c r="B3040" i="39"/>
  <c r="D3040" i="39"/>
  <c r="H3040" i="39"/>
  <c r="B3041" i="39"/>
  <c r="A3041" i="39" s="1"/>
  <c r="D3041" i="39"/>
  <c r="H3041" i="39"/>
  <c r="B3042" i="39"/>
  <c r="C3042" i="39" s="1"/>
  <c r="D3042" i="39"/>
  <c r="H3042" i="39"/>
  <c r="B3043" i="39"/>
  <c r="A3043" i="39" s="1"/>
  <c r="D3043" i="39"/>
  <c r="H3043" i="39"/>
  <c r="B3044" i="39"/>
  <c r="A3044" i="39" s="1"/>
  <c r="D3044" i="39"/>
  <c r="H3044" i="39"/>
  <c r="B3045" i="39"/>
  <c r="D3045" i="39"/>
  <c r="H3045" i="39"/>
  <c r="B3046" i="39"/>
  <c r="A3046" i="39" s="1"/>
  <c r="D3046" i="39"/>
  <c r="H3046" i="39"/>
  <c r="B3047" i="39"/>
  <c r="A3047" i="39" s="1"/>
  <c r="D3047" i="39"/>
  <c r="H3047" i="39"/>
  <c r="B3048" i="39"/>
  <c r="A3048" i="39" s="1"/>
  <c r="D3048" i="39"/>
  <c r="H3048" i="39"/>
  <c r="B3049" i="39"/>
  <c r="A3049" i="39" s="1"/>
  <c r="D3049" i="39"/>
  <c r="H3049" i="39"/>
  <c r="B3050" i="39"/>
  <c r="A3050" i="39" s="1"/>
  <c r="D3050" i="39"/>
  <c r="H3050" i="39"/>
  <c r="B3051" i="39"/>
  <c r="A3051" i="39" s="1"/>
  <c r="D3051" i="39"/>
  <c r="H3051" i="39"/>
  <c r="B3052" i="39"/>
  <c r="C3052" i="39" s="1"/>
  <c r="D3052" i="39"/>
  <c r="H3052" i="39"/>
  <c r="B3053" i="39"/>
  <c r="A3053" i="39" s="1"/>
  <c r="D3053" i="39"/>
  <c r="H3053" i="39"/>
  <c r="B3054" i="39"/>
  <c r="C3054" i="39" s="1"/>
  <c r="D3054" i="39"/>
  <c r="H3054" i="39"/>
  <c r="B3055" i="39"/>
  <c r="C3055" i="39" s="1"/>
  <c r="D3055" i="39"/>
  <c r="H3055" i="39"/>
  <c r="B3056" i="39"/>
  <c r="C3056" i="39" s="1"/>
  <c r="D3056" i="39"/>
  <c r="H3056" i="39"/>
  <c r="B3057" i="39"/>
  <c r="A3057" i="39" s="1"/>
  <c r="D3057" i="39"/>
  <c r="H3057" i="39"/>
  <c r="B3058" i="39"/>
  <c r="D3058" i="39"/>
  <c r="H3058" i="39"/>
  <c r="B3059" i="39"/>
  <c r="A3059" i="39" s="1"/>
  <c r="D3059" i="39"/>
  <c r="H3059" i="39"/>
  <c r="B3060" i="39"/>
  <c r="A3060" i="39" s="1"/>
  <c r="D3060" i="39"/>
  <c r="H3060" i="39"/>
  <c r="B3061" i="39"/>
  <c r="C3061" i="39" s="1"/>
  <c r="D3061" i="39"/>
  <c r="H3061" i="39"/>
  <c r="B3062" i="39"/>
  <c r="D3062" i="39"/>
  <c r="H3062" i="39"/>
  <c r="B3063" i="39"/>
  <c r="A3063" i="39" s="1"/>
  <c r="D3063" i="39"/>
  <c r="H3063" i="39"/>
  <c r="B3064" i="39"/>
  <c r="C3064" i="39" s="1"/>
  <c r="D3064" i="39"/>
  <c r="H3064" i="39"/>
  <c r="B3065" i="39"/>
  <c r="A3065" i="39" s="1"/>
  <c r="D3065" i="39"/>
  <c r="H3065" i="39"/>
  <c r="B3066" i="39"/>
  <c r="C3066" i="39" s="1"/>
  <c r="D3066" i="39"/>
  <c r="H3066" i="39"/>
  <c r="B3067" i="39"/>
  <c r="C3067" i="39" s="1"/>
  <c r="D3067" i="39"/>
  <c r="H3067" i="39"/>
  <c r="B3068" i="39"/>
  <c r="A3068" i="39" s="1"/>
  <c r="D3068" i="39"/>
  <c r="H3068" i="39"/>
  <c r="B3069" i="39"/>
  <c r="A3069" i="39" s="1"/>
  <c r="D3069" i="39"/>
  <c r="H3069" i="39"/>
  <c r="B3070" i="39"/>
  <c r="C3070" i="39" s="1"/>
  <c r="D3070" i="39"/>
  <c r="H3070" i="39"/>
  <c r="B3071" i="39"/>
  <c r="A3071" i="39" s="1"/>
  <c r="D3071" i="39"/>
  <c r="H3071" i="39"/>
  <c r="B3072" i="39"/>
  <c r="C3072" i="39" s="1"/>
  <c r="D3072" i="39"/>
  <c r="H3072" i="39"/>
  <c r="B3073" i="39"/>
  <c r="C3073" i="39" s="1"/>
  <c r="D3073" i="39"/>
  <c r="H3073" i="39"/>
  <c r="B3074" i="39"/>
  <c r="C3074" i="39" s="1"/>
  <c r="D3074" i="39"/>
  <c r="H3074" i="39"/>
  <c r="B3075" i="39"/>
  <c r="C3075" i="39" s="1"/>
  <c r="D3075" i="39"/>
  <c r="H3075" i="39"/>
  <c r="B3076" i="39"/>
  <c r="C3076" i="39" s="1"/>
  <c r="D3076" i="39"/>
  <c r="H3076" i="39"/>
  <c r="B3077" i="39"/>
  <c r="A3077" i="39" s="1"/>
  <c r="D3077" i="39"/>
  <c r="H3077" i="39"/>
  <c r="B3078" i="39"/>
  <c r="D3078" i="39"/>
  <c r="H3078" i="39"/>
  <c r="B3079" i="39"/>
  <c r="C3079" i="39" s="1"/>
  <c r="D3079" i="39"/>
  <c r="H3079" i="39"/>
  <c r="B3080" i="39"/>
  <c r="A3080" i="39" s="1"/>
  <c r="D3080" i="39"/>
  <c r="H3080" i="39"/>
  <c r="B3081" i="39"/>
  <c r="C3081" i="39" s="1"/>
  <c r="D3081" i="39"/>
  <c r="H3081" i="39"/>
  <c r="B3082" i="39"/>
  <c r="C3082" i="39" s="1"/>
  <c r="D3082" i="39"/>
  <c r="H3082" i="39"/>
  <c r="B3083" i="39"/>
  <c r="C3083" i="39" s="1"/>
  <c r="D3083" i="39"/>
  <c r="H3083" i="39"/>
  <c r="B3084" i="39"/>
  <c r="C3084" i="39" s="1"/>
  <c r="D3084" i="39"/>
  <c r="H3084" i="39"/>
  <c r="B3085" i="39"/>
  <c r="C3085" i="39" s="1"/>
  <c r="D3085" i="39"/>
  <c r="H3085" i="39"/>
  <c r="B3086" i="39"/>
  <c r="C3086" i="39" s="1"/>
  <c r="D3086" i="39"/>
  <c r="H3086" i="39"/>
  <c r="B3087" i="39"/>
  <c r="D3087" i="39"/>
  <c r="H3087" i="39"/>
  <c r="B3088" i="39"/>
  <c r="C3088" i="39" s="1"/>
  <c r="D3088" i="39"/>
  <c r="H3088" i="39"/>
  <c r="B3089" i="39"/>
  <c r="A3089" i="39" s="1"/>
  <c r="D3089" i="39"/>
  <c r="H3089" i="39"/>
  <c r="B3090" i="39"/>
  <c r="C3090" i="39" s="1"/>
  <c r="D3090" i="39"/>
  <c r="H3090" i="39"/>
  <c r="B3091" i="39"/>
  <c r="C3091" i="39" s="1"/>
  <c r="D3091" i="39"/>
  <c r="H3091" i="39"/>
  <c r="B3092" i="39"/>
  <c r="C3092" i="39" s="1"/>
  <c r="D3092" i="39"/>
  <c r="H3092" i="39"/>
  <c r="B3093" i="39"/>
  <c r="C3093" i="39" s="1"/>
  <c r="D3093" i="39"/>
  <c r="H3093" i="39"/>
  <c r="B3094" i="39"/>
  <c r="C3094" i="39" s="1"/>
  <c r="D3094" i="39"/>
  <c r="H3094" i="39"/>
  <c r="B3095" i="39"/>
  <c r="A3095" i="39" s="1"/>
  <c r="D3095" i="39"/>
  <c r="H3095" i="39"/>
  <c r="B3096" i="39"/>
  <c r="D3096" i="39"/>
  <c r="H3096" i="39"/>
  <c r="B3097" i="39"/>
  <c r="C3097" i="39" s="1"/>
  <c r="D3097" i="39"/>
  <c r="H3097" i="39"/>
  <c r="B3098" i="39"/>
  <c r="C3098" i="39" s="1"/>
  <c r="D3098" i="39"/>
  <c r="H3098" i="39"/>
  <c r="B3099" i="39"/>
  <c r="C3099" i="39" s="1"/>
  <c r="D3099" i="39"/>
  <c r="H3099" i="39"/>
  <c r="B3100" i="39"/>
  <c r="C3100" i="39" s="1"/>
  <c r="D3100" i="39"/>
  <c r="H3100" i="39"/>
  <c r="B3101" i="39"/>
  <c r="C3101" i="39" s="1"/>
  <c r="D3101" i="39"/>
  <c r="H3101" i="39"/>
  <c r="A3102" i="39"/>
  <c r="B3102" i="39"/>
  <c r="C3102" i="39" s="1"/>
  <c r="D3102" i="39"/>
  <c r="H3102" i="39"/>
  <c r="B3103" i="39"/>
  <c r="C3103" i="39" s="1"/>
  <c r="D3103" i="39"/>
  <c r="H3103" i="39"/>
  <c r="B3104" i="39"/>
  <c r="A3104" i="39" s="1"/>
  <c r="D3104" i="39"/>
  <c r="H3104" i="39"/>
  <c r="B3105" i="39"/>
  <c r="C3105" i="39" s="1"/>
  <c r="D3105" i="39"/>
  <c r="H3105" i="39"/>
  <c r="B3106" i="39"/>
  <c r="C3106" i="39" s="1"/>
  <c r="D3106" i="39"/>
  <c r="H3106" i="39"/>
  <c r="B3107" i="39"/>
  <c r="A3107" i="39" s="1"/>
  <c r="D3107" i="39"/>
  <c r="H3107" i="39"/>
  <c r="B3108" i="39"/>
  <c r="C3108" i="39" s="1"/>
  <c r="D3108" i="39"/>
  <c r="H3108" i="39"/>
  <c r="B3109" i="39"/>
  <c r="C3109" i="39" s="1"/>
  <c r="D3109" i="39"/>
  <c r="H3109" i="39"/>
  <c r="A3110" i="39"/>
  <c r="B3110" i="39"/>
  <c r="C3110" i="39" s="1"/>
  <c r="D3110" i="39"/>
  <c r="H3110" i="39"/>
  <c r="B3111" i="39"/>
  <c r="C3111" i="39" s="1"/>
  <c r="D3111" i="39"/>
  <c r="H3111" i="39"/>
  <c r="B3112" i="39"/>
  <c r="C3112" i="39" s="1"/>
  <c r="D3112" i="39"/>
  <c r="H3112" i="39"/>
  <c r="B3113" i="39"/>
  <c r="C3113" i="39" s="1"/>
  <c r="D3113" i="39"/>
  <c r="H3113" i="39"/>
  <c r="B3114" i="39"/>
  <c r="C3114" i="39" s="1"/>
  <c r="D3114" i="39"/>
  <c r="H3114" i="39"/>
  <c r="B3115" i="39"/>
  <c r="C3115" i="39" s="1"/>
  <c r="D3115" i="39"/>
  <c r="H3115" i="39"/>
  <c r="B3116" i="39"/>
  <c r="A3116" i="39" s="1"/>
  <c r="D3116" i="39"/>
  <c r="H3116" i="39"/>
  <c r="B3117" i="39"/>
  <c r="C3117" i="39" s="1"/>
  <c r="D3117" i="39"/>
  <c r="H3117" i="39"/>
  <c r="B3118" i="39"/>
  <c r="C3118" i="39" s="1"/>
  <c r="D3118" i="39"/>
  <c r="H3118" i="39"/>
  <c r="B3119" i="39"/>
  <c r="A3119" i="39" s="1"/>
  <c r="D3119" i="39"/>
  <c r="H3119" i="39"/>
  <c r="B3120" i="39"/>
  <c r="C3120" i="39" s="1"/>
  <c r="D3120" i="39"/>
  <c r="H3120" i="39"/>
  <c r="B3121" i="39"/>
  <c r="A3121" i="39" s="1"/>
  <c r="D3121" i="39"/>
  <c r="H3121" i="39"/>
  <c r="B3122" i="39"/>
  <c r="C3122" i="39" s="1"/>
  <c r="D3122" i="39"/>
  <c r="H3122" i="39"/>
  <c r="B3123" i="39"/>
  <c r="C3123" i="39" s="1"/>
  <c r="D3123" i="39"/>
  <c r="H3123" i="39"/>
  <c r="B3124" i="39"/>
  <c r="D3124" i="39"/>
  <c r="H3124" i="39"/>
  <c r="B3125" i="39"/>
  <c r="A3125" i="39" s="1"/>
  <c r="D3125" i="39"/>
  <c r="H3125" i="39"/>
  <c r="B3126" i="39"/>
  <c r="C3126" i="39" s="1"/>
  <c r="D3126" i="39"/>
  <c r="H3126" i="39"/>
  <c r="B3127" i="39"/>
  <c r="A3127" i="39" s="1"/>
  <c r="D3127" i="39"/>
  <c r="H3127" i="39"/>
  <c r="B3128" i="39"/>
  <c r="D3128" i="39"/>
  <c r="H3128" i="39"/>
  <c r="B3129" i="39"/>
  <c r="C3129" i="39" s="1"/>
  <c r="D3129" i="39"/>
  <c r="H3129" i="39"/>
  <c r="B3130" i="39"/>
  <c r="C3130" i="39" s="1"/>
  <c r="D3130" i="39"/>
  <c r="H3130" i="39"/>
  <c r="B3131" i="39"/>
  <c r="A3131" i="39" s="1"/>
  <c r="D3131" i="39"/>
  <c r="H3131" i="39"/>
  <c r="A3132" i="39"/>
  <c r="B3132" i="39"/>
  <c r="C3132" i="39" s="1"/>
  <c r="D3132" i="39"/>
  <c r="H3132" i="39"/>
  <c r="B3133" i="39"/>
  <c r="C3133" i="39" s="1"/>
  <c r="D3133" i="39"/>
  <c r="H3133" i="39"/>
  <c r="B3134" i="39"/>
  <c r="A3134" i="39" s="1"/>
  <c r="D3134" i="39"/>
  <c r="H3134" i="39"/>
  <c r="B3135" i="39"/>
  <c r="C3135" i="39" s="1"/>
  <c r="D3135" i="39"/>
  <c r="H3135" i="39"/>
  <c r="B3136" i="39"/>
  <c r="C3136" i="39" s="1"/>
  <c r="D3136" i="39"/>
  <c r="H3136" i="39"/>
  <c r="B3137" i="39"/>
  <c r="C3137" i="39" s="1"/>
  <c r="D3137" i="39"/>
  <c r="H3137" i="39"/>
  <c r="B3138" i="39"/>
  <c r="C3138" i="39" s="1"/>
  <c r="D3138" i="39"/>
  <c r="H3138" i="39"/>
  <c r="B3139" i="39"/>
  <c r="D3139" i="39"/>
  <c r="H3139" i="39"/>
  <c r="B3140" i="39"/>
  <c r="A3140" i="39" s="1"/>
  <c r="D3140" i="39"/>
  <c r="H3140" i="39"/>
  <c r="B3141" i="39"/>
  <c r="C3141" i="39" s="1"/>
  <c r="D3141" i="39"/>
  <c r="H3141" i="39"/>
  <c r="B3142" i="39"/>
  <c r="A3142" i="39" s="1"/>
  <c r="D3142" i="39"/>
  <c r="H3142" i="39"/>
  <c r="B3143" i="39"/>
  <c r="C3143" i="39" s="1"/>
  <c r="D3143" i="39"/>
  <c r="H3143" i="39"/>
  <c r="B3144" i="39"/>
  <c r="C3144" i="39" s="1"/>
  <c r="D3144" i="39"/>
  <c r="H3144" i="39"/>
  <c r="B3145" i="39"/>
  <c r="A3145" i="39" s="1"/>
  <c r="D3145" i="39"/>
  <c r="H3145" i="39"/>
  <c r="B3146" i="39"/>
  <c r="A3146" i="39" s="1"/>
  <c r="D3146" i="39"/>
  <c r="H3146" i="39"/>
  <c r="B3147" i="39"/>
  <c r="C3147" i="39" s="1"/>
  <c r="D3147" i="39"/>
  <c r="H3147" i="39"/>
  <c r="B3148" i="39"/>
  <c r="C3148" i="39" s="1"/>
  <c r="D3148" i="39"/>
  <c r="H3148" i="39"/>
  <c r="B3149" i="39"/>
  <c r="A3149" i="39" s="1"/>
  <c r="D3149" i="39"/>
  <c r="H3149" i="39"/>
  <c r="B3150" i="39"/>
  <c r="C3150" i="39" s="1"/>
  <c r="D3150" i="39"/>
  <c r="H3150" i="39"/>
  <c r="B3151" i="39"/>
  <c r="C3151" i="39" s="1"/>
  <c r="D3151" i="39"/>
  <c r="H3151" i="39"/>
  <c r="B3152" i="39"/>
  <c r="A3152" i="39" s="1"/>
  <c r="D3152" i="39"/>
  <c r="H3152" i="39"/>
  <c r="B3153" i="39"/>
  <c r="C3153" i="39" s="1"/>
  <c r="D3153" i="39"/>
  <c r="H3153" i="39"/>
  <c r="B3154" i="39"/>
  <c r="A3154" i="39" s="1"/>
  <c r="D3154" i="39"/>
  <c r="H3154" i="39"/>
  <c r="B3155" i="39"/>
  <c r="C3155" i="39" s="1"/>
  <c r="D3155" i="39"/>
  <c r="H3155" i="39"/>
  <c r="B3156" i="39"/>
  <c r="C3156" i="39" s="1"/>
  <c r="D3156" i="39"/>
  <c r="H3156" i="39"/>
  <c r="B3157" i="39"/>
  <c r="D3157" i="39"/>
  <c r="H3157" i="39"/>
  <c r="B3158" i="39"/>
  <c r="A3158" i="39" s="1"/>
  <c r="D3158" i="39"/>
  <c r="H3158" i="39"/>
  <c r="B3159" i="39"/>
  <c r="C3159" i="39" s="1"/>
  <c r="D3159" i="39"/>
  <c r="H3159" i="39"/>
  <c r="B3160" i="39"/>
  <c r="A3160" i="39" s="1"/>
  <c r="D3160" i="39"/>
  <c r="H3160" i="39"/>
  <c r="B3161" i="39"/>
  <c r="A3161" i="39" s="1"/>
  <c r="D3161" i="39"/>
  <c r="H3161" i="39"/>
  <c r="B3162" i="39"/>
  <c r="C3162" i="39" s="1"/>
  <c r="D3162" i="39"/>
  <c r="H3162" i="39"/>
  <c r="B3163" i="39"/>
  <c r="C3163" i="39" s="1"/>
  <c r="D3163" i="39"/>
  <c r="H3163" i="39"/>
  <c r="B3164" i="39"/>
  <c r="A3164" i="39" s="1"/>
  <c r="D3164" i="39"/>
  <c r="H3164" i="39"/>
  <c r="B3165" i="39"/>
  <c r="C3165" i="39" s="1"/>
  <c r="D3165" i="39"/>
  <c r="H3165" i="39"/>
  <c r="B3166" i="39"/>
  <c r="C3166" i="39" s="1"/>
  <c r="D3166" i="39"/>
  <c r="H3166" i="39"/>
  <c r="B3167" i="39"/>
  <c r="A3167" i="39" s="1"/>
  <c r="D3167" i="39"/>
  <c r="H3167" i="39"/>
  <c r="B3168" i="39"/>
  <c r="C3168" i="39" s="1"/>
  <c r="D3168" i="39"/>
  <c r="H3168" i="39"/>
  <c r="B3169" i="39"/>
  <c r="A3169" i="39" s="1"/>
  <c r="D3169" i="39"/>
  <c r="H3169" i="39"/>
  <c r="B3170" i="39"/>
  <c r="A3170" i="39" s="1"/>
  <c r="D3170" i="39"/>
  <c r="H3170" i="39"/>
  <c r="B3171" i="39"/>
  <c r="C3171" i="39" s="1"/>
  <c r="D3171" i="39"/>
  <c r="H3171" i="39"/>
  <c r="B3172" i="39"/>
  <c r="C3172" i="39" s="1"/>
  <c r="D3172" i="39"/>
  <c r="H3172" i="39"/>
  <c r="B3173" i="39"/>
  <c r="D3173" i="39"/>
  <c r="H3173" i="39"/>
  <c r="B3174" i="39"/>
  <c r="A3174" i="39" s="1"/>
  <c r="D3174" i="39"/>
  <c r="H3174" i="39"/>
  <c r="B3175" i="39"/>
  <c r="C3175" i="39" s="1"/>
  <c r="D3175" i="39"/>
  <c r="H3175" i="39"/>
  <c r="B3176" i="39"/>
  <c r="A3176" i="39" s="1"/>
  <c r="D3176" i="39"/>
  <c r="H3176" i="39"/>
  <c r="B3177" i="39"/>
  <c r="A3177" i="39" s="1"/>
  <c r="D3177" i="39"/>
  <c r="H3177" i="39"/>
  <c r="B3178" i="39"/>
  <c r="C3178" i="39" s="1"/>
  <c r="D3178" i="39"/>
  <c r="H3178" i="39"/>
  <c r="B3179" i="39"/>
  <c r="A3179" i="39" s="1"/>
  <c r="D3179" i="39"/>
  <c r="H3179" i="39"/>
  <c r="B3180" i="39"/>
  <c r="A3180" i="39" s="1"/>
  <c r="D3180" i="39"/>
  <c r="H3180" i="39"/>
  <c r="B3181" i="39"/>
  <c r="A3181" i="39" s="1"/>
  <c r="D3181" i="39"/>
  <c r="H3181" i="39"/>
  <c r="B3182" i="39"/>
  <c r="A3182" i="39" s="1"/>
  <c r="D3182" i="39"/>
  <c r="H3182" i="39"/>
  <c r="B3183" i="39"/>
  <c r="A3183" i="39" s="1"/>
  <c r="D3183" i="39"/>
  <c r="H3183" i="39"/>
  <c r="B3184" i="39"/>
  <c r="C3184" i="39" s="1"/>
  <c r="D3184" i="39"/>
  <c r="H3184" i="39"/>
  <c r="B3185" i="39"/>
  <c r="A3185" i="39" s="1"/>
  <c r="D3185" i="39"/>
  <c r="H3185" i="39"/>
  <c r="B3186" i="39"/>
  <c r="C3186" i="39" s="1"/>
  <c r="D3186" i="39"/>
  <c r="H3186" i="39"/>
  <c r="B3187" i="39"/>
  <c r="C3187" i="39" s="1"/>
  <c r="D3187" i="39"/>
  <c r="H3187" i="39"/>
  <c r="B3188" i="39"/>
  <c r="A3188" i="39" s="1"/>
  <c r="D3188" i="39"/>
  <c r="H3188" i="39"/>
  <c r="B3189" i="39"/>
  <c r="A3189" i="39" s="1"/>
  <c r="D3189" i="39"/>
  <c r="H3189" i="39"/>
  <c r="B3190" i="39"/>
  <c r="A3190" i="39" s="1"/>
  <c r="D3190" i="39"/>
  <c r="H3190" i="39"/>
  <c r="B3191" i="39"/>
  <c r="D3191" i="39"/>
  <c r="H3191" i="39"/>
  <c r="B3192" i="39"/>
  <c r="A3192" i="39" s="1"/>
  <c r="D3192" i="39"/>
  <c r="H3192" i="39"/>
  <c r="B3193" i="39"/>
  <c r="A3193" i="39" s="1"/>
  <c r="D3193" i="39"/>
  <c r="H3193" i="39"/>
  <c r="B3194" i="39"/>
  <c r="A3194" i="39" s="1"/>
  <c r="D3194" i="39"/>
  <c r="H3194" i="39"/>
  <c r="B3195" i="39"/>
  <c r="C3195" i="39" s="1"/>
  <c r="D3195" i="39"/>
  <c r="H3195" i="39"/>
  <c r="B3196" i="39"/>
  <c r="A3196" i="39" s="1"/>
  <c r="D3196" i="39"/>
  <c r="H3196" i="39"/>
  <c r="B3197" i="39"/>
  <c r="A3197" i="39" s="1"/>
  <c r="D3197" i="39"/>
  <c r="H3197" i="39"/>
  <c r="A3198" i="39"/>
  <c r="B3198" i="39"/>
  <c r="C3198" i="39" s="1"/>
  <c r="D3198" i="39"/>
  <c r="H3198" i="39"/>
  <c r="B3199" i="39"/>
  <c r="C3199" i="39" s="1"/>
  <c r="D3199" i="39"/>
  <c r="H3199" i="39"/>
  <c r="B3200" i="39"/>
  <c r="A3200" i="39" s="1"/>
  <c r="D3200" i="39"/>
  <c r="H3200" i="39"/>
  <c r="B3201" i="39"/>
  <c r="A3201" i="39" s="1"/>
  <c r="D3201" i="39"/>
  <c r="H3201" i="39"/>
  <c r="B3202" i="39"/>
  <c r="C3202" i="39" s="1"/>
  <c r="D3202" i="39"/>
  <c r="H3202" i="39"/>
  <c r="B3203" i="39"/>
  <c r="A3203" i="39" s="1"/>
  <c r="D3203" i="39"/>
  <c r="H3203" i="39"/>
  <c r="B3204" i="39"/>
  <c r="A3204" i="39" s="1"/>
  <c r="D3204" i="39"/>
  <c r="H3204" i="39"/>
  <c r="B3205" i="39"/>
  <c r="A3205" i="39" s="1"/>
  <c r="D3205" i="39"/>
  <c r="H3205" i="39"/>
  <c r="B3206" i="39"/>
  <c r="A3206" i="39" s="1"/>
  <c r="D3206" i="39"/>
  <c r="H3206" i="39"/>
  <c r="B3207" i="39"/>
  <c r="A3207" i="39" s="1"/>
  <c r="D3207" i="39"/>
  <c r="H3207" i="39"/>
  <c r="B3208" i="39"/>
  <c r="A3208" i="39" s="1"/>
  <c r="D3208" i="39"/>
  <c r="H3208" i="39"/>
  <c r="B3209" i="39"/>
  <c r="D3209" i="39"/>
  <c r="H3209" i="39"/>
  <c r="B3210" i="39"/>
  <c r="A3210" i="39" s="1"/>
  <c r="D3210" i="39"/>
  <c r="H3210" i="39"/>
  <c r="B3211" i="39"/>
  <c r="C3211" i="39" s="1"/>
  <c r="D3211" i="39"/>
  <c r="H3211" i="39"/>
  <c r="B3212" i="39"/>
  <c r="A3212" i="39" s="1"/>
  <c r="D3212" i="39"/>
  <c r="H3212" i="39"/>
  <c r="B3213" i="39"/>
  <c r="D3213" i="39"/>
  <c r="H3213" i="39"/>
  <c r="B3214" i="39"/>
  <c r="A3214" i="39" s="1"/>
  <c r="D3214" i="39"/>
  <c r="H3214" i="39"/>
  <c r="B3215" i="39"/>
  <c r="A3215" i="39" s="1"/>
  <c r="D3215" i="39"/>
  <c r="H3215" i="39"/>
  <c r="B3216" i="39"/>
  <c r="A3216" i="39" s="1"/>
  <c r="D3216" i="39"/>
  <c r="H3216" i="39"/>
  <c r="B3217" i="39"/>
  <c r="C3217" i="39" s="1"/>
  <c r="D3217" i="39"/>
  <c r="H3217" i="39"/>
  <c r="B3218" i="39"/>
  <c r="A3218" i="39" s="1"/>
  <c r="D3218" i="39"/>
  <c r="H3218" i="39"/>
  <c r="B3219" i="39"/>
  <c r="A3219" i="39" s="1"/>
  <c r="D3219" i="39"/>
  <c r="H3219" i="39"/>
  <c r="B3220" i="39"/>
  <c r="A3220" i="39" s="1"/>
  <c r="D3220" i="39"/>
  <c r="H3220" i="39"/>
  <c r="B3221" i="39"/>
  <c r="A3221" i="39" s="1"/>
  <c r="D3221" i="39"/>
  <c r="H3221" i="39"/>
  <c r="B3222" i="39"/>
  <c r="C3222" i="39" s="1"/>
  <c r="D3222" i="39"/>
  <c r="H3222" i="39"/>
  <c r="B3223" i="39"/>
  <c r="A3223" i="39" s="1"/>
  <c r="D3223" i="39"/>
  <c r="H3223" i="39"/>
  <c r="B3224" i="39"/>
  <c r="A3224" i="39" s="1"/>
  <c r="D3224" i="39"/>
  <c r="H3224" i="39"/>
  <c r="B3225" i="39"/>
  <c r="A3225" i="39" s="1"/>
  <c r="D3225" i="39"/>
  <c r="H3225" i="39"/>
  <c r="B3226" i="39"/>
  <c r="A3226" i="39" s="1"/>
  <c r="D3226" i="39"/>
  <c r="H3226" i="39"/>
  <c r="B3227" i="39"/>
  <c r="D3227" i="39"/>
  <c r="H3227" i="39"/>
  <c r="B3228" i="39"/>
  <c r="D3228" i="39"/>
  <c r="H3228" i="39"/>
  <c r="B3229" i="39"/>
  <c r="A3229" i="39" s="1"/>
  <c r="D3229" i="39"/>
  <c r="H3229" i="39"/>
  <c r="B3230" i="39"/>
  <c r="A3230" i="39" s="1"/>
  <c r="C3230" i="39"/>
  <c r="D3230" i="39"/>
  <c r="H3230" i="39"/>
  <c r="B3231" i="39"/>
  <c r="A3231" i="39" s="1"/>
  <c r="D3231" i="39"/>
  <c r="H3231" i="39"/>
  <c r="B3232" i="39"/>
  <c r="C3232" i="39" s="1"/>
  <c r="D3232" i="39"/>
  <c r="H3232" i="39"/>
  <c r="B3233" i="39"/>
  <c r="A3233" i="39" s="1"/>
  <c r="D3233" i="39"/>
  <c r="H3233" i="39"/>
  <c r="B3234" i="39"/>
  <c r="A3234" i="39" s="1"/>
  <c r="D3234" i="39"/>
  <c r="H3234" i="39"/>
  <c r="B3235" i="39"/>
  <c r="A3235" i="39" s="1"/>
  <c r="D3235" i="39"/>
  <c r="H3235" i="39"/>
  <c r="B3236" i="39"/>
  <c r="D3236" i="39"/>
  <c r="H3236" i="39"/>
  <c r="B3237" i="39"/>
  <c r="C3237" i="39" s="1"/>
  <c r="D3237" i="39"/>
  <c r="H3237" i="39"/>
  <c r="B3238" i="39"/>
  <c r="A3238" i="39" s="1"/>
  <c r="D3238" i="39"/>
  <c r="H3238" i="39"/>
  <c r="B3239" i="39"/>
  <c r="A3239" i="39" s="1"/>
  <c r="D3239" i="39"/>
  <c r="H3239" i="39"/>
  <c r="B3240" i="39"/>
  <c r="A3240" i="39" s="1"/>
  <c r="D3240" i="39"/>
  <c r="H3240" i="39"/>
  <c r="B3241" i="39"/>
  <c r="C3241" i="39" s="1"/>
  <c r="D3241" i="39"/>
  <c r="H3241" i="39"/>
  <c r="B3242" i="39"/>
  <c r="A3242" i="39" s="1"/>
  <c r="D3242" i="39"/>
  <c r="H3242" i="39"/>
  <c r="B3243" i="39"/>
  <c r="D3243" i="39"/>
  <c r="H3243" i="39"/>
  <c r="B3244" i="39"/>
  <c r="A3244" i="39" s="1"/>
  <c r="D3244" i="39"/>
  <c r="H3244" i="39"/>
  <c r="B3245" i="39"/>
  <c r="D3245" i="39"/>
  <c r="H3245" i="39"/>
  <c r="B3246" i="39"/>
  <c r="A3246" i="39" s="1"/>
  <c r="D3246" i="39"/>
  <c r="H3246" i="39"/>
  <c r="B3247" i="39"/>
  <c r="D3247" i="39"/>
  <c r="H3247" i="39"/>
  <c r="B3248" i="39"/>
  <c r="A3248" i="39" s="1"/>
  <c r="D3248" i="39"/>
  <c r="H3248" i="39"/>
  <c r="B3249" i="39"/>
  <c r="A3249" i="39" s="1"/>
  <c r="D3249" i="39"/>
  <c r="H3249" i="39"/>
  <c r="B3250" i="39"/>
  <c r="A3250" i="39" s="1"/>
  <c r="D3250" i="39"/>
  <c r="H3250" i="39"/>
  <c r="B3251" i="39"/>
  <c r="A3251" i="39" s="1"/>
  <c r="D3251" i="39"/>
  <c r="H3251" i="39"/>
  <c r="B3252" i="39"/>
  <c r="C3252" i="39" s="1"/>
  <c r="D3252" i="39"/>
  <c r="H3252" i="39"/>
  <c r="B3253" i="39"/>
  <c r="A3253" i="39" s="1"/>
  <c r="D3253" i="39"/>
  <c r="H3253" i="39"/>
  <c r="B3254" i="39"/>
  <c r="A3254" i="39" s="1"/>
  <c r="D3254" i="39"/>
  <c r="H3254" i="39"/>
  <c r="B3255" i="39"/>
  <c r="A3255" i="39" s="1"/>
  <c r="D3255" i="39"/>
  <c r="H3255" i="39"/>
  <c r="B3256" i="39"/>
  <c r="C3256" i="39" s="1"/>
  <c r="D3256" i="39"/>
  <c r="H3256" i="39"/>
  <c r="B3257" i="39"/>
  <c r="A3257" i="39" s="1"/>
  <c r="D3257" i="39"/>
  <c r="H3257" i="39"/>
  <c r="B3258" i="39"/>
  <c r="D3258" i="39"/>
  <c r="H3258" i="39"/>
  <c r="B3259" i="39"/>
  <c r="A3259" i="39" s="1"/>
  <c r="D3259" i="39"/>
  <c r="H3259" i="39"/>
  <c r="B3260" i="39"/>
  <c r="A3260" i="39" s="1"/>
  <c r="D3260" i="39"/>
  <c r="H3260" i="39"/>
  <c r="B3261" i="39"/>
  <c r="A3261" i="39" s="1"/>
  <c r="D3261" i="39"/>
  <c r="H3261" i="39"/>
  <c r="B3262" i="39"/>
  <c r="C3262" i="39" s="1"/>
  <c r="D3262" i="39"/>
  <c r="H3262" i="39"/>
  <c r="B3263" i="39"/>
  <c r="C3263" i="39" s="1"/>
  <c r="D3263" i="39"/>
  <c r="H3263" i="39"/>
  <c r="B3264" i="39"/>
  <c r="A3264" i="39" s="1"/>
  <c r="D3264" i="39"/>
  <c r="H3264" i="39"/>
  <c r="B3265" i="39"/>
  <c r="C3265" i="39" s="1"/>
  <c r="D3265" i="39"/>
  <c r="H3265" i="39"/>
  <c r="B3266" i="39"/>
  <c r="C3266" i="39" s="1"/>
  <c r="D3266" i="39"/>
  <c r="H3266" i="39"/>
  <c r="B3267" i="39"/>
  <c r="A3267" i="39" s="1"/>
  <c r="D3267" i="39"/>
  <c r="H3267" i="39"/>
  <c r="B3268" i="39"/>
  <c r="A3268" i="39" s="1"/>
  <c r="D3268" i="39"/>
  <c r="H3268" i="39"/>
  <c r="B3269" i="39"/>
  <c r="C3269" i="39" s="1"/>
  <c r="D3269" i="39"/>
  <c r="H3269" i="39"/>
  <c r="B3270" i="39"/>
  <c r="C3270" i="39" s="1"/>
  <c r="D3270" i="39"/>
  <c r="H3270" i="39"/>
  <c r="B3271" i="39"/>
  <c r="A3271" i="39" s="1"/>
  <c r="D3271" i="39"/>
  <c r="H3271" i="39"/>
  <c r="B3272" i="39"/>
  <c r="C3272" i="39" s="1"/>
  <c r="D3272" i="39"/>
  <c r="H3272" i="39"/>
  <c r="B3273" i="39"/>
  <c r="C3273" i="39" s="1"/>
  <c r="D3273" i="39"/>
  <c r="H3273" i="39"/>
  <c r="B3274" i="39"/>
  <c r="A3274" i="39" s="1"/>
  <c r="D3274" i="39"/>
  <c r="H3274" i="39"/>
  <c r="B3275" i="39"/>
  <c r="C3275" i="39" s="1"/>
  <c r="D3275" i="39"/>
  <c r="H3275" i="39"/>
  <c r="B3276" i="39"/>
  <c r="A3276" i="39" s="1"/>
  <c r="D3276" i="39"/>
  <c r="H3276" i="39"/>
  <c r="B3277" i="39"/>
  <c r="C3277" i="39" s="1"/>
  <c r="D3277" i="39"/>
  <c r="H3277" i="39"/>
  <c r="B3278" i="39"/>
  <c r="C3278" i="39" s="1"/>
  <c r="D3278" i="39"/>
  <c r="H3278" i="39"/>
  <c r="B3279" i="39"/>
  <c r="D3279" i="39"/>
  <c r="H3279" i="39"/>
  <c r="B3280" i="39"/>
  <c r="A3280" i="39" s="1"/>
  <c r="D3280" i="39"/>
  <c r="H3280" i="39"/>
  <c r="B3281" i="39"/>
  <c r="C3281" i="39" s="1"/>
  <c r="D3281" i="39"/>
  <c r="H3281" i="39"/>
  <c r="B3282" i="39"/>
  <c r="A3282" i="39" s="1"/>
  <c r="D3282" i="39"/>
  <c r="H3282" i="39"/>
  <c r="B3283" i="39"/>
  <c r="C3283" i="39" s="1"/>
  <c r="D3283" i="39"/>
  <c r="H3283" i="39"/>
  <c r="B3284" i="39"/>
  <c r="C3284" i="39" s="1"/>
  <c r="D3284" i="39"/>
  <c r="H3284" i="39"/>
  <c r="B3285" i="39"/>
  <c r="A3285" i="39" s="1"/>
  <c r="D3285" i="39"/>
  <c r="H3285" i="39"/>
  <c r="B3286" i="39"/>
  <c r="A3286" i="39" s="1"/>
  <c r="D3286" i="39"/>
  <c r="H3286" i="39"/>
  <c r="B3287" i="39"/>
  <c r="C3287" i="39" s="1"/>
  <c r="D3287" i="39"/>
  <c r="H3287" i="39"/>
  <c r="B3288" i="39"/>
  <c r="A3288" i="39" s="1"/>
  <c r="D3288" i="39"/>
  <c r="H3288" i="39"/>
  <c r="B3289" i="39"/>
  <c r="A3289" i="39" s="1"/>
  <c r="D3289" i="39"/>
  <c r="H3289" i="39"/>
  <c r="B3290" i="39"/>
  <c r="C3290" i="39" s="1"/>
  <c r="D3290" i="39"/>
  <c r="H3290" i="39"/>
  <c r="B3291" i="39"/>
  <c r="C3291" i="39" s="1"/>
  <c r="D3291" i="39"/>
  <c r="H3291" i="39"/>
  <c r="B3292" i="39"/>
  <c r="A3292" i="39" s="1"/>
  <c r="D3292" i="39"/>
  <c r="H3292" i="39"/>
  <c r="B3293" i="39"/>
  <c r="C3293" i="39" s="1"/>
  <c r="D3293" i="39"/>
  <c r="H3293" i="39"/>
  <c r="B3294" i="39"/>
  <c r="A3294" i="39" s="1"/>
  <c r="D3294" i="39"/>
  <c r="H3294" i="39"/>
  <c r="B3295" i="39"/>
  <c r="C3295" i="39" s="1"/>
  <c r="D3295" i="39"/>
  <c r="H3295" i="39"/>
  <c r="B3296" i="39"/>
  <c r="C3296" i="39" s="1"/>
  <c r="D3296" i="39"/>
  <c r="H3296" i="39"/>
  <c r="B3297" i="39"/>
  <c r="D3297" i="39"/>
  <c r="H3297" i="39"/>
  <c r="B3298" i="39"/>
  <c r="A3298" i="39" s="1"/>
  <c r="D3298" i="39"/>
  <c r="H3298" i="39"/>
  <c r="B3299" i="39"/>
  <c r="C3299" i="39" s="1"/>
  <c r="D3299" i="39"/>
  <c r="H3299" i="39"/>
  <c r="B3300" i="39"/>
  <c r="A3300" i="39" s="1"/>
  <c r="D3300" i="39"/>
  <c r="H3300" i="39"/>
  <c r="B3301" i="39"/>
  <c r="C3301" i="39" s="1"/>
  <c r="D3301" i="39"/>
  <c r="H3301" i="39"/>
  <c r="B3302" i="39"/>
  <c r="C3302" i="39" s="1"/>
  <c r="D3302" i="39"/>
  <c r="H3302" i="39"/>
  <c r="B3303" i="39"/>
  <c r="A3303" i="39" s="1"/>
  <c r="D3303" i="39"/>
  <c r="H3303" i="39"/>
  <c r="B3304" i="39"/>
  <c r="A3304" i="39" s="1"/>
  <c r="D3304" i="39"/>
  <c r="H3304" i="39"/>
  <c r="B3305" i="39"/>
  <c r="C3305" i="39" s="1"/>
  <c r="D3305" i="39"/>
  <c r="H3305" i="39"/>
  <c r="B3306" i="39"/>
  <c r="A3306" i="39" s="1"/>
  <c r="D3306" i="39"/>
  <c r="H3306" i="39"/>
  <c r="B3307" i="39"/>
  <c r="A3307" i="39" s="1"/>
  <c r="D3307" i="39"/>
  <c r="H3307" i="39"/>
  <c r="A3308" i="39"/>
  <c r="B3308" i="39"/>
  <c r="C3308" i="39" s="1"/>
  <c r="D3308" i="39"/>
  <c r="H3308" i="39"/>
  <c r="B3309" i="39"/>
  <c r="C3309" i="39" s="1"/>
  <c r="D3309" i="39"/>
  <c r="H3309" i="39"/>
  <c r="B3310" i="39"/>
  <c r="A3310" i="39" s="1"/>
  <c r="D3310" i="39"/>
  <c r="H3310" i="39"/>
  <c r="B3311" i="39"/>
  <c r="C3311" i="39" s="1"/>
  <c r="D3311" i="39"/>
  <c r="H3311" i="39"/>
  <c r="B3312" i="39"/>
  <c r="A3312" i="39" s="1"/>
  <c r="D3312" i="39"/>
  <c r="H3312" i="39"/>
  <c r="B3313" i="39"/>
  <c r="C3313" i="39" s="1"/>
  <c r="D3313" i="39"/>
  <c r="H3313" i="39"/>
  <c r="B3314" i="39"/>
  <c r="C3314" i="39" s="1"/>
  <c r="D3314" i="39"/>
  <c r="H3314" i="39"/>
  <c r="B3315" i="39"/>
  <c r="D3315" i="39"/>
  <c r="H3315" i="39"/>
  <c r="B3316" i="39"/>
  <c r="A3316" i="39" s="1"/>
  <c r="D3316" i="39"/>
  <c r="H3316" i="39"/>
  <c r="B3317" i="39"/>
  <c r="C3317" i="39" s="1"/>
  <c r="D3317" i="39"/>
  <c r="H3317" i="39"/>
  <c r="B3318" i="39"/>
  <c r="A3318" i="39" s="1"/>
  <c r="D3318" i="39"/>
  <c r="H3318" i="39"/>
  <c r="B3319" i="39"/>
  <c r="C3319" i="39" s="1"/>
  <c r="D3319" i="39"/>
  <c r="H3319" i="39"/>
  <c r="B3320" i="39"/>
  <c r="C3320" i="39" s="1"/>
  <c r="D3320" i="39"/>
  <c r="H3320" i="39"/>
  <c r="B3321" i="39"/>
  <c r="A3321" i="39" s="1"/>
  <c r="D3321" i="39"/>
  <c r="H3321" i="39"/>
  <c r="B3322" i="39"/>
  <c r="A3322" i="39" s="1"/>
  <c r="D3322" i="39"/>
  <c r="H3322" i="39"/>
  <c r="B3323" i="39"/>
  <c r="C3323" i="39" s="1"/>
  <c r="D3323" i="39"/>
  <c r="H3323" i="39"/>
  <c r="B3324" i="39"/>
  <c r="A3324" i="39" s="1"/>
  <c r="D3324" i="39"/>
  <c r="H3324" i="39"/>
  <c r="B3325" i="39"/>
  <c r="A3325" i="39" s="1"/>
  <c r="D3325" i="39"/>
  <c r="H3325" i="39"/>
  <c r="B3326" i="39"/>
  <c r="C3326" i="39" s="1"/>
  <c r="D3326" i="39"/>
  <c r="H3326" i="39"/>
  <c r="B3327" i="39"/>
  <c r="C3327" i="39" s="1"/>
  <c r="D3327" i="39"/>
  <c r="H3327" i="39"/>
  <c r="B3328" i="39"/>
  <c r="A3328" i="39" s="1"/>
  <c r="D3328" i="39"/>
  <c r="H3328" i="39"/>
  <c r="B3329" i="39"/>
  <c r="C3329" i="39" s="1"/>
  <c r="D3329" i="39"/>
  <c r="H3329" i="39"/>
  <c r="B3330" i="39"/>
  <c r="C3330" i="39" s="1"/>
  <c r="D3330" i="39"/>
  <c r="H3330" i="39"/>
  <c r="B3331" i="39"/>
  <c r="A3331" i="39" s="1"/>
  <c r="D3331" i="39"/>
  <c r="H3331" i="39"/>
  <c r="B3332" i="39"/>
  <c r="C3332" i="39" s="1"/>
  <c r="D3332" i="39"/>
  <c r="H3332" i="39"/>
  <c r="B3333" i="39"/>
  <c r="D3333" i="39"/>
  <c r="H3333" i="39"/>
  <c r="B3334" i="39"/>
  <c r="A3334" i="39" s="1"/>
  <c r="D3334" i="39"/>
  <c r="H3334" i="39"/>
  <c r="B3335" i="39"/>
  <c r="C3335" i="39" s="1"/>
  <c r="D3335" i="39"/>
  <c r="H3335" i="39"/>
  <c r="B3336" i="39"/>
  <c r="A3336" i="39" s="1"/>
  <c r="D3336" i="39"/>
  <c r="H3336" i="39"/>
  <c r="B3337" i="39"/>
  <c r="C3337" i="39" s="1"/>
  <c r="D3337" i="39"/>
  <c r="H3337" i="39"/>
  <c r="B3338" i="39"/>
  <c r="C3338" i="39" s="1"/>
  <c r="D3338" i="39"/>
  <c r="H3338" i="39"/>
  <c r="B3339" i="39"/>
  <c r="A3339" i="39" s="1"/>
  <c r="D3339" i="39"/>
  <c r="H3339" i="39"/>
  <c r="B3340" i="39"/>
  <c r="A3340" i="39" s="1"/>
  <c r="D3340" i="39"/>
  <c r="H3340" i="39"/>
  <c r="B3341" i="39"/>
  <c r="C3341" i="39" s="1"/>
  <c r="D3341" i="39"/>
  <c r="H3341" i="39"/>
  <c r="B3342" i="39"/>
  <c r="A3342" i="39" s="1"/>
  <c r="D3342" i="39"/>
  <c r="H3342" i="39"/>
  <c r="B3343" i="39"/>
  <c r="A3343" i="39" s="1"/>
  <c r="D3343" i="39"/>
  <c r="H3343" i="39"/>
  <c r="B3344" i="39"/>
  <c r="C3344" i="39" s="1"/>
  <c r="D3344" i="39"/>
  <c r="H3344" i="39"/>
  <c r="B3345" i="39"/>
  <c r="C3345" i="39" s="1"/>
  <c r="D3345" i="39"/>
  <c r="H3345" i="39"/>
  <c r="B3346" i="39"/>
  <c r="A3346" i="39" s="1"/>
  <c r="D3346" i="39"/>
  <c r="H3346" i="39"/>
  <c r="B3347" i="39"/>
  <c r="C3347" i="39" s="1"/>
  <c r="D3347" i="39"/>
  <c r="H3347" i="39"/>
  <c r="B3348" i="39"/>
  <c r="C3348" i="39" s="1"/>
  <c r="D3348" i="39"/>
  <c r="H3348" i="39"/>
  <c r="B3349" i="39"/>
  <c r="A3349" i="39" s="1"/>
  <c r="D3349" i="39"/>
  <c r="H3349" i="39"/>
  <c r="B3350" i="39"/>
  <c r="C3350" i="39" s="1"/>
  <c r="D3350" i="39"/>
  <c r="H3350" i="39"/>
  <c r="B3351" i="39"/>
  <c r="D3351" i="39"/>
  <c r="H3351" i="39"/>
  <c r="B3352" i="39"/>
  <c r="A3352" i="39" s="1"/>
  <c r="D3352" i="39"/>
  <c r="H3352" i="39"/>
  <c r="B3353" i="39"/>
  <c r="C3353" i="39" s="1"/>
  <c r="D3353" i="39"/>
  <c r="H3353" i="39"/>
  <c r="B3354" i="39"/>
  <c r="A3354" i="39" s="1"/>
  <c r="D3354" i="39"/>
  <c r="H3354" i="39"/>
  <c r="B3355" i="39"/>
  <c r="C3355" i="39" s="1"/>
  <c r="D3355" i="39"/>
  <c r="H3355" i="39"/>
  <c r="B3356" i="39"/>
  <c r="C3356" i="39" s="1"/>
  <c r="D3356" i="39"/>
  <c r="H3356" i="39"/>
  <c r="B3357" i="39"/>
  <c r="A3357" i="39" s="1"/>
  <c r="D3357" i="39"/>
  <c r="H3357" i="39"/>
  <c r="B3358" i="39"/>
  <c r="C3358" i="39" s="1"/>
  <c r="D3358" i="39"/>
  <c r="H3358" i="39"/>
  <c r="B3359" i="39"/>
  <c r="C3359" i="39" s="1"/>
  <c r="D3359" i="39"/>
  <c r="H3359" i="39"/>
  <c r="B3360" i="39"/>
  <c r="D3360" i="39"/>
  <c r="H3360" i="39"/>
  <c r="B3361" i="39"/>
  <c r="A3361" i="39" s="1"/>
  <c r="D3361" i="39"/>
  <c r="H3361" i="39"/>
  <c r="B3362" i="39"/>
  <c r="C3362" i="39" s="1"/>
  <c r="D3362" i="39"/>
  <c r="H3362" i="39"/>
  <c r="B3363" i="39"/>
  <c r="D3363" i="39"/>
  <c r="H3363" i="39"/>
  <c r="B3364" i="39"/>
  <c r="A3364" i="39" s="1"/>
  <c r="D3364" i="39"/>
  <c r="H3364" i="39"/>
  <c r="B3365" i="39"/>
  <c r="C3365" i="39" s="1"/>
  <c r="D3365" i="39"/>
  <c r="H3365" i="39"/>
  <c r="B3366" i="39"/>
  <c r="A3366" i="39" s="1"/>
  <c r="D3366" i="39"/>
  <c r="H3366" i="39"/>
  <c r="B3367" i="39"/>
  <c r="A3367" i="39" s="1"/>
  <c r="D3367" i="39"/>
  <c r="H3367" i="39"/>
  <c r="B3368" i="39"/>
  <c r="C3368" i="39" s="1"/>
  <c r="D3368" i="39"/>
  <c r="H3368" i="39"/>
  <c r="B3369" i="39"/>
  <c r="A3369" i="39" s="1"/>
  <c r="D3369" i="39"/>
  <c r="H3369" i="39"/>
  <c r="B3370" i="39"/>
  <c r="A3370" i="39" s="1"/>
  <c r="D3370" i="39"/>
  <c r="H3370" i="39"/>
  <c r="B3371" i="39"/>
  <c r="C3371" i="39" s="1"/>
  <c r="D3371" i="39"/>
  <c r="H3371" i="39"/>
  <c r="B3372" i="39"/>
  <c r="A3372" i="39" s="1"/>
  <c r="D3372" i="39"/>
  <c r="H3372" i="39"/>
  <c r="B3373" i="39"/>
  <c r="C3373" i="39" s="1"/>
  <c r="D3373" i="39"/>
  <c r="H3373" i="39"/>
  <c r="B3374" i="39"/>
  <c r="C3374" i="39" s="1"/>
  <c r="D3374" i="39"/>
  <c r="H3374" i="39"/>
  <c r="B3375" i="39"/>
  <c r="A3375" i="39" s="1"/>
  <c r="D3375" i="39"/>
  <c r="H3375" i="39"/>
  <c r="B3376" i="39"/>
  <c r="A3376" i="39" s="1"/>
  <c r="D3376" i="39"/>
  <c r="H3376" i="39"/>
  <c r="B3377" i="39"/>
  <c r="C3377" i="39" s="1"/>
  <c r="D3377" i="39"/>
  <c r="H3377" i="39"/>
  <c r="B3378" i="39"/>
  <c r="D3378" i="39"/>
  <c r="H3378" i="39"/>
  <c r="B3379" i="39"/>
  <c r="C3379" i="39" s="1"/>
  <c r="D3379" i="39"/>
  <c r="H3379" i="39"/>
  <c r="B3380" i="39"/>
  <c r="C3380" i="39" s="1"/>
  <c r="D3380" i="39"/>
  <c r="H3380" i="39"/>
  <c r="B3381" i="39"/>
  <c r="A3381" i="39" s="1"/>
  <c r="D3381" i="39"/>
  <c r="H3381" i="39"/>
  <c r="B3382" i="39"/>
  <c r="A3382" i="39" s="1"/>
  <c r="D3382" i="39"/>
  <c r="H3382" i="39"/>
  <c r="B3383" i="39"/>
  <c r="C3383" i="39" s="1"/>
  <c r="D3383" i="39"/>
  <c r="H3383" i="39"/>
  <c r="B3384" i="39"/>
  <c r="A3384" i="39" s="1"/>
  <c r="D3384" i="39"/>
  <c r="H3384" i="39"/>
  <c r="B3385" i="39"/>
  <c r="A3385" i="39" s="1"/>
  <c r="D3385" i="39"/>
  <c r="H3385" i="39"/>
  <c r="B3386" i="39"/>
  <c r="C3386" i="39" s="1"/>
  <c r="D3386" i="39"/>
  <c r="H3386" i="39"/>
  <c r="B3387" i="39"/>
  <c r="C3387" i="39" s="1"/>
  <c r="D3387" i="39"/>
  <c r="H3387" i="39"/>
  <c r="B3388" i="39"/>
  <c r="A3388" i="39" s="1"/>
  <c r="D3388" i="39"/>
  <c r="H3388" i="39"/>
  <c r="B3389" i="39"/>
  <c r="D3389" i="39"/>
  <c r="H3389" i="39"/>
  <c r="B3390" i="39"/>
  <c r="A3390" i="39" s="1"/>
  <c r="D3390" i="39"/>
  <c r="H3390" i="39"/>
  <c r="B3391" i="39"/>
  <c r="A3391" i="39" s="1"/>
  <c r="D3391" i="39"/>
  <c r="H3391" i="39"/>
  <c r="B3392" i="39"/>
  <c r="A3392" i="39" s="1"/>
  <c r="D3392" i="39"/>
  <c r="H3392" i="39"/>
  <c r="B3393" i="39"/>
  <c r="A3393" i="39" s="1"/>
  <c r="D3393" i="39"/>
  <c r="H3393" i="39"/>
  <c r="B3394" i="39"/>
  <c r="D3394" i="39"/>
  <c r="H3394" i="39"/>
  <c r="B3395" i="39"/>
  <c r="A3395" i="39" s="1"/>
  <c r="D3395" i="39"/>
  <c r="H3395" i="39"/>
  <c r="B3396" i="39"/>
  <c r="A3396" i="39" s="1"/>
  <c r="D3396" i="39"/>
  <c r="H3396" i="39"/>
  <c r="B3397" i="39"/>
  <c r="A3397" i="39" s="1"/>
  <c r="D3397" i="39"/>
  <c r="H3397" i="39"/>
  <c r="B3398" i="39"/>
  <c r="A3398" i="39" s="1"/>
  <c r="D3398" i="39"/>
  <c r="H3398" i="39"/>
  <c r="B3399" i="39"/>
  <c r="A3399" i="39" s="1"/>
  <c r="D3399" i="39"/>
  <c r="H3399" i="39"/>
  <c r="B3400" i="39"/>
  <c r="A3400" i="39" s="1"/>
  <c r="D3400" i="39"/>
  <c r="H3400" i="39"/>
  <c r="B3401" i="39"/>
  <c r="A3401" i="39" s="1"/>
  <c r="D3401" i="39"/>
  <c r="H3401" i="39"/>
  <c r="B3402" i="39"/>
  <c r="A3402" i="39" s="1"/>
  <c r="D3402" i="39"/>
  <c r="H3402" i="39"/>
  <c r="B3403" i="39"/>
  <c r="D3403" i="39"/>
  <c r="H3403" i="39"/>
  <c r="B3404" i="39"/>
  <c r="A3404" i="39" s="1"/>
  <c r="D3404" i="39"/>
  <c r="H3404" i="39"/>
  <c r="B3405" i="39"/>
  <c r="A3405" i="39" s="1"/>
  <c r="D3405" i="39"/>
  <c r="H3405" i="39"/>
  <c r="B3406" i="39"/>
  <c r="A3406" i="39" s="1"/>
  <c r="D3406" i="39"/>
  <c r="H3406" i="39"/>
  <c r="B3407" i="39"/>
  <c r="A3407" i="39" s="1"/>
  <c r="D3407" i="39"/>
  <c r="H3407" i="39"/>
  <c r="B3408" i="39"/>
  <c r="A3408" i="39" s="1"/>
  <c r="D3408" i="39"/>
  <c r="H3408" i="39"/>
  <c r="B3409" i="39"/>
  <c r="A3409" i="39" s="1"/>
  <c r="D3409" i="39"/>
  <c r="H3409" i="39"/>
  <c r="B3410" i="39"/>
  <c r="A3410" i="39" s="1"/>
  <c r="D3410" i="39"/>
  <c r="H3410" i="39"/>
  <c r="B3411" i="39"/>
  <c r="C3411" i="39" s="1"/>
  <c r="D3411" i="39"/>
  <c r="H3411" i="39"/>
  <c r="B3412" i="39"/>
  <c r="A3412" i="39" s="1"/>
  <c r="D3412" i="39"/>
  <c r="H3412" i="39"/>
  <c r="B3413" i="39"/>
  <c r="A3413" i="39" s="1"/>
  <c r="D3413" i="39"/>
  <c r="H3413" i="39"/>
  <c r="B3414" i="39"/>
  <c r="D3414" i="39"/>
  <c r="H3414" i="39"/>
  <c r="B3415" i="39"/>
  <c r="C3415" i="39" s="1"/>
  <c r="D3415" i="39"/>
  <c r="H3415" i="39"/>
  <c r="B3416" i="39"/>
  <c r="A3416" i="39" s="1"/>
  <c r="D3416" i="39"/>
  <c r="H3416" i="39"/>
  <c r="B3417" i="39"/>
  <c r="A3417" i="39" s="1"/>
  <c r="D3417" i="39"/>
  <c r="H3417" i="39"/>
  <c r="B3418" i="39"/>
  <c r="D3418" i="39"/>
  <c r="H3418" i="39"/>
  <c r="B3419" i="39"/>
  <c r="A3419" i="39" s="1"/>
  <c r="D3419" i="39"/>
  <c r="H3419" i="39"/>
  <c r="B3420" i="39"/>
  <c r="A3420" i="39" s="1"/>
  <c r="D3420" i="39"/>
  <c r="H3420" i="39"/>
  <c r="B3421" i="39"/>
  <c r="D3421" i="39"/>
  <c r="H3421" i="39"/>
  <c r="B3422" i="39"/>
  <c r="A3422" i="39" s="1"/>
  <c r="D3422" i="39"/>
  <c r="H3422" i="39"/>
  <c r="B3423" i="39"/>
  <c r="A3423" i="39" s="1"/>
  <c r="D3423" i="39"/>
  <c r="H3423" i="39"/>
  <c r="B3424" i="39"/>
  <c r="A3424" i="39" s="1"/>
  <c r="D3424" i="39"/>
  <c r="H3424" i="39"/>
  <c r="B3425" i="39"/>
  <c r="A3425" i="39" s="1"/>
  <c r="D3425" i="39"/>
  <c r="H3425" i="39"/>
  <c r="B3426" i="39"/>
  <c r="A3426" i="39" s="1"/>
  <c r="D3426" i="39"/>
  <c r="H3426" i="39"/>
  <c r="B3427" i="39"/>
  <c r="A3427" i="39" s="1"/>
  <c r="D3427" i="39"/>
  <c r="H3427" i="39"/>
  <c r="B3428" i="39"/>
  <c r="A3428" i="39" s="1"/>
  <c r="D3428" i="39"/>
  <c r="H3428" i="39"/>
  <c r="B3429" i="39"/>
  <c r="C3429" i="39" s="1"/>
  <c r="D3429" i="39"/>
  <c r="H3429" i="39"/>
  <c r="B3430" i="39"/>
  <c r="A3430" i="39" s="1"/>
  <c r="D3430" i="39"/>
  <c r="H3430" i="39"/>
  <c r="B3431" i="39"/>
  <c r="A3431" i="39" s="1"/>
  <c r="D3431" i="39"/>
  <c r="H3431" i="39"/>
  <c r="B3432" i="39"/>
  <c r="D3432" i="39"/>
  <c r="H3432" i="39"/>
  <c r="B3433" i="39"/>
  <c r="D3433" i="39"/>
  <c r="H3433" i="39"/>
  <c r="B3434" i="39"/>
  <c r="A3434" i="39" s="1"/>
  <c r="D3434" i="39"/>
  <c r="H3434" i="39"/>
  <c r="B3435" i="39"/>
  <c r="A3435" i="39" s="1"/>
  <c r="D3435" i="39"/>
  <c r="H3435" i="39"/>
  <c r="B3436" i="39"/>
  <c r="D3436" i="39"/>
  <c r="H3436" i="39"/>
  <c r="B3437" i="39"/>
  <c r="A3437" i="39" s="1"/>
  <c r="D3437" i="39"/>
  <c r="H3437" i="39"/>
  <c r="B3438" i="39"/>
  <c r="A3438" i="39" s="1"/>
  <c r="D3438" i="39"/>
  <c r="H3438" i="39"/>
  <c r="B3439" i="39"/>
  <c r="A3439" i="39" s="1"/>
  <c r="D3439" i="39"/>
  <c r="H3439" i="39"/>
  <c r="B3440" i="39"/>
  <c r="A3440" i="39" s="1"/>
  <c r="D3440" i="39"/>
  <c r="H3440" i="39"/>
  <c r="B3441" i="39"/>
  <c r="C3441" i="39" s="1"/>
  <c r="D3441" i="39"/>
  <c r="H3441" i="39"/>
  <c r="B3442" i="39"/>
  <c r="A3442" i="39" s="1"/>
  <c r="D3442" i="39"/>
  <c r="H3442" i="39"/>
  <c r="B3443" i="39"/>
  <c r="A3443" i="39" s="1"/>
  <c r="D3443" i="39"/>
  <c r="H3443" i="39"/>
  <c r="B3444" i="39"/>
  <c r="D3444" i="39"/>
  <c r="H3444" i="39"/>
  <c r="B3445" i="39"/>
  <c r="C3445" i="39" s="1"/>
  <c r="D3445" i="39"/>
  <c r="H3445" i="39"/>
  <c r="B3446" i="39"/>
  <c r="A3446" i="39" s="1"/>
  <c r="D3446" i="39"/>
  <c r="H3446" i="39"/>
  <c r="B3447" i="39"/>
  <c r="A3447" i="39" s="1"/>
  <c r="D3447" i="39"/>
  <c r="H3447" i="39"/>
  <c r="B3448" i="39"/>
  <c r="A3448" i="39" s="1"/>
  <c r="D3448" i="39"/>
  <c r="H3448" i="39"/>
  <c r="B3449" i="39"/>
  <c r="A3449" i="39" s="1"/>
  <c r="D3449" i="39"/>
  <c r="H3449" i="39"/>
  <c r="B3450" i="39"/>
  <c r="A3450" i="39" s="1"/>
  <c r="D3450" i="39"/>
  <c r="H3450" i="39"/>
  <c r="B3451" i="39"/>
  <c r="A3451" i="39" s="1"/>
  <c r="D3451" i="39"/>
  <c r="H3451" i="39"/>
  <c r="B3452" i="39"/>
  <c r="A3452" i="39" s="1"/>
  <c r="D3452" i="39"/>
  <c r="H3452" i="39"/>
  <c r="B3453" i="39"/>
  <c r="D3453" i="39"/>
  <c r="H3453" i="39"/>
  <c r="B3454" i="39"/>
  <c r="A3454" i="39" s="1"/>
  <c r="D3454" i="39"/>
  <c r="H3454" i="39"/>
  <c r="B3455" i="39"/>
  <c r="A3455" i="39" s="1"/>
  <c r="D3455" i="39"/>
  <c r="H3455" i="39"/>
  <c r="B3456" i="39"/>
  <c r="D3456" i="39"/>
  <c r="H3456" i="39"/>
  <c r="B3457" i="39"/>
  <c r="D3457" i="39"/>
  <c r="H3457" i="39"/>
  <c r="B3458" i="39"/>
  <c r="A3458" i="39" s="1"/>
  <c r="D3458" i="39"/>
  <c r="H3458" i="39"/>
  <c r="B3459" i="39"/>
  <c r="A3459" i="39" s="1"/>
  <c r="D3459" i="39"/>
  <c r="H3459" i="39"/>
  <c r="B3460" i="39"/>
  <c r="A3460" i="39" s="1"/>
  <c r="D3460" i="39"/>
  <c r="H3460" i="39"/>
  <c r="B3461" i="39"/>
  <c r="A3461" i="39" s="1"/>
  <c r="D3461" i="39"/>
  <c r="H3461" i="39"/>
  <c r="B3462" i="39"/>
  <c r="A3462" i="39" s="1"/>
  <c r="D3462" i="39"/>
  <c r="H3462" i="39"/>
  <c r="B3463" i="39"/>
  <c r="A3463" i="39" s="1"/>
  <c r="D3463" i="39"/>
  <c r="H3463" i="39"/>
  <c r="B3464" i="39"/>
  <c r="A3464" i="39" s="1"/>
  <c r="D3464" i="39"/>
  <c r="H3464" i="39"/>
  <c r="B3465" i="39"/>
  <c r="D3465" i="39"/>
  <c r="H3465" i="39"/>
  <c r="B3466" i="39"/>
  <c r="A3466" i="39" s="1"/>
  <c r="D3466" i="39"/>
  <c r="H3466" i="39"/>
  <c r="B3467" i="39"/>
  <c r="A3467" i="39" s="1"/>
  <c r="D3467" i="39"/>
  <c r="H3467" i="39"/>
  <c r="B3468" i="39"/>
  <c r="C3468" i="39" s="1"/>
  <c r="D3468" i="39"/>
  <c r="H3468" i="39"/>
  <c r="B3469" i="39"/>
  <c r="D3469" i="39"/>
  <c r="H3469" i="39"/>
  <c r="B3470" i="39"/>
  <c r="A3470" i="39" s="1"/>
  <c r="D3470" i="39"/>
  <c r="H3470" i="39"/>
  <c r="B3471" i="39"/>
  <c r="A3471" i="39" s="1"/>
  <c r="D3471" i="39"/>
  <c r="H3471" i="39"/>
  <c r="B3472" i="39"/>
  <c r="C3472" i="39" s="1"/>
  <c r="D3472" i="39"/>
  <c r="H3472" i="39"/>
  <c r="B3473" i="39"/>
  <c r="A3473" i="39" s="1"/>
  <c r="D3473" i="39"/>
  <c r="H3473" i="39"/>
  <c r="B3474" i="39"/>
  <c r="A3474" i="39" s="1"/>
  <c r="D3474" i="39"/>
  <c r="H3474" i="39"/>
  <c r="B3475" i="39"/>
  <c r="A3475" i="39" s="1"/>
  <c r="D3475" i="39"/>
  <c r="H3475" i="39"/>
  <c r="B3476" i="39"/>
  <c r="A3476" i="39" s="1"/>
  <c r="D3476" i="39"/>
  <c r="H3476" i="39"/>
  <c r="B3477" i="39"/>
  <c r="A3477" i="39" s="1"/>
  <c r="D3477" i="39"/>
  <c r="H3477" i="39"/>
  <c r="B3478" i="39"/>
  <c r="C3478" i="39" s="1"/>
  <c r="D3478" i="39"/>
  <c r="H3478" i="39"/>
  <c r="B3479" i="39"/>
  <c r="A3479" i="39" s="1"/>
  <c r="D3479" i="39"/>
  <c r="H3479" i="39"/>
  <c r="B3480" i="39"/>
  <c r="A3480" i="39" s="1"/>
  <c r="D3480" i="39"/>
  <c r="H3480" i="39"/>
  <c r="B3481" i="39"/>
  <c r="A3481" i="39" s="1"/>
  <c r="D3481" i="39"/>
  <c r="H3481" i="39"/>
  <c r="B3482" i="39"/>
  <c r="A3482" i="39" s="1"/>
  <c r="D3482" i="39"/>
  <c r="H3482" i="39"/>
  <c r="B3483" i="39"/>
  <c r="A3483" i="39" s="1"/>
  <c r="D3483" i="39"/>
  <c r="H3483" i="39"/>
  <c r="B3484" i="39"/>
  <c r="A3484" i="39" s="1"/>
  <c r="D3484" i="39"/>
  <c r="H3484" i="39"/>
  <c r="B3485" i="39"/>
  <c r="A3485" i="39" s="1"/>
  <c r="D3485" i="39"/>
  <c r="H3485" i="39"/>
  <c r="B3486" i="39"/>
  <c r="C3486" i="39" s="1"/>
  <c r="D3486" i="39"/>
  <c r="H3486" i="39"/>
  <c r="B3487" i="39"/>
  <c r="A3487" i="39" s="1"/>
  <c r="D3487" i="39"/>
  <c r="H3487" i="39"/>
  <c r="B3488" i="39"/>
  <c r="A3488" i="39" s="1"/>
  <c r="D3488" i="39"/>
  <c r="H3488" i="39"/>
  <c r="B3489" i="39"/>
  <c r="D3489" i="39"/>
  <c r="H3489" i="39"/>
  <c r="B3490" i="39"/>
  <c r="C3490" i="39" s="1"/>
  <c r="D3490" i="39"/>
  <c r="H3490" i="39"/>
  <c r="B3491" i="39"/>
  <c r="A3491" i="39" s="1"/>
  <c r="D3491" i="39"/>
  <c r="H3491" i="39"/>
  <c r="B3492" i="39"/>
  <c r="A3492" i="39" s="1"/>
  <c r="D3492" i="39"/>
  <c r="H3492" i="39"/>
  <c r="B3493" i="39"/>
  <c r="D3493" i="39"/>
  <c r="H3493" i="39"/>
  <c r="B3494" i="39"/>
  <c r="A3494" i="39" s="1"/>
  <c r="D3494" i="39"/>
  <c r="H3494" i="39"/>
  <c r="B3495" i="39"/>
  <c r="C3495" i="39" s="1"/>
  <c r="D3495" i="39"/>
  <c r="H3495" i="39"/>
  <c r="B3496" i="39"/>
  <c r="A3496" i="39" s="1"/>
  <c r="D3496" i="39"/>
  <c r="H3496" i="39"/>
  <c r="B3497" i="39"/>
  <c r="A3497" i="39" s="1"/>
  <c r="D3497" i="39"/>
  <c r="H3497" i="39"/>
  <c r="B3498" i="39"/>
  <c r="C3498" i="39" s="1"/>
  <c r="D3498" i="39"/>
  <c r="H3498" i="39"/>
  <c r="B3499" i="39"/>
  <c r="A3499" i="39" s="1"/>
  <c r="D3499" i="39"/>
  <c r="H3499" i="39"/>
  <c r="B3500" i="39"/>
  <c r="A3500" i="39" s="1"/>
  <c r="D3500" i="39"/>
  <c r="H3500" i="39"/>
  <c r="B3501" i="39"/>
  <c r="D3501" i="39"/>
  <c r="H3501" i="39"/>
  <c r="B3502" i="39"/>
  <c r="D3502" i="39"/>
  <c r="H3502" i="39"/>
  <c r="B3503" i="39"/>
  <c r="A3503" i="39" s="1"/>
  <c r="D3503" i="39"/>
  <c r="H3503" i="39"/>
  <c r="B3504" i="39"/>
  <c r="A3504" i="39" s="1"/>
  <c r="D3504" i="39"/>
  <c r="H3504" i="39"/>
  <c r="B3505" i="39"/>
  <c r="A3505" i="39" s="1"/>
  <c r="D3505" i="39"/>
  <c r="H3505" i="39"/>
  <c r="B3506" i="39"/>
  <c r="D3506" i="39"/>
  <c r="H3506" i="39"/>
  <c r="B3507" i="39"/>
  <c r="A3507" i="39" s="1"/>
  <c r="D3507" i="39"/>
  <c r="H3507" i="39"/>
  <c r="B3508" i="39"/>
  <c r="A3508" i="39" s="1"/>
  <c r="D3508" i="39"/>
  <c r="H3508" i="39"/>
  <c r="B3509" i="39"/>
  <c r="D3509" i="39"/>
  <c r="H3509" i="39"/>
  <c r="A3510" i="39"/>
  <c r="B3510" i="39"/>
  <c r="C3510" i="39" s="1"/>
  <c r="D3510" i="39"/>
  <c r="H3510" i="39"/>
  <c r="B3511" i="39"/>
  <c r="A3511" i="39" s="1"/>
  <c r="D3511" i="39"/>
  <c r="H3511" i="39"/>
  <c r="B3512" i="39"/>
  <c r="A3512" i="39" s="1"/>
  <c r="D3512" i="39"/>
  <c r="H3512" i="39"/>
  <c r="B3513" i="39"/>
  <c r="D3513" i="39"/>
  <c r="H3513" i="39"/>
  <c r="B3514" i="39"/>
  <c r="D3514" i="39"/>
  <c r="H3514" i="39"/>
  <c r="B3515" i="39"/>
  <c r="A3515" i="39" s="1"/>
  <c r="D3515" i="39"/>
  <c r="H3515" i="39"/>
  <c r="B3516" i="39"/>
  <c r="A3516" i="39" s="1"/>
  <c r="D3516" i="39"/>
  <c r="H3516" i="39"/>
  <c r="B3517" i="39"/>
  <c r="A3517" i="39" s="1"/>
  <c r="D3517" i="39"/>
  <c r="H3517" i="39"/>
  <c r="B3518" i="39"/>
  <c r="A3518" i="39" s="1"/>
  <c r="D3518" i="39"/>
  <c r="H3518" i="39"/>
  <c r="B3519" i="39"/>
  <c r="A3519" i="39" s="1"/>
  <c r="D3519" i="39"/>
  <c r="H3519" i="39"/>
  <c r="B3520" i="39"/>
  <c r="A3520" i="39" s="1"/>
  <c r="D3520" i="39"/>
  <c r="H3520" i="39"/>
  <c r="B3521" i="39"/>
  <c r="A3521" i="39" s="1"/>
  <c r="D3521" i="39"/>
  <c r="H3521" i="39"/>
  <c r="B3522" i="39"/>
  <c r="C3522" i="39" s="1"/>
  <c r="D3522" i="39"/>
  <c r="H3522" i="39"/>
  <c r="B3523" i="39"/>
  <c r="A3523" i="39" s="1"/>
  <c r="D3523" i="39"/>
  <c r="H3523" i="39"/>
  <c r="B3524" i="39"/>
  <c r="A3524" i="39" s="1"/>
  <c r="D3524" i="39"/>
  <c r="H3524" i="39"/>
  <c r="B3525" i="39"/>
  <c r="A3525" i="39" s="1"/>
  <c r="D3525" i="39"/>
  <c r="H3525" i="39"/>
  <c r="B3526" i="39"/>
  <c r="C3526" i="39" s="1"/>
  <c r="D3526" i="39"/>
  <c r="H3526" i="39"/>
  <c r="B3527" i="39"/>
  <c r="A3527" i="39" s="1"/>
  <c r="D3527" i="39"/>
  <c r="H3527" i="39"/>
  <c r="B3528" i="39"/>
  <c r="C3528" i="39" s="1"/>
  <c r="D3528" i="39"/>
  <c r="H3528" i="39"/>
  <c r="B3529" i="39"/>
  <c r="A3529" i="39" s="1"/>
  <c r="D3529" i="39"/>
  <c r="H3529" i="39"/>
  <c r="B3530" i="39"/>
  <c r="A3530" i="39" s="1"/>
  <c r="D3530" i="39"/>
  <c r="H3530" i="39"/>
  <c r="B3531" i="39"/>
  <c r="A3531" i="39" s="1"/>
  <c r="D3531" i="39"/>
  <c r="H3531" i="39"/>
  <c r="B3532" i="39"/>
  <c r="A3532" i="39" s="1"/>
  <c r="D3532" i="39"/>
  <c r="H3532" i="39"/>
  <c r="B3533" i="39"/>
  <c r="A3533" i="39" s="1"/>
  <c r="D3533" i="39"/>
  <c r="H3533" i="39"/>
  <c r="B3534" i="39"/>
  <c r="C3534" i="39" s="1"/>
  <c r="D3534" i="39"/>
  <c r="H3534" i="39"/>
  <c r="B3535" i="39"/>
  <c r="A3535" i="39" s="1"/>
  <c r="D3535" i="39"/>
  <c r="H3535" i="39"/>
  <c r="B3536" i="39"/>
  <c r="A3536" i="39" s="1"/>
  <c r="D3536" i="39"/>
  <c r="H3536" i="39"/>
  <c r="B3537" i="39"/>
  <c r="A3537" i="39" s="1"/>
  <c r="D3537" i="39"/>
  <c r="H3537" i="39"/>
  <c r="B3538" i="39"/>
  <c r="C3538" i="39" s="1"/>
  <c r="D3538" i="39"/>
  <c r="H3538" i="39"/>
  <c r="B3539" i="39"/>
  <c r="A3539" i="39" s="1"/>
  <c r="D3539" i="39"/>
  <c r="H3539" i="39"/>
  <c r="B3540" i="39"/>
  <c r="A3540" i="39" s="1"/>
  <c r="D3540" i="39"/>
  <c r="H3540" i="39"/>
  <c r="B3541" i="39"/>
  <c r="A3541" i="39" s="1"/>
  <c r="D3541" i="39"/>
  <c r="H3541" i="39"/>
  <c r="B3542" i="39"/>
  <c r="D3542" i="39"/>
  <c r="H3542" i="39"/>
  <c r="B3543" i="39"/>
  <c r="A3543" i="39" s="1"/>
  <c r="D3543" i="39"/>
  <c r="H3543" i="39"/>
  <c r="B3544" i="39"/>
  <c r="A3544" i="39" s="1"/>
  <c r="D3544" i="39"/>
  <c r="H3544" i="39"/>
  <c r="B3545" i="39"/>
  <c r="A3545" i="39" s="1"/>
  <c r="D3545" i="39"/>
  <c r="H3545" i="39"/>
  <c r="B3546" i="39"/>
  <c r="A3546" i="39" s="1"/>
  <c r="D3546" i="39"/>
  <c r="H3546" i="39"/>
  <c r="B3547" i="39"/>
  <c r="A3547" i="39" s="1"/>
  <c r="D3547" i="39"/>
  <c r="H3547" i="39"/>
  <c r="B3548" i="39"/>
  <c r="A3548" i="39" s="1"/>
  <c r="D3548" i="39"/>
  <c r="H3548" i="39"/>
  <c r="B3549" i="39"/>
  <c r="A3549" i="39" s="1"/>
  <c r="D3549" i="39"/>
  <c r="H3549" i="39"/>
  <c r="B3550" i="39"/>
  <c r="C3550" i="39" s="1"/>
  <c r="D3550" i="39"/>
  <c r="H3550" i="39"/>
  <c r="B3551" i="39"/>
  <c r="A3551" i="39" s="1"/>
  <c r="D3551" i="39"/>
  <c r="H3551" i="39"/>
  <c r="B3552" i="39"/>
  <c r="A3552" i="39" s="1"/>
  <c r="D3552" i="39"/>
  <c r="H3552" i="39"/>
  <c r="B3553" i="39"/>
  <c r="A3553" i="39" s="1"/>
  <c r="D3553" i="39"/>
  <c r="H3553" i="39"/>
  <c r="B3554" i="39"/>
  <c r="A3554" i="39" s="1"/>
  <c r="D3554" i="39"/>
  <c r="H3554" i="39"/>
  <c r="B3555" i="39"/>
  <c r="A3555" i="39" s="1"/>
  <c r="D3555" i="39"/>
  <c r="H3555" i="39"/>
  <c r="B3556" i="39"/>
  <c r="C3556" i="39" s="1"/>
  <c r="D3556" i="39"/>
  <c r="H3556" i="39"/>
  <c r="B3557" i="39"/>
  <c r="A3557" i="39" s="1"/>
  <c r="D3557" i="39"/>
  <c r="H3557" i="39"/>
  <c r="B3558" i="39"/>
  <c r="C3558" i="39" s="1"/>
  <c r="D3558" i="39"/>
  <c r="H3558" i="39"/>
  <c r="B3559" i="39"/>
  <c r="A3559" i="39" s="1"/>
  <c r="D3559" i="39"/>
  <c r="H3559" i="39"/>
  <c r="B3560" i="39"/>
  <c r="A3560" i="39" s="1"/>
  <c r="D3560" i="39"/>
  <c r="H3560" i="39"/>
  <c r="B3561" i="39"/>
  <c r="A3561" i="39" s="1"/>
  <c r="D3561" i="39"/>
  <c r="H3561" i="39"/>
  <c r="B3562" i="39"/>
  <c r="C3562" i="39" s="1"/>
  <c r="D3562" i="39"/>
  <c r="H3562" i="39"/>
  <c r="B3563" i="39"/>
  <c r="A3563" i="39" s="1"/>
  <c r="D3563" i="39"/>
  <c r="H3563" i="39"/>
  <c r="B3564" i="39"/>
  <c r="A3564" i="39" s="1"/>
  <c r="D3564" i="39"/>
  <c r="H3564" i="39"/>
  <c r="B3565" i="39"/>
  <c r="A3565" i="39" s="1"/>
  <c r="D3565" i="39"/>
  <c r="H3565" i="39"/>
  <c r="B3566" i="39"/>
  <c r="A3566" i="39" s="1"/>
  <c r="D3566" i="39"/>
  <c r="H3566" i="39"/>
  <c r="B3567" i="39"/>
  <c r="A3567" i="39" s="1"/>
  <c r="D3567" i="39"/>
  <c r="H3567" i="39"/>
  <c r="B3568" i="39"/>
  <c r="A3568" i="39" s="1"/>
  <c r="D3568" i="39"/>
  <c r="H3568" i="39"/>
  <c r="B3569" i="39"/>
  <c r="A3569" i="39" s="1"/>
  <c r="D3569" i="39"/>
  <c r="H3569" i="39"/>
  <c r="B3570" i="39"/>
  <c r="C3570" i="39" s="1"/>
  <c r="D3570" i="39"/>
  <c r="H3570" i="39"/>
  <c r="B3571" i="39"/>
  <c r="A3571" i="39" s="1"/>
  <c r="D3571" i="39"/>
  <c r="H3571" i="39"/>
  <c r="B3572" i="39"/>
  <c r="A3572" i="39" s="1"/>
  <c r="D3572" i="39"/>
  <c r="H3572" i="39"/>
  <c r="B3573" i="39"/>
  <c r="A3573" i="39" s="1"/>
  <c r="D3573" i="39"/>
  <c r="H3573" i="39"/>
  <c r="B3574" i="39"/>
  <c r="C3574" i="39" s="1"/>
  <c r="D3574" i="39"/>
  <c r="H3574" i="39"/>
  <c r="B3575" i="39"/>
  <c r="A3575" i="39" s="1"/>
  <c r="D3575" i="39"/>
  <c r="H3575" i="39"/>
  <c r="B3576" i="39"/>
  <c r="A3576" i="39" s="1"/>
  <c r="D3576" i="39"/>
  <c r="H3576" i="39"/>
  <c r="B3577" i="39"/>
  <c r="A3577" i="39" s="1"/>
  <c r="D3577" i="39"/>
  <c r="H3577" i="39"/>
  <c r="B3578" i="39"/>
  <c r="D3578" i="39"/>
  <c r="H3578" i="39"/>
  <c r="B3579" i="39"/>
  <c r="A3579" i="39" s="1"/>
  <c r="D3579" i="39"/>
  <c r="H3579" i="39"/>
  <c r="B3580" i="39"/>
  <c r="A3580" i="39" s="1"/>
  <c r="D3580" i="39"/>
  <c r="H3580" i="39"/>
  <c r="B3581" i="39"/>
  <c r="A3581" i="39" s="1"/>
  <c r="D3581" i="39"/>
  <c r="H3581" i="39"/>
  <c r="B3582" i="39"/>
  <c r="A3582" i="39" s="1"/>
  <c r="D3582" i="39"/>
  <c r="H3582" i="39"/>
  <c r="B3583" i="39"/>
  <c r="A3583" i="39" s="1"/>
  <c r="D3583" i="39"/>
  <c r="H3583" i="39"/>
  <c r="B3584" i="39"/>
  <c r="A3584" i="39" s="1"/>
  <c r="D3584" i="39"/>
  <c r="H3584" i="39"/>
  <c r="B3585" i="39"/>
  <c r="A3585" i="39" s="1"/>
  <c r="D3585" i="39"/>
  <c r="H3585" i="39"/>
  <c r="B3586" i="39"/>
  <c r="C3586" i="39" s="1"/>
  <c r="D3586" i="39"/>
  <c r="H3586" i="39"/>
  <c r="B3587" i="39"/>
  <c r="A3587" i="39" s="1"/>
  <c r="D3587" i="39"/>
  <c r="H3587" i="39"/>
  <c r="B3588" i="39"/>
  <c r="A3588" i="39" s="1"/>
  <c r="D3588" i="39"/>
  <c r="H3588" i="39"/>
  <c r="B3589" i="39"/>
  <c r="A3589" i="39" s="1"/>
  <c r="D3589" i="39"/>
  <c r="H3589" i="39"/>
  <c r="B3590" i="39"/>
  <c r="A3590" i="39" s="1"/>
  <c r="D3590" i="39"/>
  <c r="H3590" i="39"/>
  <c r="B3591" i="39"/>
  <c r="A3591" i="39" s="1"/>
  <c r="D3591" i="39"/>
  <c r="H3591" i="39"/>
  <c r="B3592" i="39"/>
  <c r="A3592" i="39" s="1"/>
  <c r="D3592" i="39"/>
  <c r="H3592" i="39"/>
  <c r="B3593" i="39"/>
  <c r="A3593" i="39" s="1"/>
  <c r="D3593" i="39"/>
  <c r="H3593" i="39"/>
  <c r="B3594" i="39"/>
  <c r="C3594" i="39" s="1"/>
  <c r="D3594" i="39"/>
  <c r="H3594" i="39"/>
  <c r="B3595" i="39"/>
  <c r="A3595" i="39" s="1"/>
  <c r="D3595" i="39"/>
  <c r="H3595" i="39"/>
  <c r="B3596" i="39"/>
  <c r="A3596" i="39" s="1"/>
  <c r="D3596" i="39"/>
  <c r="H3596" i="39"/>
  <c r="B3597" i="39"/>
  <c r="A3597" i="39" s="1"/>
  <c r="D3597" i="39"/>
  <c r="H3597" i="39"/>
  <c r="B3598" i="39"/>
  <c r="C3598" i="39" s="1"/>
  <c r="D3598" i="39"/>
  <c r="H3598" i="39"/>
  <c r="B3599" i="39"/>
  <c r="A3599" i="39" s="1"/>
  <c r="D3599" i="39"/>
  <c r="H3599" i="39"/>
  <c r="B3600" i="39"/>
  <c r="C3600" i="39" s="1"/>
  <c r="D3600" i="39"/>
  <c r="H3600" i="39"/>
  <c r="B3601" i="39"/>
  <c r="A3601" i="39" s="1"/>
  <c r="D3601" i="39"/>
  <c r="H3601" i="39"/>
  <c r="B3602" i="39"/>
  <c r="A3602" i="39" s="1"/>
  <c r="D3602" i="39"/>
  <c r="H3602" i="39"/>
  <c r="B3603" i="39"/>
  <c r="C3603" i="39" s="1"/>
  <c r="D3603" i="39"/>
  <c r="H3603" i="39"/>
  <c r="B3604" i="39"/>
  <c r="A3604" i="39" s="1"/>
  <c r="D3604" i="39"/>
  <c r="H3604" i="39"/>
  <c r="B3605" i="39"/>
  <c r="A3605" i="39" s="1"/>
  <c r="D3605" i="39"/>
  <c r="H3605" i="39"/>
  <c r="B3606" i="39"/>
  <c r="C3606" i="39" s="1"/>
  <c r="D3606" i="39"/>
  <c r="H3606" i="39"/>
  <c r="B3607" i="39"/>
  <c r="A3607" i="39" s="1"/>
  <c r="D3607" i="39"/>
  <c r="H3607" i="39"/>
  <c r="B3608" i="39"/>
  <c r="A3608" i="39" s="1"/>
  <c r="D3608" i="39"/>
  <c r="H3608" i="39"/>
  <c r="B3609" i="39"/>
  <c r="A3609" i="39" s="1"/>
  <c r="D3609" i="39"/>
  <c r="H3609" i="39"/>
  <c r="B3610" i="39"/>
  <c r="C3610" i="39" s="1"/>
  <c r="D3610" i="39"/>
  <c r="H3610" i="39"/>
  <c r="B3611" i="39"/>
  <c r="A3611" i="39" s="1"/>
  <c r="D3611" i="39"/>
  <c r="H3611" i="39"/>
  <c r="B3612" i="39"/>
  <c r="A3612" i="39" s="1"/>
  <c r="D3612" i="39"/>
  <c r="H3612" i="39"/>
  <c r="B3613" i="39"/>
  <c r="A3613" i="39" s="1"/>
  <c r="D3613" i="39"/>
  <c r="H3613" i="39"/>
  <c r="B3614" i="39"/>
  <c r="D3614" i="39"/>
  <c r="H3614" i="39"/>
  <c r="B3615" i="39"/>
  <c r="A3615" i="39" s="1"/>
  <c r="D3615" i="39"/>
  <c r="H3615" i="39"/>
  <c r="B3616" i="39"/>
  <c r="A3616" i="39" s="1"/>
  <c r="D3616" i="39"/>
  <c r="H3616" i="39"/>
  <c r="B3617" i="39"/>
  <c r="A3617" i="39" s="1"/>
  <c r="D3617" i="39"/>
  <c r="H3617" i="39"/>
  <c r="B3618" i="39"/>
  <c r="C3618" i="39" s="1"/>
  <c r="D3618" i="39"/>
  <c r="H3618" i="39"/>
  <c r="B3619" i="39"/>
  <c r="A3619" i="39" s="1"/>
  <c r="D3619" i="39"/>
  <c r="H3619" i="39"/>
  <c r="B3620" i="39"/>
  <c r="A3620" i="39" s="1"/>
  <c r="D3620" i="39"/>
  <c r="H3620" i="39"/>
  <c r="B3621" i="39"/>
  <c r="A3621" i="39" s="1"/>
  <c r="D3621" i="39"/>
  <c r="H3621" i="39"/>
  <c r="B3622" i="39"/>
  <c r="C3622" i="39" s="1"/>
  <c r="D3622" i="39"/>
  <c r="H3622" i="39"/>
  <c r="B3623" i="39"/>
  <c r="A3623" i="39" s="1"/>
  <c r="D3623" i="39"/>
  <c r="H3623" i="39"/>
  <c r="B3624" i="39"/>
  <c r="A3624" i="39" s="1"/>
  <c r="D3624" i="39"/>
  <c r="H3624" i="39"/>
  <c r="B3625" i="39"/>
  <c r="A3625" i="39" s="1"/>
  <c r="D3625" i="39"/>
  <c r="H3625" i="39"/>
  <c r="B3626" i="39"/>
  <c r="A3626" i="39" s="1"/>
  <c r="D3626" i="39"/>
  <c r="H3626" i="39"/>
  <c r="B3627" i="39"/>
  <c r="C3627" i="39" s="1"/>
  <c r="D3627" i="39"/>
  <c r="H3627" i="39"/>
  <c r="B3628" i="39"/>
  <c r="A3628" i="39" s="1"/>
  <c r="D3628" i="39"/>
  <c r="H3628" i="39"/>
  <c r="B3629" i="39"/>
  <c r="A3629" i="39" s="1"/>
  <c r="D3629" i="39"/>
  <c r="H3629" i="39"/>
  <c r="B3630" i="39"/>
  <c r="C3630" i="39" s="1"/>
  <c r="D3630" i="39"/>
  <c r="H3630" i="39"/>
  <c r="B3631" i="39"/>
  <c r="A3631" i="39" s="1"/>
  <c r="D3631" i="39"/>
  <c r="H3631" i="39"/>
  <c r="B3632" i="39"/>
  <c r="A3632" i="39" s="1"/>
  <c r="D3632" i="39"/>
  <c r="H3632" i="39"/>
  <c r="B3633" i="39"/>
  <c r="A3633" i="39" s="1"/>
  <c r="D3633" i="39"/>
  <c r="H3633" i="39"/>
  <c r="B3634" i="39"/>
  <c r="C3634" i="39" s="1"/>
  <c r="D3634" i="39"/>
  <c r="H3634" i="39"/>
  <c r="B3635" i="39"/>
  <c r="A3635" i="39" s="1"/>
  <c r="D3635" i="39"/>
  <c r="H3635" i="39"/>
  <c r="B3636" i="39"/>
  <c r="A3636" i="39" s="1"/>
  <c r="D3636" i="39"/>
  <c r="H3636" i="39"/>
  <c r="B3637" i="39"/>
  <c r="A3637" i="39" s="1"/>
  <c r="D3637" i="39"/>
  <c r="H3637" i="39"/>
  <c r="B3638" i="39"/>
  <c r="A3638" i="39" s="1"/>
  <c r="D3638" i="39"/>
  <c r="H3638" i="39"/>
  <c r="B3639" i="39"/>
  <c r="A3639" i="39" s="1"/>
  <c r="D3639" i="39"/>
  <c r="H3639" i="39"/>
  <c r="B3640" i="39"/>
  <c r="A3640" i="39" s="1"/>
  <c r="D3640" i="39"/>
  <c r="H3640" i="39"/>
  <c r="B3641" i="39"/>
  <c r="A3641" i="39" s="1"/>
  <c r="D3641" i="39"/>
  <c r="H3641" i="39"/>
  <c r="B3642" i="39"/>
  <c r="C3642" i="39" s="1"/>
  <c r="D3642" i="39"/>
  <c r="H3642" i="39"/>
  <c r="B3643" i="39"/>
  <c r="A3643" i="39" s="1"/>
  <c r="D3643" i="39"/>
  <c r="H3643" i="39"/>
  <c r="B3644" i="39"/>
  <c r="A3644" i="39" s="1"/>
  <c r="D3644" i="39"/>
  <c r="H3644" i="39"/>
  <c r="B3645" i="39"/>
  <c r="C3645" i="39" s="1"/>
  <c r="D3645" i="39"/>
  <c r="H3645" i="39"/>
  <c r="B3646" i="39"/>
  <c r="A3646" i="39" s="1"/>
  <c r="D3646" i="39"/>
  <c r="H3646" i="39"/>
  <c r="B3647" i="39"/>
  <c r="A3647" i="39" s="1"/>
  <c r="D3647" i="39"/>
  <c r="H3647" i="39"/>
  <c r="B3648" i="39"/>
  <c r="A3648" i="39" s="1"/>
  <c r="D3648" i="39"/>
  <c r="H3648" i="39"/>
  <c r="B3649" i="39"/>
  <c r="C3649" i="39" s="1"/>
  <c r="D3649" i="39"/>
  <c r="H3649" i="39"/>
  <c r="B3650" i="39"/>
  <c r="A3650" i="39" s="1"/>
  <c r="D3650" i="39"/>
  <c r="H3650" i="39"/>
  <c r="B3651" i="39"/>
  <c r="A3651" i="39" s="1"/>
  <c r="D3651" i="39"/>
  <c r="H3651" i="39"/>
  <c r="B3652" i="39"/>
  <c r="A3652" i="39" s="1"/>
  <c r="D3652" i="39"/>
  <c r="H3652" i="39"/>
  <c r="B3653" i="39"/>
  <c r="A3653" i="39" s="1"/>
  <c r="D3653" i="39"/>
  <c r="H3653" i="39"/>
  <c r="B3654" i="39"/>
  <c r="A3654" i="39" s="1"/>
  <c r="D3654" i="39"/>
  <c r="H3654" i="39"/>
  <c r="B3655" i="39"/>
  <c r="A3655" i="39" s="1"/>
  <c r="D3655" i="39"/>
  <c r="H3655" i="39"/>
  <c r="B3656" i="39"/>
  <c r="A3656" i="39" s="1"/>
  <c r="D3656" i="39"/>
  <c r="H3656" i="39"/>
  <c r="B3657" i="39"/>
  <c r="A3657" i="39" s="1"/>
  <c r="D3657" i="39"/>
  <c r="H3657" i="39"/>
  <c r="B3658" i="39"/>
  <c r="A3658" i="39" s="1"/>
  <c r="D3658" i="39"/>
  <c r="H3658" i="39"/>
  <c r="B3659" i="39"/>
  <c r="A3659" i="39" s="1"/>
  <c r="D3659" i="39"/>
  <c r="H3659" i="39"/>
  <c r="B3660" i="39"/>
  <c r="C3660" i="39" s="1"/>
  <c r="D3660" i="39"/>
  <c r="H3660" i="39"/>
  <c r="B3661" i="39"/>
  <c r="A3661" i="39" s="1"/>
  <c r="D3661" i="39"/>
  <c r="H3661" i="39"/>
  <c r="B3662" i="39"/>
  <c r="A3662" i="39" s="1"/>
  <c r="D3662" i="39"/>
  <c r="H3662" i="39"/>
  <c r="B3663" i="39"/>
  <c r="A3663" i="39" s="1"/>
  <c r="D3663" i="39"/>
  <c r="H3663" i="39"/>
  <c r="B3664" i="39"/>
  <c r="A3664" i="39" s="1"/>
  <c r="D3664" i="39"/>
  <c r="H3664" i="39"/>
  <c r="B3665" i="39"/>
  <c r="A3665" i="39" s="1"/>
  <c r="D3665" i="39"/>
  <c r="H3665" i="39"/>
  <c r="B3666" i="39"/>
  <c r="A3666" i="39" s="1"/>
  <c r="D3666" i="39"/>
  <c r="H3666" i="39"/>
  <c r="B3667" i="39"/>
  <c r="C3667" i="39" s="1"/>
  <c r="D3667" i="39"/>
  <c r="H3667" i="39"/>
  <c r="B3668" i="39"/>
  <c r="A3668" i="39" s="1"/>
  <c r="D3668" i="39"/>
  <c r="H3668" i="39"/>
  <c r="B3669" i="39"/>
  <c r="A3669" i="39" s="1"/>
  <c r="D3669" i="39"/>
  <c r="H3669" i="39"/>
  <c r="B3670" i="39"/>
  <c r="A3670" i="39" s="1"/>
  <c r="D3670" i="39"/>
  <c r="H3670" i="39"/>
  <c r="B3671" i="39"/>
  <c r="A3671" i="39" s="1"/>
  <c r="D3671" i="39"/>
  <c r="H3671" i="39"/>
  <c r="B3672" i="39"/>
  <c r="A3672" i="39" s="1"/>
  <c r="D3672" i="39"/>
  <c r="H3672" i="39"/>
  <c r="B3673" i="39"/>
  <c r="A3673" i="39" s="1"/>
  <c r="D3673" i="39"/>
  <c r="H3673" i="39"/>
  <c r="B3674" i="39"/>
  <c r="A3674" i="39" s="1"/>
  <c r="D3674" i="39"/>
  <c r="H3674" i="39"/>
  <c r="B3675" i="39"/>
  <c r="A3675" i="39" s="1"/>
  <c r="D3675" i="39"/>
  <c r="H3675" i="39"/>
  <c r="B3676" i="39"/>
  <c r="C3676" i="39" s="1"/>
  <c r="D3676" i="39"/>
  <c r="H3676" i="39"/>
  <c r="B3677" i="39"/>
  <c r="A3677" i="39" s="1"/>
  <c r="D3677" i="39"/>
  <c r="H3677" i="39"/>
  <c r="B3678" i="39"/>
  <c r="C3678" i="39" s="1"/>
  <c r="D3678" i="39"/>
  <c r="H3678" i="39"/>
  <c r="B3679" i="39"/>
  <c r="A3679" i="39" s="1"/>
  <c r="D3679" i="39"/>
  <c r="H3679" i="39"/>
  <c r="B3680" i="39"/>
  <c r="A3680" i="39" s="1"/>
  <c r="D3680" i="39"/>
  <c r="H3680" i="39"/>
  <c r="B3681" i="39"/>
  <c r="A3681" i="39" s="1"/>
  <c r="D3681" i="39"/>
  <c r="H3681" i="39"/>
  <c r="B3682" i="39"/>
  <c r="A3682" i="39" s="1"/>
  <c r="D3682" i="39"/>
  <c r="H3682" i="39"/>
  <c r="B3683" i="39"/>
  <c r="A3683" i="39" s="1"/>
  <c r="D3683" i="39"/>
  <c r="H3683" i="39"/>
  <c r="B3684" i="39"/>
  <c r="A3684" i="39" s="1"/>
  <c r="D3684" i="39"/>
  <c r="H3684" i="39"/>
  <c r="B3685" i="39"/>
  <c r="C3685" i="39" s="1"/>
  <c r="D3685" i="39"/>
  <c r="H3685" i="39"/>
  <c r="B3686" i="39"/>
  <c r="A3686" i="39" s="1"/>
  <c r="D3686" i="39"/>
  <c r="H3686" i="39"/>
  <c r="B3687" i="39"/>
  <c r="A3687" i="39" s="1"/>
  <c r="D3687" i="39"/>
  <c r="H3687" i="39"/>
  <c r="B3688" i="39"/>
  <c r="A3688" i="39" s="1"/>
  <c r="D3688" i="39"/>
  <c r="H3688" i="39"/>
  <c r="B3689" i="39"/>
  <c r="A3689" i="39" s="1"/>
  <c r="D3689" i="39"/>
  <c r="H3689" i="39"/>
  <c r="B3690" i="39"/>
  <c r="A3690" i="39" s="1"/>
  <c r="D3690" i="39"/>
  <c r="H3690" i="39"/>
  <c r="B3691" i="39"/>
  <c r="C3691" i="39" s="1"/>
  <c r="D3691" i="39"/>
  <c r="H3691" i="39"/>
  <c r="B3692" i="39"/>
  <c r="A3692" i="39" s="1"/>
  <c r="D3692" i="39"/>
  <c r="H3692" i="39"/>
  <c r="B3693" i="39"/>
  <c r="A3693" i="39" s="1"/>
  <c r="D3693" i="39"/>
  <c r="H3693" i="39"/>
  <c r="B3694" i="39"/>
  <c r="A3694" i="39" s="1"/>
  <c r="D3694" i="39"/>
  <c r="H3694" i="39"/>
  <c r="B3695" i="39"/>
  <c r="A3695" i="39" s="1"/>
  <c r="D3695" i="39"/>
  <c r="H3695" i="39"/>
  <c r="B3696" i="39"/>
  <c r="C3696" i="39" s="1"/>
  <c r="D3696" i="39"/>
  <c r="H3696" i="39"/>
  <c r="B3697" i="39"/>
  <c r="A3697" i="39" s="1"/>
  <c r="D3697" i="39"/>
  <c r="H3697" i="39"/>
  <c r="B3698" i="39"/>
  <c r="A3698" i="39" s="1"/>
  <c r="D3698" i="39"/>
  <c r="H3698" i="39"/>
  <c r="B3699" i="39"/>
  <c r="C3699" i="39" s="1"/>
  <c r="D3699" i="39"/>
  <c r="H3699" i="39"/>
  <c r="B3700" i="39"/>
  <c r="A3700" i="39" s="1"/>
  <c r="D3700" i="39"/>
  <c r="H3700" i="39"/>
  <c r="B3701" i="39"/>
  <c r="A3701" i="39" s="1"/>
  <c r="D3701" i="39"/>
  <c r="H3701" i="39"/>
  <c r="B3702" i="39"/>
  <c r="A3702" i="39" s="1"/>
  <c r="D3702" i="39"/>
  <c r="H3702" i="39"/>
  <c r="B3703" i="39"/>
  <c r="C3703" i="39" s="1"/>
  <c r="D3703" i="39"/>
  <c r="H3703" i="39"/>
  <c r="B3704" i="39"/>
  <c r="A3704" i="39" s="1"/>
  <c r="D3704" i="39"/>
  <c r="H3704" i="39"/>
  <c r="B3705" i="39"/>
  <c r="A3705" i="39" s="1"/>
  <c r="D3705" i="39"/>
  <c r="H3705" i="39"/>
  <c r="B3706" i="39"/>
  <c r="A3706" i="39" s="1"/>
  <c r="D3706" i="39"/>
  <c r="H3706" i="39"/>
  <c r="B3707" i="39"/>
  <c r="A3707" i="39" s="1"/>
  <c r="D3707" i="39"/>
  <c r="H3707" i="39"/>
  <c r="B3708" i="39"/>
  <c r="A3708" i="39" s="1"/>
  <c r="D3708" i="39"/>
  <c r="H3708" i="39"/>
  <c r="B3709" i="39"/>
  <c r="A3709" i="39" s="1"/>
  <c r="D3709" i="39"/>
  <c r="H3709" i="39"/>
  <c r="B3710" i="39"/>
  <c r="A3710" i="39" s="1"/>
  <c r="D3710" i="39"/>
  <c r="H3710" i="39"/>
  <c r="B3711" i="39"/>
  <c r="A3711" i="39" s="1"/>
  <c r="D3711" i="39"/>
  <c r="H3711" i="39"/>
  <c r="B3712" i="39"/>
  <c r="A3712" i="39" s="1"/>
  <c r="D3712" i="39"/>
  <c r="H3712" i="39"/>
  <c r="B3713" i="39"/>
  <c r="A3713" i="39" s="1"/>
  <c r="D3713" i="39"/>
  <c r="H3713" i="39"/>
  <c r="B3714" i="39"/>
  <c r="C3714" i="39" s="1"/>
  <c r="D3714" i="39"/>
  <c r="H3714" i="39"/>
  <c r="B3715" i="39"/>
  <c r="A3715" i="39" s="1"/>
  <c r="C3715" i="39"/>
  <c r="D3715" i="39"/>
  <c r="H3715" i="39"/>
  <c r="B3716" i="39"/>
  <c r="A3716" i="39" s="1"/>
  <c r="D3716" i="39"/>
  <c r="H3716" i="39"/>
  <c r="B3717" i="39"/>
  <c r="C3717" i="39" s="1"/>
  <c r="D3717" i="39"/>
  <c r="H3717" i="39"/>
  <c r="B3718" i="39"/>
  <c r="A3718" i="39" s="1"/>
  <c r="D3718" i="39"/>
  <c r="H3718" i="39"/>
  <c r="B3719" i="39"/>
  <c r="A3719" i="39" s="1"/>
  <c r="D3719" i="39"/>
  <c r="H3719" i="39"/>
  <c r="B3720" i="39"/>
  <c r="A3720" i="39" s="1"/>
  <c r="D3720" i="39"/>
  <c r="H3720" i="39"/>
  <c r="B3721" i="39"/>
  <c r="C3721" i="39" s="1"/>
  <c r="D3721" i="39"/>
  <c r="H3721" i="39"/>
  <c r="B3722" i="39"/>
  <c r="A3722" i="39" s="1"/>
  <c r="D3722" i="39"/>
  <c r="H3722" i="39"/>
  <c r="B3723" i="39"/>
  <c r="A3723" i="39" s="1"/>
  <c r="D3723" i="39"/>
  <c r="H3723" i="39"/>
  <c r="B3724" i="39"/>
  <c r="A3724" i="39" s="1"/>
  <c r="D3724" i="39"/>
  <c r="H3724" i="39"/>
  <c r="B3725" i="39"/>
  <c r="A3725" i="39" s="1"/>
  <c r="D3725" i="39"/>
  <c r="H3725" i="39"/>
  <c r="B3726" i="39"/>
  <c r="A3726" i="39" s="1"/>
  <c r="D3726" i="39"/>
  <c r="H3726" i="39"/>
  <c r="B3727" i="39"/>
  <c r="A3727" i="39" s="1"/>
  <c r="D3727" i="39"/>
  <c r="H3727" i="39"/>
  <c r="B2" i="39"/>
  <c r="A2" i="39" s="1"/>
  <c r="D2" i="39"/>
  <c r="H2" i="39"/>
  <c r="B3" i="39"/>
  <c r="C3" i="39" s="1"/>
  <c r="D3" i="39"/>
  <c r="H3" i="39"/>
  <c r="B4" i="39"/>
  <c r="D4" i="39"/>
  <c r="H4" i="39"/>
  <c r="B5" i="39"/>
  <c r="C5" i="39" s="1"/>
  <c r="D5" i="39"/>
  <c r="H5" i="39"/>
  <c r="B6" i="39"/>
  <c r="D6" i="39"/>
  <c r="H6" i="39"/>
  <c r="B7" i="39"/>
  <c r="D7" i="39"/>
  <c r="H7" i="39"/>
  <c r="B8" i="39"/>
  <c r="C8" i="39" s="1"/>
  <c r="D8" i="39"/>
  <c r="H8" i="39"/>
  <c r="B9" i="39"/>
  <c r="C9" i="39" s="1"/>
  <c r="D9" i="39"/>
  <c r="H9" i="39"/>
  <c r="B10" i="39"/>
  <c r="D10" i="39"/>
  <c r="H10" i="39"/>
  <c r="B11" i="39"/>
  <c r="C11" i="39" s="1"/>
  <c r="D11" i="39"/>
  <c r="H11" i="39"/>
  <c r="B12" i="39"/>
  <c r="D12" i="39"/>
  <c r="H12" i="39"/>
  <c r="B13" i="39"/>
  <c r="D13" i="39"/>
  <c r="H13" i="39"/>
  <c r="B14" i="39"/>
  <c r="C14" i="39" s="1"/>
  <c r="D14" i="39"/>
  <c r="H14" i="39"/>
  <c r="B15" i="39"/>
  <c r="C15" i="39" s="1"/>
  <c r="D15" i="39"/>
  <c r="H15" i="39"/>
  <c r="B16" i="39"/>
  <c r="D16" i="39"/>
  <c r="H16" i="39"/>
  <c r="B17" i="39"/>
  <c r="C17" i="39" s="1"/>
  <c r="D17" i="39"/>
  <c r="H17" i="39"/>
  <c r="B18" i="39"/>
  <c r="C18" i="39" s="1"/>
  <c r="D18" i="39"/>
  <c r="H18" i="39"/>
  <c r="B19" i="39"/>
  <c r="D19" i="39"/>
  <c r="H19" i="39"/>
  <c r="B20" i="39"/>
  <c r="C20" i="39" s="1"/>
  <c r="D20" i="39"/>
  <c r="H20" i="39"/>
  <c r="B21" i="39"/>
  <c r="C21" i="39" s="1"/>
  <c r="D21" i="39"/>
  <c r="H21" i="39"/>
  <c r="B22" i="39"/>
  <c r="D22" i="39"/>
  <c r="H22" i="39"/>
  <c r="B23" i="39"/>
  <c r="C23" i="39" s="1"/>
  <c r="D23" i="39"/>
  <c r="H23" i="39"/>
  <c r="B24" i="39"/>
  <c r="D24" i="39"/>
  <c r="H24" i="39"/>
  <c r="B25" i="39"/>
  <c r="D25" i="39"/>
  <c r="H25" i="39"/>
  <c r="B26" i="39"/>
  <c r="C26" i="39" s="1"/>
  <c r="D26" i="39"/>
  <c r="H26" i="39"/>
  <c r="B27" i="39"/>
  <c r="C27" i="39" s="1"/>
  <c r="D27" i="39"/>
  <c r="H27" i="39"/>
  <c r="B28" i="39"/>
  <c r="D28" i="39"/>
  <c r="H28" i="39"/>
  <c r="B29" i="39"/>
  <c r="C29" i="39" s="1"/>
  <c r="D29" i="39"/>
  <c r="H29" i="39"/>
  <c r="B30" i="39"/>
  <c r="C30" i="39" s="1"/>
  <c r="D30" i="39"/>
  <c r="H30" i="39"/>
  <c r="B31" i="39"/>
  <c r="D31" i="39"/>
  <c r="H31" i="39"/>
  <c r="B32" i="39"/>
  <c r="C32" i="39" s="1"/>
  <c r="D32" i="39"/>
  <c r="H32" i="39"/>
  <c r="B33" i="39"/>
  <c r="C33" i="39" s="1"/>
  <c r="D33" i="39"/>
  <c r="H33" i="39"/>
  <c r="B34" i="39"/>
  <c r="D34" i="39"/>
  <c r="H34" i="39"/>
  <c r="B35" i="39"/>
  <c r="C35" i="39" s="1"/>
  <c r="D35" i="39"/>
  <c r="H35" i="39"/>
  <c r="B36" i="39"/>
  <c r="D36" i="39"/>
  <c r="H36" i="39"/>
  <c r="B37" i="39"/>
  <c r="D37" i="39"/>
  <c r="H37" i="39"/>
  <c r="B38" i="39"/>
  <c r="C38" i="39" s="1"/>
  <c r="D38" i="39"/>
  <c r="H38" i="39"/>
  <c r="B39" i="39"/>
  <c r="C39" i="39" s="1"/>
  <c r="D39" i="39"/>
  <c r="H39" i="39"/>
  <c r="B40" i="39"/>
  <c r="D40" i="39"/>
  <c r="H40" i="39"/>
  <c r="B41" i="39"/>
  <c r="C41" i="39" s="1"/>
  <c r="D41" i="39"/>
  <c r="H41" i="39"/>
  <c r="B42" i="39"/>
  <c r="C42" i="39" s="1"/>
  <c r="D42" i="39"/>
  <c r="H42" i="39"/>
  <c r="B43" i="39"/>
  <c r="D43" i="39"/>
  <c r="H43" i="39"/>
  <c r="B44" i="39"/>
  <c r="C44" i="39" s="1"/>
  <c r="D44" i="39"/>
  <c r="H44" i="39"/>
  <c r="B45" i="39"/>
  <c r="C45" i="39" s="1"/>
  <c r="D45" i="39"/>
  <c r="H45" i="39"/>
  <c r="B46" i="39"/>
  <c r="D46" i="39"/>
  <c r="H46" i="39"/>
  <c r="B47" i="39"/>
  <c r="C47" i="39" s="1"/>
  <c r="D47" i="39"/>
  <c r="H47" i="39"/>
  <c r="B48" i="39"/>
  <c r="D48" i="39"/>
  <c r="H48" i="39"/>
  <c r="B49" i="39"/>
  <c r="D49" i="39"/>
  <c r="H49" i="39"/>
  <c r="B50" i="39"/>
  <c r="C50" i="39" s="1"/>
  <c r="D50" i="39"/>
  <c r="H50" i="39"/>
  <c r="B51" i="39"/>
  <c r="C51" i="39" s="1"/>
  <c r="D51" i="39"/>
  <c r="H51" i="39"/>
  <c r="B52" i="39"/>
  <c r="D52" i="39"/>
  <c r="H52" i="39"/>
  <c r="B53" i="39"/>
  <c r="C53" i="39" s="1"/>
  <c r="D53" i="39"/>
  <c r="H53" i="39"/>
  <c r="B54" i="39"/>
  <c r="C54" i="39" s="1"/>
  <c r="D54" i="39"/>
  <c r="H54" i="39"/>
  <c r="B55" i="39"/>
  <c r="D55" i="39"/>
  <c r="H55" i="39"/>
  <c r="B56" i="39"/>
  <c r="C56" i="39" s="1"/>
  <c r="D56" i="39"/>
  <c r="H56" i="39"/>
  <c r="B57" i="39"/>
  <c r="C57" i="39" s="1"/>
  <c r="D57" i="39"/>
  <c r="H57" i="39"/>
  <c r="B58" i="39"/>
  <c r="D58" i="39"/>
  <c r="H58" i="39"/>
  <c r="B59" i="39"/>
  <c r="C59" i="39" s="1"/>
  <c r="D59" i="39"/>
  <c r="H59" i="39"/>
  <c r="B60" i="39"/>
  <c r="D60" i="39"/>
  <c r="H60" i="39"/>
  <c r="B61" i="39"/>
  <c r="D61" i="39"/>
  <c r="H61" i="39"/>
  <c r="B62" i="39"/>
  <c r="C62" i="39" s="1"/>
  <c r="D62" i="39"/>
  <c r="H62" i="39"/>
  <c r="B63" i="39"/>
  <c r="C63" i="39" s="1"/>
  <c r="D63" i="39"/>
  <c r="H63" i="39"/>
  <c r="B64" i="39"/>
  <c r="D64" i="39"/>
  <c r="H64" i="39"/>
  <c r="B65" i="39"/>
  <c r="C65" i="39" s="1"/>
  <c r="D65" i="39"/>
  <c r="H65" i="39"/>
  <c r="B66" i="39"/>
  <c r="C66" i="39" s="1"/>
  <c r="D66" i="39"/>
  <c r="H66" i="39"/>
  <c r="B67" i="39"/>
  <c r="D67" i="39"/>
  <c r="H67" i="39"/>
  <c r="B68" i="39"/>
  <c r="C68" i="39" s="1"/>
  <c r="D68" i="39"/>
  <c r="H68" i="39"/>
  <c r="B69" i="39"/>
  <c r="C69" i="39" s="1"/>
  <c r="D69" i="39"/>
  <c r="H69" i="39"/>
  <c r="B70" i="39"/>
  <c r="D70" i="39"/>
  <c r="H70" i="39"/>
  <c r="B71" i="39"/>
  <c r="C71" i="39" s="1"/>
  <c r="D71" i="39"/>
  <c r="H71" i="39"/>
  <c r="B72" i="39"/>
  <c r="D72" i="39"/>
  <c r="H72" i="39"/>
  <c r="B73" i="39"/>
  <c r="D73" i="39"/>
  <c r="H73" i="39"/>
  <c r="B74" i="39"/>
  <c r="C74" i="39" s="1"/>
  <c r="D74" i="39"/>
  <c r="H74" i="39"/>
  <c r="B75" i="39"/>
  <c r="C75" i="39" s="1"/>
  <c r="D75" i="39"/>
  <c r="H75" i="39"/>
  <c r="B76" i="39"/>
  <c r="D76" i="39"/>
  <c r="H76" i="39"/>
  <c r="B77" i="39"/>
  <c r="C77" i="39" s="1"/>
  <c r="D77" i="39"/>
  <c r="H77" i="39"/>
  <c r="B78" i="39"/>
  <c r="C78" i="39" s="1"/>
  <c r="D78" i="39"/>
  <c r="H78" i="39"/>
  <c r="B79" i="39"/>
  <c r="D79" i="39"/>
  <c r="H79" i="39"/>
  <c r="B80" i="39"/>
  <c r="C80" i="39" s="1"/>
  <c r="D80" i="39"/>
  <c r="H80" i="39"/>
  <c r="B81" i="39"/>
  <c r="C81" i="39" s="1"/>
  <c r="D81" i="39"/>
  <c r="H81" i="39"/>
  <c r="B82" i="39"/>
  <c r="D82" i="39"/>
  <c r="H82" i="39"/>
  <c r="B83" i="39"/>
  <c r="C83" i="39" s="1"/>
  <c r="D83" i="39"/>
  <c r="H83" i="39"/>
  <c r="B84" i="39"/>
  <c r="D84" i="39"/>
  <c r="H84" i="39"/>
  <c r="B85" i="39"/>
  <c r="D85" i="39"/>
  <c r="H85" i="39"/>
  <c r="B86" i="39"/>
  <c r="C86" i="39" s="1"/>
  <c r="D86" i="39"/>
  <c r="H86" i="39"/>
  <c r="B87" i="39"/>
  <c r="C87" i="39" s="1"/>
  <c r="D87" i="39"/>
  <c r="H87" i="39"/>
  <c r="B88" i="39"/>
  <c r="D88" i="39"/>
  <c r="H88" i="39"/>
  <c r="B89" i="39"/>
  <c r="C89" i="39" s="1"/>
  <c r="D89" i="39"/>
  <c r="H89" i="39"/>
  <c r="B90" i="39"/>
  <c r="C90" i="39" s="1"/>
  <c r="D90" i="39"/>
  <c r="H90" i="39"/>
  <c r="B91" i="39"/>
  <c r="D91" i="39"/>
  <c r="H91" i="39"/>
  <c r="B92" i="39"/>
  <c r="C92" i="39" s="1"/>
  <c r="D92" i="39"/>
  <c r="H92" i="39"/>
  <c r="B93" i="39"/>
  <c r="C93" i="39" s="1"/>
  <c r="D93" i="39"/>
  <c r="H93" i="39"/>
  <c r="B94" i="39"/>
  <c r="D94" i="39"/>
  <c r="H94" i="39"/>
  <c r="B95" i="39"/>
  <c r="C95" i="39" s="1"/>
  <c r="D95" i="39"/>
  <c r="H95" i="39"/>
  <c r="B96" i="39"/>
  <c r="D96" i="39"/>
  <c r="H96" i="39"/>
  <c r="B97" i="39"/>
  <c r="D97" i="39"/>
  <c r="H97" i="39"/>
  <c r="B98" i="39"/>
  <c r="C98" i="39" s="1"/>
  <c r="D98" i="39"/>
  <c r="H98" i="39"/>
  <c r="B99" i="39"/>
  <c r="C99" i="39" s="1"/>
  <c r="D99" i="39"/>
  <c r="H99" i="39"/>
  <c r="B100" i="39"/>
  <c r="D100" i="39"/>
  <c r="H100" i="39"/>
  <c r="B101" i="39"/>
  <c r="C101" i="39" s="1"/>
  <c r="D101" i="39"/>
  <c r="H101" i="39"/>
  <c r="B102" i="39"/>
  <c r="C102" i="39" s="1"/>
  <c r="D102" i="39"/>
  <c r="H102" i="39"/>
  <c r="B103" i="39"/>
  <c r="D103" i="39"/>
  <c r="H103" i="39"/>
  <c r="B104" i="39"/>
  <c r="C104" i="39" s="1"/>
  <c r="D104" i="39"/>
  <c r="H104" i="39"/>
  <c r="B105" i="39"/>
  <c r="C105" i="39" s="1"/>
  <c r="D105" i="39"/>
  <c r="H105" i="39"/>
  <c r="B106" i="39"/>
  <c r="D106" i="39"/>
  <c r="H106" i="39"/>
  <c r="B107" i="39"/>
  <c r="C107" i="39" s="1"/>
  <c r="D107" i="39"/>
  <c r="H107" i="39"/>
  <c r="B108" i="39"/>
  <c r="D108" i="39"/>
  <c r="H108" i="39"/>
  <c r="B109" i="39"/>
  <c r="D109" i="39"/>
  <c r="H109" i="39"/>
  <c r="B110" i="39"/>
  <c r="C110" i="39" s="1"/>
  <c r="D110" i="39"/>
  <c r="H110" i="39"/>
  <c r="B111" i="39"/>
  <c r="C111" i="39" s="1"/>
  <c r="D111" i="39"/>
  <c r="H111" i="39"/>
  <c r="B112" i="39"/>
  <c r="D112" i="39"/>
  <c r="H112" i="39"/>
  <c r="B113" i="39"/>
  <c r="C113" i="39" s="1"/>
  <c r="D113" i="39"/>
  <c r="H113" i="39"/>
  <c r="B114" i="39"/>
  <c r="C114" i="39" s="1"/>
  <c r="D114" i="39"/>
  <c r="H114" i="39"/>
  <c r="B115" i="39"/>
  <c r="D115" i="39"/>
  <c r="H115" i="39"/>
  <c r="B116" i="39"/>
  <c r="C116" i="39" s="1"/>
  <c r="D116" i="39"/>
  <c r="H116" i="39"/>
  <c r="B117" i="39"/>
  <c r="C117" i="39" s="1"/>
  <c r="D117" i="39"/>
  <c r="H117" i="39"/>
  <c r="B118" i="39"/>
  <c r="D118" i="39"/>
  <c r="H118" i="39"/>
  <c r="B119" i="39"/>
  <c r="C119" i="39" s="1"/>
  <c r="D119" i="39"/>
  <c r="H119" i="39"/>
  <c r="B120" i="39"/>
  <c r="D120" i="39"/>
  <c r="H120" i="39"/>
  <c r="B121" i="39"/>
  <c r="D121" i="39"/>
  <c r="H121" i="39"/>
  <c r="B122" i="39"/>
  <c r="C122" i="39" s="1"/>
  <c r="D122" i="39"/>
  <c r="H122" i="39"/>
  <c r="B123" i="39"/>
  <c r="C123" i="39" s="1"/>
  <c r="D123" i="39"/>
  <c r="H123" i="39"/>
  <c r="B124" i="39"/>
  <c r="D124" i="39"/>
  <c r="H124" i="39"/>
  <c r="B125" i="39"/>
  <c r="C125" i="39" s="1"/>
  <c r="D125" i="39"/>
  <c r="H125" i="39"/>
  <c r="B126" i="39"/>
  <c r="C126" i="39" s="1"/>
  <c r="D126" i="39"/>
  <c r="H126" i="39"/>
  <c r="B127" i="39"/>
  <c r="D127" i="39"/>
  <c r="H127" i="39"/>
  <c r="B128" i="39"/>
  <c r="C128" i="39" s="1"/>
  <c r="D128" i="39"/>
  <c r="H128" i="39"/>
  <c r="B129" i="39"/>
  <c r="C129" i="39" s="1"/>
  <c r="D129" i="39"/>
  <c r="H129" i="39"/>
  <c r="B130" i="39"/>
  <c r="C130" i="39" s="1"/>
  <c r="D130" i="39"/>
  <c r="H130" i="39"/>
  <c r="B131" i="39"/>
  <c r="C131" i="39" s="1"/>
  <c r="D131" i="39"/>
  <c r="H131" i="39"/>
  <c r="B132" i="39"/>
  <c r="C132" i="39" s="1"/>
  <c r="D132" i="39"/>
  <c r="H132" i="39"/>
  <c r="B133" i="39"/>
  <c r="C133" i="39" s="1"/>
  <c r="D133" i="39"/>
  <c r="H133" i="39"/>
  <c r="B134" i="39"/>
  <c r="C134" i="39" s="1"/>
  <c r="D134" i="39"/>
  <c r="H134" i="39"/>
  <c r="B135" i="39"/>
  <c r="C135" i="39" s="1"/>
  <c r="D135" i="39"/>
  <c r="H135" i="39"/>
  <c r="B136" i="39"/>
  <c r="C136" i="39" s="1"/>
  <c r="D136" i="39"/>
  <c r="H136" i="39"/>
  <c r="B137" i="39"/>
  <c r="C137" i="39" s="1"/>
  <c r="D137" i="39"/>
  <c r="H137" i="39"/>
  <c r="B138" i="39"/>
  <c r="C138" i="39" s="1"/>
  <c r="D138" i="39"/>
  <c r="H138" i="39"/>
  <c r="B139" i="39"/>
  <c r="C139" i="39" s="1"/>
  <c r="D139" i="39"/>
  <c r="H139" i="39"/>
  <c r="B140" i="39"/>
  <c r="C140" i="39" s="1"/>
  <c r="D140" i="39"/>
  <c r="H140" i="39"/>
  <c r="B141" i="39"/>
  <c r="C141" i="39" s="1"/>
  <c r="D141" i="39"/>
  <c r="H141" i="39"/>
  <c r="B142" i="39"/>
  <c r="C142" i="39" s="1"/>
  <c r="D142" i="39"/>
  <c r="H142" i="39"/>
  <c r="B143" i="39"/>
  <c r="D143" i="39"/>
  <c r="H143" i="39"/>
  <c r="B144" i="39"/>
  <c r="C144" i="39" s="1"/>
  <c r="D144" i="39"/>
  <c r="H144" i="39"/>
  <c r="B145" i="39"/>
  <c r="C145" i="39" s="1"/>
  <c r="D145" i="39"/>
  <c r="H145" i="39"/>
  <c r="B146" i="39"/>
  <c r="C146" i="39" s="1"/>
  <c r="D146" i="39"/>
  <c r="H146" i="39"/>
  <c r="B147" i="39"/>
  <c r="C147" i="39" s="1"/>
  <c r="D147" i="39"/>
  <c r="H147" i="39"/>
  <c r="B148" i="39"/>
  <c r="C148" i="39" s="1"/>
  <c r="D148" i="39"/>
  <c r="H148" i="39"/>
  <c r="B149" i="39"/>
  <c r="C149" i="39" s="1"/>
  <c r="D149" i="39"/>
  <c r="H149" i="39"/>
  <c r="B150" i="39"/>
  <c r="C150" i="39" s="1"/>
  <c r="D150" i="39"/>
  <c r="H150" i="39"/>
  <c r="B151" i="39"/>
  <c r="C151" i="39" s="1"/>
  <c r="D151" i="39"/>
  <c r="H151" i="39"/>
  <c r="B152" i="39"/>
  <c r="C152" i="39" s="1"/>
  <c r="D152" i="39"/>
  <c r="H152" i="39"/>
  <c r="B153" i="39"/>
  <c r="C153" i="39" s="1"/>
  <c r="D153" i="39"/>
  <c r="H153" i="39"/>
  <c r="B154" i="39"/>
  <c r="C154" i="39" s="1"/>
  <c r="D154" i="39"/>
  <c r="H154" i="39"/>
  <c r="B155" i="39"/>
  <c r="C155" i="39" s="1"/>
  <c r="D155" i="39"/>
  <c r="H155" i="39"/>
  <c r="B156" i="39"/>
  <c r="C156" i="39" s="1"/>
  <c r="D156" i="39"/>
  <c r="H156" i="39"/>
  <c r="B157" i="39"/>
  <c r="C157" i="39" s="1"/>
  <c r="D157" i="39"/>
  <c r="H157" i="39"/>
  <c r="B158" i="39"/>
  <c r="C158" i="39" s="1"/>
  <c r="D158" i="39"/>
  <c r="H158" i="39"/>
  <c r="B159" i="39"/>
  <c r="C159" i="39" s="1"/>
  <c r="D159" i="39"/>
  <c r="H159" i="39"/>
  <c r="B160" i="39"/>
  <c r="C160" i="39" s="1"/>
  <c r="D160" i="39"/>
  <c r="H160" i="39"/>
  <c r="B161" i="39"/>
  <c r="D161" i="39"/>
  <c r="H161" i="39"/>
  <c r="B162" i="39"/>
  <c r="C162" i="39" s="1"/>
  <c r="D162" i="39"/>
  <c r="H162" i="39"/>
  <c r="B163" i="39"/>
  <c r="C163" i="39" s="1"/>
  <c r="D163" i="39"/>
  <c r="H163" i="39"/>
  <c r="B164" i="39"/>
  <c r="C164" i="39" s="1"/>
  <c r="D164" i="39"/>
  <c r="H164" i="39"/>
  <c r="B165" i="39"/>
  <c r="C165" i="39" s="1"/>
  <c r="D165" i="39"/>
  <c r="H165" i="39"/>
  <c r="B166" i="39"/>
  <c r="C166" i="39" s="1"/>
  <c r="D166" i="39"/>
  <c r="H166" i="39"/>
  <c r="B167" i="39"/>
  <c r="C167" i="39" s="1"/>
  <c r="D167" i="39"/>
  <c r="H167" i="39"/>
  <c r="B168" i="39"/>
  <c r="C168" i="39" s="1"/>
  <c r="D168" i="39"/>
  <c r="H168" i="39"/>
  <c r="B169" i="39"/>
  <c r="C169" i="39" s="1"/>
  <c r="D169" i="39"/>
  <c r="H169" i="39"/>
  <c r="B170" i="39"/>
  <c r="C170" i="39" s="1"/>
  <c r="D170" i="39"/>
  <c r="H170" i="39"/>
  <c r="B171" i="39"/>
  <c r="C171" i="39" s="1"/>
  <c r="D171" i="39"/>
  <c r="H171" i="39"/>
  <c r="B172" i="39"/>
  <c r="C172" i="39" s="1"/>
  <c r="D172" i="39"/>
  <c r="H172" i="39"/>
  <c r="B173" i="39"/>
  <c r="C173" i="39" s="1"/>
  <c r="D173" i="39"/>
  <c r="H173" i="39"/>
  <c r="B174" i="39"/>
  <c r="C174" i="39" s="1"/>
  <c r="D174" i="39"/>
  <c r="H174" i="39"/>
  <c r="B175" i="39"/>
  <c r="C175" i="39" s="1"/>
  <c r="D175" i="39"/>
  <c r="H175" i="39"/>
  <c r="B176" i="39"/>
  <c r="C176" i="39" s="1"/>
  <c r="D176" i="39"/>
  <c r="H176" i="39"/>
  <c r="B177" i="39"/>
  <c r="C177" i="39" s="1"/>
  <c r="D177" i="39"/>
  <c r="H177" i="39"/>
  <c r="B178" i="39"/>
  <c r="C178" i="39" s="1"/>
  <c r="D178" i="39"/>
  <c r="H178" i="39"/>
  <c r="B179" i="39"/>
  <c r="D179" i="39"/>
  <c r="H179" i="39"/>
  <c r="B180" i="39"/>
  <c r="C180" i="39" s="1"/>
  <c r="D180" i="39"/>
  <c r="H180" i="39"/>
  <c r="B181" i="39"/>
  <c r="C181" i="39" s="1"/>
  <c r="D181" i="39"/>
  <c r="H181" i="39"/>
  <c r="B182" i="39"/>
  <c r="C182" i="39" s="1"/>
  <c r="D182" i="39"/>
  <c r="H182" i="39"/>
  <c r="B183" i="39"/>
  <c r="D183" i="39"/>
  <c r="H183" i="39"/>
  <c r="B184" i="39"/>
  <c r="D184" i="39"/>
  <c r="H184" i="39"/>
  <c r="B185" i="39"/>
  <c r="C185" i="39" s="1"/>
  <c r="D185" i="39"/>
  <c r="H185" i="39"/>
  <c r="B186" i="39"/>
  <c r="C186" i="39" s="1"/>
  <c r="D186" i="39"/>
  <c r="H186" i="39"/>
  <c r="B187" i="39"/>
  <c r="C187" i="39" s="1"/>
  <c r="D187" i="39"/>
  <c r="H187" i="39"/>
  <c r="B188" i="39"/>
  <c r="C188" i="39" s="1"/>
  <c r="D188" i="39"/>
  <c r="H188" i="39"/>
  <c r="B189" i="39"/>
  <c r="D189" i="39"/>
  <c r="H189" i="39"/>
  <c r="B190" i="39"/>
  <c r="C190" i="39" s="1"/>
  <c r="D190" i="39"/>
  <c r="H190" i="39"/>
  <c r="B191" i="39"/>
  <c r="C191" i="39" s="1"/>
  <c r="D191" i="39"/>
  <c r="H191" i="39"/>
  <c r="B192" i="39"/>
  <c r="C192" i="39" s="1"/>
  <c r="D192" i="39"/>
  <c r="H192" i="39"/>
  <c r="B193" i="39"/>
  <c r="C193" i="39" s="1"/>
  <c r="D193" i="39"/>
  <c r="H193" i="39"/>
  <c r="B194" i="39"/>
  <c r="D194" i="39"/>
  <c r="H194" i="39"/>
  <c r="B195" i="39"/>
  <c r="D195" i="39"/>
  <c r="H195" i="39"/>
  <c r="B196" i="39"/>
  <c r="D196" i="39"/>
  <c r="H196" i="39"/>
  <c r="B197" i="39"/>
  <c r="C197" i="39" s="1"/>
  <c r="D197" i="39"/>
  <c r="H197" i="39"/>
  <c r="B198" i="39"/>
  <c r="C198" i="39" s="1"/>
  <c r="D198" i="39"/>
  <c r="H198" i="39"/>
  <c r="B199" i="39"/>
  <c r="C199" i="39" s="1"/>
  <c r="D199" i="39"/>
  <c r="H199" i="39"/>
  <c r="B200" i="39"/>
  <c r="D200" i="39"/>
  <c r="H200" i="39"/>
  <c r="B201" i="39"/>
  <c r="C201" i="39" s="1"/>
  <c r="D201" i="39"/>
  <c r="H201" i="39"/>
  <c r="B203" i="39"/>
  <c r="C203" i="39" s="1"/>
  <c r="D203" i="39"/>
  <c r="H203" i="39"/>
  <c r="B204" i="39"/>
  <c r="D204" i="39"/>
  <c r="H204" i="39"/>
  <c r="B205" i="39"/>
  <c r="C205" i="39" s="1"/>
  <c r="D205" i="39"/>
  <c r="H205" i="39"/>
  <c r="B206" i="39"/>
  <c r="D206" i="39"/>
  <c r="H206" i="39"/>
  <c r="B207" i="39"/>
  <c r="D207" i="39"/>
  <c r="H207" i="39"/>
  <c r="B208" i="39"/>
  <c r="C208" i="39" s="1"/>
  <c r="D208" i="39"/>
  <c r="H208" i="39"/>
  <c r="B209" i="39"/>
  <c r="D209" i="39"/>
  <c r="H209" i="39"/>
  <c r="B210" i="39"/>
  <c r="C210" i="39" s="1"/>
  <c r="D210" i="39"/>
  <c r="H210" i="39"/>
  <c r="B211" i="39"/>
  <c r="C211" i="39" s="1"/>
  <c r="D211" i="39"/>
  <c r="H211" i="39"/>
  <c r="B212" i="39"/>
  <c r="C212" i="39" s="1"/>
  <c r="D212" i="39"/>
  <c r="H212" i="39"/>
  <c r="B213" i="39"/>
  <c r="C213" i="39" s="1"/>
  <c r="D213" i="39"/>
  <c r="H213" i="39"/>
  <c r="B214" i="39"/>
  <c r="C214" i="39" s="1"/>
  <c r="D214" i="39"/>
  <c r="H214" i="39"/>
  <c r="B215" i="39"/>
  <c r="C215" i="39" s="1"/>
  <c r="D215" i="39"/>
  <c r="H215" i="39"/>
  <c r="B216" i="39"/>
  <c r="C216" i="39" s="1"/>
  <c r="D216" i="39"/>
  <c r="H216" i="39"/>
  <c r="B217" i="39"/>
  <c r="C217" i="39" s="1"/>
  <c r="D217" i="39"/>
  <c r="H217" i="39"/>
  <c r="B218" i="39"/>
  <c r="C218" i="39" s="1"/>
  <c r="D218" i="39"/>
  <c r="H218" i="39"/>
  <c r="B219" i="39"/>
  <c r="D219" i="39"/>
  <c r="H219" i="39"/>
  <c r="B220" i="39"/>
  <c r="C220" i="39" s="1"/>
  <c r="D220" i="39"/>
  <c r="H220" i="39"/>
  <c r="B221" i="39"/>
  <c r="C221" i="39" s="1"/>
  <c r="D221" i="39"/>
  <c r="H221" i="39"/>
  <c r="B222" i="39"/>
  <c r="C222" i="39" s="1"/>
  <c r="D222" i="39"/>
  <c r="H222" i="39"/>
  <c r="B223" i="39"/>
  <c r="C223" i="39" s="1"/>
  <c r="D223" i="39"/>
  <c r="H223" i="39"/>
  <c r="B224" i="39"/>
  <c r="C224" i="39" s="1"/>
  <c r="D224" i="39"/>
  <c r="H224" i="39"/>
  <c r="B225" i="39"/>
  <c r="D225" i="39"/>
  <c r="H225" i="39"/>
  <c r="B226" i="39"/>
  <c r="C226" i="39" s="1"/>
  <c r="D226" i="39"/>
  <c r="H226" i="39"/>
  <c r="B227" i="39"/>
  <c r="C227" i="39" s="1"/>
  <c r="D227" i="39"/>
  <c r="H227" i="39"/>
  <c r="B228" i="39"/>
  <c r="C228" i="39" s="1"/>
  <c r="D228" i="39"/>
  <c r="H228" i="39"/>
  <c r="B229" i="39"/>
  <c r="D229" i="39"/>
  <c r="H229" i="39"/>
  <c r="B230" i="39"/>
  <c r="D230" i="39"/>
  <c r="H230" i="39"/>
  <c r="B231" i="39"/>
  <c r="D231" i="39"/>
  <c r="H231" i="39"/>
  <c r="B232" i="39"/>
  <c r="D232" i="39"/>
  <c r="H232" i="39"/>
  <c r="B233" i="39"/>
  <c r="C233" i="39" s="1"/>
  <c r="D233" i="39"/>
  <c r="H233" i="39"/>
  <c r="B234" i="39"/>
  <c r="C234" i="39" s="1"/>
  <c r="D234" i="39"/>
  <c r="H234" i="39"/>
  <c r="B235" i="39"/>
  <c r="C235" i="39" s="1"/>
  <c r="D235" i="39"/>
  <c r="H235" i="39"/>
  <c r="B236" i="39"/>
  <c r="D236" i="39"/>
  <c r="H236" i="39"/>
  <c r="B237" i="39"/>
  <c r="C237" i="39" s="1"/>
  <c r="D237" i="39"/>
  <c r="H237" i="39"/>
  <c r="B238" i="39"/>
  <c r="C238" i="39" s="1"/>
  <c r="D238" i="39"/>
  <c r="H238" i="39"/>
  <c r="B239" i="39"/>
  <c r="C239" i="39" s="1"/>
  <c r="D239" i="39"/>
  <c r="H239" i="39"/>
  <c r="B240" i="39"/>
  <c r="C240" i="39" s="1"/>
  <c r="D240" i="39"/>
  <c r="H240" i="39"/>
  <c r="B241" i="39"/>
  <c r="C241" i="39" s="1"/>
  <c r="D241" i="39"/>
  <c r="H241" i="39"/>
  <c r="B242" i="39"/>
  <c r="C242" i="39" s="1"/>
  <c r="D242" i="39"/>
  <c r="H242" i="39"/>
  <c r="B243" i="39"/>
  <c r="C243" i="39" s="1"/>
  <c r="D243" i="39"/>
  <c r="H243" i="39"/>
  <c r="B244" i="39"/>
  <c r="C244" i="39" s="1"/>
  <c r="D244" i="39"/>
  <c r="H244" i="39"/>
  <c r="B245" i="39"/>
  <c r="C245" i="39" s="1"/>
  <c r="D245" i="39"/>
  <c r="H245" i="39"/>
  <c r="B246" i="39"/>
  <c r="C246" i="39" s="1"/>
  <c r="D246" i="39"/>
  <c r="H246" i="39"/>
  <c r="B247" i="39"/>
  <c r="C247" i="39" s="1"/>
  <c r="D247" i="39"/>
  <c r="H247" i="39"/>
  <c r="B248" i="39"/>
  <c r="C248" i="39" s="1"/>
  <c r="D248" i="39"/>
  <c r="H248" i="39"/>
  <c r="B249" i="39"/>
  <c r="C249" i="39" s="1"/>
  <c r="D249" i="39"/>
  <c r="H249" i="39"/>
  <c r="B250" i="39"/>
  <c r="C250" i="39" s="1"/>
  <c r="D250" i="39"/>
  <c r="H250" i="39"/>
  <c r="B251" i="39"/>
  <c r="C251" i="39" s="1"/>
  <c r="D251" i="39"/>
  <c r="H251" i="39"/>
  <c r="B252" i="39"/>
  <c r="C252" i="39" s="1"/>
  <c r="D252" i="39"/>
  <c r="H252" i="39"/>
  <c r="B253" i="39"/>
  <c r="C253" i="39" s="1"/>
  <c r="D253" i="39"/>
  <c r="H253" i="39"/>
  <c r="B254" i="39"/>
  <c r="C254" i="39" s="1"/>
  <c r="D254" i="39"/>
  <c r="H254" i="39"/>
  <c r="B255" i="39"/>
  <c r="D255" i="39"/>
  <c r="H255" i="39"/>
  <c r="B256" i="39"/>
  <c r="C256" i="39" s="1"/>
  <c r="D256" i="39"/>
  <c r="H256" i="39"/>
  <c r="B257" i="39"/>
  <c r="C257" i="39" s="1"/>
  <c r="D257" i="39"/>
  <c r="H257" i="39"/>
  <c r="B258" i="39"/>
  <c r="C258" i="39" s="1"/>
  <c r="D258" i="39"/>
  <c r="H258" i="39"/>
  <c r="B259" i="39"/>
  <c r="D259" i="39"/>
  <c r="H259" i="39"/>
  <c r="B260" i="39"/>
  <c r="D260" i="39"/>
  <c r="H260" i="39"/>
  <c r="B261" i="39"/>
  <c r="C261" i="39" s="1"/>
  <c r="D261" i="39"/>
  <c r="H261" i="39"/>
  <c r="B262" i="39"/>
  <c r="C262" i="39" s="1"/>
  <c r="D262" i="39"/>
  <c r="H262" i="39"/>
  <c r="B263" i="39"/>
  <c r="D263" i="39"/>
  <c r="H263" i="39"/>
  <c r="B264" i="39"/>
  <c r="C264" i="39" s="1"/>
  <c r="D264" i="39"/>
  <c r="H264" i="39"/>
  <c r="B265" i="39"/>
  <c r="C265" i="39" s="1"/>
  <c r="D265" i="39"/>
  <c r="H265" i="39"/>
  <c r="B266" i="39"/>
  <c r="C266" i="39" s="1"/>
  <c r="D266" i="39"/>
  <c r="H266" i="39"/>
  <c r="B267" i="39"/>
  <c r="C267" i="39" s="1"/>
  <c r="D267" i="39"/>
  <c r="H267" i="39"/>
  <c r="B268" i="39"/>
  <c r="C268" i="39" s="1"/>
  <c r="D268" i="39"/>
  <c r="H268" i="39"/>
  <c r="B269" i="39"/>
  <c r="C269" i="39" s="1"/>
  <c r="D269" i="39"/>
  <c r="H269" i="39"/>
  <c r="B270" i="39"/>
  <c r="C270" i="39" s="1"/>
  <c r="D270" i="39"/>
  <c r="H270" i="39"/>
  <c r="B271" i="39"/>
  <c r="C271" i="39" s="1"/>
  <c r="D271" i="39"/>
  <c r="H271" i="39"/>
  <c r="B272" i="39"/>
  <c r="C272" i="39" s="1"/>
  <c r="D272" i="39"/>
  <c r="H272" i="39"/>
  <c r="B273" i="39"/>
  <c r="C273" i="39" s="1"/>
  <c r="D273" i="39"/>
  <c r="H273" i="39"/>
  <c r="B274" i="39"/>
  <c r="D274" i="39"/>
  <c r="H274" i="39"/>
  <c r="B275" i="39"/>
  <c r="C275" i="39" s="1"/>
  <c r="D275" i="39"/>
  <c r="H275" i="39"/>
  <c r="B276" i="39"/>
  <c r="C276" i="39" s="1"/>
  <c r="D276" i="39"/>
  <c r="H276" i="39"/>
  <c r="B277" i="39"/>
  <c r="D277" i="39"/>
  <c r="H277" i="39"/>
  <c r="B278" i="39"/>
  <c r="C278" i="39" s="1"/>
  <c r="D278" i="39"/>
  <c r="H278" i="39"/>
  <c r="B279" i="39"/>
  <c r="C279" i="39" s="1"/>
  <c r="D279" i="39"/>
  <c r="H279" i="39"/>
  <c r="B280" i="39"/>
  <c r="C280" i="39" s="1"/>
  <c r="D280" i="39"/>
  <c r="H280" i="39"/>
  <c r="B281" i="39"/>
  <c r="C281" i="39" s="1"/>
  <c r="D281" i="39"/>
  <c r="H281" i="39"/>
  <c r="B282" i="39"/>
  <c r="C282" i="39" s="1"/>
  <c r="D282" i="39"/>
  <c r="H282" i="39"/>
  <c r="B283" i="39"/>
  <c r="C283" i="39" s="1"/>
  <c r="D283" i="39"/>
  <c r="H283" i="39"/>
  <c r="B284" i="39"/>
  <c r="C284" i="39" s="1"/>
  <c r="D284" i="39"/>
  <c r="H284" i="39"/>
  <c r="B285" i="39"/>
  <c r="C285" i="39" s="1"/>
  <c r="D285" i="39"/>
  <c r="H285" i="39"/>
  <c r="B286" i="39"/>
  <c r="C286" i="39" s="1"/>
  <c r="D286" i="39"/>
  <c r="H286" i="39"/>
  <c r="B287" i="39"/>
  <c r="C287" i="39" s="1"/>
  <c r="D287" i="39"/>
  <c r="H287" i="39"/>
  <c r="B288" i="39"/>
  <c r="C288" i="39" s="1"/>
  <c r="D288" i="39"/>
  <c r="H288" i="39"/>
  <c r="B289" i="39"/>
  <c r="D289" i="39"/>
  <c r="H289" i="39"/>
  <c r="B290" i="39"/>
  <c r="C290" i="39" s="1"/>
  <c r="D290" i="39"/>
  <c r="H290" i="39"/>
  <c r="B291" i="39"/>
  <c r="C291" i="39" s="1"/>
  <c r="D291" i="39"/>
  <c r="H291" i="39"/>
  <c r="B292" i="39"/>
  <c r="D292" i="39"/>
  <c r="H292" i="39"/>
  <c r="B293" i="39"/>
  <c r="C293" i="39" s="1"/>
  <c r="D293" i="39"/>
  <c r="H293" i="39"/>
  <c r="B294" i="39"/>
  <c r="C294" i="39" s="1"/>
  <c r="D294" i="39"/>
  <c r="H294" i="39"/>
  <c r="B295" i="39"/>
  <c r="D295" i="39"/>
  <c r="H295" i="39"/>
  <c r="B296" i="39"/>
  <c r="C296" i="39" s="1"/>
  <c r="D296" i="39"/>
  <c r="H296" i="39"/>
  <c r="B297" i="39"/>
  <c r="C297" i="39" s="1"/>
  <c r="D297" i="39"/>
  <c r="H297" i="39"/>
  <c r="B298" i="39"/>
  <c r="C298" i="39" s="1"/>
  <c r="D298" i="39"/>
  <c r="H298" i="39"/>
  <c r="B299" i="39"/>
  <c r="C299" i="39" s="1"/>
  <c r="D299" i="39"/>
  <c r="H299" i="39"/>
  <c r="B300" i="39"/>
  <c r="C300" i="39" s="1"/>
  <c r="D300" i="39"/>
  <c r="H300" i="39"/>
  <c r="B301" i="39"/>
  <c r="C301" i="39" s="1"/>
  <c r="D301" i="39"/>
  <c r="H301" i="39"/>
  <c r="B302" i="39"/>
  <c r="C302" i="39" s="1"/>
  <c r="D302" i="39"/>
  <c r="H302" i="39"/>
  <c r="B303" i="39"/>
  <c r="C303" i="39" s="1"/>
  <c r="D303" i="39"/>
  <c r="H303" i="39"/>
  <c r="B304" i="39"/>
  <c r="C304" i="39" s="1"/>
  <c r="D304" i="39"/>
  <c r="H304" i="39"/>
  <c r="B305" i="39"/>
  <c r="C305" i="39" s="1"/>
  <c r="D305" i="39"/>
  <c r="H305" i="39"/>
  <c r="B306" i="39"/>
  <c r="C306" i="39" s="1"/>
  <c r="D306" i="39"/>
  <c r="H306" i="39"/>
  <c r="B307" i="39"/>
  <c r="C307" i="39" s="1"/>
  <c r="D307" i="39"/>
  <c r="H307" i="39"/>
  <c r="B308" i="39"/>
  <c r="C308" i="39" s="1"/>
  <c r="D308" i="39"/>
  <c r="H308" i="39"/>
  <c r="B309" i="39"/>
  <c r="C309" i="39" s="1"/>
  <c r="D309" i="39"/>
  <c r="H309" i="39"/>
  <c r="B310" i="39"/>
  <c r="D310" i="39"/>
  <c r="H310" i="39"/>
  <c r="B311" i="39"/>
  <c r="C311" i="39" s="1"/>
  <c r="D311" i="39"/>
  <c r="H311" i="39"/>
  <c r="B312" i="39"/>
  <c r="C312" i="39" s="1"/>
  <c r="D312" i="39"/>
  <c r="H312" i="39"/>
  <c r="B313" i="39"/>
  <c r="D313" i="39"/>
  <c r="H313" i="39"/>
  <c r="B314" i="39"/>
  <c r="C314" i="39" s="1"/>
  <c r="D314" i="39"/>
  <c r="H314" i="39"/>
  <c r="B315" i="39"/>
  <c r="C315" i="39" s="1"/>
  <c r="D315" i="39"/>
  <c r="H315" i="39"/>
  <c r="B316" i="39"/>
  <c r="C316" i="39" s="1"/>
  <c r="D316" i="39"/>
  <c r="H316" i="39"/>
  <c r="B317" i="39"/>
  <c r="C317" i="39" s="1"/>
  <c r="D317" i="39"/>
  <c r="H317" i="39"/>
  <c r="B318" i="39"/>
  <c r="C318" i="39" s="1"/>
  <c r="D318" i="39"/>
  <c r="H318" i="39"/>
  <c r="B319" i="39"/>
  <c r="C319" i="39" s="1"/>
  <c r="D319" i="39"/>
  <c r="H319" i="39"/>
  <c r="B320" i="39"/>
  <c r="C320" i="39" s="1"/>
  <c r="D320" i="39"/>
  <c r="H320" i="39"/>
  <c r="B321" i="39"/>
  <c r="C321" i="39" s="1"/>
  <c r="D321" i="39"/>
  <c r="H321" i="39"/>
  <c r="B322" i="39"/>
  <c r="C322" i="39" s="1"/>
  <c r="D322" i="39"/>
  <c r="H322" i="39"/>
  <c r="B323" i="39"/>
  <c r="C323" i="39" s="1"/>
  <c r="D323" i="39"/>
  <c r="H323" i="39"/>
  <c r="B324" i="39"/>
  <c r="C324" i="39" s="1"/>
  <c r="D324" i="39"/>
  <c r="H324" i="39"/>
  <c r="B325" i="39"/>
  <c r="D325" i="39"/>
  <c r="H325" i="39"/>
  <c r="B326" i="39"/>
  <c r="C326" i="39" s="1"/>
  <c r="D326" i="39"/>
  <c r="H326" i="39"/>
  <c r="B327" i="39"/>
  <c r="C327" i="39" s="1"/>
  <c r="D327" i="39"/>
  <c r="H327" i="39"/>
  <c r="B328" i="39"/>
  <c r="D328" i="39"/>
  <c r="H328" i="39"/>
  <c r="B329" i="39"/>
  <c r="C329" i="39" s="1"/>
  <c r="D329" i="39"/>
  <c r="H329" i="39"/>
  <c r="B330" i="39"/>
  <c r="C330" i="39" s="1"/>
  <c r="D330" i="39"/>
  <c r="H330" i="39"/>
  <c r="B331" i="39"/>
  <c r="D331" i="39"/>
  <c r="H331" i="39"/>
  <c r="B332" i="39"/>
  <c r="C332" i="39" s="1"/>
  <c r="D332" i="39"/>
  <c r="H332" i="39"/>
  <c r="B333" i="39"/>
  <c r="C333" i="39" s="1"/>
  <c r="D333" i="39"/>
  <c r="H333" i="39"/>
  <c r="B334" i="39"/>
  <c r="C334" i="39" s="1"/>
  <c r="D334" i="39"/>
  <c r="H334" i="39"/>
  <c r="B335" i="39"/>
  <c r="C335" i="39" s="1"/>
  <c r="D335" i="39"/>
  <c r="H335" i="39"/>
  <c r="B336" i="39"/>
  <c r="C336" i="39" s="1"/>
  <c r="D336" i="39"/>
  <c r="H336" i="39"/>
  <c r="B337" i="39"/>
  <c r="C337" i="39" s="1"/>
  <c r="D337" i="39"/>
  <c r="H337" i="39"/>
  <c r="B338" i="39"/>
  <c r="C338" i="39" s="1"/>
  <c r="D338" i="39"/>
  <c r="H338" i="39"/>
  <c r="B339" i="39"/>
  <c r="C339" i="39" s="1"/>
  <c r="D339" i="39"/>
  <c r="H339" i="39"/>
  <c r="B340" i="39"/>
  <c r="C340" i="39" s="1"/>
  <c r="D340" i="39"/>
  <c r="H340" i="39"/>
  <c r="B341" i="39"/>
  <c r="C341" i="39" s="1"/>
  <c r="D341" i="39"/>
  <c r="H341" i="39"/>
  <c r="B342" i="39"/>
  <c r="C342" i="39" s="1"/>
  <c r="D342" i="39"/>
  <c r="H342" i="39"/>
  <c r="B343" i="39"/>
  <c r="C343" i="39" s="1"/>
  <c r="D343" i="39"/>
  <c r="H343" i="39"/>
  <c r="B344" i="39"/>
  <c r="C344" i="39" s="1"/>
  <c r="D344" i="39"/>
  <c r="H344" i="39"/>
  <c r="B345" i="39"/>
  <c r="C345" i="39" s="1"/>
  <c r="D345" i="39"/>
  <c r="H345" i="39"/>
  <c r="B346" i="39"/>
  <c r="D346" i="39"/>
  <c r="H346" i="39"/>
  <c r="B347" i="39"/>
  <c r="C347" i="39" s="1"/>
  <c r="D347" i="39"/>
  <c r="H347" i="39"/>
  <c r="B348" i="39"/>
  <c r="C348" i="39" s="1"/>
  <c r="D348" i="39"/>
  <c r="H348" i="39"/>
  <c r="B349" i="39"/>
  <c r="D349" i="39"/>
  <c r="H349" i="39"/>
  <c r="B350" i="39"/>
  <c r="C350" i="39" s="1"/>
  <c r="D350" i="39"/>
  <c r="H350" i="39"/>
  <c r="B351" i="39"/>
  <c r="C351" i="39" s="1"/>
  <c r="D351" i="39"/>
  <c r="H351" i="39"/>
  <c r="B352" i="39"/>
  <c r="C352" i="39" s="1"/>
  <c r="D352" i="39"/>
  <c r="H352" i="39"/>
  <c r="B353" i="39"/>
  <c r="C353" i="39" s="1"/>
  <c r="D353" i="39"/>
  <c r="H353" i="39"/>
  <c r="B354" i="39"/>
  <c r="C354" i="39" s="1"/>
  <c r="D354" i="39"/>
  <c r="H354" i="39"/>
  <c r="B355" i="39"/>
  <c r="C355" i="39" s="1"/>
  <c r="D355" i="39"/>
  <c r="H355" i="39"/>
  <c r="B356" i="39"/>
  <c r="C356" i="39" s="1"/>
  <c r="D356" i="39"/>
  <c r="H356" i="39"/>
  <c r="B357" i="39"/>
  <c r="C357" i="39" s="1"/>
  <c r="D357" i="39"/>
  <c r="H357" i="39"/>
  <c r="B358" i="39"/>
  <c r="C358" i="39" s="1"/>
  <c r="D358" i="39"/>
  <c r="H358" i="39"/>
  <c r="B359" i="39"/>
  <c r="C359" i="39" s="1"/>
  <c r="D359" i="39"/>
  <c r="H359" i="39"/>
  <c r="B360" i="39"/>
  <c r="C360" i="39" s="1"/>
  <c r="D360" i="39"/>
  <c r="H360" i="39"/>
  <c r="B361" i="39"/>
  <c r="D361" i="39"/>
  <c r="H361" i="39"/>
  <c r="B362" i="39"/>
  <c r="C362" i="39" s="1"/>
  <c r="D362" i="39"/>
  <c r="H362" i="39"/>
  <c r="B363" i="39"/>
  <c r="C363" i="39" s="1"/>
  <c r="D363" i="39"/>
  <c r="H363" i="39"/>
  <c r="B364" i="39"/>
  <c r="D364" i="39"/>
  <c r="H364" i="39"/>
  <c r="B365" i="39"/>
  <c r="C365" i="39" s="1"/>
  <c r="D365" i="39"/>
  <c r="H365" i="39"/>
  <c r="B366" i="39"/>
  <c r="C366" i="39" s="1"/>
  <c r="D366" i="39"/>
  <c r="H366" i="39"/>
  <c r="B367" i="39"/>
  <c r="D367" i="39"/>
  <c r="H367" i="39"/>
  <c r="B368" i="39"/>
  <c r="C368" i="39" s="1"/>
  <c r="D368" i="39"/>
  <c r="H368" i="39"/>
  <c r="B369" i="39"/>
  <c r="C369" i="39" s="1"/>
  <c r="D369" i="39"/>
  <c r="H369" i="39"/>
  <c r="B370" i="39"/>
  <c r="C370" i="39" s="1"/>
  <c r="D370" i="39"/>
  <c r="H370" i="39"/>
  <c r="B371" i="39"/>
  <c r="C371" i="39" s="1"/>
  <c r="D371" i="39"/>
  <c r="H371" i="39"/>
  <c r="B372" i="39"/>
  <c r="C372" i="39" s="1"/>
  <c r="D372" i="39"/>
  <c r="H372" i="39"/>
  <c r="B373" i="39"/>
  <c r="C373" i="39" s="1"/>
  <c r="D373" i="39"/>
  <c r="H373" i="39"/>
  <c r="B374" i="39"/>
  <c r="C374" i="39" s="1"/>
  <c r="D374" i="39"/>
  <c r="H374" i="39"/>
  <c r="B375" i="39"/>
  <c r="C375" i="39" s="1"/>
  <c r="D375" i="39"/>
  <c r="H375" i="39"/>
  <c r="B376" i="39"/>
  <c r="C376" i="39" s="1"/>
  <c r="D376" i="39"/>
  <c r="H376" i="39"/>
  <c r="B377" i="39"/>
  <c r="C377" i="39" s="1"/>
  <c r="D377" i="39"/>
  <c r="H377" i="39"/>
  <c r="B378" i="39"/>
  <c r="C378" i="39" s="1"/>
  <c r="D378" i="39"/>
  <c r="H378" i="39"/>
  <c r="B379" i="39"/>
  <c r="C379" i="39" s="1"/>
  <c r="D379" i="39"/>
  <c r="H379" i="39"/>
  <c r="B380" i="39"/>
  <c r="C380" i="39" s="1"/>
  <c r="D380" i="39"/>
  <c r="H380" i="39"/>
  <c r="B381" i="39"/>
  <c r="C381" i="39" s="1"/>
  <c r="D381" i="39"/>
  <c r="H381" i="39"/>
  <c r="B382" i="39"/>
  <c r="D382" i="39"/>
  <c r="H382" i="39"/>
  <c r="B383" i="39"/>
  <c r="C383" i="39" s="1"/>
  <c r="D383" i="39"/>
  <c r="H383" i="39"/>
  <c r="B384" i="39"/>
  <c r="C384" i="39" s="1"/>
  <c r="D384" i="39"/>
  <c r="H384" i="39"/>
  <c r="B385" i="39"/>
  <c r="D385" i="39"/>
  <c r="H385" i="39"/>
  <c r="B386" i="39"/>
  <c r="C386" i="39" s="1"/>
  <c r="D386" i="39"/>
  <c r="H386" i="39"/>
  <c r="B387" i="39"/>
  <c r="C387" i="39" s="1"/>
  <c r="D387" i="39"/>
  <c r="H387" i="39"/>
  <c r="B388" i="39"/>
  <c r="C388" i="39" s="1"/>
  <c r="D388" i="39"/>
  <c r="H388" i="39"/>
  <c r="B389" i="39"/>
  <c r="C389" i="39" s="1"/>
  <c r="D389" i="39"/>
  <c r="H389" i="39"/>
  <c r="B390" i="39"/>
  <c r="C390" i="39" s="1"/>
  <c r="D390" i="39"/>
  <c r="H390" i="39"/>
  <c r="B391" i="39"/>
  <c r="C391" i="39" s="1"/>
  <c r="D391" i="39"/>
  <c r="H391" i="39"/>
  <c r="B392" i="39"/>
  <c r="C392" i="39" s="1"/>
  <c r="D392" i="39"/>
  <c r="H392" i="39"/>
  <c r="B393" i="39"/>
  <c r="C393" i="39" s="1"/>
  <c r="D393" i="39"/>
  <c r="H393" i="39"/>
  <c r="B394" i="39"/>
  <c r="C394" i="39" s="1"/>
  <c r="D394" i="39"/>
  <c r="H394" i="39"/>
  <c r="B395" i="39"/>
  <c r="C395" i="39" s="1"/>
  <c r="D395" i="39"/>
  <c r="H395" i="39"/>
  <c r="B396" i="39"/>
  <c r="C396" i="39" s="1"/>
  <c r="D396" i="39"/>
  <c r="H396" i="39"/>
  <c r="B397" i="39"/>
  <c r="D397" i="39"/>
  <c r="H397" i="39"/>
  <c r="B398" i="39"/>
  <c r="C398" i="39" s="1"/>
  <c r="D398" i="39"/>
  <c r="H398" i="39"/>
  <c r="B399" i="39"/>
  <c r="C399" i="39" s="1"/>
  <c r="D399" i="39"/>
  <c r="H399" i="39"/>
  <c r="B400" i="39"/>
  <c r="D400" i="39"/>
  <c r="H400" i="39"/>
  <c r="B401" i="39"/>
  <c r="C401" i="39" s="1"/>
  <c r="D401" i="39"/>
  <c r="H401" i="39"/>
  <c r="B402" i="39"/>
  <c r="C402" i="39" s="1"/>
  <c r="D402" i="39"/>
  <c r="H402" i="39"/>
  <c r="B403" i="39"/>
  <c r="D403" i="39"/>
  <c r="H403" i="39"/>
  <c r="B404" i="39"/>
  <c r="C404" i="39" s="1"/>
  <c r="D404" i="39"/>
  <c r="H404" i="39"/>
  <c r="B405" i="39"/>
  <c r="C405" i="39" s="1"/>
  <c r="D405" i="39"/>
  <c r="H405" i="39"/>
  <c r="B406" i="39"/>
  <c r="C406" i="39" s="1"/>
  <c r="D406" i="39"/>
  <c r="H406" i="39"/>
  <c r="B407" i="39"/>
  <c r="C407" i="39" s="1"/>
  <c r="D407" i="39"/>
  <c r="H407" i="39"/>
  <c r="B408" i="39"/>
  <c r="C408" i="39" s="1"/>
  <c r="D408" i="39"/>
  <c r="H408" i="39"/>
  <c r="B409" i="39"/>
  <c r="C409" i="39" s="1"/>
  <c r="D409" i="39"/>
  <c r="H409" i="39"/>
  <c r="B410" i="39"/>
  <c r="D410" i="39"/>
  <c r="H410" i="39"/>
  <c r="B411" i="39"/>
  <c r="C411" i="39" s="1"/>
  <c r="D411" i="39"/>
  <c r="H411" i="39"/>
  <c r="B412" i="39"/>
  <c r="C412" i="39" s="1"/>
  <c r="D412" i="39"/>
  <c r="H412" i="39"/>
  <c r="B413" i="39"/>
  <c r="C413" i="39" s="1"/>
  <c r="D413" i="39"/>
  <c r="H413" i="39"/>
  <c r="B414" i="39"/>
  <c r="C414" i="39" s="1"/>
  <c r="D414" i="39"/>
  <c r="H414" i="39"/>
  <c r="B415" i="39"/>
  <c r="C415" i="39" s="1"/>
  <c r="D415" i="39"/>
  <c r="H415" i="39"/>
  <c r="B416" i="39"/>
  <c r="C416" i="39" s="1"/>
  <c r="D416" i="39"/>
  <c r="H416" i="39"/>
  <c r="B417" i="39"/>
  <c r="C417" i="39" s="1"/>
  <c r="D417" i="39"/>
  <c r="H417" i="39"/>
  <c r="B418" i="39"/>
  <c r="C418" i="39" s="1"/>
  <c r="D418" i="39"/>
  <c r="H418" i="39"/>
  <c r="B419" i="39"/>
  <c r="C419" i="39" s="1"/>
  <c r="D419" i="39"/>
  <c r="H419" i="39"/>
  <c r="B420" i="39"/>
  <c r="C420" i="39" s="1"/>
  <c r="D420" i="39"/>
  <c r="H420" i="39"/>
  <c r="B421" i="39"/>
  <c r="D421" i="39"/>
  <c r="H421" i="39"/>
  <c r="B422" i="39"/>
  <c r="C422" i="39" s="1"/>
  <c r="D422" i="39"/>
  <c r="H422" i="39"/>
  <c r="B423" i="39"/>
  <c r="C423" i="39" s="1"/>
  <c r="D423" i="39"/>
  <c r="H423" i="39"/>
  <c r="B424" i="39"/>
  <c r="C424" i="39" s="1"/>
  <c r="D424" i="39"/>
  <c r="H424" i="39"/>
  <c r="B425" i="39"/>
  <c r="C425" i="39" s="1"/>
  <c r="D425" i="39"/>
  <c r="H425" i="39"/>
  <c r="B426" i="39"/>
  <c r="C426" i="39" s="1"/>
  <c r="D426" i="39"/>
  <c r="H426" i="39"/>
  <c r="B427" i="39"/>
  <c r="C427" i="39" s="1"/>
  <c r="D427" i="39"/>
  <c r="H427" i="39"/>
  <c r="B428" i="39"/>
  <c r="C428" i="39" s="1"/>
  <c r="D428" i="39"/>
  <c r="H428" i="39"/>
  <c r="B429" i="39"/>
  <c r="C429" i="39" s="1"/>
  <c r="D429" i="39"/>
  <c r="H429" i="39"/>
  <c r="B430" i="39"/>
  <c r="D430" i="39"/>
  <c r="H430" i="39"/>
  <c r="B431" i="39"/>
  <c r="C431" i="39" s="1"/>
  <c r="D431" i="39"/>
  <c r="H431" i="39"/>
  <c r="B432" i="39"/>
  <c r="C432" i="39" s="1"/>
  <c r="D432" i="39"/>
  <c r="H432" i="39"/>
  <c r="B433" i="39"/>
  <c r="C433" i="39" s="1"/>
  <c r="D433" i="39"/>
  <c r="H433" i="39"/>
  <c r="B434" i="39"/>
  <c r="D434" i="39"/>
  <c r="H434" i="39"/>
  <c r="B435" i="39"/>
  <c r="C435" i="39" s="1"/>
  <c r="D435" i="39"/>
  <c r="H435" i="39"/>
  <c r="B436" i="39"/>
  <c r="C436" i="39" s="1"/>
  <c r="D436" i="39"/>
  <c r="H436" i="39"/>
  <c r="B437" i="39"/>
  <c r="C437" i="39" s="1"/>
  <c r="D437" i="39"/>
  <c r="H437" i="39"/>
  <c r="B438" i="39"/>
  <c r="C438" i="39" s="1"/>
  <c r="D438" i="39"/>
  <c r="H438" i="39"/>
  <c r="B439" i="39"/>
  <c r="C439" i="39" s="1"/>
  <c r="D439" i="39"/>
  <c r="H439" i="39"/>
  <c r="B440" i="39"/>
  <c r="D440" i="39"/>
  <c r="H440" i="39"/>
  <c r="B441" i="39"/>
  <c r="C441" i="39" s="1"/>
  <c r="D441" i="39"/>
  <c r="H441" i="39"/>
  <c r="B442" i="39"/>
  <c r="C442" i="39" s="1"/>
  <c r="D442" i="39"/>
  <c r="H442" i="39"/>
  <c r="B443" i="39"/>
  <c r="C443" i="39" s="1"/>
  <c r="D443" i="39"/>
  <c r="H443" i="39"/>
  <c r="B444" i="39"/>
  <c r="C444" i="39" s="1"/>
  <c r="D444" i="39"/>
  <c r="H444" i="39"/>
  <c r="B445" i="39"/>
  <c r="C445" i="39" s="1"/>
  <c r="D445" i="39"/>
  <c r="H445" i="39"/>
  <c r="B446" i="39"/>
  <c r="C446" i="39" s="1"/>
  <c r="D446" i="39"/>
  <c r="H446" i="39"/>
  <c r="B447" i="39"/>
  <c r="C447" i="39" s="1"/>
  <c r="D447" i="39"/>
  <c r="H447" i="39"/>
  <c r="B448" i="39"/>
  <c r="C448" i="39" s="1"/>
  <c r="D448" i="39"/>
  <c r="H448" i="39"/>
  <c r="B449" i="39"/>
  <c r="C449" i="39" s="1"/>
  <c r="D449" i="39"/>
  <c r="H449" i="39"/>
  <c r="B450" i="39"/>
  <c r="C450" i="39" s="1"/>
  <c r="D450" i="39"/>
  <c r="H450" i="39"/>
  <c r="B451" i="39"/>
  <c r="C451" i="39" s="1"/>
  <c r="D451" i="39"/>
  <c r="H451" i="39"/>
  <c r="B452" i="39"/>
  <c r="C452" i="39" s="1"/>
  <c r="D452" i="39"/>
  <c r="H452" i="39"/>
  <c r="B453" i="39"/>
  <c r="D453" i="39"/>
  <c r="H453" i="39"/>
  <c r="B454" i="39"/>
  <c r="C454" i="39" s="1"/>
  <c r="D454" i="39"/>
  <c r="H454" i="39"/>
  <c r="B455" i="39"/>
  <c r="D455" i="39"/>
  <c r="H455" i="39"/>
  <c r="B456" i="39"/>
  <c r="C456" i="39" s="1"/>
  <c r="D456" i="39"/>
  <c r="H456" i="39"/>
  <c r="B457" i="39"/>
  <c r="C457" i="39" s="1"/>
  <c r="D457" i="39"/>
  <c r="H457" i="39"/>
  <c r="B458" i="39"/>
  <c r="C458" i="39" s="1"/>
  <c r="D458" i="39"/>
  <c r="H458" i="39"/>
  <c r="B459" i="39"/>
  <c r="D459" i="39"/>
  <c r="H459" i="39"/>
  <c r="B460" i="39"/>
  <c r="C460" i="39" s="1"/>
  <c r="D460" i="39"/>
  <c r="H460" i="39"/>
  <c r="B461" i="39"/>
  <c r="C461" i="39" s="1"/>
  <c r="D461" i="39"/>
  <c r="H461" i="39"/>
  <c r="B462" i="39"/>
  <c r="C462" i="39" s="1"/>
  <c r="D462" i="39"/>
  <c r="H462" i="39"/>
  <c r="B463" i="39"/>
  <c r="D463" i="39"/>
  <c r="H463" i="39"/>
  <c r="B464" i="39"/>
  <c r="D464" i="39"/>
  <c r="H464" i="39"/>
  <c r="B465" i="39"/>
  <c r="D465" i="39"/>
  <c r="H465" i="39"/>
  <c r="B466" i="39"/>
  <c r="C466" i="39" s="1"/>
  <c r="D466" i="39"/>
  <c r="H466" i="39"/>
  <c r="B467" i="39"/>
  <c r="C467" i="39" s="1"/>
  <c r="D467" i="39"/>
  <c r="H467" i="39"/>
  <c r="B468" i="39"/>
  <c r="C468" i="39" s="1"/>
  <c r="D468" i="39"/>
  <c r="H468" i="39"/>
  <c r="B469" i="39"/>
  <c r="C469" i="39" s="1"/>
  <c r="D469" i="39"/>
  <c r="H469" i="39"/>
  <c r="B470" i="39"/>
  <c r="D470" i="39"/>
  <c r="H470" i="39"/>
  <c r="B471" i="39"/>
  <c r="C471" i="39" s="1"/>
  <c r="D471" i="39"/>
  <c r="H471" i="39"/>
  <c r="B472" i="39"/>
  <c r="C472" i="39" s="1"/>
  <c r="D472" i="39"/>
  <c r="H472" i="39"/>
  <c r="B473" i="39"/>
  <c r="C473" i="39" s="1"/>
  <c r="D473" i="39"/>
  <c r="H473" i="39"/>
  <c r="B474" i="39"/>
  <c r="C474" i="39" s="1"/>
  <c r="D474" i="39"/>
  <c r="H474" i="39"/>
  <c r="B475" i="39"/>
  <c r="C475" i="39" s="1"/>
  <c r="D475" i="39"/>
  <c r="H475" i="39"/>
  <c r="B476" i="39"/>
  <c r="D476" i="39"/>
  <c r="H476" i="39"/>
  <c r="B477" i="39"/>
  <c r="D477" i="39"/>
  <c r="H477" i="39"/>
  <c r="B478" i="39"/>
  <c r="C478" i="39" s="1"/>
  <c r="D478" i="39"/>
  <c r="H478" i="39"/>
  <c r="B479" i="39"/>
  <c r="C479" i="39" s="1"/>
  <c r="D479" i="39"/>
  <c r="H479" i="39"/>
  <c r="B480" i="39"/>
  <c r="C480" i="39" s="1"/>
  <c r="D480" i="39"/>
  <c r="H480" i="39"/>
  <c r="B481" i="39"/>
  <c r="D481" i="39"/>
  <c r="H481" i="39"/>
  <c r="B482" i="39"/>
  <c r="C482" i="39" s="1"/>
  <c r="D482" i="39"/>
  <c r="H482" i="39"/>
  <c r="B483" i="39"/>
  <c r="C483" i="39" s="1"/>
  <c r="D483" i="39"/>
  <c r="H483" i="39"/>
  <c r="B484" i="39"/>
  <c r="C484" i="39" s="1"/>
  <c r="D484" i="39"/>
  <c r="H484" i="39"/>
  <c r="B485" i="39"/>
  <c r="C485" i="39" s="1"/>
  <c r="D485" i="39"/>
  <c r="H485" i="39"/>
  <c r="B486" i="39"/>
  <c r="C486" i="39" s="1"/>
  <c r="D486" i="39"/>
  <c r="H486" i="39"/>
  <c r="B487" i="39"/>
  <c r="C487" i="39" s="1"/>
  <c r="D487" i="39"/>
  <c r="H487" i="39"/>
  <c r="B488" i="39"/>
  <c r="C488" i="39" s="1"/>
  <c r="D488" i="39"/>
  <c r="H488" i="39"/>
  <c r="B489" i="39"/>
  <c r="D489" i="39"/>
  <c r="H489" i="39"/>
  <c r="B490" i="39"/>
  <c r="C490" i="39" s="1"/>
  <c r="D490" i="39"/>
  <c r="H490" i="39"/>
  <c r="B491" i="39"/>
  <c r="C491" i="39" s="1"/>
  <c r="D491" i="39"/>
  <c r="H491" i="39"/>
  <c r="B492" i="39"/>
  <c r="C492" i="39" s="1"/>
  <c r="D492" i="39"/>
  <c r="H492" i="39"/>
  <c r="B493" i="39"/>
  <c r="C493" i="39" s="1"/>
  <c r="D493" i="39"/>
  <c r="H493" i="39"/>
  <c r="B494" i="39"/>
  <c r="C494" i="39" s="1"/>
  <c r="D494" i="39"/>
  <c r="H494" i="39"/>
  <c r="B495" i="39"/>
  <c r="D495" i="39"/>
  <c r="H495" i="39"/>
  <c r="B496" i="39"/>
  <c r="D496" i="39"/>
  <c r="H496" i="39"/>
  <c r="B497" i="39"/>
  <c r="C497" i="39" s="1"/>
  <c r="D497" i="39"/>
  <c r="H497" i="39"/>
  <c r="B498" i="39"/>
  <c r="C498" i="39" s="1"/>
  <c r="D498" i="39"/>
  <c r="H498" i="39"/>
  <c r="B499" i="39"/>
  <c r="C499" i="39" s="1"/>
  <c r="D499" i="39"/>
  <c r="H499" i="39"/>
  <c r="B500" i="39"/>
  <c r="D500" i="39"/>
  <c r="H500" i="39"/>
  <c r="B501" i="39"/>
  <c r="D501" i="39"/>
  <c r="H501" i="39"/>
  <c r="B502" i="39"/>
  <c r="C502" i="39" s="1"/>
  <c r="D502" i="39"/>
  <c r="H502" i="39"/>
  <c r="B503" i="39"/>
  <c r="C503" i="39" s="1"/>
  <c r="D503" i="39"/>
  <c r="H503" i="39"/>
  <c r="B504" i="39"/>
  <c r="C504" i="39" s="1"/>
  <c r="D504" i="39"/>
  <c r="H504" i="39"/>
  <c r="B505" i="39"/>
  <c r="C505" i="39" s="1"/>
  <c r="D505" i="39"/>
  <c r="H505" i="39"/>
  <c r="B506" i="39"/>
  <c r="D506" i="39"/>
  <c r="H506" i="39"/>
  <c r="B507" i="39"/>
  <c r="C507" i="39" s="1"/>
  <c r="D507" i="39"/>
  <c r="H507" i="39"/>
  <c r="B508" i="39"/>
  <c r="C508" i="39" s="1"/>
  <c r="D508" i="39"/>
  <c r="H508" i="39"/>
  <c r="B509" i="39"/>
  <c r="C509" i="39" s="1"/>
  <c r="D509" i="39"/>
  <c r="H509" i="39"/>
  <c r="B510" i="39"/>
  <c r="C510" i="39" s="1"/>
  <c r="D510" i="39"/>
  <c r="H510" i="39"/>
  <c r="B511" i="39"/>
  <c r="D511" i="39"/>
  <c r="H511" i="39"/>
  <c r="B512" i="39"/>
  <c r="D512" i="39"/>
  <c r="H512" i="39"/>
  <c r="B513" i="39"/>
  <c r="C513" i="39" s="1"/>
  <c r="D513" i="39"/>
  <c r="H513" i="39"/>
  <c r="B514" i="39"/>
  <c r="C514" i="39" s="1"/>
  <c r="D514" i="39"/>
  <c r="H514" i="39"/>
  <c r="B515" i="39"/>
  <c r="C515" i="39" s="1"/>
  <c r="D515" i="39"/>
  <c r="H515" i="39"/>
  <c r="B516" i="39"/>
  <c r="C516" i="39" s="1"/>
  <c r="D516" i="39"/>
  <c r="H516" i="39"/>
  <c r="B517" i="39"/>
  <c r="D517" i="39"/>
  <c r="H517" i="39"/>
  <c r="B518" i="39"/>
  <c r="C518" i="39" s="1"/>
  <c r="D518" i="39"/>
  <c r="H518" i="39"/>
  <c r="B519" i="39"/>
  <c r="C519" i="39" s="1"/>
  <c r="D519" i="39"/>
  <c r="H519" i="39"/>
  <c r="B520" i="39"/>
  <c r="C520" i="39" s="1"/>
  <c r="D520" i="39"/>
  <c r="H520" i="39"/>
  <c r="B521" i="39"/>
  <c r="C521" i="39" s="1"/>
  <c r="D521" i="39"/>
  <c r="H521" i="39"/>
  <c r="B522" i="39"/>
  <c r="C522" i="39" s="1"/>
  <c r="D522" i="39"/>
  <c r="H522" i="39"/>
  <c r="B523" i="39"/>
  <c r="C523" i="39" s="1"/>
  <c r="D523" i="39"/>
  <c r="H523" i="39"/>
  <c r="B524" i="39"/>
  <c r="D524" i="39"/>
  <c r="H524" i="39"/>
  <c r="B525" i="39"/>
  <c r="D525" i="39"/>
  <c r="H525" i="39"/>
  <c r="B526" i="39"/>
  <c r="C526" i="39" s="1"/>
  <c r="D526" i="39"/>
  <c r="H526" i="39"/>
  <c r="B527" i="39"/>
  <c r="C527" i="39" s="1"/>
  <c r="D527" i="39"/>
  <c r="H527" i="39"/>
  <c r="B528" i="39"/>
  <c r="C528" i="39" s="1"/>
  <c r="D528" i="39"/>
  <c r="H528" i="39"/>
  <c r="B529" i="39"/>
  <c r="C529" i="39" s="1"/>
  <c r="D529" i="39"/>
  <c r="H529" i="39"/>
  <c r="B530" i="39"/>
  <c r="C530" i="39" s="1"/>
  <c r="D530" i="39"/>
  <c r="H530" i="39"/>
  <c r="B531" i="39"/>
  <c r="D531" i="39"/>
  <c r="H531" i="39"/>
  <c r="B532" i="39"/>
  <c r="D532" i="39"/>
  <c r="H532" i="39"/>
  <c r="B533" i="39"/>
  <c r="C533" i="39" s="1"/>
  <c r="D533" i="39"/>
  <c r="H533" i="39"/>
  <c r="B534" i="39"/>
  <c r="C534" i="39" s="1"/>
  <c r="D534" i="39"/>
  <c r="H534" i="39"/>
  <c r="B535" i="39"/>
  <c r="C535" i="39" s="1"/>
  <c r="D535" i="39"/>
  <c r="H535" i="39"/>
  <c r="B536" i="39"/>
  <c r="D536" i="39"/>
  <c r="H536" i="39"/>
  <c r="B537" i="39"/>
  <c r="D537" i="39"/>
  <c r="H537" i="39"/>
  <c r="B538" i="39"/>
  <c r="C538" i="39" s="1"/>
  <c r="D538" i="39"/>
  <c r="H538" i="39"/>
  <c r="B539" i="39"/>
  <c r="C539" i="39" s="1"/>
  <c r="D539" i="39"/>
  <c r="H539" i="39"/>
  <c r="B540" i="39"/>
  <c r="C540" i="39" s="1"/>
  <c r="D540" i="39"/>
  <c r="H540" i="39"/>
  <c r="B542" i="39"/>
  <c r="D542" i="39"/>
  <c r="H542" i="39"/>
  <c r="B543" i="39"/>
  <c r="C543" i="39" s="1"/>
  <c r="D543" i="39"/>
  <c r="H543" i="39"/>
  <c r="B544" i="39"/>
  <c r="C544" i="39" s="1"/>
  <c r="D544" i="39"/>
  <c r="H544" i="39"/>
  <c r="B545" i="39"/>
  <c r="C545" i="39" s="1"/>
  <c r="D545" i="39"/>
  <c r="H545" i="39"/>
  <c r="B546" i="39"/>
  <c r="C546" i="39" s="1"/>
  <c r="D546" i="39"/>
  <c r="H546" i="39"/>
  <c r="B547" i="39"/>
  <c r="D547" i="39"/>
  <c r="H547" i="39"/>
  <c r="B548" i="39"/>
  <c r="D548" i="39"/>
  <c r="H548" i="39"/>
  <c r="B549" i="39"/>
  <c r="D549" i="39"/>
  <c r="H549" i="39"/>
  <c r="B550" i="39"/>
  <c r="C550" i="39" s="1"/>
  <c r="D550" i="39"/>
  <c r="H550" i="39"/>
  <c r="B551" i="39"/>
  <c r="C551" i="39" s="1"/>
  <c r="D551" i="39"/>
  <c r="H551" i="39"/>
  <c r="B552" i="39"/>
  <c r="C552" i="39" s="1"/>
  <c r="D552" i="39"/>
  <c r="H552" i="39"/>
  <c r="B553" i="39"/>
  <c r="D553" i="39"/>
  <c r="H553" i="39"/>
  <c r="B554" i="39"/>
  <c r="C554" i="39" s="1"/>
  <c r="D554" i="39"/>
  <c r="H554" i="39"/>
  <c r="B555" i="39"/>
  <c r="C555" i="39" s="1"/>
  <c r="D555" i="39"/>
  <c r="H555" i="39"/>
  <c r="B556" i="39"/>
  <c r="C556" i="39" s="1"/>
  <c r="D556" i="39"/>
  <c r="H556" i="39"/>
  <c r="B557" i="39"/>
  <c r="C557" i="39" s="1"/>
  <c r="D557" i="39"/>
  <c r="H557" i="39"/>
  <c r="B558" i="39"/>
  <c r="C558" i="39" s="1"/>
  <c r="D558" i="39"/>
  <c r="H558" i="39"/>
  <c r="B559" i="39"/>
  <c r="C559" i="39" s="1"/>
  <c r="D559" i="39"/>
  <c r="H559" i="39"/>
  <c r="B560" i="39"/>
  <c r="D560" i="39"/>
  <c r="H560" i="39"/>
  <c r="B561" i="39"/>
  <c r="D561" i="39"/>
  <c r="H561" i="39"/>
  <c r="B562" i="39"/>
  <c r="C562" i="39" s="1"/>
  <c r="D562" i="39"/>
  <c r="H562" i="39"/>
  <c r="B563" i="39"/>
  <c r="C563" i="39" s="1"/>
  <c r="D563" i="39"/>
  <c r="H563" i="39"/>
  <c r="B564" i="39"/>
  <c r="C564" i="39" s="1"/>
  <c r="D564" i="39"/>
  <c r="H564" i="39"/>
  <c r="B565" i="39"/>
  <c r="C565" i="39" s="1"/>
  <c r="D565" i="39"/>
  <c r="H565" i="39"/>
  <c r="B566" i="39"/>
  <c r="C566" i="39" s="1"/>
  <c r="D566" i="39"/>
  <c r="H566" i="39"/>
  <c r="B567" i="39"/>
  <c r="D567" i="39"/>
  <c r="H567" i="39"/>
  <c r="B568" i="39"/>
  <c r="D568" i="39"/>
  <c r="H568" i="39"/>
  <c r="B569" i="39"/>
  <c r="C569" i="39" s="1"/>
  <c r="D569" i="39"/>
  <c r="H569" i="39"/>
  <c r="B570" i="39"/>
  <c r="C570" i="39" s="1"/>
  <c r="D570" i="39"/>
  <c r="H570" i="39"/>
  <c r="B571" i="39"/>
  <c r="C571" i="39" s="1"/>
  <c r="D571" i="39"/>
  <c r="H571" i="39"/>
  <c r="B572" i="39"/>
  <c r="D572" i="39"/>
  <c r="H572" i="39"/>
  <c r="B573" i="39"/>
  <c r="D573" i="39"/>
  <c r="H573" i="39"/>
  <c r="B574" i="39"/>
  <c r="C574" i="39" s="1"/>
  <c r="D574" i="39"/>
  <c r="H574" i="39"/>
  <c r="B575" i="39"/>
  <c r="C575" i="39" s="1"/>
  <c r="D575" i="39"/>
  <c r="H575" i="39"/>
  <c r="B576" i="39"/>
  <c r="C576" i="39" s="1"/>
  <c r="D576" i="39"/>
  <c r="H576" i="39"/>
  <c r="B577" i="39"/>
  <c r="C577" i="39" s="1"/>
  <c r="D577" i="39"/>
  <c r="H577" i="39"/>
  <c r="B578" i="39"/>
  <c r="D578" i="39"/>
  <c r="H578" i="39"/>
  <c r="B579" i="39"/>
  <c r="C579" i="39" s="1"/>
  <c r="D579" i="39"/>
  <c r="H579" i="39"/>
  <c r="B580" i="39"/>
  <c r="C580" i="39" s="1"/>
  <c r="D580" i="39"/>
  <c r="H580" i="39"/>
  <c r="B581" i="39"/>
  <c r="C581" i="39" s="1"/>
  <c r="D581" i="39"/>
  <c r="H581" i="39"/>
  <c r="B582" i="39"/>
  <c r="C582" i="39" s="1"/>
  <c r="D582" i="39"/>
  <c r="H582" i="39"/>
  <c r="B583" i="39"/>
  <c r="D583" i="39"/>
  <c r="H583" i="39"/>
  <c r="B584" i="39"/>
  <c r="D584" i="39"/>
  <c r="H584" i="39"/>
  <c r="B585" i="39"/>
  <c r="C585" i="39" s="1"/>
  <c r="D585" i="39"/>
  <c r="H585" i="39"/>
  <c r="B586" i="39"/>
  <c r="C586" i="39" s="1"/>
  <c r="D586" i="39"/>
  <c r="H586" i="39"/>
  <c r="B587" i="39"/>
  <c r="C587" i="39" s="1"/>
  <c r="D587" i="39"/>
  <c r="H587" i="39"/>
  <c r="B588" i="39"/>
  <c r="C588" i="39" s="1"/>
  <c r="D588" i="39"/>
  <c r="H588" i="39"/>
  <c r="B589" i="39"/>
  <c r="D589" i="39"/>
  <c r="H589" i="39"/>
  <c r="B590" i="39"/>
  <c r="C590" i="39" s="1"/>
  <c r="D590" i="39"/>
  <c r="H590" i="39"/>
  <c r="B591" i="39"/>
  <c r="C591" i="39" s="1"/>
  <c r="D591" i="39"/>
  <c r="H591" i="39"/>
  <c r="B592" i="39"/>
  <c r="D592" i="39"/>
  <c r="H592" i="39"/>
  <c r="B593" i="39"/>
  <c r="C593" i="39" s="1"/>
  <c r="D593" i="39"/>
  <c r="H593" i="39"/>
  <c r="B594" i="39"/>
  <c r="C594" i="39" s="1"/>
  <c r="D594" i="39"/>
  <c r="H594" i="39"/>
  <c r="B595" i="39"/>
  <c r="D595" i="39"/>
  <c r="H595" i="39"/>
  <c r="B596" i="39"/>
  <c r="C596" i="39" s="1"/>
  <c r="D596" i="39"/>
  <c r="H596" i="39"/>
  <c r="B597" i="39"/>
  <c r="C597" i="39" s="1"/>
  <c r="D597" i="39"/>
  <c r="H597" i="39"/>
  <c r="B598" i="39"/>
  <c r="D598" i="39"/>
  <c r="H598" i="39"/>
  <c r="B599" i="39"/>
  <c r="C599" i="39" s="1"/>
  <c r="D599" i="39"/>
  <c r="H599" i="39"/>
  <c r="B600" i="39"/>
  <c r="C600" i="39" s="1"/>
  <c r="D600" i="39"/>
  <c r="H600" i="39"/>
  <c r="B601" i="39"/>
  <c r="D601" i="39"/>
  <c r="H601" i="39"/>
  <c r="B602" i="39"/>
  <c r="C602" i="39" s="1"/>
  <c r="D602" i="39"/>
  <c r="H602" i="39"/>
  <c r="B603" i="39"/>
  <c r="C603" i="39" s="1"/>
  <c r="D603" i="39"/>
  <c r="H603" i="39"/>
  <c r="B604" i="39"/>
  <c r="D604" i="39"/>
  <c r="H604" i="39"/>
  <c r="B605" i="39"/>
  <c r="C605" i="39" s="1"/>
  <c r="D605" i="39"/>
  <c r="H605" i="39"/>
  <c r="B606" i="39"/>
  <c r="D606" i="39"/>
  <c r="H606" i="39"/>
  <c r="B607" i="39"/>
  <c r="D607" i="39"/>
  <c r="H607" i="39"/>
  <c r="B608" i="39"/>
  <c r="C608" i="39" s="1"/>
  <c r="D608" i="39"/>
  <c r="H608" i="39"/>
  <c r="B609" i="39"/>
  <c r="C609" i="39" s="1"/>
  <c r="D609" i="39"/>
  <c r="H609" i="39"/>
  <c r="B610" i="39"/>
  <c r="D610" i="39"/>
  <c r="H610" i="39"/>
  <c r="B611" i="39"/>
  <c r="C611" i="39" s="1"/>
  <c r="D611" i="39"/>
  <c r="H611" i="39"/>
  <c r="B612" i="39"/>
  <c r="C612" i="39" s="1"/>
  <c r="D612" i="39"/>
  <c r="H612" i="39"/>
  <c r="B613" i="39"/>
  <c r="D613" i="39"/>
  <c r="H613" i="39"/>
  <c r="B614" i="39"/>
  <c r="C614" i="39" s="1"/>
  <c r="D614" i="39"/>
  <c r="H614" i="39"/>
  <c r="B615" i="39"/>
  <c r="C615" i="39" s="1"/>
  <c r="D615" i="39"/>
  <c r="H615" i="39"/>
  <c r="B616" i="39"/>
  <c r="D616" i="39"/>
  <c r="H616" i="39"/>
  <c r="B617" i="39"/>
  <c r="C617" i="39" s="1"/>
  <c r="D617" i="39"/>
  <c r="H617" i="39"/>
  <c r="B618" i="39"/>
  <c r="D618" i="39"/>
  <c r="H618" i="39"/>
  <c r="B619" i="39"/>
  <c r="D619" i="39"/>
  <c r="H619" i="39"/>
  <c r="B620" i="39"/>
  <c r="C620" i="39" s="1"/>
  <c r="D620" i="39"/>
  <c r="H620" i="39"/>
  <c r="B621" i="39"/>
  <c r="C621" i="39" s="1"/>
  <c r="D621" i="39"/>
  <c r="H621" i="39"/>
  <c r="B622" i="39"/>
  <c r="D622" i="39"/>
  <c r="H622" i="39"/>
  <c r="B623" i="39"/>
  <c r="C623" i="39" s="1"/>
  <c r="D623" i="39"/>
  <c r="H623" i="39"/>
  <c r="B624" i="39"/>
  <c r="C624" i="39" s="1"/>
  <c r="D624" i="39"/>
  <c r="H624" i="39"/>
  <c r="B625" i="39"/>
  <c r="D625" i="39"/>
  <c r="H625" i="39"/>
  <c r="B626" i="39"/>
  <c r="C626" i="39" s="1"/>
  <c r="D626" i="39"/>
  <c r="H626" i="39"/>
  <c r="B627" i="39"/>
  <c r="C627" i="39" s="1"/>
  <c r="D627" i="39"/>
  <c r="H627" i="39"/>
  <c r="B628" i="39"/>
  <c r="D628" i="39"/>
  <c r="H628" i="39"/>
  <c r="B629" i="39"/>
  <c r="D629" i="39"/>
  <c r="H629" i="39"/>
  <c r="B630" i="39"/>
  <c r="D630" i="39"/>
  <c r="H630" i="39"/>
  <c r="B631" i="39"/>
  <c r="D631" i="39"/>
  <c r="H631" i="39"/>
  <c r="B632" i="39"/>
  <c r="D632" i="39"/>
  <c r="H632" i="39"/>
  <c r="B633" i="39"/>
  <c r="C633" i="39" s="1"/>
  <c r="D633" i="39"/>
  <c r="H633" i="39"/>
  <c r="B634" i="39"/>
  <c r="D634" i="39"/>
  <c r="H634" i="39"/>
  <c r="B635" i="39"/>
  <c r="C635" i="39" s="1"/>
  <c r="D635" i="39"/>
  <c r="H635" i="39"/>
  <c r="B636" i="39"/>
  <c r="C636" i="39" s="1"/>
  <c r="D636" i="39"/>
  <c r="H636" i="39"/>
  <c r="B637" i="39"/>
  <c r="D637" i="39"/>
  <c r="H637" i="39"/>
  <c r="B638" i="39"/>
  <c r="C638" i="39" s="1"/>
  <c r="D638" i="39"/>
  <c r="H638" i="39"/>
  <c r="B639" i="39"/>
  <c r="C639" i="39" s="1"/>
  <c r="D639" i="39"/>
  <c r="H639" i="39"/>
  <c r="B640" i="39"/>
  <c r="D640" i="39"/>
  <c r="H640" i="39"/>
  <c r="B641" i="39"/>
  <c r="D641" i="39"/>
  <c r="H641" i="39"/>
  <c r="B642" i="39"/>
  <c r="D642" i="39"/>
  <c r="H642" i="39"/>
  <c r="B643" i="39"/>
  <c r="D643" i="39"/>
  <c r="H643" i="39"/>
  <c r="B644" i="39"/>
  <c r="C644" i="39" s="1"/>
  <c r="D644" i="39"/>
  <c r="H644" i="39"/>
  <c r="B645" i="39"/>
  <c r="C645" i="39" s="1"/>
  <c r="D645" i="39"/>
  <c r="H645" i="39"/>
  <c r="B646" i="39"/>
  <c r="D646" i="39"/>
  <c r="H646" i="39"/>
  <c r="B647" i="39"/>
  <c r="C647" i="39" s="1"/>
  <c r="D647" i="39"/>
  <c r="H647" i="39"/>
  <c r="B648" i="39"/>
  <c r="C648" i="39" s="1"/>
  <c r="D648" i="39"/>
  <c r="H648" i="39"/>
  <c r="B649" i="39"/>
  <c r="C649" i="39" s="1"/>
  <c r="D649" i="39"/>
  <c r="H649" i="39"/>
  <c r="B650" i="39"/>
  <c r="D650" i="39"/>
  <c r="H650" i="39"/>
  <c r="B651" i="39"/>
  <c r="C651" i="39" s="1"/>
  <c r="D651" i="39"/>
  <c r="H651" i="39"/>
  <c r="B652" i="39"/>
  <c r="C652" i="39" s="1"/>
  <c r="D652" i="39"/>
  <c r="H652" i="39"/>
  <c r="B653" i="39"/>
  <c r="D653" i="39"/>
  <c r="H653" i="39"/>
  <c r="B654" i="39"/>
  <c r="C654" i="39" s="1"/>
  <c r="D654" i="39"/>
  <c r="H654" i="39"/>
  <c r="B655" i="39"/>
  <c r="C655" i="39" s="1"/>
  <c r="D655" i="39"/>
  <c r="H655" i="39"/>
  <c r="B656" i="39"/>
  <c r="D656" i="39"/>
  <c r="H656" i="39"/>
  <c r="B657" i="39"/>
  <c r="C657" i="39" s="1"/>
  <c r="D657" i="39"/>
  <c r="H657" i="39"/>
  <c r="B658" i="39"/>
  <c r="C658" i="39" s="1"/>
  <c r="D658" i="39"/>
  <c r="H658" i="39"/>
  <c r="B659" i="39"/>
  <c r="D659" i="39"/>
  <c r="H659" i="39"/>
  <c r="B660" i="39"/>
  <c r="D660" i="39"/>
  <c r="H660" i="39"/>
  <c r="B661" i="39"/>
  <c r="D661" i="39"/>
  <c r="H661" i="39"/>
  <c r="B662" i="39"/>
  <c r="C662" i="39" s="1"/>
  <c r="D662" i="39"/>
  <c r="H662" i="39"/>
  <c r="B663" i="39"/>
  <c r="C663" i="39" s="1"/>
  <c r="D663" i="39"/>
  <c r="H663" i="39"/>
  <c r="B664" i="39"/>
  <c r="D664" i="39"/>
  <c r="H664" i="39"/>
  <c r="B665" i="39"/>
  <c r="C665" i="39" s="1"/>
  <c r="D665" i="39"/>
  <c r="H665" i="39"/>
  <c r="B666" i="39"/>
  <c r="C666" i="39" s="1"/>
  <c r="D666" i="39"/>
  <c r="H666" i="39"/>
  <c r="B667" i="39"/>
  <c r="C667" i="39" s="1"/>
  <c r="D667" i="39"/>
  <c r="H667" i="39"/>
  <c r="B668" i="39"/>
  <c r="C668" i="39" s="1"/>
  <c r="D668" i="39"/>
  <c r="H668" i="39"/>
  <c r="B669" i="39"/>
  <c r="C669" i="39" s="1"/>
  <c r="D669" i="39"/>
  <c r="H669" i="39"/>
  <c r="B670" i="39"/>
  <c r="C670" i="39" s="1"/>
  <c r="D670" i="39"/>
  <c r="H670" i="39"/>
  <c r="B671" i="39"/>
  <c r="D671" i="39"/>
  <c r="H671" i="39"/>
  <c r="B672" i="39"/>
  <c r="C672" i="39" s="1"/>
  <c r="D672" i="39"/>
  <c r="H672" i="39"/>
  <c r="B673" i="39"/>
  <c r="C673" i="39" s="1"/>
  <c r="D673" i="39"/>
  <c r="H673" i="39"/>
  <c r="B674" i="39"/>
  <c r="D674" i="39"/>
  <c r="H674" i="39"/>
  <c r="B675" i="39"/>
  <c r="C675" i="39" s="1"/>
  <c r="D675" i="39"/>
  <c r="H675" i="39"/>
  <c r="B676" i="39"/>
  <c r="C676" i="39" s="1"/>
  <c r="D676" i="39"/>
  <c r="H676" i="39"/>
  <c r="B677" i="39"/>
  <c r="D677" i="39"/>
  <c r="H677" i="39"/>
  <c r="B678" i="39"/>
  <c r="D678" i="39"/>
  <c r="H678" i="39"/>
  <c r="B679" i="39"/>
  <c r="D679" i="39"/>
  <c r="H679" i="39"/>
  <c r="B680" i="39"/>
  <c r="C680" i="39" s="1"/>
  <c r="D680" i="39"/>
  <c r="H680" i="39"/>
  <c r="B681" i="39"/>
  <c r="C681" i="39" s="1"/>
  <c r="D681" i="39"/>
  <c r="H681" i="39"/>
  <c r="B682" i="39"/>
  <c r="D682" i="39"/>
  <c r="H682" i="39"/>
  <c r="B683" i="39"/>
  <c r="C683" i="39" s="1"/>
  <c r="D683" i="39"/>
  <c r="H683" i="39"/>
  <c r="B684" i="39"/>
  <c r="C684" i="39" s="1"/>
  <c r="D684" i="39"/>
  <c r="H684" i="39"/>
  <c r="B685" i="39"/>
  <c r="C685" i="39" s="1"/>
  <c r="D685" i="39"/>
  <c r="H685" i="39"/>
  <c r="B686" i="39"/>
  <c r="C686" i="39" s="1"/>
  <c r="D686" i="39"/>
  <c r="H686" i="39"/>
  <c r="B687" i="39"/>
  <c r="C687" i="39" s="1"/>
  <c r="D687" i="39"/>
  <c r="H687" i="39"/>
  <c r="B688" i="39"/>
  <c r="C688" i="39" s="1"/>
  <c r="D688" i="39"/>
  <c r="H688" i="39"/>
  <c r="B689" i="39"/>
  <c r="D689" i="39"/>
  <c r="H689" i="39"/>
  <c r="B690" i="39"/>
  <c r="C690" i="39" s="1"/>
  <c r="D690" i="39"/>
  <c r="H690" i="39"/>
  <c r="B691" i="39"/>
  <c r="C691" i="39" s="1"/>
  <c r="D691" i="39"/>
  <c r="H691" i="39"/>
  <c r="B692" i="39"/>
  <c r="D692" i="39"/>
  <c r="H692" i="39"/>
  <c r="B693" i="39"/>
  <c r="C693" i="39" s="1"/>
  <c r="D693" i="39"/>
  <c r="H693" i="39"/>
  <c r="B694" i="39"/>
  <c r="C694" i="39" s="1"/>
  <c r="D694" i="39"/>
  <c r="H694" i="39"/>
  <c r="B695" i="39"/>
  <c r="D695" i="39"/>
  <c r="H695" i="39"/>
  <c r="B696" i="39"/>
  <c r="D696" i="39"/>
  <c r="H696" i="39"/>
  <c r="B697" i="39"/>
  <c r="D697" i="39"/>
  <c r="H697" i="39"/>
  <c r="B698" i="39"/>
  <c r="C698" i="39" s="1"/>
  <c r="D698" i="39"/>
  <c r="H698" i="39"/>
  <c r="B699" i="39"/>
  <c r="C699" i="39" s="1"/>
  <c r="D699" i="39"/>
  <c r="H699" i="39"/>
  <c r="B700" i="39"/>
  <c r="D700" i="39"/>
  <c r="H700" i="39"/>
  <c r="B701" i="39"/>
  <c r="C701" i="39" s="1"/>
  <c r="D701" i="39"/>
  <c r="H701" i="39"/>
  <c r="B702" i="39"/>
  <c r="C702" i="39" s="1"/>
  <c r="D702" i="39"/>
  <c r="H702" i="39"/>
  <c r="B703" i="39"/>
  <c r="C703" i="39" s="1"/>
  <c r="D703" i="39"/>
  <c r="H703" i="39"/>
  <c r="B704" i="39"/>
  <c r="C704" i="39" s="1"/>
  <c r="D704" i="39"/>
  <c r="H704" i="39"/>
  <c r="B705" i="39"/>
  <c r="C705" i="39" s="1"/>
  <c r="D705" i="39"/>
  <c r="H705" i="39"/>
  <c r="B706" i="39"/>
  <c r="C706" i="39" s="1"/>
  <c r="D706" i="39"/>
  <c r="H706" i="39"/>
  <c r="B707" i="39"/>
  <c r="D707" i="39"/>
  <c r="H707" i="39"/>
  <c r="B708" i="39"/>
  <c r="C708" i="39" s="1"/>
  <c r="D708" i="39"/>
  <c r="H708" i="39"/>
  <c r="B709" i="39"/>
  <c r="C709" i="39" s="1"/>
  <c r="D709" i="39"/>
  <c r="H709" i="39"/>
  <c r="B710" i="39"/>
  <c r="D710" i="39"/>
  <c r="H710" i="39"/>
  <c r="B711" i="39"/>
  <c r="C711" i="39" s="1"/>
  <c r="D711" i="39"/>
  <c r="H711" i="39"/>
  <c r="B712" i="39"/>
  <c r="C712" i="39" s="1"/>
  <c r="D712" i="39"/>
  <c r="H712" i="39"/>
  <c r="B713" i="39"/>
  <c r="D713" i="39"/>
  <c r="H713" i="39"/>
  <c r="B714" i="39"/>
  <c r="D714" i="39"/>
  <c r="H714" i="39"/>
  <c r="B715" i="39"/>
  <c r="D715" i="39"/>
  <c r="H715" i="39"/>
  <c r="B716" i="39"/>
  <c r="C716" i="39" s="1"/>
  <c r="D716" i="39"/>
  <c r="H716" i="39"/>
  <c r="B717" i="39"/>
  <c r="C717" i="39" s="1"/>
  <c r="D717" i="39"/>
  <c r="H717" i="39"/>
  <c r="B718" i="39"/>
  <c r="D718" i="39"/>
  <c r="H718" i="39"/>
  <c r="B719" i="39"/>
  <c r="C719" i="39" s="1"/>
  <c r="D719" i="39"/>
  <c r="H719" i="39"/>
  <c r="B720" i="39"/>
  <c r="C720" i="39" s="1"/>
  <c r="D720" i="39"/>
  <c r="H720" i="39"/>
  <c r="B721" i="39"/>
  <c r="C721" i="39" s="1"/>
  <c r="D721" i="39"/>
  <c r="H721" i="39"/>
  <c r="B722" i="39"/>
  <c r="C722" i="39" s="1"/>
  <c r="D722" i="39"/>
  <c r="H722" i="39"/>
  <c r="B723" i="39"/>
  <c r="C723" i="39" s="1"/>
  <c r="D723" i="39"/>
  <c r="H723" i="39"/>
  <c r="B724" i="39"/>
  <c r="C724" i="39" s="1"/>
  <c r="D724" i="39"/>
  <c r="H724" i="39"/>
  <c r="B725" i="39"/>
  <c r="C725" i="39" s="1"/>
  <c r="D725" i="39"/>
  <c r="H725" i="39"/>
  <c r="B726" i="39"/>
  <c r="C726" i="39" s="1"/>
  <c r="D726" i="39"/>
  <c r="H726" i="39"/>
  <c r="B727" i="39"/>
  <c r="C727" i="39" s="1"/>
  <c r="D727" i="39"/>
  <c r="H727" i="39"/>
  <c r="B728" i="39"/>
  <c r="C728" i="39" s="1"/>
  <c r="D728" i="39"/>
  <c r="H728" i="39"/>
  <c r="B729" i="39"/>
  <c r="C729" i="39" s="1"/>
  <c r="D729" i="39"/>
  <c r="H729" i="39"/>
  <c r="B730" i="39"/>
  <c r="C730" i="39" s="1"/>
  <c r="D730" i="39"/>
  <c r="H730" i="39"/>
  <c r="B731" i="39"/>
  <c r="C731" i="39" s="1"/>
  <c r="D731" i="39"/>
  <c r="H731" i="39"/>
  <c r="B732" i="39"/>
  <c r="C732" i="39" s="1"/>
  <c r="D732" i="39"/>
  <c r="H732" i="39"/>
  <c r="B733" i="39"/>
  <c r="C733" i="39" s="1"/>
  <c r="D733" i="39"/>
  <c r="H733" i="39"/>
  <c r="B734" i="39"/>
  <c r="C734" i="39" s="1"/>
  <c r="D734" i="39"/>
  <c r="H734" i="39"/>
  <c r="B735" i="39"/>
  <c r="C735" i="39" s="1"/>
  <c r="D735" i="39"/>
  <c r="H735" i="39"/>
  <c r="B736" i="39"/>
  <c r="C736" i="39" s="1"/>
  <c r="D736" i="39"/>
  <c r="H736" i="39"/>
  <c r="B737" i="39"/>
  <c r="D737" i="39"/>
  <c r="H737" i="39"/>
  <c r="B738" i="39"/>
  <c r="C738" i="39" s="1"/>
  <c r="D738" i="39"/>
  <c r="H738" i="39"/>
  <c r="B739" i="39"/>
  <c r="C739" i="39" s="1"/>
  <c r="D739" i="39"/>
  <c r="H739" i="39"/>
  <c r="B740" i="39"/>
  <c r="C740" i="39" s="1"/>
  <c r="D740" i="39"/>
  <c r="H740" i="39"/>
  <c r="B741" i="39"/>
  <c r="C741" i="39" s="1"/>
  <c r="D741" i="39"/>
  <c r="H741" i="39"/>
  <c r="B742" i="39"/>
  <c r="C742" i="39" s="1"/>
  <c r="D742" i="39"/>
  <c r="H742" i="39"/>
  <c r="B743" i="39"/>
  <c r="C743" i="39" s="1"/>
  <c r="D743" i="39"/>
  <c r="H743" i="39"/>
  <c r="B744" i="39"/>
  <c r="C744" i="39" s="1"/>
  <c r="D744" i="39"/>
  <c r="H744" i="39"/>
  <c r="B745" i="39"/>
  <c r="C745" i="39" s="1"/>
  <c r="D745" i="39"/>
  <c r="H745" i="39"/>
  <c r="B746" i="39"/>
  <c r="C746" i="39" s="1"/>
  <c r="D746" i="39"/>
  <c r="H746" i="39"/>
  <c r="B747" i="39"/>
  <c r="C747" i="39" s="1"/>
  <c r="D747" i="39"/>
  <c r="H747" i="39"/>
  <c r="B748" i="39"/>
  <c r="C748" i="39" s="1"/>
  <c r="D748" i="39"/>
  <c r="H748" i="39"/>
  <c r="B749" i="39"/>
  <c r="C749" i="39" s="1"/>
  <c r="D749" i="39"/>
  <c r="H749" i="39"/>
  <c r="B750" i="39"/>
  <c r="C750" i="39" s="1"/>
  <c r="D750" i="39"/>
  <c r="H750" i="39"/>
  <c r="B751" i="39"/>
  <c r="C751" i="39" s="1"/>
  <c r="D751" i="39"/>
  <c r="H751" i="39"/>
  <c r="B752" i="39"/>
  <c r="C752" i="39" s="1"/>
  <c r="D752" i="39"/>
  <c r="H752" i="39"/>
  <c r="B753" i="39"/>
  <c r="C753" i="39" s="1"/>
  <c r="D753" i="39"/>
  <c r="H753" i="39"/>
  <c r="B754" i="39"/>
  <c r="C754" i="39" s="1"/>
  <c r="D754" i="39"/>
  <c r="H754" i="39"/>
  <c r="B755" i="39"/>
  <c r="D755" i="39"/>
  <c r="H755" i="39"/>
  <c r="B756" i="39"/>
  <c r="C756" i="39" s="1"/>
  <c r="D756" i="39"/>
  <c r="H756" i="39"/>
  <c r="B757" i="39"/>
  <c r="C757" i="39" s="1"/>
  <c r="D757" i="39"/>
  <c r="H757" i="39"/>
  <c r="B758" i="39"/>
  <c r="C758" i="39" s="1"/>
  <c r="D758" i="39"/>
  <c r="H758" i="39"/>
  <c r="B759" i="39"/>
  <c r="C759" i="39" s="1"/>
  <c r="D759" i="39"/>
  <c r="H759" i="39"/>
  <c r="B760" i="39"/>
  <c r="C760" i="39" s="1"/>
  <c r="D760" i="39"/>
  <c r="H760" i="39"/>
  <c r="B761" i="39"/>
  <c r="D761" i="39"/>
  <c r="H761" i="39"/>
  <c r="B762" i="39"/>
  <c r="C762" i="39" s="1"/>
  <c r="D762" i="39"/>
  <c r="H762" i="39"/>
  <c r="B763" i="39"/>
  <c r="C763" i="39" s="1"/>
  <c r="D763" i="39"/>
  <c r="H763" i="39"/>
  <c r="B764" i="39"/>
  <c r="C764" i="39" s="1"/>
  <c r="D764" i="39"/>
  <c r="H764" i="39"/>
  <c r="B765" i="39"/>
  <c r="C765" i="39" s="1"/>
  <c r="D765" i="39"/>
  <c r="H765" i="39"/>
  <c r="B766" i="39"/>
  <c r="C766" i="39" s="1"/>
  <c r="D766" i="39"/>
  <c r="H766" i="39"/>
  <c r="B767" i="39"/>
  <c r="C767" i="39" s="1"/>
  <c r="D767" i="39"/>
  <c r="H767" i="39"/>
  <c r="B768" i="39"/>
  <c r="C768" i="39" s="1"/>
  <c r="D768" i="39"/>
  <c r="H768" i="39"/>
  <c r="B769" i="39"/>
  <c r="C769" i="39" s="1"/>
  <c r="D769" i="39"/>
  <c r="H769" i="39"/>
  <c r="B770" i="39"/>
  <c r="C770" i="39" s="1"/>
  <c r="D770" i="39"/>
  <c r="H770" i="39"/>
  <c r="B771" i="39"/>
  <c r="C771" i="39" s="1"/>
  <c r="D771" i="39"/>
  <c r="H771" i="39"/>
  <c r="B772" i="39"/>
  <c r="C772" i="39" s="1"/>
  <c r="D772" i="39"/>
  <c r="H772" i="39"/>
  <c r="B773" i="39"/>
  <c r="D773" i="39"/>
  <c r="H773" i="39"/>
  <c r="B774" i="39"/>
  <c r="C774" i="39" s="1"/>
  <c r="D774" i="39"/>
  <c r="H774" i="39"/>
  <c r="B775" i="39"/>
  <c r="C775" i="39" s="1"/>
  <c r="D775" i="39"/>
  <c r="H775" i="39"/>
  <c r="B776" i="39"/>
  <c r="C776" i="39" s="1"/>
  <c r="D776" i="39"/>
  <c r="H776" i="39"/>
  <c r="B777" i="39"/>
  <c r="C777" i="39" s="1"/>
  <c r="D777" i="39"/>
  <c r="H777" i="39"/>
  <c r="B778" i="39"/>
  <c r="C778" i="39" s="1"/>
  <c r="D778" i="39"/>
  <c r="H778" i="39"/>
  <c r="B779" i="39"/>
  <c r="D779" i="39"/>
  <c r="H779" i="39"/>
  <c r="B780" i="39"/>
  <c r="C780" i="39" s="1"/>
  <c r="D780" i="39"/>
  <c r="H780" i="39"/>
  <c r="B781" i="39"/>
  <c r="C781" i="39" s="1"/>
  <c r="D781" i="39"/>
  <c r="H781" i="39"/>
  <c r="B782" i="39"/>
  <c r="C782" i="39" s="1"/>
  <c r="D782" i="39"/>
  <c r="H782" i="39"/>
  <c r="B783" i="39"/>
  <c r="C783" i="39" s="1"/>
  <c r="D783" i="39"/>
  <c r="H783" i="39"/>
  <c r="B784" i="39"/>
  <c r="C784" i="39" s="1"/>
  <c r="D784" i="39"/>
  <c r="H784" i="39"/>
  <c r="B785" i="39"/>
  <c r="C785" i="39" s="1"/>
  <c r="D785" i="39"/>
  <c r="H785" i="39"/>
  <c r="B786" i="39"/>
  <c r="C786" i="39" s="1"/>
  <c r="D786" i="39"/>
  <c r="H786" i="39"/>
  <c r="B787" i="39"/>
  <c r="C787" i="39" s="1"/>
  <c r="D787" i="39"/>
  <c r="H787" i="39"/>
  <c r="B788" i="39"/>
  <c r="C788" i="39" s="1"/>
  <c r="D788" i="39"/>
  <c r="H788" i="39"/>
  <c r="B789" i="39"/>
  <c r="C789" i="39" s="1"/>
  <c r="D789" i="39"/>
  <c r="H789" i="39"/>
  <c r="B790" i="39"/>
  <c r="C790" i="39" s="1"/>
  <c r="D790" i="39"/>
  <c r="H790" i="39"/>
  <c r="B791" i="39"/>
  <c r="D791" i="39"/>
  <c r="H791" i="39"/>
  <c r="B792" i="39"/>
  <c r="C792" i="39" s="1"/>
  <c r="D792" i="39"/>
  <c r="H792" i="39"/>
  <c r="B793" i="39"/>
  <c r="C793" i="39" s="1"/>
  <c r="D793" i="39"/>
  <c r="H793" i="39"/>
  <c r="B794" i="39"/>
  <c r="C794" i="39" s="1"/>
  <c r="D794" i="39"/>
  <c r="H794" i="39"/>
  <c r="B795" i="39"/>
  <c r="C795" i="39" s="1"/>
  <c r="D795" i="39"/>
  <c r="H795" i="39"/>
  <c r="B796" i="39"/>
  <c r="C796" i="39" s="1"/>
  <c r="D796" i="39"/>
  <c r="H796" i="39"/>
  <c r="B797" i="39"/>
  <c r="D797" i="39"/>
  <c r="H797" i="39"/>
  <c r="B798" i="39"/>
  <c r="C798" i="39" s="1"/>
  <c r="D798" i="39"/>
  <c r="H798" i="39"/>
  <c r="B799" i="39"/>
  <c r="C799" i="39" s="1"/>
  <c r="D799" i="39"/>
  <c r="H799" i="39"/>
  <c r="B800" i="39"/>
  <c r="C800" i="39" s="1"/>
  <c r="D800" i="39"/>
  <c r="H800" i="39"/>
  <c r="B801" i="39"/>
  <c r="C801" i="39" s="1"/>
  <c r="D801" i="39"/>
  <c r="H801" i="39"/>
  <c r="B802" i="39"/>
  <c r="C802" i="39" s="1"/>
  <c r="D802" i="39"/>
  <c r="H802" i="39"/>
  <c r="B803" i="39"/>
  <c r="C803" i="39" s="1"/>
  <c r="D803" i="39"/>
  <c r="H803" i="39"/>
  <c r="B804" i="39"/>
  <c r="C804" i="39" s="1"/>
  <c r="D804" i="39"/>
  <c r="H804" i="39"/>
  <c r="B805" i="39"/>
  <c r="C805" i="39" s="1"/>
  <c r="D805" i="39"/>
  <c r="H805" i="39"/>
  <c r="B806" i="39"/>
  <c r="C806" i="39" s="1"/>
  <c r="D806" i="39"/>
  <c r="H806" i="39"/>
  <c r="B807" i="39"/>
  <c r="C807" i="39" s="1"/>
  <c r="D807" i="39"/>
  <c r="H807" i="39"/>
  <c r="B808" i="39"/>
  <c r="C808" i="39" s="1"/>
  <c r="D808" i="39"/>
  <c r="H808" i="39"/>
  <c r="B809" i="39"/>
  <c r="D809" i="39"/>
  <c r="H809" i="39"/>
  <c r="B810" i="39"/>
  <c r="C810" i="39" s="1"/>
  <c r="D810" i="39"/>
  <c r="H810" i="39"/>
  <c r="B811" i="39"/>
  <c r="C811" i="39" s="1"/>
  <c r="D811" i="39"/>
  <c r="H811" i="39"/>
  <c r="B812" i="39"/>
  <c r="C812" i="39" s="1"/>
  <c r="D812" i="39"/>
  <c r="H812" i="39"/>
  <c r="B813" i="39"/>
  <c r="C813" i="39" s="1"/>
  <c r="D813" i="39"/>
  <c r="H813" i="39"/>
  <c r="B814" i="39"/>
  <c r="C814" i="39" s="1"/>
  <c r="D814" i="39"/>
  <c r="H814" i="39"/>
  <c r="B815" i="39"/>
  <c r="D815" i="39"/>
  <c r="H815" i="39"/>
  <c r="B816" i="39"/>
  <c r="C816" i="39" s="1"/>
  <c r="D816" i="39"/>
  <c r="H816" i="39"/>
  <c r="B817" i="39"/>
  <c r="C817" i="39" s="1"/>
  <c r="D817" i="39"/>
  <c r="H817" i="39"/>
  <c r="B818" i="39"/>
  <c r="C818" i="39" s="1"/>
  <c r="D818" i="39"/>
  <c r="H818" i="39"/>
  <c r="B819" i="39"/>
  <c r="C819" i="39" s="1"/>
  <c r="D819" i="39"/>
  <c r="H819" i="39"/>
  <c r="B820" i="39"/>
  <c r="C820" i="39" s="1"/>
  <c r="D820" i="39"/>
  <c r="H820" i="39"/>
  <c r="B821" i="39"/>
  <c r="C821" i="39" s="1"/>
  <c r="D821" i="39"/>
  <c r="H821" i="39"/>
  <c r="B822" i="39"/>
  <c r="C822" i="39" s="1"/>
  <c r="D822" i="39"/>
  <c r="H822" i="39"/>
  <c r="B823" i="39"/>
  <c r="C823" i="39" s="1"/>
  <c r="D823" i="39"/>
  <c r="H823" i="39"/>
  <c r="B824" i="39"/>
  <c r="C824" i="39" s="1"/>
  <c r="D824" i="39"/>
  <c r="H824" i="39"/>
  <c r="B825" i="39"/>
  <c r="C825" i="39" s="1"/>
  <c r="D825" i="39"/>
  <c r="H825" i="39"/>
  <c r="B826" i="39"/>
  <c r="C826" i="39" s="1"/>
  <c r="D826" i="39"/>
  <c r="H826" i="39"/>
  <c r="B827" i="39"/>
  <c r="D827" i="39"/>
  <c r="H827" i="39"/>
  <c r="B828" i="39"/>
  <c r="C828" i="39" s="1"/>
  <c r="D828" i="39"/>
  <c r="H828" i="39"/>
  <c r="B829" i="39"/>
  <c r="C829" i="39" s="1"/>
  <c r="D829" i="39"/>
  <c r="H829" i="39"/>
  <c r="B830" i="39"/>
  <c r="C830" i="39" s="1"/>
  <c r="D830" i="39"/>
  <c r="H830" i="39"/>
  <c r="B831" i="39"/>
  <c r="C831" i="39" s="1"/>
  <c r="D831" i="39"/>
  <c r="H831" i="39"/>
  <c r="B832" i="39"/>
  <c r="C832" i="39" s="1"/>
  <c r="D832" i="39"/>
  <c r="H832" i="39"/>
  <c r="B833" i="39"/>
  <c r="D833" i="39"/>
  <c r="H833" i="39"/>
  <c r="B834" i="39"/>
  <c r="C834" i="39" s="1"/>
  <c r="D834" i="39"/>
  <c r="H834" i="39"/>
  <c r="B835" i="39"/>
  <c r="C835" i="39" s="1"/>
  <c r="D835" i="39"/>
  <c r="H835" i="39"/>
  <c r="B836" i="39"/>
  <c r="C836" i="39" s="1"/>
  <c r="D836" i="39"/>
  <c r="H836" i="39"/>
  <c r="B837" i="39"/>
  <c r="C837" i="39" s="1"/>
  <c r="D837" i="39"/>
  <c r="H837" i="39"/>
  <c r="B838" i="39"/>
  <c r="D838" i="39"/>
  <c r="H838" i="39"/>
  <c r="B839" i="39"/>
  <c r="C839" i="39" s="1"/>
  <c r="D839" i="39"/>
  <c r="H839" i="39"/>
  <c r="B840" i="39"/>
  <c r="C840" i="39" s="1"/>
  <c r="D840" i="39"/>
  <c r="H840" i="39"/>
  <c r="B841" i="39"/>
  <c r="C841" i="39" s="1"/>
  <c r="D841" i="39"/>
  <c r="H841" i="39"/>
  <c r="B842" i="39"/>
  <c r="C842" i="39" s="1"/>
  <c r="D842" i="39"/>
  <c r="H842" i="39"/>
  <c r="B843" i="39"/>
  <c r="C843" i="39" s="1"/>
  <c r="D843" i="39"/>
  <c r="H843" i="39"/>
  <c r="B844" i="39"/>
  <c r="C844" i="39" s="1"/>
  <c r="D844" i="39"/>
  <c r="H844" i="39"/>
  <c r="B845" i="39"/>
  <c r="D845" i="39"/>
  <c r="H845" i="39"/>
  <c r="B846" i="39"/>
  <c r="C846" i="39" s="1"/>
  <c r="D846" i="39"/>
  <c r="H846" i="39"/>
  <c r="B847" i="39"/>
  <c r="C847" i="39" s="1"/>
  <c r="D847" i="39"/>
  <c r="H847" i="39"/>
  <c r="B848" i="39"/>
  <c r="C848" i="39" s="1"/>
  <c r="D848" i="39"/>
  <c r="H848" i="39"/>
  <c r="B849" i="39"/>
  <c r="C849" i="39" s="1"/>
  <c r="D849" i="39"/>
  <c r="H849" i="39"/>
  <c r="B850" i="39"/>
  <c r="C850" i="39" s="1"/>
  <c r="D850" i="39"/>
  <c r="H850" i="39"/>
  <c r="B851" i="39"/>
  <c r="D851" i="39"/>
  <c r="H851" i="39"/>
  <c r="B852" i="39"/>
  <c r="C852" i="39" s="1"/>
  <c r="D852" i="39"/>
  <c r="H852" i="39"/>
  <c r="B853" i="39"/>
  <c r="C853" i="39" s="1"/>
  <c r="D853" i="39"/>
  <c r="H853" i="39"/>
  <c r="B854" i="39"/>
  <c r="C854" i="39" s="1"/>
  <c r="D854" i="39"/>
  <c r="H854" i="39"/>
  <c r="B855" i="39"/>
  <c r="C855" i="39" s="1"/>
  <c r="D855" i="39"/>
  <c r="H855" i="39"/>
  <c r="B856" i="39"/>
  <c r="D856" i="39"/>
  <c r="H856" i="39"/>
  <c r="B857" i="39"/>
  <c r="C857" i="39" s="1"/>
  <c r="D857" i="39"/>
  <c r="H857" i="39"/>
  <c r="B858" i="39"/>
  <c r="C858" i="39" s="1"/>
  <c r="D858" i="39"/>
  <c r="H858" i="39"/>
  <c r="B859" i="39"/>
  <c r="C859" i="39" s="1"/>
  <c r="D859" i="39"/>
  <c r="H859" i="39"/>
  <c r="B860" i="39"/>
  <c r="C860" i="39" s="1"/>
  <c r="D860" i="39"/>
  <c r="H860" i="39"/>
  <c r="B861" i="39"/>
  <c r="C861" i="39" s="1"/>
  <c r="D861" i="39"/>
  <c r="H861" i="39"/>
  <c r="B862" i="39"/>
  <c r="C862" i="39" s="1"/>
  <c r="D862" i="39"/>
  <c r="H862" i="39"/>
  <c r="B863" i="39"/>
  <c r="D863" i="39"/>
  <c r="H863" i="39"/>
  <c r="B864" i="39"/>
  <c r="C864" i="39" s="1"/>
  <c r="D864" i="39"/>
  <c r="H864" i="39"/>
  <c r="B865" i="39"/>
  <c r="C865" i="39" s="1"/>
  <c r="D865" i="39"/>
  <c r="H865" i="39"/>
  <c r="B866" i="39"/>
  <c r="C866" i="39" s="1"/>
  <c r="D866" i="39"/>
  <c r="H866" i="39"/>
  <c r="B867" i="39"/>
  <c r="C867" i="39" s="1"/>
  <c r="D867" i="39"/>
  <c r="H867" i="39"/>
  <c r="B868" i="39"/>
  <c r="C868" i="39" s="1"/>
  <c r="D868" i="39"/>
  <c r="H868" i="39"/>
  <c r="B869" i="39"/>
  <c r="C869" i="39" s="1"/>
  <c r="D869" i="39"/>
  <c r="H869" i="39"/>
  <c r="B870" i="39"/>
  <c r="C870" i="39" s="1"/>
  <c r="D870" i="39"/>
  <c r="H870" i="39"/>
  <c r="B871" i="39"/>
  <c r="C871" i="39" s="1"/>
  <c r="D871" i="39"/>
  <c r="H871" i="39"/>
  <c r="B872" i="39"/>
  <c r="D872" i="39"/>
  <c r="H872" i="39"/>
  <c r="B873" i="39"/>
  <c r="C873" i="39" s="1"/>
  <c r="D873" i="39"/>
  <c r="H873" i="39"/>
  <c r="B874" i="39"/>
  <c r="C874" i="39" s="1"/>
  <c r="D874" i="39"/>
  <c r="H874" i="39"/>
  <c r="B875" i="39"/>
  <c r="D875" i="39"/>
  <c r="H875" i="39"/>
  <c r="B876" i="39"/>
  <c r="C876" i="39" s="1"/>
  <c r="D876" i="39"/>
  <c r="H876" i="39"/>
  <c r="B877" i="39"/>
  <c r="C877" i="39" s="1"/>
  <c r="D877" i="39"/>
  <c r="H877" i="39"/>
  <c r="B878" i="39"/>
  <c r="D878" i="39"/>
  <c r="H878" i="39"/>
  <c r="B879" i="39"/>
  <c r="C879" i="39" s="1"/>
  <c r="D879" i="39"/>
  <c r="H879" i="39"/>
  <c r="B880" i="39"/>
  <c r="C880" i="39" s="1"/>
  <c r="D880" i="39"/>
  <c r="H880" i="39"/>
  <c r="B881" i="39"/>
  <c r="D881" i="39"/>
  <c r="H881" i="39"/>
  <c r="B882" i="39"/>
  <c r="C882" i="39" s="1"/>
  <c r="D882" i="39"/>
  <c r="H882" i="39"/>
  <c r="B883" i="39"/>
  <c r="C883" i="39" s="1"/>
  <c r="D883" i="39"/>
  <c r="H883" i="39"/>
  <c r="B884" i="39"/>
  <c r="D884" i="39"/>
  <c r="H884" i="39"/>
  <c r="B885" i="39"/>
  <c r="C885" i="39" s="1"/>
  <c r="D885" i="39"/>
  <c r="H885" i="39"/>
  <c r="B886" i="39"/>
  <c r="C886" i="39" s="1"/>
  <c r="D886" i="39"/>
  <c r="H886" i="39"/>
  <c r="B887" i="39"/>
  <c r="C887" i="39" s="1"/>
  <c r="D887" i="39"/>
  <c r="H887" i="39"/>
  <c r="B888" i="39"/>
  <c r="C888" i="39" s="1"/>
  <c r="D888" i="39"/>
  <c r="H888" i="39"/>
  <c r="B889" i="39"/>
  <c r="C889" i="39" s="1"/>
  <c r="D889" i="39"/>
  <c r="H889" i="39"/>
  <c r="B890" i="39"/>
  <c r="C890" i="39" s="1"/>
  <c r="D890" i="39"/>
  <c r="H890" i="39"/>
  <c r="B891" i="39"/>
  <c r="C891" i="39" s="1"/>
  <c r="D891" i="39"/>
  <c r="H891" i="39"/>
  <c r="B892" i="39"/>
  <c r="C892" i="39" s="1"/>
  <c r="D892" i="39"/>
  <c r="H892" i="39"/>
  <c r="B893" i="39"/>
  <c r="C893" i="39" s="1"/>
  <c r="D893" i="39"/>
  <c r="H893" i="39"/>
  <c r="B894" i="39"/>
  <c r="C894" i="39" s="1"/>
  <c r="D894" i="39"/>
  <c r="H894" i="39"/>
  <c r="B895" i="39"/>
  <c r="C895" i="39" s="1"/>
  <c r="D895" i="39"/>
  <c r="H895" i="39"/>
  <c r="B896" i="39"/>
  <c r="C896" i="39" s="1"/>
  <c r="D896" i="39"/>
  <c r="H896" i="39"/>
  <c r="B897" i="39"/>
  <c r="C897" i="39" s="1"/>
  <c r="D897" i="39"/>
  <c r="H897" i="39"/>
  <c r="B898" i="39"/>
  <c r="C898" i="39" s="1"/>
  <c r="D898" i="39"/>
  <c r="H898" i="39"/>
  <c r="B899" i="39"/>
  <c r="C899" i="39" s="1"/>
  <c r="D899" i="39"/>
  <c r="H899" i="39"/>
  <c r="B900" i="39"/>
  <c r="C900" i="39" s="1"/>
  <c r="D900" i="39"/>
  <c r="H900" i="39"/>
  <c r="B901" i="39"/>
  <c r="C901" i="39" s="1"/>
  <c r="D901" i="39"/>
  <c r="H901" i="39"/>
  <c r="B902" i="39"/>
  <c r="C902" i="39" s="1"/>
  <c r="D902" i="39"/>
  <c r="H902" i="39"/>
  <c r="B903" i="39"/>
  <c r="C903" i="39" s="1"/>
  <c r="D903" i="39"/>
  <c r="H903" i="39"/>
  <c r="B904" i="39"/>
  <c r="C904" i="39" s="1"/>
  <c r="D904" i="39"/>
  <c r="H904" i="39"/>
  <c r="B905" i="39"/>
  <c r="C905" i="39" s="1"/>
  <c r="D905" i="39"/>
  <c r="H905" i="39"/>
  <c r="B906" i="39"/>
  <c r="C906" i="39" s="1"/>
  <c r="D906" i="39"/>
  <c r="H906" i="39"/>
  <c r="B907" i="39"/>
  <c r="C907" i="39" s="1"/>
  <c r="D907" i="39"/>
  <c r="H907" i="39"/>
  <c r="B908" i="39"/>
  <c r="C908" i="39" s="1"/>
  <c r="D908" i="39"/>
  <c r="H908" i="39"/>
  <c r="B909" i="39"/>
  <c r="C909" i="39" s="1"/>
  <c r="D909" i="39"/>
  <c r="H909" i="39"/>
  <c r="B910" i="39"/>
  <c r="C910" i="39" s="1"/>
  <c r="D910" i="39"/>
  <c r="H910" i="39"/>
  <c r="B911" i="39"/>
  <c r="C911" i="39" s="1"/>
  <c r="D911" i="39"/>
  <c r="H911" i="39"/>
  <c r="B912" i="39"/>
  <c r="C912" i="39" s="1"/>
  <c r="D912" i="39"/>
  <c r="H912" i="39"/>
  <c r="B913" i="39"/>
  <c r="C913" i="39" s="1"/>
  <c r="D913" i="39"/>
  <c r="H913" i="39"/>
  <c r="B914" i="39"/>
  <c r="C914" i="39" s="1"/>
  <c r="D914" i="39"/>
  <c r="H914" i="39"/>
  <c r="B915" i="39"/>
  <c r="C915" i="39" s="1"/>
  <c r="D915" i="39"/>
  <c r="H915" i="39"/>
  <c r="B916" i="39"/>
  <c r="C916" i="39" s="1"/>
  <c r="D916" i="39"/>
  <c r="H916" i="39"/>
  <c r="B917" i="39"/>
  <c r="C917" i="39" s="1"/>
  <c r="D917" i="39"/>
  <c r="H917" i="39"/>
  <c r="B918" i="39"/>
  <c r="C918" i="39" s="1"/>
  <c r="D918" i="39"/>
  <c r="H918" i="39"/>
  <c r="B919" i="39"/>
  <c r="C919" i="39" s="1"/>
  <c r="D919" i="39"/>
  <c r="H919" i="39"/>
  <c r="B920" i="39"/>
  <c r="C920" i="39" s="1"/>
  <c r="D920" i="39"/>
  <c r="H920" i="39"/>
  <c r="B921" i="39"/>
  <c r="C921" i="39" s="1"/>
  <c r="D921" i="39"/>
  <c r="H921" i="39"/>
  <c r="B922" i="39"/>
  <c r="C922" i="39" s="1"/>
  <c r="D922" i="39"/>
  <c r="H922" i="39"/>
  <c r="B923" i="39"/>
  <c r="C923" i="39" s="1"/>
  <c r="D923" i="39"/>
  <c r="H923" i="39"/>
  <c r="B924" i="39"/>
  <c r="C924" i="39" s="1"/>
  <c r="D924" i="39"/>
  <c r="H924" i="39"/>
  <c r="B925" i="39"/>
  <c r="C925" i="39" s="1"/>
  <c r="D925" i="39"/>
  <c r="H925" i="39"/>
  <c r="B926" i="39"/>
  <c r="C926" i="39" s="1"/>
  <c r="D926" i="39"/>
  <c r="H926" i="39"/>
  <c r="B927" i="39"/>
  <c r="C927" i="39" s="1"/>
  <c r="D927" i="39"/>
  <c r="H927" i="39"/>
  <c r="B928" i="39"/>
  <c r="C928" i="39" s="1"/>
  <c r="D928" i="39"/>
  <c r="H928" i="39"/>
  <c r="B929" i="39"/>
  <c r="C929" i="39" s="1"/>
  <c r="D929" i="39"/>
  <c r="H929" i="39"/>
  <c r="B930" i="39"/>
  <c r="C930" i="39" s="1"/>
  <c r="D930" i="39"/>
  <c r="H930" i="39"/>
  <c r="B931" i="39"/>
  <c r="C931" i="39" s="1"/>
  <c r="D931" i="39"/>
  <c r="H931" i="39"/>
  <c r="B932" i="39"/>
  <c r="C932" i="39" s="1"/>
  <c r="D932" i="39"/>
  <c r="H932" i="39"/>
  <c r="B933" i="39"/>
  <c r="C933" i="39" s="1"/>
  <c r="D933" i="39"/>
  <c r="H933" i="39"/>
  <c r="B934" i="39"/>
  <c r="C934" i="39" s="1"/>
  <c r="D934" i="39"/>
  <c r="H934" i="39"/>
  <c r="B935" i="39"/>
  <c r="C935" i="39" s="1"/>
  <c r="D935" i="39"/>
  <c r="H935" i="39"/>
  <c r="B936" i="39"/>
  <c r="C936" i="39" s="1"/>
  <c r="D936" i="39"/>
  <c r="H936" i="39"/>
  <c r="B937" i="39"/>
  <c r="C937" i="39" s="1"/>
  <c r="D937" i="39"/>
  <c r="H937" i="39"/>
  <c r="B938" i="39"/>
  <c r="C938" i="39" s="1"/>
  <c r="D938" i="39"/>
  <c r="H938" i="39"/>
  <c r="B939" i="39"/>
  <c r="C939" i="39" s="1"/>
  <c r="D939" i="39"/>
  <c r="H939" i="39"/>
  <c r="B940" i="39"/>
  <c r="C940" i="39" s="1"/>
  <c r="D940" i="39"/>
  <c r="H940" i="39"/>
  <c r="B941" i="39"/>
  <c r="C941" i="39" s="1"/>
  <c r="D941" i="39"/>
  <c r="H941" i="39"/>
  <c r="B942" i="39"/>
  <c r="C942" i="39" s="1"/>
  <c r="D942" i="39"/>
  <c r="H942" i="39"/>
  <c r="B943" i="39"/>
  <c r="C943" i="39" s="1"/>
  <c r="D943" i="39"/>
  <c r="H943" i="39"/>
  <c r="B944" i="39"/>
  <c r="C944" i="39" s="1"/>
  <c r="D944" i="39"/>
  <c r="H944" i="39"/>
  <c r="B945" i="39"/>
  <c r="C945" i="39" s="1"/>
  <c r="D945" i="39"/>
  <c r="H945" i="39"/>
  <c r="B946" i="39"/>
  <c r="C946" i="39" s="1"/>
  <c r="D946" i="39"/>
  <c r="H946" i="39"/>
  <c r="B947" i="39"/>
  <c r="C947" i="39" s="1"/>
  <c r="D947" i="39"/>
  <c r="H947" i="39"/>
  <c r="B948" i="39"/>
  <c r="C948" i="39" s="1"/>
  <c r="D948" i="39"/>
  <c r="H948" i="39"/>
  <c r="B949" i="39"/>
  <c r="C949" i="39" s="1"/>
  <c r="D949" i="39"/>
  <c r="H949" i="39"/>
  <c r="B950" i="39"/>
  <c r="C950" i="39" s="1"/>
  <c r="D950" i="39"/>
  <c r="H950" i="39"/>
  <c r="B951" i="39"/>
  <c r="C951" i="39" s="1"/>
  <c r="D951" i="39"/>
  <c r="H951" i="39"/>
  <c r="B952" i="39"/>
  <c r="C952" i="39" s="1"/>
  <c r="D952" i="39"/>
  <c r="H952" i="39"/>
  <c r="B953" i="39"/>
  <c r="C953" i="39" s="1"/>
  <c r="D953" i="39"/>
  <c r="H953" i="39"/>
  <c r="B954" i="39"/>
  <c r="C954" i="39" s="1"/>
  <c r="D954" i="39"/>
  <c r="H954" i="39"/>
  <c r="B955" i="39"/>
  <c r="C955" i="39" s="1"/>
  <c r="D955" i="39"/>
  <c r="H955" i="39"/>
  <c r="B956" i="39"/>
  <c r="C956" i="39" s="1"/>
  <c r="D956" i="39"/>
  <c r="H956" i="39"/>
  <c r="B957" i="39"/>
  <c r="C957" i="39" s="1"/>
  <c r="D957" i="39"/>
  <c r="H957" i="39"/>
  <c r="B958" i="39"/>
  <c r="C958" i="39" s="1"/>
  <c r="D958" i="39"/>
  <c r="H958" i="39"/>
  <c r="B959" i="39"/>
  <c r="C959" i="39" s="1"/>
  <c r="D959" i="39"/>
  <c r="H959" i="39"/>
  <c r="B960" i="39"/>
  <c r="C960" i="39" s="1"/>
  <c r="D960" i="39"/>
  <c r="H960" i="39"/>
  <c r="B961" i="39"/>
  <c r="C961" i="39" s="1"/>
  <c r="D961" i="39"/>
  <c r="H961" i="39"/>
  <c r="B962" i="39"/>
  <c r="C962" i="39" s="1"/>
  <c r="D962" i="39"/>
  <c r="H962" i="39"/>
  <c r="B963" i="39"/>
  <c r="C963" i="39" s="1"/>
  <c r="D963" i="39"/>
  <c r="H963" i="39"/>
  <c r="B964" i="39"/>
  <c r="C964" i="39" s="1"/>
  <c r="D964" i="39"/>
  <c r="H964" i="39"/>
  <c r="B965" i="39"/>
  <c r="C965" i="39" s="1"/>
  <c r="D965" i="39"/>
  <c r="H965" i="39"/>
  <c r="B966" i="39"/>
  <c r="C966" i="39" s="1"/>
  <c r="D966" i="39"/>
  <c r="H966" i="39"/>
  <c r="B967" i="39"/>
  <c r="C967" i="39" s="1"/>
  <c r="D967" i="39"/>
  <c r="H967" i="39"/>
  <c r="B968" i="39"/>
  <c r="C968" i="39" s="1"/>
  <c r="D968" i="39"/>
  <c r="H968" i="39"/>
  <c r="B969" i="39"/>
  <c r="C969" i="39" s="1"/>
  <c r="D969" i="39"/>
  <c r="H969" i="39"/>
  <c r="B970" i="39"/>
  <c r="C970" i="39" s="1"/>
  <c r="D970" i="39"/>
  <c r="H970" i="39"/>
  <c r="B971" i="39"/>
  <c r="C971" i="39" s="1"/>
  <c r="D971" i="39"/>
  <c r="H971" i="39"/>
  <c r="B972" i="39"/>
  <c r="C972" i="39" s="1"/>
  <c r="D972" i="39"/>
  <c r="H972" i="39"/>
  <c r="B973" i="39"/>
  <c r="C973" i="39" s="1"/>
  <c r="D973" i="39"/>
  <c r="H973" i="39"/>
  <c r="B974" i="39"/>
  <c r="C974" i="39" s="1"/>
  <c r="D974" i="39"/>
  <c r="H974" i="39"/>
  <c r="B975" i="39"/>
  <c r="C975" i="39" s="1"/>
  <c r="D975" i="39"/>
  <c r="H975" i="39"/>
  <c r="B976" i="39"/>
  <c r="C976" i="39" s="1"/>
  <c r="D976" i="39"/>
  <c r="H976" i="39"/>
  <c r="B977" i="39"/>
  <c r="C977" i="39" s="1"/>
  <c r="D977" i="39"/>
  <c r="H977" i="39"/>
  <c r="B978" i="39"/>
  <c r="C978" i="39" s="1"/>
  <c r="D978" i="39"/>
  <c r="H978" i="39"/>
  <c r="B979" i="39"/>
  <c r="C979" i="39" s="1"/>
  <c r="D979" i="39"/>
  <c r="H979" i="39"/>
  <c r="B980" i="39"/>
  <c r="C980" i="39" s="1"/>
  <c r="D980" i="39"/>
  <c r="H980" i="39"/>
  <c r="B981" i="39"/>
  <c r="C981" i="39" s="1"/>
  <c r="D981" i="39"/>
  <c r="H981" i="39"/>
  <c r="B982" i="39"/>
  <c r="C982" i="39" s="1"/>
  <c r="D982" i="39"/>
  <c r="H982" i="39"/>
  <c r="B983" i="39"/>
  <c r="D983" i="39"/>
  <c r="H983" i="39"/>
  <c r="B984" i="39"/>
  <c r="C984" i="39" s="1"/>
  <c r="D984" i="39"/>
  <c r="H984" i="39"/>
  <c r="B985" i="39"/>
  <c r="C985" i="39" s="1"/>
  <c r="D985" i="39"/>
  <c r="H985" i="39"/>
  <c r="B986" i="39"/>
  <c r="C986" i="39" s="1"/>
  <c r="D986" i="39"/>
  <c r="H986" i="39"/>
  <c r="B987" i="39"/>
  <c r="D987" i="39"/>
  <c r="H987" i="39"/>
  <c r="B988" i="39"/>
  <c r="D988" i="39"/>
  <c r="H988" i="39"/>
  <c r="B989" i="39"/>
  <c r="C989" i="39" s="1"/>
  <c r="D989" i="39"/>
  <c r="H989" i="39"/>
  <c r="B990" i="39"/>
  <c r="C990" i="39" s="1"/>
  <c r="D990" i="39"/>
  <c r="H990" i="39"/>
  <c r="B991" i="39"/>
  <c r="C991" i="39" s="1"/>
  <c r="D991" i="39"/>
  <c r="H991" i="39"/>
  <c r="B992" i="39"/>
  <c r="C992" i="39" s="1"/>
  <c r="D992" i="39"/>
  <c r="H992" i="39"/>
  <c r="B993" i="39"/>
  <c r="D993" i="39"/>
  <c r="H993" i="39"/>
  <c r="B994" i="39"/>
  <c r="C994" i="39" s="1"/>
  <c r="D994" i="39"/>
  <c r="H994" i="39"/>
  <c r="B995" i="39"/>
  <c r="D995" i="39"/>
  <c r="H995" i="39"/>
  <c r="B996" i="39"/>
  <c r="C996" i="39" s="1"/>
  <c r="D996" i="39"/>
  <c r="H996" i="39"/>
  <c r="B997" i="39"/>
  <c r="C997" i="39" s="1"/>
  <c r="D997" i="39"/>
  <c r="H997" i="39"/>
  <c r="B998" i="39"/>
  <c r="C998" i="39" s="1"/>
  <c r="D998" i="39"/>
  <c r="H998" i="39"/>
  <c r="B999" i="39"/>
  <c r="C999" i="39" s="1"/>
  <c r="D999" i="39"/>
  <c r="H999" i="39"/>
  <c r="B1000" i="39"/>
  <c r="C1000" i="39" s="1"/>
  <c r="D1000" i="39"/>
  <c r="H1000" i="39"/>
  <c r="B1001" i="39"/>
  <c r="C1001" i="39" s="1"/>
  <c r="D1001" i="39"/>
  <c r="H1001" i="39"/>
  <c r="B1002" i="39"/>
  <c r="D1002" i="39"/>
  <c r="H1002" i="39"/>
  <c r="B1003" i="39"/>
  <c r="D1003" i="39"/>
  <c r="H1003" i="39"/>
  <c r="B1004" i="39"/>
  <c r="D1004" i="39"/>
  <c r="H1004" i="39"/>
  <c r="B1005" i="39"/>
  <c r="C1005" i="39" s="1"/>
  <c r="D1005" i="39"/>
  <c r="H1005" i="39"/>
  <c r="B1006" i="39"/>
  <c r="C1006" i="39" s="1"/>
  <c r="D1006" i="39"/>
  <c r="H1006" i="39"/>
  <c r="B1007" i="39"/>
  <c r="C1007" i="39" s="1"/>
  <c r="D1007" i="39"/>
  <c r="H1007" i="39"/>
  <c r="B1008" i="39"/>
  <c r="D1008" i="39"/>
  <c r="H1008" i="39"/>
  <c r="B1009" i="39"/>
  <c r="C1009" i="39" s="1"/>
  <c r="D1009" i="39"/>
  <c r="H1009" i="39"/>
  <c r="B1010" i="39"/>
  <c r="C1010" i="39" s="1"/>
  <c r="D1010" i="39"/>
  <c r="H1010" i="39"/>
  <c r="B1011" i="39"/>
  <c r="C1011" i="39" s="1"/>
  <c r="D1011" i="39"/>
  <c r="H1011" i="39"/>
  <c r="B1012" i="39"/>
  <c r="C1012" i="39" s="1"/>
  <c r="D1012" i="39"/>
  <c r="H1012" i="39"/>
  <c r="B1013" i="39"/>
  <c r="D1013" i="39"/>
  <c r="H1013" i="39"/>
  <c r="B1014" i="39"/>
  <c r="C1014" i="39" s="1"/>
  <c r="D1014" i="39"/>
  <c r="H1014" i="39"/>
  <c r="B1015" i="39"/>
  <c r="D1015" i="39"/>
  <c r="H1015" i="39"/>
  <c r="B1016" i="39"/>
  <c r="C1016" i="39" s="1"/>
  <c r="D1016" i="39"/>
  <c r="H1016" i="39"/>
  <c r="B1017" i="39"/>
  <c r="C1017" i="39" s="1"/>
  <c r="D1017" i="39"/>
  <c r="H1017" i="39"/>
  <c r="B1018" i="39"/>
  <c r="C1018" i="39" s="1"/>
  <c r="D1018" i="39"/>
  <c r="H1018" i="39"/>
  <c r="B1019" i="39"/>
  <c r="D1019" i="39"/>
  <c r="H1019" i="39"/>
  <c r="B1020" i="39"/>
  <c r="C1020" i="39" s="1"/>
  <c r="D1020" i="39"/>
  <c r="H1020" i="39"/>
  <c r="B1021" i="39"/>
  <c r="C1021" i="39" s="1"/>
  <c r="D1021" i="39"/>
  <c r="H1021" i="39"/>
  <c r="B1022" i="39"/>
  <c r="C1022" i="39" s="1"/>
  <c r="D1022" i="39"/>
  <c r="H1022" i="39"/>
  <c r="B1023" i="39"/>
  <c r="C1023" i="39" s="1"/>
  <c r="D1023" i="39"/>
  <c r="H1023" i="39"/>
  <c r="B1024" i="39"/>
  <c r="D1024" i="39"/>
  <c r="H1024" i="39"/>
  <c r="B1025" i="39"/>
  <c r="C1025" i="39" s="1"/>
  <c r="D1025" i="39"/>
  <c r="H1025" i="39"/>
  <c r="B1026" i="39"/>
  <c r="C1026" i="39" s="1"/>
  <c r="D1026" i="39"/>
  <c r="H1026" i="39"/>
  <c r="B1027" i="39"/>
  <c r="C1027" i="39" s="1"/>
  <c r="D1027" i="39"/>
  <c r="H1027" i="39"/>
  <c r="B1028" i="39"/>
  <c r="C1028" i="39" s="1"/>
  <c r="D1028" i="39"/>
  <c r="H1028" i="39"/>
  <c r="B1029" i="39"/>
  <c r="D1029" i="39"/>
  <c r="H1029" i="39"/>
  <c r="B1030" i="39"/>
  <c r="C1030" i="39" s="1"/>
  <c r="D1030" i="39"/>
  <c r="H1030" i="39"/>
  <c r="B1031" i="39"/>
  <c r="C1031" i="39" s="1"/>
  <c r="D1031" i="39"/>
  <c r="H1031" i="39"/>
  <c r="B1032" i="39"/>
  <c r="C1032" i="39" s="1"/>
  <c r="D1032" i="39"/>
  <c r="H1032" i="39"/>
  <c r="B1033" i="39"/>
  <c r="C1033" i="39" s="1"/>
  <c r="D1033" i="39"/>
  <c r="H1033" i="39"/>
  <c r="B1034" i="39"/>
  <c r="C1034" i="39" s="1"/>
  <c r="D1034" i="39"/>
  <c r="H1034" i="39"/>
  <c r="B1035" i="39"/>
  <c r="C1035" i="39" s="1"/>
  <c r="D1035" i="39"/>
  <c r="H1035" i="39"/>
  <c r="B1036" i="39"/>
  <c r="C1036" i="39" s="1"/>
  <c r="D1036" i="39"/>
  <c r="H1036" i="39"/>
  <c r="B1037" i="39"/>
  <c r="C1037" i="39" s="1"/>
  <c r="D1037" i="39"/>
  <c r="H1037" i="39"/>
  <c r="B1038" i="39"/>
  <c r="D1038" i="39"/>
  <c r="H1038" i="39"/>
  <c r="B1039" i="39"/>
  <c r="D1039" i="39"/>
  <c r="H1039" i="39"/>
  <c r="B1040" i="39"/>
  <c r="D1040" i="39"/>
  <c r="H1040" i="39"/>
  <c r="B1041" i="39"/>
  <c r="C1041" i="39" s="1"/>
  <c r="D1041" i="39"/>
  <c r="H1041" i="39"/>
  <c r="B1042" i="39"/>
  <c r="D1042" i="39"/>
  <c r="H1042" i="39"/>
  <c r="B1043" i="39"/>
  <c r="C1043" i="39" s="1"/>
  <c r="D1043" i="39"/>
  <c r="H1043" i="39"/>
  <c r="B1044" i="39"/>
  <c r="D1044" i="39"/>
  <c r="H1044" i="39"/>
  <c r="B1045" i="39"/>
  <c r="C1045" i="39" s="1"/>
  <c r="D1045" i="39"/>
  <c r="H1045" i="39"/>
  <c r="B1046" i="39"/>
  <c r="C1046" i="39" s="1"/>
  <c r="D1046" i="39"/>
  <c r="H1046" i="39"/>
  <c r="B1047" i="39"/>
  <c r="C1047" i="39" s="1"/>
  <c r="D1047" i="39"/>
  <c r="H1047" i="39"/>
  <c r="B1048" i="39"/>
  <c r="C1048" i="39" s="1"/>
  <c r="D1048" i="39"/>
  <c r="H1048" i="39"/>
  <c r="B1049" i="39"/>
  <c r="D1049" i="39"/>
  <c r="H1049" i="39"/>
  <c r="B1050" i="39"/>
  <c r="C1050" i="39" s="1"/>
  <c r="D1050" i="39"/>
  <c r="H1050" i="39"/>
  <c r="B1051" i="39"/>
  <c r="D1051" i="39"/>
  <c r="H1051" i="39"/>
  <c r="B1052" i="39"/>
  <c r="C1052" i="39" s="1"/>
  <c r="D1052" i="39"/>
  <c r="H1052" i="39"/>
  <c r="B1053" i="39"/>
  <c r="C1053" i="39" s="1"/>
  <c r="D1053" i="39"/>
  <c r="H1053" i="39"/>
  <c r="B1054" i="39"/>
  <c r="C1054" i="39" s="1"/>
  <c r="D1054" i="39"/>
  <c r="H1054" i="39"/>
  <c r="B1055" i="39"/>
  <c r="D1055" i="39"/>
  <c r="H1055" i="39"/>
  <c r="B1056" i="39"/>
  <c r="C1056" i="39" s="1"/>
  <c r="D1056" i="39"/>
  <c r="H1056" i="39"/>
  <c r="B1057" i="39"/>
  <c r="C1057" i="39" s="1"/>
  <c r="D1057" i="39"/>
  <c r="H1057" i="39"/>
  <c r="B1058" i="39"/>
  <c r="C1058" i="39" s="1"/>
  <c r="D1058" i="39"/>
  <c r="H1058" i="39"/>
  <c r="B1059" i="39"/>
  <c r="C1059" i="39" s="1"/>
  <c r="D1059" i="39"/>
  <c r="H1059" i="39"/>
  <c r="B1060" i="39"/>
  <c r="D1060" i="39"/>
  <c r="H1060" i="39"/>
  <c r="B1061" i="39"/>
  <c r="C1061" i="39" s="1"/>
  <c r="D1061" i="39"/>
  <c r="H1061" i="39"/>
  <c r="B1062" i="39"/>
  <c r="C1062" i="39" s="1"/>
  <c r="D1062" i="39"/>
  <c r="H1062" i="39"/>
  <c r="B1063" i="39"/>
  <c r="C1063" i="39" s="1"/>
  <c r="D1063" i="39"/>
  <c r="H1063" i="39"/>
  <c r="B1064" i="39"/>
  <c r="C1064" i="39" s="1"/>
  <c r="D1064" i="39"/>
  <c r="H1064" i="39"/>
  <c r="B1065" i="39"/>
  <c r="D1065" i="39"/>
  <c r="H1065" i="39"/>
  <c r="B1066" i="39"/>
  <c r="C1066" i="39" s="1"/>
  <c r="D1066" i="39"/>
  <c r="H1066" i="39"/>
  <c r="B1067" i="39"/>
  <c r="C1067" i="39" s="1"/>
  <c r="D1067" i="39"/>
  <c r="H1067" i="39"/>
  <c r="B1068" i="39"/>
  <c r="C1068" i="39" s="1"/>
  <c r="D1068" i="39"/>
  <c r="H1068" i="39"/>
  <c r="B1069" i="39"/>
  <c r="C1069" i="39" s="1"/>
  <c r="D1069" i="39"/>
  <c r="H1069" i="39"/>
  <c r="B1070" i="39"/>
  <c r="C1070" i="39" s="1"/>
  <c r="D1070" i="39"/>
  <c r="H1070" i="39"/>
  <c r="B1071" i="39"/>
  <c r="C1071" i="39" s="1"/>
  <c r="D1071" i="39"/>
  <c r="H1071" i="39"/>
  <c r="B1072" i="39"/>
  <c r="C1072" i="39" s="1"/>
  <c r="D1072" i="39"/>
  <c r="H1072" i="39"/>
  <c r="B1073" i="39"/>
  <c r="C1073" i="39" s="1"/>
  <c r="D1073" i="39"/>
  <c r="H1073" i="39"/>
  <c r="B1074" i="39"/>
  <c r="C1074" i="39" s="1"/>
  <c r="D1074" i="39"/>
  <c r="H1074" i="39"/>
  <c r="B1075" i="39"/>
  <c r="C1075" i="39" s="1"/>
  <c r="D1075" i="39"/>
  <c r="H1075" i="39"/>
  <c r="B1076" i="39"/>
  <c r="D1076" i="39"/>
  <c r="H1076" i="39"/>
  <c r="B1077" i="39"/>
  <c r="C1077" i="39" s="1"/>
  <c r="D1077" i="39"/>
  <c r="H1077" i="39"/>
  <c r="B1078" i="39"/>
  <c r="C1078" i="39" s="1"/>
  <c r="D1078" i="39"/>
  <c r="H1078" i="39"/>
  <c r="B1079" i="39"/>
  <c r="C1079" i="39" s="1"/>
  <c r="D1079" i="39"/>
  <c r="H1079" i="39"/>
  <c r="B1080" i="39"/>
  <c r="C1080" i="39" s="1"/>
  <c r="D1080" i="39"/>
  <c r="H1080" i="39"/>
  <c r="B1081" i="39"/>
  <c r="C1081" i="39" s="1"/>
  <c r="D1081" i="39"/>
  <c r="H1081" i="39"/>
  <c r="B1082" i="39"/>
  <c r="C1082" i="39" s="1"/>
  <c r="D1082" i="39"/>
  <c r="H1082" i="39"/>
  <c r="B1083" i="39"/>
  <c r="C1083" i="39" s="1"/>
  <c r="D1083" i="39"/>
  <c r="H1083" i="39"/>
  <c r="B1084" i="39"/>
  <c r="C1084" i="39" s="1"/>
  <c r="D1084" i="39"/>
  <c r="H1084" i="39"/>
  <c r="B1085" i="39"/>
  <c r="C1085" i="39" s="1"/>
  <c r="D1085" i="39"/>
  <c r="H1085" i="39"/>
  <c r="B1086" i="39"/>
  <c r="C1086" i="39" s="1"/>
  <c r="D1086" i="39"/>
  <c r="H1086" i="39"/>
  <c r="B1087" i="39"/>
  <c r="C1087" i="39" s="1"/>
  <c r="D1087" i="39"/>
  <c r="H1087" i="39"/>
  <c r="B1088" i="39"/>
  <c r="D1088" i="39"/>
  <c r="H1088" i="39"/>
  <c r="B1089" i="39"/>
  <c r="C1089" i="39" s="1"/>
  <c r="D1089" i="39"/>
  <c r="H1089" i="39"/>
  <c r="B1090" i="39"/>
  <c r="C1090" i="39" s="1"/>
  <c r="D1090" i="39"/>
  <c r="H1090" i="39"/>
  <c r="B1091" i="39"/>
  <c r="C1091" i="39" s="1"/>
  <c r="D1091" i="39"/>
  <c r="H1091" i="39"/>
  <c r="B1092" i="39"/>
  <c r="C1092" i="39" s="1"/>
  <c r="D1092" i="39"/>
  <c r="H1092" i="39"/>
  <c r="B1093" i="39"/>
  <c r="C1093" i="39" s="1"/>
  <c r="D1093" i="39"/>
  <c r="H1093" i="39"/>
  <c r="B1094" i="39"/>
  <c r="C1094" i="39" s="1"/>
  <c r="D1094" i="39"/>
  <c r="H1094" i="39"/>
  <c r="B1095" i="39"/>
  <c r="C1095" i="39" s="1"/>
  <c r="D1095" i="39"/>
  <c r="H1095" i="39"/>
  <c r="B1096" i="39"/>
  <c r="C1096" i="39" s="1"/>
  <c r="D1096" i="39"/>
  <c r="H1096" i="39"/>
  <c r="B1097" i="39"/>
  <c r="C1097" i="39" s="1"/>
  <c r="D1097" i="39"/>
  <c r="H1097" i="39"/>
  <c r="B1098" i="39"/>
  <c r="C1098" i="39" s="1"/>
  <c r="D1098" i="39"/>
  <c r="H1098" i="39"/>
  <c r="B1099" i="39"/>
  <c r="C1099" i="39" s="1"/>
  <c r="D1099" i="39"/>
  <c r="H1099" i="39"/>
  <c r="B1100" i="39"/>
  <c r="D1100" i="39"/>
  <c r="H1100" i="39"/>
  <c r="B1101" i="39"/>
  <c r="C1101" i="39" s="1"/>
  <c r="D1101" i="39"/>
  <c r="H1101" i="39"/>
  <c r="B1102" i="39"/>
  <c r="C1102" i="39" s="1"/>
  <c r="D1102" i="39"/>
  <c r="H1102" i="39"/>
  <c r="B1103" i="39"/>
  <c r="C1103" i="39" s="1"/>
  <c r="D1103" i="39"/>
  <c r="H1103" i="39"/>
  <c r="B1104" i="39"/>
  <c r="C1104" i="39" s="1"/>
  <c r="D1104" i="39"/>
  <c r="H1104" i="39"/>
  <c r="B1105" i="39"/>
  <c r="C1105" i="39" s="1"/>
  <c r="D1105" i="39"/>
  <c r="H1105" i="39"/>
  <c r="B1106" i="39"/>
  <c r="C1106" i="39" s="1"/>
  <c r="D1106" i="39"/>
  <c r="H1106" i="39"/>
  <c r="B1107" i="39"/>
  <c r="C1107" i="39" s="1"/>
  <c r="D1107" i="39"/>
  <c r="H1107" i="39"/>
  <c r="B1108" i="39"/>
  <c r="C1108" i="39" s="1"/>
  <c r="D1108" i="39"/>
  <c r="H1108" i="39"/>
  <c r="B1109" i="39"/>
  <c r="C1109" i="39" s="1"/>
  <c r="D1109" i="39"/>
  <c r="H1109" i="39"/>
  <c r="B1110" i="39"/>
  <c r="C1110" i="39" s="1"/>
  <c r="D1110" i="39"/>
  <c r="H1110" i="39"/>
  <c r="B1111" i="39"/>
  <c r="C1111" i="39" s="1"/>
  <c r="D1111" i="39"/>
  <c r="H1111" i="39"/>
  <c r="B1112" i="39"/>
  <c r="D1112" i="39"/>
  <c r="H1112" i="39"/>
  <c r="B1113" i="39"/>
  <c r="C1113" i="39" s="1"/>
  <c r="D1113" i="39"/>
  <c r="H1113" i="39"/>
  <c r="B1114" i="39"/>
  <c r="C1114" i="39" s="1"/>
  <c r="D1114" i="39"/>
  <c r="H1114" i="39"/>
  <c r="B1115" i="39"/>
  <c r="C1115" i="39" s="1"/>
  <c r="D1115" i="39"/>
  <c r="H1115" i="39"/>
  <c r="B1116" i="39"/>
  <c r="C1116" i="39" s="1"/>
  <c r="D1116" i="39"/>
  <c r="H1116" i="39"/>
  <c r="B1117" i="39"/>
  <c r="C1117" i="39" s="1"/>
  <c r="D1117" i="39"/>
  <c r="H1117" i="39"/>
  <c r="B1118" i="39"/>
  <c r="C1118" i="39" s="1"/>
  <c r="D1118" i="39"/>
  <c r="H1118" i="39"/>
  <c r="B1119" i="39"/>
  <c r="C1119" i="39" s="1"/>
  <c r="D1119" i="39"/>
  <c r="H1119" i="39"/>
  <c r="B1120" i="39"/>
  <c r="C1120" i="39" s="1"/>
  <c r="D1120" i="39"/>
  <c r="H1120" i="39"/>
  <c r="B1121" i="39"/>
  <c r="C1121" i="39" s="1"/>
  <c r="D1121" i="39"/>
  <c r="H1121" i="39"/>
  <c r="B1122" i="39"/>
  <c r="C1122" i="39" s="1"/>
  <c r="D1122" i="39"/>
  <c r="H1122" i="39"/>
  <c r="B1123" i="39"/>
  <c r="C1123" i="39" s="1"/>
  <c r="D1123" i="39"/>
  <c r="H1123" i="39"/>
  <c r="B1124" i="39"/>
  <c r="D1124" i="39"/>
  <c r="H1124" i="39"/>
  <c r="B1125" i="39"/>
  <c r="C1125" i="39" s="1"/>
  <c r="D1125" i="39"/>
  <c r="H1125" i="39"/>
  <c r="B1126" i="39"/>
  <c r="C1126" i="39" s="1"/>
  <c r="D1126" i="39"/>
  <c r="H1126" i="39"/>
  <c r="B1127" i="39"/>
  <c r="C1127" i="39" s="1"/>
  <c r="D1127" i="39"/>
  <c r="H1127" i="39"/>
  <c r="B1128" i="39"/>
  <c r="C1128" i="39" s="1"/>
  <c r="D1128" i="39"/>
  <c r="H1128" i="39"/>
  <c r="B1129" i="39"/>
  <c r="C1129" i="39" s="1"/>
  <c r="D1129" i="39"/>
  <c r="H1129" i="39"/>
  <c r="B1130" i="39"/>
  <c r="C1130" i="39" s="1"/>
  <c r="D1130" i="39"/>
  <c r="H1130" i="39"/>
  <c r="B1131" i="39"/>
  <c r="C1131" i="39" s="1"/>
  <c r="D1131" i="39"/>
  <c r="H1131" i="39"/>
  <c r="B1132" i="39"/>
  <c r="C1132" i="39" s="1"/>
  <c r="D1132" i="39"/>
  <c r="H1132" i="39"/>
  <c r="B1133" i="39"/>
  <c r="C1133" i="39" s="1"/>
  <c r="D1133" i="39"/>
  <c r="H1133" i="39"/>
  <c r="B1134" i="39"/>
  <c r="C1134" i="39" s="1"/>
  <c r="D1134" i="39"/>
  <c r="H1134" i="39"/>
  <c r="B1135" i="39"/>
  <c r="C1135" i="39" s="1"/>
  <c r="D1135" i="39"/>
  <c r="H1135" i="39"/>
  <c r="B1136" i="39"/>
  <c r="D1136" i="39"/>
  <c r="H1136" i="39"/>
  <c r="B1137" i="39"/>
  <c r="C1137" i="39" s="1"/>
  <c r="D1137" i="39"/>
  <c r="H1137" i="39"/>
  <c r="B1138" i="39"/>
  <c r="C1138" i="39" s="1"/>
  <c r="D1138" i="39"/>
  <c r="H1138" i="39"/>
  <c r="B1139" i="39"/>
  <c r="C1139" i="39" s="1"/>
  <c r="D1139" i="39"/>
  <c r="H1139" i="39"/>
  <c r="B1140" i="39"/>
  <c r="C1140" i="39" s="1"/>
  <c r="D1140" i="39"/>
  <c r="H1140" i="39"/>
  <c r="B1141" i="39"/>
  <c r="C1141" i="39" s="1"/>
  <c r="D1141" i="39"/>
  <c r="H1141" i="39"/>
  <c r="B1142" i="39"/>
  <c r="C1142" i="39" s="1"/>
  <c r="D1142" i="39"/>
  <c r="H1142" i="39"/>
  <c r="B1143" i="39"/>
  <c r="C1143" i="39" s="1"/>
  <c r="D1143" i="39"/>
  <c r="H1143" i="39"/>
  <c r="B1144" i="39"/>
  <c r="C1144" i="39" s="1"/>
  <c r="D1144" i="39"/>
  <c r="H1144" i="39"/>
  <c r="B1145" i="39"/>
  <c r="C1145" i="39" s="1"/>
  <c r="D1145" i="39"/>
  <c r="H1145" i="39"/>
  <c r="B1146" i="39"/>
  <c r="C1146" i="39" s="1"/>
  <c r="D1146" i="39"/>
  <c r="H1146" i="39"/>
  <c r="B1147" i="39"/>
  <c r="C1147" i="39" s="1"/>
  <c r="D1147" i="39"/>
  <c r="H1147" i="39"/>
  <c r="B1148" i="39"/>
  <c r="D1148" i="39"/>
  <c r="H1148" i="39"/>
  <c r="B1149" i="39"/>
  <c r="C1149" i="39" s="1"/>
  <c r="D1149" i="39"/>
  <c r="H1149" i="39"/>
  <c r="B1150" i="39"/>
  <c r="C1150" i="39" s="1"/>
  <c r="D1150" i="39"/>
  <c r="H1150" i="39"/>
  <c r="B1151" i="39"/>
  <c r="C1151" i="39" s="1"/>
  <c r="D1151" i="39"/>
  <c r="H1151" i="39"/>
  <c r="B1152" i="39"/>
  <c r="C1152" i="39" s="1"/>
  <c r="D1152" i="39"/>
  <c r="H1152" i="39"/>
  <c r="B1153" i="39"/>
  <c r="C1153" i="39" s="1"/>
  <c r="D1153" i="39"/>
  <c r="H1153" i="39"/>
  <c r="B1154" i="39"/>
  <c r="C1154" i="39" s="1"/>
  <c r="D1154" i="39"/>
  <c r="H1154" i="39"/>
  <c r="B1155" i="39"/>
  <c r="C1155" i="39" s="1"/>
  <c r="D1155" i="39"/>
  <c r="H1155" i="39"/>
  <c r="B1156" i="39"/>
  <c r="C1156" i="39" s="1"/>
  <c r="D1156" i="39"/>
  <c r="H1156" i="39"/>
  <c r="B1157" i="39"/>
  <c r="C1157" i="39" s="1"/>
  <c r="D1157" i="39"/>
  <c r="H1157" i="39"/>
  <c r="B1158" i="39"/>
  <c r="C1158" i="39" s="1"/>
  <c r="D1158" i="39"/>
  <c r="H1158" i="39"/>
  <c r="B1159" i="39"/>
  <c r="C1159" i="39" s="1"/>
  <c r="D1159" i="39"/>
  <c r="H1159" i="39"/>
  <c r="B1160" i="39"/>
  <c r="D1160" i="39"/>
  <c r="H1160" i="39"/>
  <c r="B1161" i="39"/>
  <c r="C1161" i="39" s="1"/>
  <c r="D1161" i="39"/>
  <c r="H1161" i="39"/>
  <c r="B1162" i="39"/>
  <c r="C1162" i="39" s="1"/>
  <c r="D1162" i="39"/>
  <c r="H1162" i="39"/>
  <c r="B1163" i="39"/>
  <c r="C1163" i="39" s="1"/>
  <c r="D1163" i="39"/>
  <c r="H1163" i="39"/>
  <c r="B1164" i="39"/>
  <c r="C1164" i="39" s="1"/>
  <c r="D1164" i="39"/>
  <c r="H1164" i="39"/>
  <c r="B1165" i="39"/>
  <c r="C1165" i="39" s="1"/>
  <c r="D1165" i="39"/>
  <c r="H1165" i="39"/>
  <c r="B1166" i="39"/>
  <c r="C1166" i="39" s="1"/>
  <c r="D1166" i="39"/>
  <c r="H1166" i="39"/>
  <c r="B1167" i="39"/>
  <c r="C1167" i="39" s="1"/>
  <c r="D1167" i="39"/>
  <c r="H1167" i="39"/>
  <c r="B1168" i="39"/>
  <c r="C1168" i="39" s="1"/>
  <c r="D1168" i="39"/>
  <c r="H1168" i="39"/>
  <c r="B1169" i="39"/>
  <c r="C1169" i="39" s="1"/>
  <c r="D1169" i="39"/>
  <c r="H1169" i="39"/>
  <c r="B1170" i="39"/>
  <c r="C1170" i="39" s="1"/>
  <c r="D1170" i="39"/>
  <c r="H1170" i="39"/>
  <c r="B1171" i="39"/>
  <c r="C1171" i="39" s="1"/>
  <c r="D1171" i="39"/>
  <c r="H1171" i="39"/>
  <c r="B1172" i="39"/>
  <c r="D1172" i="39"/>
  <c r="H1172" i="39"/>
  <c r="B1173" i="39"/>
  <c r="C1173" i="39" s="1"/>
  <c r="D1173" i="39"/>
  <c r="H1173" i="39"/>
  <c r="B1174" i="39"/>
  <c r="C1174" i="39" s="1"/>
  <c r="D1174" i="39"/>
  <c r="H1174" i="39"/>
  <c r="B1175" i="39"/>
  <c r="C1175" i="39" s="1"/>
  <c r="D1175" i="39"/>
  <c r="H1175" i="39"/>
  <c r="B1176" i="39"/>
  <c r="C1176" i="39" s="1"/>
  <c r="D1176" i="39"/>
  <c r="H1176" i="39"/>
  <c r="B1177" i="39"/>
  <c r="C1177" i="39" s="1"/>
  <c r="D1177" i="39"/>
  <c r="H1177" i="39"/>
  <c r="B1178" i="39"/>
  <c r="C1178" i="39" s="1"/>
  <c r="D1178" i="39"/>
  <c r="H1178" i="39"/>
  <c r="B1179" i="39"/>
  <c r="C1179" i="39" s="1"/>
  <c r="D1179" i="39"/>
  <c r="H1179" i="39"/>
  <c r="B1180" i="39"/>
  <c r="C1180" i="39" s="1"/>
  <c r="D1180" i="39"/>
  <c r="H1180" i="39"/>
  <c r="B1181" i="39"/>
  <c r="C1181" i="39" s="1"/>
  <c r="D1181" i="39"/>
  <c r="H1181" i="39"/>
  <c r="B1182" i="39"/>
  <c r="C1182" i="39" s="1"/>
  <c r="D1182" i="39"/>
  <c r="H1182" i="39"/>
  <c r="B1183" i="39"/>
  <c r="C1183" i="39" s="1"/>
  <c r="D1183" i="39"/>
  <c r="H1183" i="39"/>
  <c r="B1184" i="39"/>
  <c r="D1184" i="39"/>
  <c r="H1184" i="39"/>
  <c r="B1185" i="39"/>
  <c r="C1185" i="39" s="1"/>
  <c r="D1185" i="39"/>
  <c r="H1185" i="39"/>
  <c r="B1186" i="39"/>
  <c r="C1186" i="39" s="1"/>
  <c r="D1186" i="39"/>
  <c r="H1186" i="39"/>
  <c r="B1187" i="39"/>
  <c r="C1187" i="39" s="1"/>
  <c r="D1187" i="39"/>
  <c r="H1187" i="39"/>
  <c r="B1188" i="39"/>
  <c r="C1188" i="39" s="1"/>
  <c r="D1188" i="39"/>
  <c r="H1188" i="39"/>
  <c r="B1189" i="39"/>
  <c r="C1189" i="39" s="1"/>
  <c r="D1189" i="39"/>
  <c r="H1189" i="39"/>
  <c r="B1190" i="39"/>
  <c r="C1190" i="39" s="1"/>
  <c r="D1190" i="39"/>
  <c r="H1190" i="39"/>
  <c r="B1191" i="39"/>
  <c r="C1191" i="39" s="1"/>
  <c r="D1191" i="39"/>
  <c r="H1191" i="39"/>
  <c r="B1192" i="39"/>
  <c r="C1192" i="39" s="1"/>
  <c r="D1192" i="39"/>
  <c r="H1192" i="39"/>
  <c r="B1193" i="39"/>
  <c r="C1193" i="39" s="1"/>
  <c r="D1193" i="39"/>
  <c r="H1193" i="39"/>
  <c r="B1194" i="39"/>
  <c r="C1194" i="39" s="1"/>
  <c r="D1194" i="39"/>
  <c r="H1194" i="39"/>
  <c r="B1195" i="39"/>
  <c r="C1195" i="39" s="1"/>
  <c r="D1195" i="39"/>
  <c r="H1195" i="39"/>
  <c r="B1196" i="39"/>
  <c r="D1196" i="39"/>
  <c r="H1196" i="39"/>
  <c r="B1197" i="39"/>
  <c r="C1197" i="39" s="1"/>
  <c r="D1197" i="39"/>
  <c r="H1197" i="39"/>
  <c r="B1198" i="39"/>
  <c r="C1198" i="39" s="1"/>
  <c r="D1198" i="39"/>
  <c r="H1198" i="39"/>
  <c r="B1199" i="39"/>
  <c r="C1199" i="39" s="1"/>
  <c r="D1199" i="39"/>
  <c r="H1199" i="39"/>
  <c r="B1200" i="39"/>
  <c r="C1200" i="39" s="1"/>
  <c r="D1200" i="39"/>
  <c r="H1200" i="39"/>
  <c r="B1201" i="39"/>
  <c r="C1201" i="39" s="1"/>
  <c r="D1201" i="39"/>
  <c r="H1201" i="39"/>
  <c r="B1202" i="39"/>
  <c r="C1202" i="39" s="1"/>
  <c r="D1202" i="39"/>
  <c r="H1202" i="39"/>
  <c r="B1203" i="39"/>
  <c r="C1203" i="39" s="1"/>
  <c r="D1203" i="39"/>
  <c r="H1203" i="39"/>
  <c r="B1204" i="39"/>
  <c r="C1204" i="39" s="1"/>
  <c r="D1204" i="39"/>
  <c r="H1204" i="39"/>
  <c r="B1205" i="39"/>
  <c r="C1205" i="39" s="1"/>
  <c r="D1205" i="39"/>
  <c r="H1205" i="39"/>
  <c r="B1206" i="39"/>
  <c r="C1206" i="39" s="1"/>
  <c r="D1206" i="39"/>
  <c r="H1206" i="39"/>
  <c r="B1207" i="39"/>
  <c r="C1207" i="39" s="1"/>
  <c r="D1207" i="39"/>
  <c r="H1207" i="39"/>
  <c r="B1208" i="39"/>
  <c r="D1208" i="39"/>
  <c r="H1208" i="39"/>
  <c r="B1209" i="39"/>
  <c r="C1209" i="39" s="1"/>
  <c r="D1209" i="39"/>
  <c r="H1209" i="39"/>
  <c r="B1210" i="39"/>
  <c r="C1210" i="39" s="1"/>
  <c r="D1210" i="39"/>
  <c r="H1210" i="39"/>
  <c r="B1211" i="39"/>
  <c r="C1211" i="39" s="1"/>
  <c r="D1211" i="39"/>
  <c r="H1211" i="39"/>
  <c r="B1212" i="39"/>
  <c r="C1212" i="39" s="1"/>
  <c r="D1212" i="39"/>
  <c r="H1212" i="39"/>
  <c r="B1213" i="39"/>
  <c r="C1213" i="39" s="1"/>
  <c r="D1213" i="39"/>
  <c r="H1213" i="39"/>
  <c r="B1214" i="39"/>
  <c r="C1214" i="39" s="1"/>
  <c r="D1214" i="39"/>
  <c r="H1214" i="39"/>
  <c r="B1215" i="39"/>
  <c r="C1215" i="39" s="1"/>
  <c r="D1215" i="39"/>
  <c r="H1215" i="39"/>
  <c r="B1216" i="39"/>
  <c r="C1216" i="39" s="1"/>
  <c r="D1216" i="39"/>
  <c r="H1216" i="39"/>
  <c r="B1217" i="39"/>
  <c r="C1217" i="39" s="1"/>
  <c r="D1217" i="39"/>
  <c r="H1217" i="39"/>
  <c r="B1218" i="39"/>
  <c r="C1218" i="39" s="1"/>
  <c r="D1218" i="39"/>
  <c r="H1218" i="39"/>
  <c r="B1219" i="39"/>
  <c r="C1219" i="39" s="1"/>
  <c r="D1219" i="39"/>
  <c r="H1219" i="39"/>
  <c r="B1220" i="39"/>
  <c r="D1220" i="39"/>
  <c r="H1220" i="39"/>
  <c r="B1221" i="39"/>
  <c r="C1221" i="39" s="1"/>
  <c r="D1221" i="39"/>
  <c r="H1221" i="39"/>
  <c r="B1222" i="39"/>
  <c r="C1222" i="39" s="1"/>
  <c r="D1222" i="39"/>
  <c r="H1222" i="39"/>
  <c r="B1223" i="39"/>
  <c r="C1223" i="39" s="1"/>
  <c r="D1223" i="39"/>
  <c r="H1223" i="39"/>
  <c r="B1224" i="39"/>
  <c r="C1224" i="39" s="1"/>
  <c r="D1224" i="39"/>
  <c r="H1224" i="39"/>
  <c r="B1225" i="39"/>
  <c r="C1225" i="39" s="1"/>
  <c r="D1225" i="39"/>
  <c r="H1225" i="39"/>
  <c r="B1226" i="39"/>
  <c r="C1226" i="39" s="1"/>
  <c r="D1226" i="39"/>
  <c r="H1226" i="39"/>
  <c r="B1227" i="39"/>
  <c r="C1227" i="39" s="1"/>
  <c r="D1227" i="39"/>
  <c r="H1227" i="39"/>
  <c r="B1228" i="39"/>
  <c r="C1228" i="39" s="1"/>
  <c r="D1228" i="39"/>
  <c r="H1228" i="39"/>
  <c r="B1229" i="39"/>
  <c r="D1229" i="39"/>
  <c r="H1229" i="39"/>
  <c r="B1230" i="39"/>
  <c r="C1230" i="39" s="1"/>
  <c r="D1230" i="39"/>
  <c r="H1230" i="39"/>
  <c r="B1231" i="39"/>
  <c r="C1231" i="39" s="1"/>
  <c r="D1231" i="39"/>
  <c r="H1231" i="39"/>
  <c r="B1232" i="39"/>
  <c r="D1232" i="39"/>
  <c r="H1232" i="39"/>
  <c r="B1233" i="39"/>
  <c r="C1233" i="39" s="1"/>
  <c r="D1233" i="39"/>
  <c r="H1233" i="39"/>
  <c r="B1234" i="39"/>
  <c r="C1234" i="39" s="1"/>
  <c r="D1234" i="39"/>
  <c r="H1234" i="39"/>
  <c r="B1235" i="39"/>
  <c r="C1235" i="39" s="1"/>
  <c r="D1235" i="39"/>
  <c r="H1235" i="39"/>
  <c r="B1236" i="39"/>
  <c r="C1236" i="39" s="1"/>
  <c r="D1236" i="39"/>
  <c r="H1236" i="39"/>
  <c r="B1237" i="39"/>
  <c r="C1237" i="39" s="1"/>
  <c r="D1237" i="39"/>
  <c r="H1237" i="39"/>
  <c r="B1238" i="39"/>
  <c r="C1238" i="39" s="1"/>
  <c r="D1238" i="39"/>
  <c r="H1238" i="39"/>
  <c r="B1239" i="39"/>
  <c r="C1239" i="39" s="1"/>
  <c r="D1239" i="39"/>
  <c r="H1239" i="39"/>
  <c r="B1240" i="39"/>
  <c r="C1240" i="39" s="1"/>
  <c r="D1240" i="39"/>
  <c r="H1240" i="39"/>
  <c r="B1241" i="39"/>
  <c r="C1241" i="39" s="1"/>
  <c r="D1241" i="39"/>
  <c r="H1241" i="39"/>
  <c r="B1242" i="39"/>
  <c r="C1242" i="39" s="1"/>
  <c r="D1242" i="39"/>
  <c r="H1242" i="39"/>
  <c r="B1243" i="39"/>
  <c r="C1243" i="39" s="1"/>
  <c r="D1243" i="39"/>
  <c r="H1243" i="39"/>
  <c r="B1244" i="39"/>
  <c r="D1244" i="39"/>
  <c r="H1244" i="39"/>
  <c r="B1245" i="39"/>
  <c r="C1245" i="39" s="1"/>
  <c r="D1245" i="39"/>
  <c r="H1245" i="39"/>
  <c r="B1246" i="39"/>
  <c r="C1246" i="39" s="1"/>
  <c r="D1246" i="39"/>
  <c r="H1246" i="39"/>
  <c r="B1247" i="39"/>
  <c r="C1247" i="39" s="1"/>
  <c r="D1247" i="39"/>
  <c r="H1247" i="39"/>
  <c r="B1248" i="39"/>
  <c r="C1248" i="39" s="1"/>
  <c r="D1248" i="39"/>
  <c r="H1248" i="39"/>
  <c r="B1249" i="39"/>
  <c r="C1249" i="39" s="1"/>
  <c r="D1249" i="39"/>
  <c r="H1249" i="39"/>
  <c r="B1250" i="39"/>
  <c r="C1250" i="39" s="1"/>
  <c r="D1250" i="39"/>
  <c r="H1250" i="39"/>
  <c r="B1251" i="39"/>
  <c r="C1251" i="39" s="1"/>
  <c r="D1251" i="39"/>
  <c r="H1251" i="39"/>
  <c r="B1252" i="39"/>
  <c r="C1252" i="39" s="1"/>
  <c r="D1252" i="39"/>
  <c r="H1252" i="39"/>
  <c r="B1253" i="39"/>
  <c r="C1253" i="39" s="1"/>
  <c r="D1253" i="39"/>
  <c r="H1253" i="39"/>
  <c r="B1254" i="39"/>
  <c r="D1254" i="39"/>
  <c r="H1254" i="39"/>
  <c r="B1255" i="39"/>
  <c r="C1255" i="39" s="1"/>
  <c r="D1255" i="39"/>
  <c r="H1255" i="39"/>
  <c r="B1256" i="39"/>
  <c r="D1256" i="39"/>
  <c r="H1256" i="39"/>
  <c r="B1257" i="39"/>
  <c r="C1257" i="39" s="1"/>
  <c r="D1257" i="39"/>
  <c r="H1257" i="39"/>
  <c r="B1258" i="39"/>
  <c r="C1258" i="39" s="1"/>
  <c r="D1258" i="39"/>
  <c r="H1258" i="39"/>
  <c r="B1259" i="39"/>
  <c r="C1259" i="39" s="1"/>
  <c r="D1259" i="39"/>
  <c r="H1259" i="39"/>
  <c r="B1260" i="39"/>
  <c r="C1260" i="39" s="1"/>
  <c r="D1260" i="39"/>
  <c r="H1260" i="39"/>
  <c r="B1261" i="39"/>
  <c r="C1261" i="39" s="1"/>
  <c r="D1261" i="39"/>
  <c r="H1261" i="39"/>
  <c r="B1262" i="39"/>
  <c r="C1262" i="39" s="1"/>
  <c r="D1262" i="39"/>
  <c r="H1262" i="39"/>
  <c r="B1263" i="39"/>
  <c r="C1263" i="39" s="1"/>
  <c r="D1263" i="39"/>
  <c r="H1263" i="39"/>
  <c r="B1264" i="39"/>
  <c r="C1264" i="39" s="1"/>
  <c r="D1264" i="39"/>
  <c r="H1264" i="39"/>
  <c r="B1265" i="39"/>
  <c r="C1265" i="39" s="1"/>
  <c r="D1265" i="39"/>
  <c r="H1265" i="39"/>
  <c r="B1266" i="39"/>
  <c r="D1266" i="39"/>
  <c r="H1266" i="39"/>
  <c r="B1267" i="39"/>
  <c r="C1267" i="39" s="1"/>
  <c r="D1267" i="39"/>
  <c r="H1267" i="39"/>
  <c r="B1268" i="39"/>
  <c r="D1268" i="39"/>
  <c r="H1268" i="39"/>
  <c r="B1269" i="39"/>
  <c r="C1269" i="39" s="1"/>
  <c r="D1269" i="39"/>
  <c r="H1269" i="39"/>
  <c r="B1270" i="39"/>
  <c r="C1270" i="39" s="1"/>
  <c r="D1270" i="39"/>
  <c r="H1270" i="39"/>
  <c r="B1271" i="39"/>
  <c r="D1271" i="39"/>
  <c r="H1271" i="39"/>
  <c r="B1272" i="39"/>
  <c r="C1272" i="39" s="1"/>
  <c r="D1272" i="39"/>
  <c r="H1272" i="39"/>
  <c r="B1273" i="39"/>
  <c r="C1273" i="39" s="1"/>
  <c r="D1273" i="39"/>
  <c r="H1273" i="39"/>
  <c r="B1274" i="39"/>
  <c r="C1274" i="39" s="1"/>
  <c r="D1274" i="39"/>
  <c r="H1274" i="39"/>
  <c r="B1275" i="39"/>
  <c r="C1275" i="39" s="1"/>
  <c r="D1275" i="39"/>
  <c r="H1275" i="39"/>
  <c r="B1276" i="39"/>
  <c r="C1276" i="39" s="1"/>
  <c r="D1276" i="39"/>
  <c r="H1276" i="39"/>
  <c r="B1277" i="39"/>
  <c r="C1277" i="39" s="1"/>
  <c r="D1277" i="39"/>
  <c r="H1277" i="39"/>
  <c r="B1278" i="39"/>
  <c r="D1278" i="39"/>
  <c r="H1278" i="39"/>
  <c r="B1279" i="39"/>
  <c r="C1279" i="39" s="1"/>
  <c r="D1279" i="39"/>
  <c r="H1279" i="39"/>
  <c r="B1280" i="39"/>
  <c r="D1280" i="39"/>
  <c r="H1280" i="39"/>
  <c r="B1281" i="39"/>
  <c r="C1281" i="39" s="1"/>
  <c r="D1281" i="39"/>
  <c r="H1281" i="39"/>
  <c r="B1282" i="39"/>
  <c r="C1282" i="39" s="1"/>
  <c r="D1282" i="39"/>
  <c r="H1282" i="39"/>
  <c r="B1283" i="39"/>
  <c r="D1283" i="39"/>
  <c r="H1283" i="39"/>
  <c r="B1284" i="39"/>
  <c r="C1284" i="39" s="1"/>
  <c r="D1284" i="39"/>
  <c r="H1284" i="39"/>
  <c r="B1285" i="39"/>
  <c r="C1285" i="39" s="1"/>
  <c r="D1285" i="39"/>
  <c r="H1285" i="39"/>
  <c r="B1286" i="39"/>
  <c r="C1286" i="39" s="1"/>
  <c r="D1286" i="39"/>
  <c r="H1286" i="39"/>
  <c r="B1287" i="39"/>
  <c r="C1287" i="39" s="1"/>
  <c r="D1287" i="39"/>
  <c r="H1287" i="39"/>
  <c r="B1288" i="39"/>
  <c r="C1288" i="39" s="1"/>
  <c r="D1288" i="39"/>
  <c r="H1288" i="39"/>
  <c r="B1289" i="39"/>
  <c r="C1289" i="39" s="1"/>
  <c r="D1289" i="39"/>
  <c r="H1289" i="39"/>
  <c r="B1290" i="39"/>
  <c r="D1290" i="39"/>
  <c r="H1290" i="39"/>
  <c r="B1291" i="39"/>
  <c r="C1291" i="39" s="1"/>
  <c r="D1291" i="39"/>
  <c r="H1291" i="39"/>
  <c r="B1292" i="39"/>
  <c r="D1292" i="39"/>
  <c r="H1292" i="39"/>
  <c r="B1293" i="39"/>
  <c r="C1293" i="39" s="1"/>
  <c r="D1293" i="39"/>
  <c r="H1293" i="39"/>
  <c r="B1294" i="39"/>
  <c r="C1294" i="39" s="1"/>
  <c r="D1294" i="39"/>
  <c r="H1294" i="39"/>
  <c r="B1295" i="39"/>
  <c r="D1295" i="39"/>
  <c r="H1295" i="39"/>
  <c r="B1296" i="39"/>
  <c r="C1296" i="39" s="1"/>
  <c r="D1296" i="39"/>
  <c r="H1296" i="39"/>
  <c r="B1297" i="39"/>
  <c r="C1297" i="39" s="1"/>
  <c r="D1297" i="39"/>
  <c r="H1297" i="39"/>
  <c r="B1298" i="39"/>
  <c r="C1298" i="39" s="1"/>
  <c r="D1298" i="39"/>
  <c r="H1298" i="39"/>
  <c r="B1299" i="39"/>
  <c r="C1299" i="39" s="1"/>
  <c r="D1299" i="39"/>
  <c r="H1299" i="39"/>
  <c r="B1300" i="39"/>
  <c r="C1300" i="39" s="1"/>
  <c r="D1300" i="39"/>
  <c r="H1300" i="39"/>
  <c r="B1301" i="39"/>
  <c r="C1301" i="39" s="1"/>
  <c r="D1301" i="39"/>
  <c r="H1301" i="39"/>
  <c r="B1302" i="39"/>
  <c r="C1302" i="39" s="1"/>
  <c r="D1302" i="39"/>
  <c r="H1302" i="39"/>
  <c r="B1303" i="39"/>
  <c r="D1303" i="39"/>
  <c r="H1303" i="39"/>
  <c r="B1304" i="39"/>
  <c r="D1304" i="39"/>
  <c r="H1304" i="39"/>
  <c r="B1305" i="39"/>
  <c r="C1305" i="39" s="1"/>
  <c r="D1305" i="39"/>
  <c r="H1305" i="39"/>
  <c r="B1306" i="39"/>
  <c r="C1306" i="39" s="1"/>
  <c r="D1306" i="39"/>
  <c r="H1306" i="39"/>
  <c r="B1307" i="39"/>
  <c r="C1307" i="39" s="1"/>
  <c r="D1307" i="39"/>
  <c r="H1307" i="39"/>
  <c r="B1308" i="39"/>
  <c r="D1308" i="39"/>
  <c r="H1308" i="39"/>
  <c r="B1309" i="39"/>
  <c r="C1309" i="39" s="1"/>
  <c r="D1309" i="39"/>
  <c r="H1309" i="39"/>
  <c r="B1310" i="39"/>
  <c r="D1310" i="39"/>
  <c r="H1310" i="39"/>
  <c r="B1311" i="39"/>
  <c r="C1311" i="39" s="1"/>
  <c r="D1311" i="39"/>
  <c r="H1311" i="39"/>
  <c r="B1312" i="39"/>
  <c r="C1312" i="39" s="1"/>
  <c r="D1312" i="39"/>
  <c r="H1312" i="39"/>
  <c r="B1313" i="39"/>
  <c r="C1313" i="39" s="1"/>
  <c r="D1313" i="39"/>
  <c r="H1313" i="39"/>
  <c r="B1314" i="39"/>
  <c r="C1314" i="39" s="1"/>
  <c r="D1314" i="39"/>
  <c r="H1314" i="39"/>
  <c r="B1315" i="39"/>
  <c r="C1315" i="39" s="1"/>
  <c r="D1315" i="39"/>
  <c r="H1315" i="39"/>
  <c r="B1316" i="39"/>
  <c r="D1316" i="39"/>
  <c r="H1316" i="39"/>
  <c r="B1317" i="39"/>
  <c r="C1317" i="39" s="1"/>
  <c r="D1317" i="39"/>
  <c r="H1317" i="39"/>
  <c r="B1318" i="39"/>
  <c r="C1318" i="39" s="1"/>
  <c r="D1318" i="39"/>
  <c r="H1318" i="39"/>
  <c r="B1319" i="39"/>
  <c r="C1319" i="39" s="1"/>
  <c r="D1319" i="39"/>
  <c r="H1319" i="39"/>
  <c r="B1320" i="39"/>
  <c r="C1320" i="39" s="1"/>
  <c r="D1320" i="39"/>
  <c r="H1320" i="39"/>
  <c r="B1321" i="39"/>
  <c r="C1321" i="39" s="1"/>
  <c r="D1321" i="39"/>
  <c r="H1321" i="39"/>
  <c r="B1322" i="39"/>
  <c r="C1322" i="39" s="1"/>
  <c r="D1322" i="39"/>
  <c r="H1322" i="39"/>
  <c r="B1323" i="39"/>
  <c r="D1323" i="39"/>
  <c r="H1323" i="39"/>
  <c r="B1324" i="39"/>
  <c r="C1324" i="39" s="1"/>
  <c r="D1324" i="39"/>
  <c r="H1324" i="39"/>
  <c r="B1325" i="39"/>
  <c r="C1325" i="39" s="1"/>
  <c r="D1325" i="39"/>
  <c r="H1325" i="39"/>
  <c r="B1326" i="39"/>
  <c r="C1326" i="39" s="1"/>
  <c r="D1326" i="39"/>
  <c r="H1326" i="39"/>
  <c r="B1327" i="39"/>
  <c r="C1327" i="39" s="1"/>
  <c r="D1327" i="39"/>
  <c r="H1327" i="39"/>
  <c r="B1328" i="39"/>
  <c r="D1328" i="39"/>
  <c r="H1328" i="39"/>
  <c r="B1329" i="39"/>
  <c r="C1329" i="39" s="1"/>
  <c r="D1329" i="39"/>
  <c r="H1329" i="39"/>
  <c r="B1330" i="39"/>
  <c r="C1330" i="39" s="1"/>
  <c r="D1330" i="39"/>
  <c r="H1330" i="39"/>
  <c r="B1331" i="39"/>
  <c r="C1331" i="39" s="1"/>
  <c r="D1331" i="39"/>
  <c r="H1331" i="39"/>
  <c r="B1332" i="39"/>
  <c r="C1332" i="39" s="1"/>
  <c r="D1332" i="39"/>
  <c r="H1332" i="39"/>
  <c r="B1333" i="39"/>
  <c r="D1333" i="39"/>
  <c r="H1333" i="39"/>
  <c r="B1334" i="39"/>
  <c r="C1334" i="39" s="1"/>
  <c r="D1334" i="39"/>
  <c r="H1334" i="39"/>
  <c r="B1335" i="39"/>
  <c r="C1335" i="39" s="1"/>
  <c r="D1335" i="39"/>
  <c r="H1335" i="39"/>
  <c r="B1336" i="39"/>
  <c r="C1336" i="39" s="1"/>
  <c r="D1336" i="39"/>
  <c r="H1336" i="39"/>
  <c r="B1337" i="39"/>
  <c r="D1337" i="39"/>
  <c r="H1337" i="39"/>
  <c r="B1338" i="39"/>
  <c r="D1338" i="39"/>
  <c r="H1338" i="39"/>
  <c r="B1339" i="39"/>
  <c r="C1339" i="39" s="1"/>
  <c r="D1339" i="39"/>
  <c r="H1339" i="39"/>
  <c r="B1340" i="39"/>
  <c r="C1340" i="39" s="1"/>
  <c r="D1340" i="39"/>
  <c r="H1340" i="39"/>
  <c r="B1341" i="39"/>
  <c r="C1341" i="39" s="1"/>
  <c r="D1341" i="39"/>
  <c r="H1341" i="39"/>
  <c r="B1342" i="39"/>
  <c r="C1342" i="39" s="1"/>
  <c r="D1342" i="39"/>
  <c r="H1342" i="39"/>
  <c r="B1343" i="39"/>
  <c r="C1343" i="39" s="1"/>
  <c r="D1343" i="39"/>
  <c r="H1343" i="39"/>
  <c r="B1344" i="39"/>
  <c r="C1344" i="39" s="1"/>
  <c r="D1344" i="39"/>
  <c r="H1344" i="39"/>
  <c r="B1345" i="39"/>
  <c r="C1345" i="39" s="1"/>
  <c r="D1345" i="39"/>
  <c r="H1345" i="39"/>
  <c r="B1346" i="39"/>
  <c r="D1346" i="39"/>
  <c r="H1346" i="39"/>
  <c r="B1347" i="39"/>
  <c r="C1347" i="39" s="1"/>
  <c r="D1347" i="39"/>
  <c r="H1347" i="39"/>
  <c r="B1348" i="39"/>
  <c r="D1348" i="39"/>
  <c r="H1348" i="39"/>
  <c r="B1349" i="39"/>
  <c r="C1349" i="39" s="1"/>
  <c r="D1349" i="39"/>
  <c r="H1349" i="39"/>
  <c r="B1350" i="39"/>
  <c r="C1350" i="39" s="1"/>
  <c r="D1350" i="39"/>
  <c r="H1350" i="39"/>
  <c r="B1351" i="39"/>
  <c r="D1351" i="39"/>
  <c r="H1351" i="39"/>
  <c r="B1352" i="39"/>
  <c r="C1352" i="39" s="1"/>
  <c r="D1352" i="39"/>
  <c r="H1352" i="39"/>
  <c r="B1353" i="39"/>
  <c r="C1353" i="39" s="1"/>
  <c r="D1353" i="39"/>
  <c r="H1353" i="39"/>
  <c r="B1354" i="39"/>
  <c r="C1354" i="39" s="1"/>
  <c r="D1354" i="39"/>
  <c r="H1354" i="39"/>
  <c r="B1355" i="39"/>
  <c r="C1355" i="39" s="1"/>
  <c r="D1355" i="39"/>
  <c r="H1355" i="39"/>
  <c r="B1356" i="39"/>
  <c r="D1356" i="39"/>
  <c r="H1356" i="39"/>
  <c r="B1357" i="39"/>
  <c r="C1357" i="39" s="1"/>
  <c r="D1357" i="39"/>
  <c r="H1357" i="39"/>
  <c r="B1358" i="39"/>
  <c r="D1358" i="39"/>
  <c r="H1358" i="39"/>
  <c r="B1359" i="39"/>
  <c r="C1359" i="39" s="1"/>
  <c r="D1359" i="39"/>
  <c r="H1359" i="39"/>
  <c r="B1360" i="39"/>
  <c r="C1360" i="39" s="1"/>
  <c r="D1360" i="39"/>
  <c r="H1360" i="39"/>
  <c r="B1361" i="39"/>
  <c r="C1361" i="39" s="1"/>
  <c r="D1361" i="39"/>
  <c r="H1361" i="39"/>
  <c r="B1362" i="39"/>
  <c r="C1362" i="39" s="1"/>
  <c r="D1362" i="39"/>
  <c r="H1362" i="39"/>
  <c r="B1363" i="39"/>
  <c r="C1363" i="39" s="1"/>
  <c r="D1363" i="39"/>
  <c r="H1363" i="39"/>
  <c r="B1364" i="39"/>
  <c r="C1364" i="39" s="1"/>
  <c r="D1364" i="39"/>
  <c r="H1364" i="39"/>
  <c r="B1365" i="39"/>
  <c r="C1365" i="39" s="1"/>
  <c r="D1365" i="39"/>
  <c r="H1365" i="39"/>
  <c r="B1366" i="39"/>
  <c r="C1366" i="39" s="1"/>
  <c r="D1366" i="39"/>
  <c r="H1366" i="39"/>
  <c r="B1367" i="39"/>
  <c r="C1367" i="39" s="1"/>
  <c r="D1367" i="39"/>
  <c r="H1367" i="39"/>
  <c r="B1368" i="39"/>
  <c r="C1368" i="39" s="1"/>
  <c r="D1368" i="39"/>
  <c r="H1368" i="39"/>
  <c r="B1369" i="39"/>
  <c r="D1369" i="39"/>
  <c r="H1369" i="39"/>
  <c r="B1370" i="39"/>
  <c r="C1370" i="39" s="1"/>
  <c r="D1370" i="39"/>
  <c r="H1370" i="39"/>
  <c r="B1371" i="39"/>
  <c r="C1371" i="39" s="1"/>
  <c r="D1371" i="39"/>
  <c r="H1371" i="39"/>
  <c r="B1372" i="39"/>
  <c r="C1372" i="39" s="1"/>
  <c r="D1372" i="39"/>
  <c r="H1372" i="39"/>
  <c r="B1373" i="39"/>
  <c r="D1373" i="39"/>
  <c r="H1373" i="39"/>
  <c r="B1374" i="39"/>
  <c r="D1374" i="39"/>
  <c r="H1374" i="39"/>
  <c r="B1375" i="39"/>
  <c r="D1375" i="39"/>
  <c r="H1375" i="39"/>
  <c r="B1376" i="39"/>
  <c r="C1376" i="39" s="1"/>
  <c r="D1376" i="39"/>
  <c r="H1376" i="39"/>
  <c r="B1377" i="39"/>
  <c r="C1377" i="39" s="1"/>
  <c r="D1377" i="39"/>
  <c r="H1377" i="39"/>
  <c r="B1378" i="39"/>
  <c r="C1378" i="39" s="1"/>
  <c r="D1378" i="39"/>
  <c r="H1378" i="39"/>
  <c r="B1379" i="39"/>
  <c r="C1379" i="39" s="1"/>
  <c r="D1379" i="39"/>
  <c r="H1379" i="39"/>
  <c r="B1380" i="39"/>
  <c r="C1380" i="39" s="1"/>
  <c r="D1380" i="39"/>
  <c r="H1380" i="39"/>
  <c r="B1381" i="39"/>
  <c r="C1381" i="39" s="1"/>
  <c r="D1381" i="39"/>
  <c r="H1381" i="39"/>
  <c r="B1382" i="39"/>
  <c r="C1382" i="39" s="1"/>
  <c r="D1382" i="39"/>
  <c r="H1382" i="39"/>
  <c r="B1383" i="39"/>
  <c r="C1383" i="39" s="1"/>
  <c r="D1383" i="39"/>
  <c r="H1383" i="39"/>
  <c r="B1384" i="39"/>
  <c r="C1384" i="39" s="1"/>
  <c r="D1384" i="39"/>
  <c r="H1384" i="39"/>
  <c r="B1385" i="39"/>
  <c r="C1385" i="39" s="1"/>
  <c r="D1385" i="39"/>
  <c r="H1385" i="39"/>
  <c r="B1386" i="39"/>
  <c r="C1386" i="39" s="1"/>
  <c r="D1386" i="39"/>
  <c r="H1386" i="39"/>
  <c r="B1387" i="39"/>
  <c r="D1387" i="39"/>
  <c r="H1387" i="39"/>
  <c r="B1388" i="39"/>
  <c r="C1388" i="39" s="1"/>
  <c r="D1388" i="39"/>
  <c r="H1388" i="39"/>
  <c r="B1389" i="39"/>
  <c r="C1389" i="39" s="1"/>
  <c r="D1389" i="39"/>
  <c r="H1389" i="39"/>
  <c r="B1390" i="39"/>
  <c r="C1390" i="39" s="1"/>
  <c r="D1390" i="39"/>
  <c r="H1390" i="39"/>
  <c r="B1391" i="39"/>
  <c r="D1391" i="39"/>
  <c r="H1391" i="39"/>
  <c r="B1392" i="39"/>
  <c r="D1392" i="39"/>
  <c r="H1392" i="39"/>
  <c r="B1393" i="39"/>
  <c r="C1393" i="39" s="1"/>
  <c r="D1393" i="39"/>
  <c r="H1393" i="39"/>
  <c r="B1394" i="39"/>
  <c r="C1394" i="39" s="1"/>
  <c r="D1394" i="39"/>
  <c r="H1394" i="39"/>
  <c r="B1395" i="39"/>
  <c r="C1395" i="39" s="1"/>
  <c r="D1395" i="39"/>
  <c r="H1395" i="39"/>
  <c r="B1396" i="39"/>
  <c r="C1396" i="39" s="1"/>
  <c r="D1396" i="39"/>
  <c r="H1396" i="39"/>
  <c r="B1397" i="39"/>
  <c r="C1397" i="39" s="1"/>
  <c r="D1397" i="39"/>
  <c r="H1397" i="39"/>
  <c r="B1398" i="39"/>
  <c r="C1398" i="39" s="1"/>
  <c r="D1398" i="39"/>
  <c r="H1398" i="39"/>
  <c r="B1399" i="39"/>
  <c r="C1399" i="39" s="1"/>
  <c r="D1399" i="39"/>
  <c r="H1399" i="39"/>
  <c r="B1400" i="39"/>
  <c r="D1400" i="39"/>
  <c r="H1400" i="39"/>
  <c r="B1401" i="39"/>
  <c r="C1401" i="39" s="1"/>
  <c r="D1401" i="39"/>
  <c r="H1401" i="39"/>
  <c r="B1402" i="39"/>
  <c r="D1402" i="39"/>
  <c r="H1402" i="39"/>
  <c r="B1403" i="39"/>
  <c r="C1403" i="39" s="1"/>
  <c r="D1403" i="39"/>
  <c r="H1403" i="39"/>
  <c r="B1404" i="39"/>
  <c r="C1404" i="39" s="1"/>
  <c r="D1404" i="39"/>
  <c r="H1404" i="39"/>
  <c r="B1405" i="39"/>
  <c r="D1405" i="39"/>
  <c r="H1405" i="39"/>
  <c r="B1406" i="39"/>
  <c r="D1406" i="39"/>
  <c r="H1406" i="39"/>
  <c r="B1407" i="39"/>
  <c r="C1407" i="39" s="1"/>
  <c r="D1407" i="39"/>
  <c r="H1407" i="39"/>
  <c r="B1408" i="39"/>
  <c r="C1408" i="39" s="1"/>
  <c r="D1408" i="39"/>
  <c r="H1408" i="39"/>
  <c r="B1409" i="39"/>
  <c r="C1409" i="39" s="1"/>
  <c r="D1409" i="39"/>
  <c r="H1409" i="39"/>
  <c r="B1410" i="39"/>
  <c r="D1410" i="39"/>
  <c r="H1410" i="39"/>
  <c r="B1411" i="39"/>
  <c r="C1411" i="39" s="1"/>
  <c r="D1411" i="39"/>
  <c r="H1411" i="39"/>
  <c r="B1412" i="39"/>
  <c r="C1412" i="39" s="1"/>
  <c r="D1412" i="39"/>
  <c r="H1412" i="39"/>
  <c r="B1413" i="39"/>
  <c r="C1413" i="39" s="1"/>
  <c r="D1413" i="39"/>
  <c r="H1413" i="39"/>
  <c r="B1414" i="39"/>
  <c r="C1414" i="39" s="1"/>
  <c r="D1414" i="39"/>
  <c r="H1414" i="39"/>
  <c r="B1415" i="39"/>
  <c r="C1415" i="39" s="1"/>
  <c r="D1415" i="39"/>
  <c r="H1415" i="39"/>
  <c r="B1416" i="39"/>
  <c r="C1416" i="39" s="1"/>
  <c r="D1416" i="39"/>
  <c r="H1416" i="39"/>
  <c r="B1417" i="39"/>
  <c r="C1417" i="39" s="1"/>
  <c r="D1417" i="39"/>
  <c r="H1417" i="39"/>
  <c r="B1418" i="39"/>
  <c r="C1418" i="39" s="1"/>
  <c r="D1418" i="39"/>
  <c r="H1418" i="39"/>
  <c r="B1419" i="39"/>
  <c r="C1419" i="39" s="1"/>
  <c r="D1419" i="39"/>
  <c r="H1419" i="39"/>
  <c r="B1420" i="39"/>
  <c r="C1420" i="39" s="1"/>
  <c r="D1420" i="39"/>
  <c r="H1420" i="39"/>
  <c r="B1421" i="39"/>
  <c r="C1421" i="39" s="1"/>
  <c r="D1421" i="39"/>
  <c r="H1421" i="39"/>
  <c r="B1422" i="39"/>
  <c r="C1422" i="39" s="1"/>
  <c r="D1422" i="39"/>
  <c r="H1422" i="39"/>
  <c r="B1423" i="39"/>
  <c r="D1423" i="39"/>
  <c r="H1423" i="39"/>
  <c r="B1424" i="39"/>
  <c r="C1424" i="39" s="1"/>
  <c r="D1424" i="39"/>
  <c r="H1424" i="39"/>
  <c r="B1425" i="39"/>
  <c r="C1425" i="39" s="1"/>
  <c r="D1425" i="39"/>
  <c r="H1425" i="39"/>
  <c r="B1426" i="39"/>
  <c r="C1426" i="39" s="1"/>
  <c r="D1426" i="39"/>
  <c r="H1426" i="39"/>
  <c r="B1427" i="39"/>
  <c r="D1427" i="39"/>
  <c r="H1427" i="39"/>
  <c r="B1428" i="39"/>
  <c r="D1428" i="39"/>
  <c r="H1428" i="39"/>
  <c r="B1429" i="39"/>
  <c r="D1429" i="39"/>
  <c r="H1429" i="39"/>
  <c r="B1430" i="39"/>
  <c r="C1430" i="39" s="1"/>
  <c r="D1430" i="39"/>
  <c r="H1430" i="39"/>
  <c r="B1431" i="39"/>
  <c r="C1431" i="39" s="1"/>
  <c r="D1431" i="39"/>
  <c r="H1431" i="39"/>
  <c r="B1432" i="39"/>
  <c r="C1432" i="39" s="1"/>
  <c r="D1432" i="39"/>
  <c r="H1432" i="39"/>
  <c r="B1433" i="39"/>
  <c r="C1433" i="39" s="1"/>
  <c r="D1433" i="39"/>
  <c r="H1433" i="39"/>
  <c r="B1434" i="39"/>
  <c r="C1434" i="39" s="1"/>
  <c r="D1434" i="39"/>
  <c r="H1434" i="39"/>
  <c r="B1435" i="39"/>
  <c r="C1435" i="39" s="1"/>
  <c r="D1435" i="39"/>
  <c r="H1435" i="39"/>
  <c r="B1436" i="39"/>
  <c r="C1436" i="39" s="1"/>
  <c r="D1436" i="39"/>
  <c r="H1436" i="39"/>
  <c r="B1437" i="39"/>
  <c r="C1437" i="39" s="1"/>
  <c r="D1437" i="39"/>
  <c r="H1437" i="39"/>
  <c r="B1438" i="39"/>
  <c r="C1438" i="39" s="1"/>
  <c r="D1438" i="39"/>
  <c r="H1438" i="39"/>
  <c r="B1439" i="39"/>
  <c r="C1439" i="39" s="1"/>
  <c r="D1439" i="39"/>
  <c r="H1439" i="39"/>
  <c r="B1440" i="39"/>
  <c r="C1440" i="39" s="1"/>
  <c r="D1440" i="39"/>
  <c r="H1440" i="39"/>
  <c r="B1441" i="39"/>
  <c r="D1441" i="39"/>
  <c r="H1441" i="39"/>
  <c r="B1442" i="39"/>
  <c r="C1442" i="39" s="1"/>
  <c r="D1442" i="39"/>
  <c r="H1442" i="39"/>
  <c r="B1443" i="39"/>
  <c r="C1443" i="39" s="1"/>
  <c r="D1443" i="39"/>
  <c r="H1443" i="39"/>
  <c r="B1444" i="39"/>
  <c r="C1444" i="39" s="1"/>
  <c r="D1444" i="39"/>
  <c r="H1444" i="39"/>
  <c r="B1445" i="39"/>
  <c r="D1445" i="39"/>
  <c r="H1445" i="39"/>
  <c r="B1446" i="39"/>
  <c r="D1446" i="39"/>
  <c r="H1446" i="39"/>
  <c r="B1447" i="39"/>
  <c r="C1447" i="39" s="1"/>
  <c r="D1447" i="39"/>
  <c r="H1447" i="39"/>
  <c r="B1448" i="39"/>
  <c r="C1448" i="39" s="1"/>
  <c r="D1448" i="39"/>
  <c r="H1448" i="39"/>
  <c r="B1449" i="39"/>
  <c r="C1449" i="39" s="1"/>
  <c r="D1449" i="39"/>
  <c r="H1449" i="39"/>
  <c r="B1450" i="39"/>
  <c r="C1450" i="39" s="1"/>
  <c r="D1450" i="39"/>
  <c r="H1450" i="39"/>
  <c r="B1451" i="39"/>
  <c r="C1451" i="39" s="1"/>
  <c r="D1451" i="39"/>
  <c r="H1451" i="39"/>
  <c r="B1452" i="39"/>
  <c r="C1452" i="39" s="1"/>
  <c r="D1452" i="39"/>
  <c r="H1452" i="39"/>
  <c r="B1453" i="39"/>
  <c r="C1453" i="39" s="1"/>
  <c r="D1453" i="39"/>
  <c r="H1453" i="39"/>
  <c r="B1454" i="39"/>
  <c r="D1454" i="39"/>
  <c r="H1454" i="39"/>
  <c r="B1455" i="39"/>
  <c r="C1455" i="39" s="1"/>
  <c r="D1455" i="39"/>
  <c r="H1455" i="39"/>
  <c r="B1456" i="39"/>
  <c r="C1456" i="39" s="1"/>
  <c r="D1456" i="39"/>
  <c r="H1456" i="39"/>
  <c r="B1457" i="39"/>
  <c r="C1457" i="39" s="1"/>
  <c r="D1457" i="39"/>
  <c r="H1457" i="39"/>
  <c r="B1458" i="39"/>
  <c r="D1458" i="39"/>
  <c r="H1458" i="39"/>
  <c r="B1459" i="39"/>
  <c r="D1459" i="39"/>
  <c r="H1459" i="39"/>
  <c r="B1460" i="39"/>
  <c r="C1460" i="39" s="1"/>
  <c r="D1460" i="39"/>
  <c r="H1460" i="39"/>
  <c r="B1461" i="39"/>
  <c r="C1461" i="39" s="1"/>
  <c r="D1461" i="39"/>
  <c r="H1461" i="39"/>
  <c r="B1462" i="39"/>
  <c r="C1462" i="39" s="1"/>
  <c r="D1462" i="39"/>
  <c r="H1462" i="39"/>
  <c r="B1463" i="39"/>
  <c r="D1463" i="39"/>
  <c r="H1463" i="39"/>
  <c r="B1464" i="39"/>
  <c r="C1464" i="39" s="1"/>
  <c r="D1464" i="39"/>
  <c r="H1464" i="39"/>
  <c r="B1465" i="39"/>
  <c r="D1465" i="39"/>
  <c r="H1465" i="39"/>
  <c r="B1466" i="39"/>
  <c r="C1466" i="39" s="1"/>
  <c r="D1466" i="39"/>
  <c r="H1466" i="39"/>
  <c r="B1467" i="39"/>
  <c r="D1467" i="39"/>
  <c r="H1467" i="39"/>
  <c r="B1468" i="39"/>
  <c r="C1468" i="39" s="1"/>
  <c r="D1468" i="39"/>
  <c r="H1468" i="39"/>
  <c r="B1469" i="39"/>
  <c r="D1469" i="39"/>
  <c r="H1469" i="39"/>
  <c r="B1470" i="39"/>
  <c r="C1470" i="39" s="1"/>
  <c r="D1470" i="39"/>
  <c r="H1470" i="39"/>
  <c r="B1471" i="39"/>
  <c r="C1471" i="39" s="1"/>
  <c r="D1471" i="39"/>
  <c r="H1471" i="39"/>
  <c r="B1472" i="39"/>
  <c r="C1472" i="39" s="1"/>
  <c r="D1472" i="39"/>
  <c r="H1472" i="39"/>
  <c r="B1473" i="39"/>
  <c r="C1473" i="39" s="1"/>
  <c r="D1473" i="39"/>
  <c r="H1473" i="39"/>
  <c r="B1474" i="39"/>
  <c r="D1474" i="39"/>
  <c r="H1474" i="39"/>
  <c r="B1475" i="39"/>
  <c r="C1475" i="39" s="1"/>
  <c r="D1475" i="39"/>
  <c r="H1475" i="39"/>
  <c r="B1476" i="39"/>
  <c r="D1476" i="39"/>
  <c r="H1476" i="39"/>
  <c r="B1477" i="39"/>
  <c r="C1477" i="39" s="1"/>
  <c r="D1477" i="39"/>
  <c r="H1477" i="39"/>
  <c r="B1478" i="39"/>
  <c r="D1478" i="39"/>
  <c r="H1478" i="39"/>
  <c r="B1479" i="39"/>
  <c r="D1479" i="39"/>
  <c r="H1479" i="39"/>
  <c r="B1480" i="39"/>
  <c r="D1480" i="39"/>
  <c r="H1480" i="39"/>
  <c r="B1481" i="39"/>
  <c r="C1481" i="39" s="1"/>
  <c r="D1481" i="39"/>
  <c r="H1481" i="39"/>
  <c r="B1482" i="39"/>
  <c r="C1482" i="39" s="1"/>
  <c r="D1482" i="39"/>
  <c r="H1482" i="39"/>
  <c r="B1483" i="39"/>
  <c r="C1483" i="39" s="1"/>
  <c r="D1483" i="39"/>
  <c r="H1483" i="39"/>
  <c r="B1484" i="39"/>
  <c r="D1484" i="39"/>
  <c r="H1484" i="39"/>
  <c r="B1485" i="39"/>
  <c r="C1485" i="39" s="1"/>
  <c r="D1485" i="39"/>
  <c r="H1485" i="39"/>
  <c r="B1486" i="39"/>
  <c r="C1486" i="39" s="1"/>
  <c r="D1486" i="39"/>
  <c r="H1486" i="39"/>
  <c r="B1487" i="39"/>
  <c r="C1487" i="39" s="1"/>
  <c r="D1487" i="39"/>
  <c r="H1487" i="39"/>
  <c r="B1488" i="39"/>
  <c r="D1488" i="39"/>
  <c r="H1488" i="39"/>
  <c r="B1489" i="39"/>
  <c r="C1489" i="39" s="1"/>
  <c r="D1489" i="39"/>
  <c r="H1489" i="39"/>
  <c r="B1490" i="39"/>
  <c r="D1490" i="39"/>
  <c r="H1490" i="39"/>
  <c r="B1491" i="39"/>
  <c r="C1491" i="39" s="1"/>
  <c r="D1491" i="39"/>
  <c r="H1491" i="39"/>
  <c r="B1492" i="39"/>
  <c r="C1492" i="39" s="1"/>
  <c r="D1492" i="39"/>
  <c r="H1492" i="39"/>
  <c r="B1493" i="39"/>
  <c r="C1493" i="39" s="1"/>
  <c r="D1493" i="39"/>
  <c r="H1493" i="39"/>
  <c r="B1494" i="39"/>
  <c r="D1494" i="39"/>
  <c r="H1494" i="39"/>
  <c r="B1495" i="39"/>
  <c r="D1495" i="39"/>
  <c r="H1495" i="39"/>
  <c r="B1496" i="39"/>
  <c r="C1496" i="39" s="1"/>
  <c r="D1496" i="39"/>
  <c r="H1496" i="39"/>
  <c r="B1497" i="39"/>
  <c r="C1497" i="39" s="1"/>
  <c r="D1497" i="39"/>
  <c r="H1497" i="39"/>
  <c r="B1498" i="39"/>
  <c r="D1498" i="39"/>
  <c r="H1498" i="39"/>
  <c r="B1499" i="39"/>
  <c r="D1499" i="39"/>
  <c r="H1499" i="39"/>
  <c r="B1500" i="39"/>
  <c r="C1500" i="39" s="1"/>
  <c r="D1500" i="39"/>
  <c r="H1500" i="39"/>
  <c r="B1501" i="39"/>
  <c r="C1501" i="39" s="1"/>
  <c r="D1501" i="39"/>
  <c r="H1501" i="39"/>
  <c r="B1502" i="39"/>
  <c r="C1502" i="39" s="1"/>
  <c r="D1502" i="39"/>
  <c r="H1502" i="39"/>
  <c r="B1503" i="39"/>
  <c r="D1503" i="39"/>
  <c r="H1503" i="39"/>
  <c r="B1504" i="39"/>
  <c r="D1504" i="39"/>
  <c r="H1504" i="39"/>
  <c r="B1505" i="39"/>
  <c r="C1505" i="39" s="1"/>
  <c r="D1505" i="39"/>
  <c r="H1505" i="39"/>
  <c r="B1506" i="39"/>
  <c r="D1506" i="39"/>
  <c r="H1506" i="39"/>
  <c r="B1507" i="39"/>
  <c r="C1507" i="39" s="1"/>
  <c r="D1507" i="39"/>
  <c r="H1507" i="39"/>
  <c r="B1508" i="39"/>
  <c r="C1508" i="39" s="1"/>
  <c r="D1508" i="39"/>
  <c r="H1508" i="39"/>
  <c r="B1509" i="39"/>
  <c r="D1509" i="39"/>
  <c r="H1509" i="39"/>
  <c r="B1510" i="39"/>
  <c r="C1510" i="39" s="1"/>
  <c r="D1510" i="39"/>
  <c r="H1510" i="39"/>
  <c r="B1511" i="39"/>
  <c r="C1511" i="39" s="1"/>
  <c r="D1511" i="39"/>
  <c r="H1511" i="39"/>
  <c r="B1512" i="39"/>
  <c r="D1512" i="39"/>
  <c r="H1512" i="39"/>
  <c r="B1513" i="39"/>
  <c r="C1513" i="39" s="1"/>
  <c r="D1513" i="39"/>
  <c r="H1513" i="39"/>
  <c r="B1514" i="39"/>
  <c r="C1514" i="39" s="1"/>
  <c r="D1514" i="39"/>
  <c r="H1514" i="39"/>
  <c r="B1515" i="39"/>
  <c r="D1515" i="39"/>
  <c r="H1515" i="39"/>
  <c r="B1516" i="39"/>
  <c r="D1516" i="39"/>
  <c r="H1516" i="39"/>
  <c r="B1517" i="39"/>
  <c r="C1517" i="39" s="1"/>
  <c r="D1517" i="39"/>
  <c r="H1517" i="39"/>
  <c r="B1518" i="39"/>
  <c r="D1518" i="39"/>
  <c r="H1518" i="39"/>
  <c r="B1519" i="39"/>
  <c r="C1519" i="39" s="1"/>
  <c r="D1519" i="39"/>
  <c r="H1519" i="39"/>
  <c r="B1520" i="39"/>
  <c r="C1520" i="39" s="1"/>
  <c r="D1520" i="39"/>
  <c r="H1520" i="39"/>
  <c r="B1521" i="39"/>
  <c r="D1521" i="39"/>
  <c r="H1521" i="39"/>
  <c r="B1522" i="39"/>
  <c r="C1522" i="39" s="1"/>
  <c r="D1522" i="39"/>
  <c r="H1522" i="39"/>
  <c r="B1523" i="39"/>
  <c r="C1523" i="39" s="1"/>
  <c r="D1523" i="39"/>
  <c r="H1523" i="39"/>
  <c r="B1524" i="39"/>
  <c r="D1524" i="39"/>
  <c r="H1524" i="39"/>
  <c r="B1525" i="39"/>
  <c r="C1525" i="39" s="1"/>
  <c r="D1525" i="39"/>
  <c r="H1525" i="39"/>
  <c r="B1526" i="39"/>
  <c r="C1526" i="39" s="1"/>
  <c r="D1526" i="39"/>
  <c r="H1526" i="39"/>
  <c r="B1527" i="39"/>
  <c r="D1527" i="39"/>
  <c r="H1527" i="39"/>
  <c r="B1528" i="39"/>
  <c r="D1528" i="39"/>
  <c r="H1528" i="39"/>
  <c r="B1529" i="39"/>
  <c r="C1529" i="39" s="1"/>
  <c r="D1529" i="39"/>
  <c r="H1529" i="39"/>
  <c r="B1530" i="39"/>
  <c r="D1530" i="39"/>
  <c r="H1530" i="39"/>
  <c r="B1531" i="39"/>
  <c r="C1531" i="39" s="1"/>
  <c r="D1531" i="39"/>
  <c r="H1531" i="39"/>
  <c r="B1532" i="39"/>
  <c r="C1532" i="39" s="1"/>
  <c r="D1532" i="39"/>
  <c r="H1532" i="39"/>
  <c r="B1533" i="39"/>
  <c r="D1533" i="39"/>
  <c r="H1533" i="39"/>
  <c r="B1534" i="39"/>
  <c r="C1534" i="39" s="1"/>
  <c r="D1534" i="39"/>
  <c r="H1534" i="39"/>
  <c r="B1535" i="39"/>
  <c r="C1535" i="39" s="1"/>
  <c r="D1535" i="39"/>
  <c r="H1535" i="39"/>
  <c r="B1536" i="39"/>
  <c r="D1536" i="39"/>
  <c r="H1536" i="39"/>
  <c r="B1537" i="39"/>
  <c r="C1537" i="39" s="1"/>
  <c r="D1537" i="39"/>
  <c r="H1537" i="39"/>
  <c r="B1538" i="39"/>
  <c r="C1538" i="39" s="1"/>
  <c r="D1538" i="39"/>
  <c r="H1538" i="39"/>
  <c r="B1539" i="39"/>
  <c r="D1539" i="39"/>
  <c r="H1539" i="39"/>
  <c r="B1540" i="39"/>
  <c r="D1540" i="39"/>
  <c r="H1540" i="39"/>
  <c r="B1541" i="39"/>
  <c r="C1541" i="39" s="1"/>
  <c r="D1541" i="39"/>
  <c r="H1541" i="39"/>
  <c r="B1542" i="39"/>
  <c r="D1542" i="39"/>
  <c r="H1542" i="39"/>
  <c r="B1543" i="39"/>
  <c r="C1543" i="39" s="1"/>
  <c r="D1543" i="39"/>
  <c r="H1543" i="39"/>
  <c r="B1544" i="39"/>
  <c r="C1544" i="39" s="1"/>
  <c r="D1544" i="39"/>
  <c r="H1544" i="39"/>
  <c r="B1545" i="39"/>
  <c r="D1545" i="39"/>
  <c r="H1545" i="39"/>
  <c r="B1546" i="39"/>
  <c r="C1546" i="39" s="1"/>
  <c r="D1546" i="39"/>
  <c r="H1546" i="39"/>
  <c r="B1547" i="39"/>
  <c r="C1547" i="39" s="1"/>
  <c r="D1547" i="39"/>
  <c r="H1547" i="39"/>
  <c r="B1548" i="39"/>
  <c r="D1548" i="39"/>
  <c r="H1548" i="39"/>
  <c r="B1549" i="39"/>
  <c r="C1549" i="39" s="1"/>
  <c r="D1549" i="39"/>
  <c r="H1549" i="39"/>
  <c r="B1550" i="39"/>
  <c r="C1550" i="39" s="1"/>
  <c r="D1550" i="39"/>
  <c r="H1550" i="39"/>
  <c r="B1551" i="39"/>
  <c r="D1551" i="39"/>
  <c r="H1551" i="39"/>
  <c r="B1552" i="39"/>
  <c r="D1552" i="39"/>
  <c r="H1552" i="39"/>
  <c r="B1553" i="39"/>
  <c r="C1553" i="39" s="1"/>
  <c r="D1553" i="39"/>
  <c r="H1553" i="39"/>
  <c r="B1554" i="39"/>
  <c r="D1554" i="39"/>
  <c r="H1554" i="39"/>
  <c r="B1555" i="39"/>
  <c r="C1555" i="39" s="1"/>
  <c r="D1555" i="39"/>
  <c r="H1555" i="39"/>
  <c r="B1556" i="39"/>
  <c r="C1556" i="39" s="1"/>
  <c r="D1556" i="39"/>
  <c r="H1556" i="39"/>
  <c r="B1557" i="39"/>
  <c r="D1557" i="39"/>
  <c r="H1557" i="39"/>
  <c r="B1558" i="39"/>
  <c r="C1558" i="39" s="1"/>
  <c r="D1558" i="39"/>
  <c r="H1558" i="39"/>
  <c r="B1559" i="39"/>
  <c r="C1559" i="39" s="1"/>
  <c r="D1559" i="39"/>
  <c r="H1559" i="39"/>
  <c r="B1560" i="39"/>
  <c r="D1560" i="39"/>
  <c r="H1560" i="39"/>
  <c r="B1561" i="39"/>
  <c r="C1561" i="39" s="1"/>
  <c r="D1561" i="39"/>
  <c r="H1561" i="39"/>
  <c r="B1562" i="39"/>
  <c r="C1562" i="39" s="1"/>
  <c r="D1562" i="39"/>
  <c r="H1562" i="39"/>
  <c r="B1563" i="39"/>
  <c r="D1563" i="39"/>
  <c r="H1563" i="39"/>
  <c r="B1564" i="39"/>
  <c r="C1564" i="39" s="1"/>
  <c r="D1564" i="39"/>
  <c r="H1564" i="39"/>
  <c r="B1565" i="39"/>
  <c r="C1565" i="39" s="1"/>
  <c r="D1565" i="39"/>
  <c r="H1565" i="39"/>
  <c r="B1566" i="39"/>
  <c r="D1566" i="39"/>
  <c r="H1566" i="39"/>
  <c r="B1567" i="39"/>
  <c r="C1567" i="39" s="1"/>
  <c r="D1567" i="39"/>
  <c r="H1567" i="39"/>
  <c r="B1568" i="39"/>
  <c r="C1568" i="39" s="1"/>
  <c r="D1568" i="39"/>
  <c r="H1568" i="39"/>
  <c r="B1569" i="39"/>
  <c r="D1569" i="39"/>
  <c r="H1569" i="39"/>
  <c r="B1570" i="39"/>
  <c r="C1570" i="39" s="1"/>
  <c r="D1570" i="39"/>
  <c r="H1570" i="39"/>
  <c r="B1571" i="39"/>
  <c r="C1571" i="39" s="1"/>
  <c r="D1571" i="39"/>
  <c r="H1571" i="39"/>
  <c r="B1572" i="39"/>
  <c r="D1572" i="39"/>
  <c r="H1572" i="39"/>
  <c r="B1573" i="39"/>
  <c r="C1573" i="39" s="1"/>
  <c r="D1573" i="39"/>
  <c r="H1573" i="39"/>
  <c r="B1574" i="39"/>
  <c r="C1574" i="39" s="1"/>
  <c r="D1574" i="39"/>
  <c r="H1574" i="39"/>
  <c r="B1575" i="39"/>
  <c r="D1575" i="39"/>
  <c r="H1575" i="39"/>
  <c r="B1576" i="39"/>
  <c r="C1576" i="39" s="1"/>
  <c r="D1576" i="39"/>
  <c r="H1576" i="39"/>
  <c r="B1577" i="39"/>
  <c r="C1577" i="39" s="1"/>
  <c r="D1577" i="39"/>
  <c r="H1577" i="39"/>
  <c r="B1578" i="39"/>
  <c r="D1578" i="39"/>
  <c r="H1578" i="39"/>
  <c r="B1579" i="39"/>
  <c r="C1579" i="39" s="1"/>
  <c r="D1579" i="39"/>
  <c r="H1579" i="39"/>
  <c r="B1580" i="39"/>
  <c r="C1580" i="39" s="1"/>
  <c r="D1580" i="39"/>
  <c r="H1580" i="39"/>
  <c r="B1581" i="39"/>
  <c r="D1581" i="39"/>
  <c r="H1581" i="39"/>
  <c r="B1582" i="39"/>
  <c r="C1582" i="39" s="1"/>
  <c r="D1582" i="39"/>
  <c r="H1582" i="39"/>
  <c r="B1583" i="39"/>
  <c r="C1583" i="39" s="1"/>
  <c r="D1583" i="39"/>
  <c r="H1583" i="39"/>
  <c r="B1584" i="39"/>
  <c r="D1584" i="39"/>
  <c r="H1584" i="39"/>
  <c r="B1585" i="39"/>
  <c r="C1585" i="39" s="1"/>
  <c r="D1585" i="39"/>
  <c r="H1585" i="39"/>
  <c r="B1586" i="39"/>
  <c r="C1586" i="39" s="1"/>
  <c r="D1586" i="39"/>
  <c r="H1586" i="39"/>
  <c r="B1587" i="39"/>
  <c r="D1587" i="39"/>
  <c r="H1587" i="39"/>
  <c r="B1588" i="39"/>
  <c r="C1588" i="39" s="1"/>
  <c r="D1588" i="39"/>
  <c r="H1588" i="39"/>
  <c r="B1589" i="39"/>
  <c r="C1589" i="39" s="1"/>
  <c r="D1589" i="39"/>
  <c r="H1589" i="39"/>
  <c r="B1590" i="39"/>
  <c r="D1590" i="39"/>
  <c r="H1590" i="39"/>
  <c r="B1591" i="39"/>
  <c r="C1591" i="39" s="1"/>
  <c r="D1591" i="39"/>
  <c r="H1591" i="39"/>
  <c r="B1592" i="39"/>
  <c r="C1592" i="39" s="1"/>
  <c r="D1592" i="39"/>
  <c r="H1592" i="39"/>
  <c r="B1593" i="39"/>
  <c r="D1593" i="39"/>
  <c r="H1593" i="39"/>
  <c r="B1594" i="39"/>
  <c r="C1594" i="39" s="1"/>
  <c r="D1594" i="39"/>
  <c r="H1594" i="39"/>
  <c r="B1595" i="39"/>
  <c r="C1595" i="39" s="1"/>
  <c r="D1595" i="39"/>
  <c r="H1595" i="39"/>
  <c r="B1596" i="39"/>
  <c r="D1596" i="39"/>
  <c r="H1596" i="39"/>
  <c r="B1597" i="39"/>
  <c r="C1597" i="39" s="1"/>
  <c r="D1597" i="39"/>
  <c r="H1597" i="39"/>
  <c r="B1598" i="39"/>
  <c r="C1598" i="39" s="1"/>
  <c r="D1598" i="39"/>
  <c r="H1598" i="39"/>
  <c r="B1599" i="39"/>
  <c r="D1599" i="39"/>
  <c r="H1599" i="39"/>
  <c r="B1600" i="39"/>
  <c r="C1600" i="39" s="1"/>
  <c r="D1600" i="39"/>
  <c r="H1600" i="39"/>
  <c r="B1601" i="39"/>
  <c r="C1601" i="39" s="1"/>
  <c r="D1601" i="39"/>
  <c r="H1601" i="39"/>
  <c r="B1602" i="39"/>
  <c r="D1602" i="39"/>
  <c r="H1602" i="39"/>
  <c r="B1603" i="39"/>
  <c r="C1603" i="39" s="1"/>
  <c r="D1603" i="39"/>
  <c r="H1603" i="39"/>
  <c r="B1604" i="39"/>
  <c r="C1604" i="39" s="1"/>
  <c r="D1604" i="39"/>
  <c r="H1604" i="39"/>
  <c r="B1605" i="39"/>
  <c r="D1605" i="39"/>
  <c r="H1605" i="39"/>
  <c r="B1606" i="39"/>
  <c r="C1606" i="39" s="1"/>
  <c r="D1606" i="39"/>
  <c r="H1606" i="39"/>
  <c r="B1607" i="39"/>
  <c r="C1607" i="39" s="1"/>
  <c r="D1607" i="39"/>
  <c r="H1607" i="39"/>
  <c r="B1608" i="39"/>
  <c r="D1608" i="39"/>
  <c r="H1608" i="39"/>
  <c r="B1609" i="39"/>
  <c r="C1609" i="39" s="1"/>
  <c r="D1609" i="39"/>
  <c r="H1609" i="39"/>
  <c r="B1610" i="39"/>
  <c r="C1610" i="39" s="1"/>
  <c r="D1610" i="39"/>
  <c r="H1610" i="39"/>
  <c r="B1611" i="39"/>
  <c r="D1611" i="39"/>
  <c r="H1611" i="39"/>
  <c r="B1612" i="39"/>
  <c r="C1612" i="39" s="1"/>
  <c r="D1612" i="39"/>
  <c r="H1612" i="39"/>
  <c r="B1613" i="39"/>
  <c r="C1613" i="39" s="1"/>
  <c r="D1613" i="39"/>
  <c r="H1613" i="39"/>
  <c r="B1614" i="39"/>
  <c r="D1614" i="39"/>
  <c r="H1614" i="39"/>
  <c r="B1615" i="39"/>
  <c r="C1615" i="39" s="1"/>
  <c r="D1615" i="39"/>
  <c r="H1615" i="39"/>
  <c r="B1616" i="39"/>
  <c r="C1616" i="39" s="1"/>
  <c r="D1616" i="39"/>
  <c r="H1616" i="39"/>
  <c r="B1617" i="39"/>
  <c r="D1617" i="39"/>
  <c r="H1617" i="39"/>
  <c r="B1618" i="39"/>
  <c r="C1618" i="39" s="1"/>
  <c r="D1618" i="39"/>
  <c r="H1618" i="39"/>
  <c r="B1619" i="39"/>
  <c r="C1619" i="39" s="1"/>
  <c r="D1619" i="39"/>
  <c r="H1619" i="39"/>
  <c r="B1620" i="39"/>
  <c r="D1620" i="39"/>
  <c r="H1620" i="39"/>
  <c r="B1621" i="39"/>
  <c r="C1621" i="39" s="1"/>
  <c r="D1621" i="39"/>
  <c r="H1621" i="39"/>
  <c r="B1622" i="39"/>
  <c r="C1622" i="39" s="1"/>
  <c r="D1622" i="39"/>
  <c r="H1622" i="39"/>
  <c r="B1623" i="39"/>
  <c r="D1623" i="39"/>
  <c r="H1623" i="39"/>
  <c r="B1624" i="39"/>
  <c r="C1624" i="39" s="1"/>
  <c r="D1624" i="39"/>
  <c r="H1624" i="39"/>
  <c r="B1625" i="39"/>
  <c r="C1625" i="39" s="1"/>
  <c r="D1625" i="39"/>
  <c r="H1625" i="39"/>
  <c r="B1626" i="39"/>
  <c r="D1626" i="39"/>
  <c r="H1626" i="39"/>
  <c r="B1627" i="39"/>
  <c r="C1627" i="39" s="1"/>
  <c r="D1627" i="39"/>
  <c r="H1627" i="39"/>
  <c r="B1628" i="39"/>
  <c r="C1628" i="39" s="1"/>
  <c r="D1628" i="39"/>
  <c r="H1628" i="39"/>
  <c r="B1629" i="39"/>
  <c r="D1629" i="39"/>
  <c r="H1629" i="39"/>
  <c r="B1630" i="39"/>
  <c r="C1630" i="39" s="1"/>
  <c r="D1630" i="39"/>
  <c r="H1630" i="39"/>
  <c r="B1631" i="39"/>
  <c r="C1631" i="39" s="1"/>
  <c r="D1631" i="39"/>
  <c r="H1631" i="39"/>
  <c r="B1632" i="39"/>
  <c r="D1632" i="39"/>
  <c r="H1632" i="39"/>
  <c r="B1633" i="39"/>
  <c r="C1633" i="39" s="1"/>
  <c r="D1633" i="39"/>
  <c r="H1633" i="39"/>
  <c r="B1634" i="39"/>
  <c r="C1634" i="39" s="1"/>
  <c r="D1634" i="39"/>
  <c r="H1634" i="39"/>
  <c r="B1635" i="39"/>
  <c r="D1635" i="39"/>
  <c r="H1635" i="39"/>
  <c r="B1636" i="39"/>
  <c r="C1636" i="39" s="1"/>
  <c r="D1636" i="39"/>
  <c r="H1636" i="39"/>
  <c r="B1637" i="39"/>
  <c r="C1637" i="39" s="1"/>
  <c r="D1637" i="39"/>
  <c r="H1637" i="39"/>
  <c r="B1638" i="39"/>
  <c r="D1638" i="39"/>
  <c r="H1638" i="39"/>
  <c r="B1639" i="39"/>
  <c r="C1639" i="39" s="1"/>
  <c r="D1639" i="39"/>
  <c r="H1639" i="39"/>
  <c r="B1640" i="39"/>
  <c r="C1640" i="39" s="1"/>
  <c r="D1640" i="39"/>
  <c r="H1640" i="39"/>
  <c r="B1641" i="39"/>
  <c r="D1641" i="39"/>
  <c r="H1641" i="39"/>
  <c r="B1642" i="39"/>
  <c r="C1642" i="39" s="1"/>
  <c r="D1642" i="39"/>
  <c r="H1642" i="39"/>
  <c r="B1643" i="39"/>
  <c r="C1643" i="39" s="1"/>
  <c r="D1643" i="39"/>
  <c r="H1643" i="39"/>
  <c r="B1644" i="39"/>
  <c r="D1644" i="39"/>
  <c r="H1644" i="39"/>
  <c r="B1645" i="39"/>
  <c r="C1645" i="39" s="1"/>
  <c r="D1645" i="39"/>
  <c r="H1645" i="39"/>
  <c r="B1646" i="39"/>
  <c r="C1646" i="39" s="1"/>
  <c r="D1646" i="39"/>
  <c r="H1646" i="39"/>
  <c r="B1647" i="39"/>
  <c r="D1647" i="39"/>
  <c r="H1647" i="39"/>
  <c r="B1648" i="39"/>
  <c r="C1648" i="39" s="1"/>
  <c r="D1648" i="39"/>
  <c r="H1648" i="39"/>
  <c r="B1649" i="39"/>
  <c r="C1649" i="39" s="1"/>
  <c r="D1649" i="39"/>
  <c r="H1649" i="39"/>
  <c r="B1650" i="39"/>
  <c r="D1650" i="39"/>
  <c r="H1650" i="39"/>
  <c r="B1651" i="39"/>
  <c r="C1651" i="39" s="1"/>
  <c r="D1651" i="39"/>
  <c r="H1651" i="39"/>
  <c r="B1652" i="39"/>
  <c r="C1652" i="39" s="1"/>
  <c r="D1652" i="39"/>
  <c r="H1652" i="39"/>
  <c r="B1653" i="39"/>
  <c r="D1653" i="39"/>
  <c r="H1653" i="39"/>
  <c r="B1654" i="39"/>
  <c r="C1654" i="39" s="1"/>
  <c r="D1654" i="39"/>
  <c r="H1654" i="39"/>
  <c r="B1655" i="39"/>
  <c r="C1655" i="39" s="1"/>
  <c r="D1655" i="39"/>
  <c r="H1655" i="39"/>
  <c r="B1656" i="39"/>
  <c r="D1656" i="39"/>
  <c r="H1656" i="39"/>
  <c r="B1657" i="39"/>
  <c r="C1657" i="39" s="1"/>
  <c r="D1657" i="39"/>
  <c r="H1657" i="39"/>
  <c r="B1658" i="39"/>
  <c r="C1658" i="39" s="1"/>
  <c r="D1658" i="39"/>
  <c r="H1658" i="39"/>
  <c r="B1659" i="39"/>
  <c r="D1659" i="39"/>
  <c r="H1659" i="39"/>
  <c r="B1660" i="39"/>
  <c r="C1660" i="39" s="1"/>
  <c r="D1660" i="39"/>
  <c r="H1660" i="39"/>
  <c r="B1661" i="39"/>
  <c r="C1661" i="39" s="1"/>
  <c r="D1661" i="39"/>
  <c r="H1661" i="39"/>
  <c r="B1662" i="39"/>
  <c r="D1662" i="39"/>
  <c r="H1662" i="39"/>
  <c r="B1663" i="39"/>
  <c r="C1663" i="39" s="1"/>
  <c r="D1663" i="39"/>
  <c r="H1663" i="39"/>
  <c r="B1664" i="39"/>
  <c r="C1664" i="39" s="1"/>
  <c r="D1664" i="39"/>
  <c r="H1664" i="39"/>
  <c r="B1665" i="39"/>
  <c r="D1665" i="39"/>
  <c r="H1665" i="39"/>
  <c r="B1666" i="39"/>
  <c r="C1666" i="39" s="1"/>
  <c r="D1666" i="39"/>
  <c r="H1666" i="39"/>
  <c r="B1667" i="39"/>
  <c r="C1667" i="39" s="1"/>
  <c r="D1667" i="39"/>
  <c r="H1667" i="39"/>
  <c r="B1668" i="39"/>
  <c r="D1668" i="39"/>
  <c r="H1668" i="39"/>
  <c r="B1669" i="39"/>
  <c r="C1669" i="39" s="1"/>
  <c r="D1669" i="39"/>
  <c r="H1669" i="39"/>
  <c r="B1670" i="39"/>
  <c r="C1670" i="39" s="1"/>
  <c r="D1670" i="39"/>
  <c r="H1670" i="39"/>
  <c r="B1671" i="39"/>
  <c r="D1671" i="39"/>
  <c r="H1671" i="39"/>
  <c r="B1672" i="39"/>
  <c r="C1672" i="39" s="1"/>
  <c r="D1672" i="39"/>
  <c r="H1672" i="39"/>
  <c r="B1673" i="39"/>
  <c r="C1673" i="39" s="1"/>
  <c r="D1673" i="39"/>
  <c r="H1673" i="39"/>
  <c r="B1674" i="39"/>
  <c r="D1674" i="39"/>
  <c r="H1674" i="39"/>
  <c r="B1675" i="39"/>
  <c r="C1675" i="39" s="1"/>
  <c r="D1675" i="39"/>
  <c r="H1675" i="39"/>
  <c r="B1676" i="39"/>
  <c r="C1676" i="39" s="1"/>
  <c r="D1676" i="39"/>
  <c r="H1676" i="39"/>
  <c r="B1677" i="39"/>
  <c r="D1677" i="39"/>
  <c r="H1677" i="39"/>
  <c r="B1678" i="39"/>
  <c r="C1678" i="39" s="1"/>
  <c r="D1678" i="39"/>
  <c r="H1678" i="39"/>
  <c r="B1679" i="39"/>
  <c r="C1679" i="39" s="1"/>
  <c r="D1679" i="39"/>
  <c r="H1679" i="39"/>
  <c r="B1680" i="39"/>
  <c r="D1680" i="39"/>
  <c r="H1680" i="39"/>
  <c r="B1681" i="39"/>
  <c r="C1681" i="39" s="1"/>
  <c r="D1681" i="39"/>
  <c r="H1681" i="39"/>
  <c r="B1682" i="39"/>
  <c r="C1682" i="39" s="1"/>
  <c r="D1682" i="39"/>
  <c r="H1682" i="39"/>
  <c r="B1683" i="39"/>
  <c r="D1683" i="39"/>
  <c r="H1683" i="39"/>
  <c r="B1684" i="39"/>
  <c r="C1684" i="39" s="1"/>
  <c r="D1684" i="39"/>
  <c r="H1684" i="39"/>
  <c r="B1685" i="39"/>
  <c r="C1685" i="39" s="1"/>
  <c r="D1685" i="39"/>
  <c r="H1685" i="39"/>
  <c r="B1686" i="39"/>
  <c r="D1686" i="39"/>
  <c r="H1686" i="39"/>
  <c r="B1687" i="39"/>
  <c r="C1687" i="39" s="1"/>
  <c r="D1687" i="39"/>
  <c r="H1687" i="39"/>
  <c r="B1688" i="39"/>
  <c r="C1688" i="39" s="1"/>
  <c r="D1688" i="39"/>
  <c r="H1688" i="39"/>
  <c r="B1689" i="39"/>
  <c r="D1689" i="39"/>
  <c r="H1689" i="39"/>
  <c r="B1690" i="39"/>
  <c r="C1690" i="39" s="1"/>
  <c r="D1690" i="39"/>
  <c r="H1690" i="39"/>
  <c r="B1691" i="39"/>
  <c r="C1691" i="39" s="1"/>
  <c r="D1691" i="39"/>
  <c r="H1691" i="39"/>
  <c r="B1692" i="39"/>
  <c r="D1692" i="39"/>
  <c r="H1692" i="39"/>
  <c r="B1693" i="39"/>
  <c r="C1693" i="39" s="1"/>
  <c r="D1693" i="39"/>
  <c r="H1693" i="39"/>
  <c r="B1694" i="39"/>
  <c r="C1694" i="39" s="1"/>
  <c r="D1694" i="39"/>
  <c r="H1694" i="39"/>
  <c r="B1695" i="39"/>
  <c r="D1695" i="39"/>
  <c r="H1695" i="39"/>
  <c r="B1696" i="39"/>
  <c r="C1696" i="39" s="1"/>
  <c r="D1696" i="39"/>
  <c r="H1696" i="39"/>
  <c r="B1697" i="39"/>
  <c r="C1697" i="39" s="1"/>
  <c r="D1697" i="39"/>
  <c r="H1697" i="39"/>
  <c r="B1698" i="39"/>
  <c r="D1698" i="39"/>
  <c r="H1698" i="39"/>
  <c r="B1699" i="39"/>
  <c r="C1699" i="39" s="1"/>
  <c r="D1699" i="39"/>
  <c r="H1699" i="39"/>
  <c r="B1700" i="39"/>
  <c r="C1700" i="39" s="1"/>
  <c r="D1700" i="39"/>
  <c r="H1700" i="39"/>
  <c r="B1701" i="39"/>
  <c r="D1701" i="39"/>
  <c r="H1701" i="39"/>
  <c r="B1702" i="39"/>
  <c r="C1702" i="39" s="1"/>
  <c r="D1702" i="39"/>
  <c r="H1702" i="39"/>
  <c r="B1703" i="39"/>
  <c r="C1703" i="39" s="1"/>
  <c r="D1703" i="39"/>
  <c r="H1703" i="39"/>
  <c r="B1704" i="39"/>
  <c r="D1704" i="39"/>
  <c r="H1704" i="39"/>
  <c r="B1705" i="39"/>
  <c r="C1705" i="39" s="1"/>
  <c r="D1705" i="39"/>
  <c r="H1705" i="39"/>
  <c r="B1706" i="39"/>
  <c r="C1706" i="39" s="1"/>
  <c r="D1706" i="39"/>
  <c r="H1706" i="39"/>
  <c r="B1707" i="39"/>
  <c r="D1707" i="39"/>
  <c r="H1707" i="39"/>
  <c r="B1708" i="39"/>
  <c r="C1708" i="39" s="1"/>
  <c r="D1708" i="39"/>
  <c r="H1708" i="39"/>
  <c r="B1709" i="39"/>
  <c r="C1709" i="39" s="1"/>
  <c r="D1709" i="39"/>
  <c r="H1709" i="39"/>
  <c r="B1710" i="39"/>
  <c r="D1710" i="39"/>
  <c r="H1710" i="39"/>
  <c r="B1711" i="39"/>
  <c r="C1711" i="39" s="1"/>
  <c r="D1711" i="39"/>
  <c r="H1711" i="39"/>
  <c r="B1712" i="39"/>
  <c r="C1712" i="39" s="1"/>
  <c r="D1712" i="39"/>
  <c r="H1712" i="39"/>
  <c r="B1713" i="39"/>
  <c r="D1713" i="39"/>
  <c r="H1713" i="39"/>
  <c r="B1714" i="39"/>
  <c r="C1714" i="39" s="1"/>
  <c r="D1714" i="39"/>
  <c r="H1714" i="39"/>
  <c r="B1715" i="39"/>
  <c r="C1715" i="39" s="1"/>
  <c r="D1715" i="39"/>
  <c r="H1715" i="39"/>
  <c r="B1716" i="39"/>
  <c r="D1716" i="39"/>
  <c r="H1716" i="39"/>
  <c r="B1717" i="39"/>
  <c r="C1717" i="39" s="1"/>
  <c r="D1717" i="39"/>
  <c r="H1717" i="39"/>
  <c r="B1718" i="39"/>
  <c r="C1718" i="39" s="1"/>
  <c r="D1718" i="39"/>
  <c r="H1718" i="39"/>
  <c r="B1719" i="39"/>
  <c r="D1719" i="39"/>
  <c r="H1719" i="39"/>
  <c r="B1720" i="39"/>
  <c r="C1720" i="39" s="1"/>
  <c r="D1720" i="39"/>
  <c r="H1720" i="39"/>
  <c r="B1721" i="39"/>
  <c r="C1721" i="39" s="1"/>
  <c r="D1721" i="39"/>
  <c r="H1721" i="39"/>
  <c r="B1722" i="39"/>
  <c r="D1722" i="39"/>
  <c r="H1722" i="39"/>
  <c r="B1723" i="39"/>
  <c r="C1723" i="39" s="1"/>
  <c r="D1723" i="39"/>
  <c r="H1723" i="39"/>
  <c r="B1724" i="39"/>
  <c r="C1724" i="39" s="1"/>
  <c r="D1724" i="39"/>
  <c r="H1724" i="39"/>
  <c r="B1725" i="39"/>
  <c r="D1725" i="39"/>
  <c r="H1725" i="39"/>
  <c r="B1726" i="39"/>
  <c r="C1726" i="39" s="1"/>
  <c r="D1726" i="39"/>
  <c r="H1726" i="39"/>
  <c r="B1727" i="39"/>
  <c r="C1727" i="39" s="1"/>
  <c r="D1727" i="39"/>
  <c r="H1727" i="39"/>
  <c r="B1728" i="39"/>
  <c r="D1728" i="39"/>
  <c r="H1728" i="39"/>
  <c r="B1729" i="39"/>
  <c r="C1729" i="39" s="1"/>
  <c r="D1729" i="39"/>
  <c r="H1729" i="39"/>
  <c r="B1730" i="39"/>
  <c r="C1730" i="39" s="1"/>
  <c r="D1730" i="39"/>
  <c r="H1730" i="39"/>
  <c r="B1731" i="39"/>
  <c r="D1731" i="39"/>
  <c r="H1731" i="39"/>
  <c r="B1732" i="39"/>
  <c r="C1732" i="39" s="1"/>
  <c r="D1732" i="39"/>
  <c r="H1732" i="39"/>
  <c r="B1733" i="39"/>
  <c r="C1733" i="39" s="1"/>
  <c r="D1733" i="39"/>
  <c r="H1733" i="39"/>
  <c r="B1734" i="39"/>
  <c r="D1734" i="39"/>
  <c r="H1734" i="39"/>
  <c r="B1735" i="39"/>
  <c r="C1735" i="39" s="1"/>
  <c r="D1735" i="39"/>
  <c r="H1735" i="39"/>
  <c r="B1736" i="39"/>
  <c r="C1736" i="39" s="1"/>
  <c r="D1736" i="39"/>
  <c r="H1736" i="39"/>
  <c r="B1737" i="39"/>
  <c r="D1737" i="39"/>
  <c r="H1737" i="39"/>
  <c r="B1738" i="39"/>
  <c r="C1738" i="39" s="1"/>
  <c r="D1738" i="39"/>
  <c r="H1738" i="39"/>
  <c r="B1739" i="39"/>
  <c r="C1739" i="39" s="1"/>
  <c r="D1739" i="39"/>
  <c r="H1739" i="39"/>
  <c r="B1740" i="39"/>
  <c r="D1740" i="39"/>
  <c r="H1740" i="39"/>
  <c r="B1741" i="39"/>
  <c r="C1741" i="39" s="1"/>
  <c r="D1741" i="39"/>
  <c r="H1741" i="39"/>
  <c r="B1742" i="39"/>
  <c r="D1742" i="39"/>
  <c r="H1742" i="39"/>
  <c r="B1743" i="39"/>
  <c r="D1743" i="39"/>
  <c r="H1743" i="39"/>
  <c r="B1744" i="39"/>
  <c r="C1744" i="39" s="1"/>
  <c r="D1744" i="39"/>
  <c r="H1744" i="39"/>
  <c r="B1745" i="39"/>
  <c r="C1745" i="39" s="1"/>
  <c r="D1745" i="39"/>
  <c r="H1745" i="39"/>
  <c r="B1746" i="39"/>
  <c r="D1746" i="39"/>
  <c r="H1746" i="39"/>
  <c r="B1747" i="39"/>
  <c r="C1747" i="39" s="1"/>
  <c r="D1747" i="39"/>
  <c r="H1747" i="39"/>
  <c r="B1748" i="39"/>
  <c r="C1748" i="39" s="1"/>
  <c r="D1748" i="39"/>
  <c r="H1748" i="39"/>
  <c r="B1749" i="39"/>
  <c r="D1749" i="39"/>
  <c r="H1749" i="39"/>
  <c r="B1750" i="39"/>
  <c r="C1750" i="39" s="1"/>
  <c r="D1750" i="39"/>
  <c r="H1750" i="39"/>
  <c r="B1751" i="39"/>
  <c r="C1751" i="39" s="1"/>
  <c r="D1751" i="39"/>
  <c r="H1751" i="39"/>
  <c r="B1752" i="39"/>
  <c r="D1752" i="39"/>
  <c r="H1752" i="39"/>
  <c r="B1753" i="39"/>
  <c r="C1753" i="39" s="1"/>
  <c r="D1753" i="39"/>
  <c r="H1753" i="39"/>
  <c r="B1754" i="39"/>
  <c r="C1754" i="39" s="1"/>
  <c r="D1754" i="39"/>
  <c r="H1754" i="39"/>
  <c r="B1755" i="39"/>
  <c r="D1755" i="39"/>
  <c r="H1755" i="39"/>
  <c r="B1756" i="39"/>
  <c r="C1756" i="39" s="1"/>
  <c r="D1756" i="39"/>
  <c r="H1756" i="39"/>
  <c r="B1757" i="39"/>
  <c r="C1757" i="39" s="1"/>
  <c r="D1757" i="39"/>
  <c r="H1757" i="39"/>
  <c r="B1758" i="39"/>
  <c r="D1758" i="39"/>
  <c r="H1758" i="39"/>
  <c r="B1759" i="39"/>
  <c r="C1759" i="39" s="1"/>
  <c r="D1759" i="39"/>
  <c r="H1759" i="39"/>
  <c r="B1760" i="39"/>
  <c r="C1760" i="39" s="1"/>
  <c r="D1760" i="39"/>
  <c r="H1760" i="39"/>
  <c r="B1761" i="39"/>
  <c r="D1761" i="39"/>
  <c r="H1761" i="39"/>
  <c r="B1762" i="39"/>
  <c r="C1762" i="39" s="1"/>
  <c r="D1762" i="39"/>
  <c r="H1762" i="39"/>
  <c r="B1763" i="39"/>
  <c r="C1763" i="39" s="1"/>
  <c r="D1763" i="39"/>
  <c r="H1763" i="39"/>
  <c r="B1764" i="39"/>
  <c r="D1764" i="39"/>
  <c r="H1764" i="39"/>
  <c r="B1765" i="39"/>
  <c r="C1765" i="39" s="1"/>
  <c r="D1765" i="39"/>
  <c r="H1765" i="39"/>
  <c r="B1766" i="39"/>
  <c r="C1766" i="39" s="1"/>
  <c r="D1766" i="39"/>
  <c r="H1766" i="39"/>
  <c r="B1767" i="39"/>
  <c r="D1767" i="39"/>
  <c r="H1767" i="39"/>
  <c r="B1768" i="39"/>
  <c r="C1768" i="39" s="1"/>
  <c r="D1768" i="39"/>
  <c r="H1768" i="39"/>
  <c r="B1769" i="39"/>
  <c r="C1769" i="39" s="1"/>
  <c r="D1769" i="39"/>
  <c r="H1769" i="39"/>
  <c r="B1770" i="39"/>
  <c r="D1770" i="39"/>
  <c r="H1770" i="39"/>
  <c r="B1771" i="39"/>
  <c r="C1771" i="39" s="1"/>
  <c r="D1771" i="39"/>
  <c r="H1771" i="39"/>
  <c r="B1772" i="39"/>
  <c r="C1772" i="39" s="1"/>
  <c r="D1772" i="39"/>
  <c r="H1772" i="39"/>
  <c r="B1773" i="39"/>
  <c r="D1773" i="39"/>
  <c r="H1773" i="39"/>
  <c r="B1774" i="39"/>
  <c r="C1774" i="39" s="1"/>
  <c r="D1774" i="39"/>
  <c r="H1774" i="39"/>
  <c r="B1775" i="39"/>
  <c r="C1775" i="39" s="1"/>
  <c r="D1775" i="39"/>
  <c r="H1775" i="39"/>
  <c r="B1776" i="39"/>
  <c r="D1776" i="39"/>
  <c r="H1776" i="39"/>
  <c r="B1777" i="39"/>
  <c r="C1777" i="39" s="1"/>
  <c r="D1777" i="39"/>
  <c r="H1777" i="39"/>
  <c r="B1778" i="39"/>
  <c r="C1778" i="39" s="1"/>
  <c r="D1778" i="39"/>
  <c r="H1778" i="39"/>
  <c r="B1779" i="39"/>
  <c r="D1779" i="39"/>
  <c r="H1779" i="39"/>
  <c r="B1780" i="39"/>
  <c r="C1780" i="39" s="1"/>
  <c r="D1780" i="39"/>
  <c r="H1780" i="39"/>
  <c r="B1781" i="39"/>
  <c r="C1781" i="39" s="1"/>
  <c r="D1781" i="39"/>
  <c r="H1781" i="39"/>
  <c r="B1782" i="39"/>
  <c r="D1782" i="39"/>
  <c r="H1782" i="39"/>
  <c r="B1783" i="39"/>
  <c r="C1783" i="39" s="1"/>
  <c r="D1783" i="39"/>
  <c r="H1783" i="39"/>
  <c r="B1784" i="39"/>
  <c r="C1784" i="39" s="1"/>
  <c r="D1784" i="39"/>
  <c r="H1784" i="39"/>
  <c r="B1785" i="39"/>
  <c r="D1785" i="39"/>
  <c r="H1785" i="39"/>
  <c r="B1786" i="39"/>
  <c r="C1786" i="39" s="1"/>
  <c r="D1786" i="39"/>
  <c r="H1786" i="39"/>
  <c r="B1787" i="39"/>
  <c r="C1787" i="39" s="1"/>
  <c r="D1787" i="39"/>
  <c r="H1787" i="39"/>
  <c r="B1788" i="39"/>
  <c r="D1788" i="39"/>
  <c r="H1788" i="39"/>
  <c r="B1789" i="39"/>
  <c r="C1789" i="39" s="1"/>
  <c r="D1789" i="39"/>
  <c r="H1789" i="39"/>
  <c r="B1790" i="39"/>
  <c r="C1790" i="39" s="1"/>
  <c r="D1790" i="39"/>
  <c r="H1790" i="39"/>
  <c r="B1791" i="39"/>
  <c r="D1791" i="39"/>
  <c r="H1791" i="39"/>
  <c r="B1792" i="39"/>
  <c r="C1792" i="39" s="1"/>
  <c r="D1792" i="39"/>
  <c r="H1792" i="39"/>
  <c r="B1793" i="39"/>
  <c r="C1793" i="39" s="1"/>
  <c r="D1793" i="39"/>
  <c r="H1793" i="39"/>
  <c r="B1794" i="39"/>
  <c r="D1794" i="39"/>
  <c r="H1794" i="39"/>
  <c r="B1795" i="39"/>
  <c r="C1795" i="39" s="1"/>
  <c r="D1795" i="39"/>
  <c r="H1795" i="39"/>
  <c r="B1796" i="39"/>
  <c r="D1796" i="39"/>
  <c r="H1796" i="39"/>
  <c r="B1797" i="39"/>
  <c r="D1797" i="39"/>
  <c r="H1797" i="39"/>
  <c r="B1798" i="39"/>
  <c r="C1798" i="39" s="1"/>
  <c r="D1798" i="39"/>
  <c r="H1798" i="39"/>
  <c r="B1799" i="39"/>
  <c r="C1799" i="39" s="1"/>
  <c r="D1799" i="39"/>
  <c r="H1799" i="39"/>
  <c r="B1800" i="39"/>
  <c r="D1800" i="39"/>
  <c r="H1800" i="39"/>
  <c r="B1801" i="39"/>
  <c r="D1801" i="39"/>
  <c r="H1801" i="39"/>
  <c r="B1802" i="39"/>
  <c r="C1802" i="39" s="1"/>
  <c r="D1802" i="39"/>
  <c r="H1802" i="39"/>
  <c r="B1803" i="39"/>
  <c r="D1803" i="39"/>
  <c r="H1803" i="39"/>
  <c r="B1804" i="39"/>
  <c r="C1804" i="39" s="1"/>
  <c r="D1804" i="39"/>
  <c r="H1804" i="39"/>
  <c r="B1805" i="39"/>
  <c r="C1805" i="39" s="1"/>
  <c r="D1805" i="39"/>
  <c r="H1805" i="39"/>
  <c r="B1806" i="39"/>
  <c r="D1806" i="39"/>
  <c r="H1806" i="39"/>
  <c r="B1807" i="39"/>
  <c r="C1807" i="39" s="1"/>
  <c r="D1807" i="39"/>
  <c r="H1807" i="39"/>
  <c r="B1808" i="39"/>
  <c r="C1808" i="39" s="1"/>
  <c r="D1808" i="39"/>
  <c r="H1808" i="39"/>
  <c r="B1809" i="39"/>
  <c r="D1809" i="39"/>
  <c r="H1809" i="39"/>
  <c r="B1810" i="39"/>
  <c r="C1810" i="39" s="1"/>
  <c r="D1810" i="39"/>
  <c r="H1810" i="39"/>
  <c r="B1811" i="39"/>
  <c r="C1811" i="39" s="1"/>
  <c r="D1811" i="39"/>
  <c r="H1811" i="39"/>
  <c r="B1812" i="39"/>
  <c r="D1812" i="39"/>
  <c r="H1812" i="39"/>
  <c r="B1813" i="39"/>
  <c r="C1813" i="39" s="1"/>
  <c r="D1813" i="39"/>
  <c r="H1813" i="39"/>
  <c r="B1814" i="39"/>
  <c r="C1814" i="39" s="1"/>
  <c r="D1814" i="39"/>
  <c r="H1814" i="39"/>
  <c r="B1815" i="39"/>
  <c r="D1815" i="39"/>
  <c r="H1815" i="39"/>
  <c r="B1816" i="39"/>
  <c r="C1816" i="39" s="1"/>
  <c r="D1816" i="39"/>
  <c r="H1816" i="39"/>
  <c r="B1817" i="39"/>
  <c r="C1817" i="39" s="1"/>
  <c r="D1817" i="39"/>
  <c r="H1817" i="39"/>
  <c r="B1818" i="39"/>
  <c r="D1818" i="39"/>
  <c r="H1818" i="39"/>
  <c r="B1819" i="39"/>
  <c r="C1819" i="39" s="1"/>
  <c r="D1819" i="39"/>
  <c r="H1819" i="39"/>
  <c r="B1820" i="39"/>
  <c r="C1820" i="39" s="1"/>
  <c r="D1820" i="39"/>
  <c r="H1820" i="39"/>
  <c r="B1821" i="39"/>
  <c r="D1821" i="39"/>
  <c r="H1821" i="39"/>
  <c r="B1822" i="39"/>
  <c r="C1822" i="39" s="1"/>
  <c r="D1822" i="39"/>
  <c r="H1822" i="39"/>
  <c r="B1823" i="39"/>
  <c r="C1823" i="39" s="1"/>
  <c r="D1823" i="39"/>
  <c r="H1823" i="39"/>
  <c r="B1824" i="39"/>
  <c r="D1824" i="39"/>
  <c r="H1824" i="39"/>
  <c r="B1825" i="39"/>
  <c r="C1825" i="39" s="1"/>
  <c r="D1825" i="39"/>
  <c r="H1825" i="39"/>
  <c r="B1826" i="39"/>
  <c r="C1826" i="39" s="1"/>
  <c r="D1826" i="39"/>
  <c r="H1826" i="39"/>
  <c r="B1827" i="39"/>
  <c r="D1827" i="39"/>
  <c r="H1827" i="39"/>
  <c r="B1828" i="39"/>
  <c r="C1828" i="39" s="1"/>
  <c r="D1828" i="39"/>
  <c r="H1828" i="39"/>
  <c r="B1829" i="39"/>
  <c r="C1829" i="39" s="1"/>
  <c r="D1829" i="39"/>
  <c r="H1829" i="39"/>
  <c r="B1830" i="39"/>
  <c r="D1830" i="39"/>
  <c r="H1830" i="39"/>
  <c r="B1831" i="39"/>
  <c r="C1831" i="39" s="1"/>
  <c r="D1831" i="39"/>
  <c r="H1831" i="39"/>
  <c r="B1832" i="39"/>
  <c r="C1832" i="39" s="1"/>
  <c r="D1832" i="39"/>
  <c r="H1832" i="39"/>
  <c r="B1833" i="39"/>
  <c r="D1833" i="39"/>
  <c r="H1833" i="39"/>
  <c r="B1834" i="39"/>
  <c r="C1834" i="39" s="1"/>
  <c r="D1834" i="39"/>
  <c r="H1834" i="39"/>
  <c r="B1835" i="39"/>
  <c r="C1835" i="39" s="1"/>
  <c r="D1835" i="39"/>
  <c r="H1835" i="39"/>
  <c r="B1836" i="39"/>
  <c r="D1836" i="39"/>
  <c r="H1836" i="39"/>
  <c r="B1837" i="39"/>
  <c r="C1837" i="39" s="1"/>
  <c r="D1837" i="39"/>
  <c r="H1837" i="39"/>
  <c r="B1838" i="39"/>
  <c r="C1838" i="39" s="1"/>
  <c r="D1838" i="39"/>
  <c r="H1838" i="39"/>
  <c r="B1839" i="39"/>
  <c r="D1839" i="39"/>
  <c r="H1839" i="39"/>
  <c r="B1840" i="39"/>
  <c r="C1840" i="39" s="1"/>
  <c r="D1840" i="39"/>
  <c r="H1840" i="39"/>
  <c r="B1841" i="39"/>
  <c r="C1841" i="39" s="1"/>
  <c r="D1841" i="39"/>
  <c r="H1841" i="39"/>
  <c r="B1842" i="39"/>
  <c r="D1842" i="39"/>
  <c r="H1842" i="39"/>
  <c r="B1843" i="39"/>
  <c r="C1843" i="39" s="1"/>
  <c r="D1843" i="39"/>
  <c r="H1843" i="39"/>
  <c r="B1844" i="39"/>
  <c r="C1844" i="39" s="1"/>
  <c r="D1844" i="39"/>
  <c r="H1844" i="39"/>
  <c r="B1845" i="39"/>
  <c r="D1845" i="39"/>
  <c r="H1845" i="39"/>
  <c r="B1846" i="39"/>
  <c r="C1846" i="39" s="1"/>
  <c r="D1846" i="39"/>
  <c r="H1846" i="39"/>
  <c r="B1847" i="39"/>
  <c r="C1847" i="39" s="1"/>
  <c r="D1847" i="39"/>
  <c r="H1847" i="39"/>
  <c r="B1848" i="39"/>
  <c r="D1848" i="39"/>
  <c r="H1848" i="39"/>
  <c r="B1849" i="39"/>
  <c r="C1849" i="39" s="1"/>
  <c r="D1849" i="39"/>
  <c r="H1849" i="39"/>
  <c r="B1850" i="39"/>
  <c r="C1850" i="39" s="1"/>
  <c r="D1850" i="39"/>
  <c r="H1850" i="39"/>
  <c r="B1851" i="39"/>
  <c r="D1851" i="39"/>
  <c r="H1851" i="39"/>
  <c r="B1852" i="39"/>
  <c r="C1852" i="39" s="1"/>
  <c r="D1852" i="39"/>
  <c r="H1852" i="39"/>
  <c r="B1853" i="39"/>
  <c r="C1853" i="39" s="1"/>
  <c r="D1853" i="39"/>
  <c r="H1853" i="39"/>
  <c r="B1854" i="39"/>
  <c r="D1854" i="39"/>
  <c r="H1854" i="39"/>
  <c r="B1855" i="39"/>
  <c r="C1855" i="39" s="1"/>
  <c r="D1855" i="39"/>
  <c r="H1855" i="39"/>
  <c r="B1856" i="39"/>
  <c r="C1856" i="39" s="1"/>
  <c r="D1856" i="39"/>
  <c r="H1856" i="39"/>
  <c r="B1857" i="39"/>
  <c r="D1857" i="39"/>
  <c r="H1857" i="39"/>
  <c r="B1858" i="39"/>
  <c r="C1858" i="39" s="1"/>
  <c r="D1858" i="39"/>
  <c r="H1858" i="39"/>
  <c r="B1859" i="39"/>
  <c r="C1859" i="39" s="1"/>
  <c r="D1859" i="39"/>
  <c r="H1859" i="39"/>
  <c r="B1860" i="39"/>
  <c r="D1860" i="39"/>
  <c r="H1860" i="39"/>
  <c r="B1861" i="39"/>
  <c r="C1861" i="39" s="1"/>
  <c r="D1861" i="39"/>
  <c r="H1861" i="39"/>
  <c r="B1862" i="39"/>
  <c r="C1862" i="39" s="1"/>
  <c r="D1862" i="39"/>
  <c r="H1862" i="39"/>
  <c r="B1863" i="39"/>
  <c r="D1863" i="39"/>
  <c r="H1863" i="39"/>
  <c r="B1864" i="39"/>
  <c r="C1864" i="39" s="1"/>
  <c r="D1864" i="39"/>
  <c r="H1864" i="39"/>
  <c r="B1865" i="39"/>
  <c r="C1865" i="39" s="1"/>
  <c r="D1865" i="39"/>
  <c r="H1865" i="39"/>
  <c r="B1866" i="39"/>
  <c r="D1866" i="39"/>
  <c r="H1866" i="39"/>
  <c r="B1867" i="39"/>
  <c r="C1867" i="39" s="1"/>
  <c r="D1867" i="39"/>
  <c r="H1867" i="39"/>
  <c r="B1868" i="39"/>
  <c r="C1868" i="39" s="1"/>
  <c r="D1868" i="39"/>
  <c r="H1868" i="39"/>
  <c r="B1869" i="39"/>
  <c r="D1869" i="39"/>
  <c r="H1869" i="39"/>
  <c r="B1870" i="39"/>
  <c r="C1870" i="39" s="1"/>
  <c r="D1870" i="39"/>
  <c r="H1870" i="39"/>
  <c r="B1871" i="39"/>
  <c r="C1871" i="39" s="1"/>
  <c r="D1871" i="39"/>
  <c r="H1871" i="39"/>
  <c r="B1872" i="39"/>
  <c r="D1872" i="39"/>
  <c r="H1872" i="39"/>
  <c r="B1873" i="39"/>
  <c r="C1873" i="39" s="1"/>
  <c r="D1873" i="39"/>
  <c r="H1873" i="39"/>
  <c r="B1874" i="39"/>
  <c r="C1874" i="39" s="1"/>
  <c r="D1874" i="39"/>
  <c r="H1874" i="39"/>
  <c r="B1875" i="39"/>
  <c r="D1875" i="39"/>
  <c r="H1875" i="39"/>
  <c r="B1876" i="39"/>
  <c r="C1876" i="39" s="1"/>
  <c r="D1876" i="39"/>
  <c r="H1876" i="39"/>
  <c r="B1877" i="39"/>
  <c r="C1877" i="39" s="1"/>
  <c r="D1877" i="39"/>
  <c r="H1877" i="39"/>
  <c r="B1878" i="39"/>
  <c r="D1878" i="39"/>
  <c r="H1878" i="39"/>
  <c r="B1879" i="39"/>
  <c r="C1879" i="39" s="1"/>
  <c r="D1879" i="39"/>
  <c r="H1879" i="39"/>
  <c r="B1880" i="39"/>
  <c r="C1880" i="39" s="1"/>
  <c r="D1880" i="39"/>
  <c r="H1880" i="39"/>
  <c r="B1881" i="39"/>
  <c r="D1881" i="39"/>
  <c r="H1881" i="39"/>
  <c r="B1882" i="39"/>
  <c r="C1882" i="39" s="1"/>
  <c r="D1882" i="39"/>
  <c r="H1882" i="39"/>
  <c r="B1883" i="39"/>
  <c r="C1883" i="39" s="1"/>
  <c r="D1883" i="39"/>
  <c r="H1883" i="39"/>
  <c r="B1884" i="39"/>
  <c r="D1884" i="39"/>
  <c r="H1884" i="39"/>
  <c r="B1885" i="39"/>
  <c r="C1885" i="39" s="1"/>
  <c r="D1885" i="39"/>
  <c r="H1885" i="39"/>
  <c r="B1886" i="39"/>
  <c r="D1886" i="39"/>
  <c r="H1886" i="39"/>
  <c r="B1887" i="39"/>
  <c r="D1887" i="39"/>
  <c r="H1887" i="39"/>
  <c r="B1888" i="39"/>
  <c r="C1888" i="39" s="1"/>
  <c r="D1888" i="39"/>
  <c r="H1888" i="39"/>
  <c r="B1889" i="39"/>
  <c r="C1889" i="39" s="1"/>
  <c r="D1889" i="39"/>
  <c r="H1889" i="39"/>
  <c r="B1890" i="39"/>
  <c r="D1890" i="39"/>
  <c r="H1890" i="39"/>
  <c r="B1891" i="39"/>
  <c r="C1891" i="39" s="1"/>
  <c r="D1891" i="39"/>
  <c r="H1891" i="39"/>
  <c r="B1892" i="39"/>
  <c r="C1892" i="39" s="1"/>
  <c r="D1892" i="39"/>
  <c r="H1892" i="39"/>
  <c r="B1893" i="39"/>
  <c r="D1893" i="39"/>
  <c r="H1893" i="39"/>
  <c r="B1894" i="39"/>
  <c r="C1894" i="39" s="1"/>
  <c r="D1894" i="39"/>
  <c r="H1894" i="39"/>
  <c r="B1895" i="39"/>
  <c r="C1895" i="39" s="1"/>
  <c r="D1895" i="39"/>
  <c r="H1895" i="39"/>
  <c r="B1896" i="39"/>
  <c r="D1896" i="39"/>
  <c r="H1896" i="39"/>
  <c r="B1897" i="39"/>
  <c r="D1897" i="39"/>
  <c r="H1897" i="39"/>
  <c r="B1898" i="39"/>
  <c r="C1898" i="39" s="1"/>
  <c r="D1898" i="39"/>
  <c r="H1898" i="39"/>
  <c r="B1899" i="39"/>
  <c r="D1899" i="39"/>
  <c r="H1899" i="39"/>
  <c r="B1900" i="39"/>
  <c r="C1900" i="39" s="1"/>
  <c r="D1900" i="39"/>
  <c r="H1900" i="39"/>
  <c r="B1901" i="39"/>
  <c r="C1901" i="39" s="1"/>
  <c r="D1901" i="39"/>
  <c r="H1901" i="39"/>
  <c r="B1902" i="39"/>
  <c r="D1902" i="39"/>
  <c r="H1902" i="39"/>
  <c r="B1903" i="39"/>
  <c r="C1903" i="39" s="1"/>
  <c r="D1903" i="39"/>
  <c r="H1903" i="39"/>
  <c r="B1904" i="39"/>
  <c r="C1904" i="39" s="1"/>
  <c r="D1904" i="39"/>
  <c r="H1904" i="39"/>
  <c r="B1905" i="39"/>
  <c r="D1905" i="39"/>
  <c r="H1905" i="39"/>
  <c r="B1906" i="39"/>
  <c r="C1906" i="39" s="1"/>
  <c r="D1906" i="39"/>
  <c r="H1906" i="39"/>
  <c r="B1907" i="39"/>
  <c r="C1907" i="39" s="1"/>
  <c r="D1907" i="39"/>
  <c r="H1907" i="39"/>
  <c r="B1908" i="39"/>
  <c r="D1908" i="39"/>
  <c r="H1908" i="39"/>
  <c r="B1909" i="39"/>
  <c r="C1909" i="39" s="1"/>
  <c r="D1909" i="39"/>
  <c r="H1909" i="39"/>
  <c r="B1910" i="39"/>
  <c r="C1910" i="39" s="1"/>
  <c r="D1910" i="39"/>
  <c r="H1910" i="39"/>
  <c r="B1911" i="39"/>
  <c r="D1911" i="39"/>
  <c r="H1911" i="39"/>
  <c r="B1912" i="39"/>
  <c r="C1912" i="39" s="1"/>
  <c r="D1912" i="39"/>
  <c r="H1912" i="39"/>
  <c r="B1913" i="39"/>
  <c r="C1913" i="39" s="1"/>
  <c r="D1913" i="39"/>
  <c r="H1913" i="39"/>
  <c r="B1914" i="39"/>
  <c r="D1914" i="39"/>
  <c r="H1914" i="39"/>
  <c r="B1915" i="39"/>
  <c r="C1915" i="39" s="1"/>
  <c r="D1915" i="39"/>
  <c r="H1915" i="39"/>
  <c r="B1916" i="39"/>
  <c r="C1916" i="39" s="1"/>
  <c r="D1916" i="39"/>
  <c r="H1916" i="39"/>
  <c r="B1917" i="39"/>
  <c r="D1917" i="39"/>
  <c r="H1917" i="39"/>
  <c r="B1918" i="39"/>
  <c r="C1918" i="39" s="1"/>
  <c r="D1918" i="39"/>
  <c r="H1918" i="39"/>
  <c r="B1919" i="39"/>
  <c r="C1919" i="39" s="1"/>
  <c r="D1919" i="39"/>
  <c r="H1919" i="39"/>
  <c r="B1920" i="39"/>
  <c r="D1920" i="39"/>
  <c r="H1920" i="39"/>
  <c r="B1921" i="39"/>
  <c r="C1921" i="39" s="1"/>
  <c r="D1921" i="39"/>
  <c r="H1921" i="39"/>
  <c r="B1922" i="39"/>
  <c r="C1922" i="39" s="1"/>
  <c r="D1922" i="39"/>
  <c r="H1922" i="39"/>
  <c r="B1923" i="39"/>
  <c r="D1923" i="39"/>
  <c r="H1923" i="39"/>
  <c r="B1924" i="39"/>
  <c r="C1924" i="39" s="1"/>
  <c r="D1924" i="39"/>
  <c r="H1924" i="39"/>
  <c r="B1925" i="39"/>
  <c r="C1925" i="39" s="1"/>
  <c r="D1925" i="39"/>
  <c r="H1925" i="39"/>
  <c r="B1926" i="39"/>
  <c r="C1926" i="39" s="1"/>
  <c r="D1926" i="39"/>
  <c r="H1926" i="39"/>
  <c r="B1927" i="39"/>
  <c r="D1927" i="39"/>
  <c r="H1927" i="39"/>
  <c r="B1928" i="39"/>
  <c r="D1928" i="39"/>
  <c r="H1928" i="39"/>
  <c r="B1929" i="39"/>
  <c r="C1929" i="39" s="1"/>
  <c r="D1929" i="39"/>
  <c r="H1929" i="39"/>
  <c r="B1930" i="39"/>
  <c r="C1930" i="39" s="1"/>
  <c r="D1930" i="39"/>
  <c r="H1930" i="39"/>
  <c r="B1931" i="39"/>
  <c r="C1931" i="39" s="1"/>
  <c r="D1931" i="39"/>
  <c r="H1931" i="39"/>
  <c r="B1932" i="39"/>
  <c r="C1932" i="39" s="1"/>
  <c r="D1932" i="39"/>
  <c r="H1932" i="39"/>
  <c r="B1933" i="39"/>
  <c r="C1933" i="39" s="1"/>
  <c r="D1933" i="39"/>
  <c r="H1933" i="39"/>
  <c r="B1934" i="39"/>
  <c r="C1934" i="39" s="1"/>
  <c r="D1934" i="39"/>
  <c r="H1934" i="39"/>
  <c r="B1935" i="39"/>
  <c r="D1935" i="39"/>
  <c r="H1935" i="39"/>
  <c r="B1936" i="39"/>
  <c r="C1936" i="39" s="1"/>
  <c r="D1936" i="39"/>
  <c r="H1936" i="39"/>
  <c r="B1937" i="39"/>
  <c r="D1937" i="39"/>
  <c r="H1937" i="39"/>
  <c r="B1938" i="39"/>
  <c r="D1938" i="39"/>
  <c r="H1938" i="39"/>
  <c r="B1939" i="39"/>
  <c r="D1939" i="39"/>
  <c r="H1939" i="39"/>
  <c r="B1940" i="39"/>
  <c r="C1940" i="39" s="1"/>
  <c r="D1940" i="39"/>
  <c r="H1940" i="39"/>
  <c r="B1941" i="39"/>
  <c r="C1941" i="39" s="1"/>
  <c r="D1941" i="39"/>
  <c r="H1941" i="39"/>
  <c r="B1942" i="39"/>
  <c r="C1942" i="39" s="1"/>
  <c r="D1942" i="39"/>
  <c r="H1942" i="39"/>
  <c r="B1943" i="39"/>
  <c r="C1943" i="39" s="1"/>
  <c r="D1943" i="39"/>
  <c r="H1943" i="39"/>
  <c r="B1944" i="39"/>
  <c r="D1944" i="39"/>
  <c r="H1944" i="39"/>
  <c r="B1945" i="39"/>
  <c r="C1945" i="39" s="1"/>
  <c r="D1945" i="39"/>
  <c r="H1945" i="39"/>
  <c r="B1946" i="39"/>
  <c r="C1946" i="39" s="1"/>
  <c r="D1946" i="39"/>
  <c r="H1946" i="39"/>
  <c r="B1947" i="39"/>
  <c r="C1947" i="39" s="1"/>
  <c r="D1947" i="39"/>
  <c r="H1947" i="39"/>
  <c r="B1948" i="39"/>
  <c r="C1948" i="39" s="1"/>
  <c r="D1948" i="39"/>
  <c r="H1948" i="39"/>
  <c r="B1949" i="39"/>
  <c r="C1949" i="39" s="1"/>
  <c r="D1949" i="39"/>
  <c r="H1949" i="39"/>
  <c r="B1950" i="39"/>
  <c r="C1950" i="39" s="1"/>
  <c r="D1950" i="39"/>
  <c r="H1950" i="39"/>
  <c r="B1951" i="39"/>
  <c r="C1951" i="39" s="1"/>
  <c r="D1951" i="39"/>
  <c r="H1951" i="39"/>
  <c r="B1952" i="39"/>
  <c r="C1952" i="39" s="1"/>
  <c r="D1952" i="39"/>
  <c r="H1952" i="39"/>
  <c r="B1953" i="39"/>
  <c r="D1953" i="39"/>
  <c r="H1953" i="39"/>
  <c r="B1954" i="39"/>
  <c r="C1954" i="39" s="1"/>
  <c r="D1954" i="39"/>
  <c r="H1954" i="39"/>
  <c r="B1955" i="39"/>
  <c r="C1955" i="39" s="1"/>
  <c r="D1955" i="39"/>
  <c r="H1955" i="39"/>
  <c r="B1956" i="39"/>
  <c r="C1956" i="39" s="1"/>
  <c r="D1956" i="39"/>
  <c r="H1956" i="39"/>
  <c r="B1957" i="39"/>
  <c r="C1957" i="39" s="1"/>
  <c r="D1957" i="39"/>
  <c r="H1957" i="39"/>
  <c r="B1958" i="39"/>
  <c r="C1958" i="39" s="1"/>
  <c r="D1958" i="39"/>
  <c r="H1958" i="39"/>
  <c r="B1959" i="39"/>
  <c r="C1959" i="39" s="1"/>
  <c r="D1959" i="39"/>
  <c r="H1959" i="39"/>
  <c r="B1960" i="39"/>
  <c r="C1960" i="39" s="1"/>
  <c r="D1960" i="39"/>
  <c r="H1960" i="39"/>
  <c r="B1961" i="39"/>
  <c r="C1961" i="39" s="1"/>
  <c r="D1961" i="39"/>
  <c r="H1961" i="39"/>
  <c r="B1962" i="39"/>
  <c r="C1962" i="39" s="1"/>
  <c r="D1962" i="39"/>
  <c r="H1962" i="39"/>
  <c r="B1963" i="39"/>
  <c r="C1963" i="39" s="1"/>
  <c r="D1963" i="39"/>
  <c r="H1963" i="39"/>
  <c r="B1964" i="39"/>
  <c r="C1964" i="39" s="1"/>
  <c r="D1964" i="39"/>
  <c r="H1964" i="39"/>
  <c r="B1965" i="39"/>
  <c r="C1965" i="39" s="1"/>
  <c r="D1965" i="39"/>
  <c r="H1965" i="39"/>
  <c r="B1966" i="39"/>
  <c r="C1966" i="39" s="1"/>
  <c r="D1966" i="39"/>
  <c r="H1966" i="39"/>
  <c r="B1967" i="39"/>
  <c r="C1967" i="39" s="1"/>
  <c r="D1967" i="39"/>
  <c r="H1967" i="39"/>
  <c r="B1968" i="39"/>
  <c r="D1968" i="39"/>
  <c r="H1968" i="39"/>
  <c r="B1969" i="39"/>
  <c r="D1969" i="39"/>
  <c r="H1969" i="39"/>
  <c r="B1970" i="39"/>
  <c r="C1970" i="39" s="1"/>
  <c r="D1970" i="39"/>
  <c r="H1970" i="39"/>
  <c r="B1971" i="39"/>
  <c r="D1971" i="39"/>
  <c r="H1971" i="39"/>
  <c r="B1972" i="39"/>
  <c r="C1972" i="39" s="1"/>
  <c r="D1972" i="39"/>
  <c r="H1972" i="39"/>
  <c r="B1973" i="39"/>
  <c r="C1973" i="39" s="1"/>
  <c r="D1973" i="39"/>
  <c r="H1973" i="39"/>
  <c r="B1974" i="39"/>
  <c r="C1974" i="39" s="1"/>
  <c r="D1974" i="39"/>
  <c r="H1974" i="39"/>
  <c r="B1975" i="39"/>
  <c r="C1975" i="39" s="1"/>
  <c r="D1975" i="39"/>
  <c r="H1975" i="39"/>
  <c r="B1976" i="39"/>
  <c r="C1976" i="39" s="1"/>
  <c r="D1976" i="39"/>
  <c r="H1976" i="39"/>
  <c r="B1977" i="39"/>
  <c r="C1977" i="39" s="1"/>
  <c r="D1977" i="39"/>
  <c r="H1977" i="39"/>
  <c r="B1978" i="39"/>
  <c r="D1978" i="39"/>
  <c r="H1978" i="39"/>
  <c r="B1979" i="39"/>
  <c r="C1979" i="39" s="1"/>
  <c r="D1979" i="39"/>
  <c r="H1979" i="39"/>
  <c r="B1980" i="39"/>
  <c r="D1980" i="39"/>
  <c r="H1980" i="39"/>
  <c r="B1981" i="39"/>
  <c r="C1981" i="39" s="1"/>
  <c r="D1981" i="39"/>
  <c r="H1981" i="39"/>
  <c r="B1982" i="39"/>
  <c r="C1982" i="39" s="1"/>
  <c r="D1982" i="39"/>
  <c r="H1982" i="39"/>
  <c r="B1983" i="39"/>
  <c r="C1983" i="39" s="1"/>
  <c r="D1983" i="39"/>
  <c r="H1983" i="39"/>
  <c r="B1984" i="39"/>
  <c r="C1984" i="39" s="1"/>
  <c r="D1984" i="39"/>
  <c r="H1984" i="39"/>
  <c r="B1985" i="39"/>
  <c r="C1985" i="39" s="1"/>
  <c r="D1985" i="39"/>
  <c r="H1985" i="39"/>
  <c r="B1986" i="39"/>
  <c r="C1986" i="39" s="1"/>
  <c r="D1986" i="39"/>
  <c r="H1986" i="39"/>
  <c r="B1987" i="39"/>
  <c r="C1987" i="39" s="1"/>
  <c r="D1987" i="39"/>
  <c r="H1987" i="39"/>
  <c r="B1988" i="39"/>
  <c r="C1988" i="39" s="1"/>
  <c r="D1988" i="39"/>
  <c r="H1988" i="39"/>
  <c r="B1989" i="39"/>
  <c r="D1989" i="39"/>
  <c r="H1989" i="39"/>
  <c r="B1990" i="39"/>
  <c r="C1990" i="39" s="1"/>
  <c r="D1990" i="39"/>
  <c r="H1990" i="39"/>
  <c r="B1991" i="39"/>
  <c r="C1991" i="39" s="1"/>
  <c r="D1991" i="39"/>
  <c r="H1991" i="39"/>
  <c r="B1992" i="39"/>
  <c r="C1992" i="39" s="1"/>
  <c r="D1992" i="39"/>
  <c r="H1992" i="39"/>
  <c r="B1993" i="39"/>
  <c r="C1993" i="39" s="1"/>
  <c r="D1993" i="39"/>
  <c r="H1993" i="39"/>
  <c r="B1994" i="39"/>
  <c r="C1994" i="39" s="1"/>
  <c r="D1994" i="39"/>
  <c r="H1994" i="39"/>
  <c r="B1995" i="39"/>
  <c r="C1995" i="39" s="1"/>
  <c r="D1995" i="39"/>
  <c r="H1995" i="39"/>
  <c r="B1996" i="39"/>
  <c r="C1996" i="39" s="1"/>
  <c r="D1996" i="39"/>
  <c r="H1996" i="39"/>
  <c r="B1997" i="39"/>
  <c r="C1997" i="39" s="1"/>
  <c r="D1997" i="39"/>
  <c r="H1997" i="39"/>
  <c r="B1998" i="39"/>
  <c r="C1998" i="39" s="1"/>
  <c r="D1998" i="39"/>
  <c r="H1998" i="39"/>
  <c r="B1999" i="39"/>
  <c r="C1999" i="39" s="1"/>
  <c r="D1999" i="39"/>
  <c r="H1999" i="39"/>
  <c r="B2000" i="39"/>
  <c r="C2000" i="39" s="1"/>
  <c r="D2000" i="39"/>
  <c r="H2000" i="39"/>
  <c r="B2001" i="39"/>
  <c r="C2001" i="39" s="1"/>
  <c r="D2001" i="39"/>
  <c r="H2001" i="39"/>
  <c r="B2002" i="39"/>
  <c r="C2002" i="39" s="1"/>
  <c r="D2002" i="39"/>
  <c r="H2002" i="39"/>
  <c r="B2003" i="39"/>
  <c r="C2003" i="39" s="1"/>
  <c r="D2003" i="39"/>
  <c r="H2003" i="39"/>
  <c r="B2004" i="39"/>
  <c r="C2004" i="39" s="1"/>
  <c r="D2004" i="39"/>
  <c r="H2004" i="39"/>
  <c r="B2005" i="39"/>
  <c r="C2005" i="39" s="1"/>
  <c r="D2005" i="39"/>
  <c r="H2005" i="39"/>
  <c r="B2006" i="39"/>
  <c r="C2006" i="39" s="1"/>
  <c r="D2006" i="39"/>
  <c r="H2006" i="39"/>
  <c r="B2007" i="39"/>
  <c r="C2007" i="39" s="1"/>
  <c r="D2007" i="39"/>
  <c r="H2007" i="39"/>
  <c r="B2008" i="39"/>
  <c r="C2008" i="39" s="1"/>
  <c r="D2008" i="39"/>
  <c r="H2008" i="39"/>
  <c r="B2009" i="39"/>
  <c r="C2009" i="39" s="1"/>
  <c r="D2009" i="39"/>
  <c r="H2009" i="39"/>
  <c r="B2010" i="39"/>
  <c r="C2010" i="39" s="1"/>
  <c r="D2010" i="39"/>
  <c r="H2010" i="39"/>
  <c r="B2011" i="39"/>
  <c r="C2011" i="39" s="1"/>
  <c r="D2011" i="39"/>
  <c r="H2011" i="39"/>
  <c r="B2012" i="39"/>
  <c r="C2012" i="39" s="1"/>
  <c r="D2012" i="39"/>
  <c r="H2012" i="39"/>
  <c r="B2013" i="39"/>
  <c r="C2013" i="39" s="1"/>
  <c r="D2013" i="39"/>
  <c r="H2013" i="39"/>
  <c r="B2014" i="39"/>
  <c r="D2014" i="39"/>
  <c r="H2014" i="39"/>
  <c r="B2015" i="39"/>
  <c r="C2015" i="39" s="1"/>
  <c r="D2015" i="39"/>
  <c r="H2015" i="39"/>
  <c r="B2016" i="39"/>
  <c r="D2016" i="39"/>
  <c r="H2016" i="39"/>
  <c r="B2017" i="39"/>
  <c r="C2017" i="39" s="1"/>
  <c r="D2017" i="39"/>
  <c r="H2017" i="39"/>
  <c r="B2018" i="39"/>
  <c r="C2018" i="39" s="1"/>
  <c r="D2018" i="39"/>
  <c r="H2018" i="39"/>
  <c r="B2019" i="39"/>
  <c r="D2019" i="39"/>
  <c r="H2019" i="39"/>
  <c r="B2020" i="39"/>
  <c r="C2020" i="39" s="1"/>
  <c r="D2020" i="39"/>
  <c r="H2020" i="39"/>
  <c r="B2021" i="39"/>
  <c r="D2021" i="39"/>
  <c r="H2021" i="39"/>
  <c r="B2022" i="39"/>
  <c r="C2022" i="39" s="1"/>
  <c r="D2022" i="39"/>
  <c r="H2022" i="39"/>
  <c r="B2023" i="39"/>
  <c r="C2023" i="39" s="1"/>
  <c r="D2023" i="39"/>
  <c r="H2023" i="39"/>
  <c r="B2024" i="39"/>
  <c r="C2024" i="39" s="1"/>
  <c r="D2024" i="39"/>
  <c r="H2024" i="39"/>
  <c r="B2025" i="39"/>
  <c r="C2025" i="39" s="1"/>
  <c r="D2025" i="39"/>
  <c r="H2025" i="39"/>
  <c r="B2026" i="39"/>
  <c r="C2026" i="39" s="1"/>
  <c r="D2026" i="39"/>
  <c r="H2026" i="39"/>
  <c r="B2027" i="39"/>
  <c r="C2027" i="39" s="1"/>
  <c r="D2027" i="39"/>
  <c r="H2027" i="39"/>
  <c r="B2028" i="39"/>
  <c r="C2028" i="39" s="1"/>
  <c r="D2028" i="39"/>
  <c r="H2028" i="39"/>
  <c r="B2029" i="39"/>
  <c r="C2029" i="39" s="1"/>
  <c r="D2029" i="39"/>
  <c r="H2029" i="39"/>
  <c r="B2030" i="39"/>
  <c r="C2030" i="39" s="1"/>
  <c r="D2030" i="39"/>
  <c r="H2030" i="39"/>
  <c r="B2031" i="39"/>
  <c r="C2031" i="39" s="1"/>
  <c r="D2031" i="39"/>
  <c r="H2031" i="39"/>
  <c r="B2032" i="39"/>
  <c r="C2032" i="39" s="1"/>
  <c r="D2032" i="39"/>
  <c r="H2032" i="39"/>
  <c r="B2033" i="39"/>
  <c r="D2033" i="39"/>
  <c r="H2033" i="39"/>
  <c r="B2034" i="39"/>
  <c r="C2034" i="39" s="1"/>
  <c r="D2034" i="39"/>
  <c r="H2034" i="39"/>
  <c r="B2035" i="39"/>
  <c r="C2035" i="39" s="1"/>
  <c r="D2035" i="39"/>
  <c r="H2035" i="39"/>
  <c r="B2036" i="39"/>
  <c r="C2036" i="39" s="1"/>
  <c r="D2036" i="39"/>
  <c r="H2036" i="39"/>
  <c r="B2037" i="39"/>
  <c r="C2037" i="39" s="1"/>
  <c r="D2037" i="39"/>
  <c r="H2037" i="39"/>
  <c r="B2038" i="39"/>
  <c r="D2038" i="39"/>
  <c r="H2038" i="39"/>
  <c r="B2039" i="39"/>
  <c r="D2039" i="39"/>
  <c r="H2039" i="39"/>
  <c r="B2040" i="39"/>
  <c r="C2040" i="39" s="1"/>
  <c r="D2040" i="39"/>
  <c r="H2040" i="39"/>
  <c r="B2041" i="39"/>
  <c r="C2041" i="39" s="1"/>
  <c r="D2041" i="39"/>
  <c r="H2041" i="39"/>
  <c r="B2042" i="39"/>
  <c r="D2042" i="39"/>
  <c r="H2042" i="39"/>
  <c r="B2043" i="39"/>
  <c r="C2043" i="39" s="1"/>
  <c r="D2043" i="39"/>
  <c r="H2043" i="39"/>
  <c r="B2044" i="39"/>
  <c r="C2044" i="39" s="1"/>
  <c r="D2044" i="39"/>
  <c r="H2044" i="39"/>
  <c r="B2045" i="39"/>
  <c r="C2045" i="39" s="1"/>
  <c r="D2045" i="39"/>
  <c r="H2045" i="39"/>
  <c r="B2046" i="39"/>
  <c r="C2046" i="39" s="1"/>
  <c r="D2046" i="39"/>
  <c r="H2046" i="39"/>
  <c r="B2047" i="39"/>
  <c r="C2047" i="39" s="1"/>
  <c r="D2047" i="39"/>
  <c r="H2047" i="39"/>
  <c r="B2048" i="39"/>
  <c r="C2048" i="39" s="1"/>
  <c r="D2048" i="39"/>
  <c r="H2048" i="39"/>
  <c r="B2049" i="39"/>
  <c r="D2049" i="39"/>
  <c r="H2049" i="39"/>
  <c r="B2050" i="39"/>
  <c r="C2050" i="39" s="1"/>
  <c r="D2050" i="39"/>
  <c r="H2050" i="39"/>
  <c r="B2051" i="39"/>
  <c r="C2051" i="39" s="1"/>
  <c r="D2051" i="39"/>
  <c r="H2051" i="39"/>
  <c r="B2052" i="39"/>
  <c r="C2052" i="39" s="1"/>
  <c r="D2052" i="39"/>
  <c r="H2052" i="39"/>
  <c r="B2053" i="39"/>
  <c r="C2053" i="39" s="1"/>
  <c r="D2053" i="39"/>
  <c r="H2053" i="39"/>
  <c r="B2054" i="39"/>
  <c r="D2054" i="39"/>
  <c r="H2054" i="39"/>
  <c r="B2055" i="39"/>
  <c r="D2055" i="39"/>
  <c r="H2055" i="39"/>
  <c r="B2056" i="39"/>
  <c r="C2056" i="39" s="1"/>
  <c r="D2056" i="39"/>
  <c r="H2056" i="39"/>
  <c r="B2057" i="39"/>
  <c r="D2057" i="39"/>
  <c r="H2057" i="39"/>
  <c r="B2058" i="39"/>
  <c r="C2058" i="39" s="1"/>
  <c r="D2058" i="39"/>
  <c r="H2058" i="39"/>
  <c r="B2059" i="39"/>
  <c r="C2059" i="39" s="1"/>
  <c r="D2059" i="39"/>
  <c r="H2059" i="39"/>
  <c r="B2060" i="39"/>
  <c r="C2060" i="39" s="1"/>
  <c r="D2060" i="39"/>
  <c r="H2060" i="39"/>
  <c r="B2061" i="39"/>
  <c r="C2061" i="39" s="1"/>
  <c r="D2061" i="39"/>
  <c r="H2061" i="39"/>
  <c r="B2062" i="39"/>
  <c r="C2062" i="39" s="1"/>
  <c r="D2062" i="39"/>
  <c r="H2062" i="39"/>
  <c r="B2063" i="39"/>
  <c r="C2063" i="39" s="1"/>
  <c r="D2063" i="39"/>
  <c r="H2063" i="39"/>
  <c r="B2064" i="39"/>
  <c r="C2064" i="39" s="1"/>
  <c r="D2064" i="39"/>
  <c r="H2064" i="39"/>
  <c r="B2065" i="39"/>
  <c r="C2065" i="39" s="1"/>
  <c r="D2065" i="39"/>
  <c r="H2065" i="39"/>
  <c r="B2067" i="39"/>
  <c r="C2067" i="39" s="1"/>
  <c r="D2067" i="39"/>
  <c r="H2067" i="39"/>
  <c r="B2068" i="39"/>
  <c r="C2068" i="39" s="1"/>
  <c r="D2068" i="39"/>
  <c r="H2068" i="39"/>
  <c r="B2070" i="39"/>
  <c r="D2070" i="39"/>
  <c r="H2070" i="39"/>
  <c r="B2071" i="39"/>
  <c r="D2071" i="39"/>
  <c r="H2071" i="39"/>
  <c r="B2072" i="39"/>
  <c r="C2072" i="39" s="1"/>
  <c r="D2072" i="39"/>
  <c r="H2072" i="39"/>
  <c r="B2073" i="39"/>
  <c r="C2073" i="39" s="1"/>
  <c r="D2073" i="39"/>
  <c r="H2073" i="39"/>
  <c r="B2074" i="39"/>
  <c r="C2074" i="39" s="1"/>
  <c r="D2074" i="39"/>
  <c r="H2074" i="39"/>
  <c r="B2075" i="39"/>
  <c r="C2075" i="39" s="1"/>
  <c r="D2075" i="39"/>
  <c r="H2075" i="39"/>
  <c r="B2076" i="39"/>
  <c r="C2076" i="39" s="1"/>
  <c r="D2076" i="39"/>
  <c r="H2076" i="39"/>
  <c r="B2077" i="39"/>
  <c r="C2077" i="39" s="1"/>
  <c r="D2077" i="39"/>
  <c r="H2077" i="39"/>
  <c r="B2078" i="39"/>
  <c r="C2078" i="39" s="1"/>
  <c r="D2078" i="39"/>
  <c r="H2078" i="39"/>
  <c r="B2079" i="39"/>
  <c r="C2079" i="39" s="1"/>
  <c r="D2079" i="39"/>
  <c r="H2079" i="39"/>
  <c r="B2080" i="39"/>
  <c r="C2080" i="39" s="1"/>
  <c r="D2080" i="39"/>
  <c r="H2080" i="39"/>
  <c r="B2081" i="39"/>
  <c r="C2081" i="39" s="1"/>
  <c r="D2081" i="39"/>
  <c r="H2081" i="39"/>
  <c r="B2082" i="39"/>
  <c r="D2082" i="39"/>
  <c r="H2082" i="39"/>
  <c r="B2083" i="39"/>
  <c r="D2083" i="39"/>
  <c r="H2083" i="39"/>
  <c r="B2085" i="39"/>
  <c r="C2085" i="39" s="1"/>
  <c r="D2085" i="39"/>
  <c r="H2085" i="39"/>
  <c r="B2086" i="39"/>
  <c r="C2086" i="39" s="1"/>
  <c r="D2086" i="39"/>
  <c r="H2086" i="39"/>
  <c r="B2087" i="39"/>
  <c r="C2087" i="39" s="1"/>
  <c r="D2087" i="39"/>
  <c r="H2087" i="39"/>
  <c r="B2088" i="39"/>
  <c r="C2088" i="39" s="1"/>
  <c r="D2088" i="39"/>
  <c r="H2088" i="39"/>
  <c r="B2089" i="39"/>
  <c r="C2089" i="39" s="1"/>
  <c r="D2089" i="39"/>
  <c r="H2089" i="39"/>
  <c r="B2090" i="39"/>
  <c r="C2090" i="39" s="1"/>
  <c r="D2090" i="39"/>
  <c r="H2090" i="39"/>
  <c r="B2091" i="39"/>
  <c r="C2091" i="39" s="1"/>
  <c r="D2091" i="39"/>
  <c r="H2091" i="39"/>
  <c r="B2093" i="39"/>
  <c r="C2093" i="39" s="1"/>
  <c r="D2093" i="39"/>
  <c r="H2093" i="39"/>
  <c r="B2094" i="39"/>
  <c r="D2094" i="39"/>
  <c r="H2094" i="39"/>
  <c r="B2095" i="39"/>
  <c r="D2095" i="39"/>
  <c r="H2095" i="39"/>
  <c r="B2096" i="39"/>
  <c r="C2096" i="39" s="1"/>
  <c r="D2096" i="39"/>
  <c r="H2096" i="39"/>
  <c r="B2097" i="39"/>
  <c r="C2097" i="39" s="1"/>
  <c r="D2097" i="39"/>
  <c r="H2097" i="39"/>
  <c r="B2098" i="39"/>
  <c r="C2098" i="39" s="1"/>
  <c r="D2098" i="39"/>
  <c r="H2098" i="39"/>
  <c r="B2099" i="39"/>
  <c r="C2099" i="39" s="1"/>
  <c r="D2099" i="39"/>
  <c r="H2099" i="39"/>
  <c r="B2100" i="39"/>
  <c r="C2100" i="39" s="1"/>
  <c r="D2100" i="39"/>
  <c r="H2100" i="39"/>
  <c r="B2101" i="39"/>
  <c r="C2101" i="39" s="1"/>
  <c r="D2101" i="39"/>
  <c r="H2101" i="39"/>
  <c r="B2102" i="39"/>
  <c r="C2102" i="39" s="1"/>
  <c r="D2102" i="39"/>
  <c r="H2102" i="39"/>
  <c r="B2103" i="39"/>
  <c r="C2103" i="39" s="1"/>
  <c r="D2103" i="39"/>
  <c r="H2103" i="39"/>
  <c r="B2104" i="39"/>
  <c r="C2104" i="39" s="1"/>
  <c r="D2104" i="39"/>
  <c r="H2104" i="39"/>
  <c r="B2105" i="39"/>
  <c r="C2105" i="39" s="1"/>
  <c r="D2105" i="39"/>
  <c r="H2105" i="39"/>
  <c r="B2107" i="39"/>
  <c r="D2107" i="39"/>
  <c r="H2107" i="39"/>
  <c r="B2109" i="39"/>
  <c r="C2109" i="39" s="1"/>
  <c r="D2109" i="39"/>
  <c r="H2109" i="39"/>
  <c r="B2110" i="39"/>
  <c r="C2110" i="39" s="1"/>
  <c r="D2110" i="39"/>
  <c r="H2110" i="39"/>
  <c r="B2111" i="39"/>
  <c r="C2111" i="39" s="1"/>
  <c r="D2111" i="39"/>
  <c r="H2111" i="39"/>
  <c r="B2112" i="39"/>
  <c r="C2112" i="39" s="1"/>
  <c r="D2112" i="39"/>
  <c r="H2112" i="39"/>
  <c r="B2113" i="39"/>
  <c r="C2113" i="39" s="1"/>
  <c r="D2113" i="39"/>
  <c r="H2113" i="39"/>
  <c r="B2114" i="39"/>
  <c r="C2114" i="39" s="1"/>
  <c r="D2114" i="39"/>
  <c r="H2114" i="39"/>
  <c r="B2115" i="39"/>
  <c r="C2115" i="39" s="1"/>
  <c r="D2115" i="39"/>
  <c r="H2115" i="39"/>
  <c r="B2116" i="39"/>
  <c r="C2116" i="39" s="1"/>
  <c r="D2116" i="39"/>
  <c r="H2116" i="39"/>
  <c r="B2117" i="39"/>
  <c r="C2117" i="39" s="1"/>
  <c r="D2117" i="39"/>
  <c r="H2117" i="39"/>
  <c r="B2118" i="39"/>
  <c r="D2118" i="39"/>
  <c r="H2118" i="39"/>
  <c r="B2121" i="39"/>
  <c r="C2121" i="39" s="1"/>
  <c r="D2121" i="39"/>
  <c r="H2121" i="39"/>
  <c r="B2122" i="39"/>
  <c r="C2122" i="39" s="1"/>
  <c r="D2122" i="39"/>
  <c r="H2122" i="39"/>
  <c r="B2124" i="39"/>
  <c r="C2124" i="39" s="1"/>
  <c r="D2124" i="39"/>
  <c r="H2124" i="39"/>
  <c r="B2125" i="39"/>
  <c r="C2125" i="39" s="1"/>
  <c r="D2125" i="39"/>
  <c r="H2125" i="39"/>
  <c r="B2126" i="39"/>
  <c r="C2126" i="39" s="1"/>
  <c r="D2126" i="39"/>
  <c r="H2126" i="39"/>
  <c r="B2127" i="39"/>
  <c r="C2127" i="39" s="1"/>
  <c r="D2127" i="39"/>
  <c r="H2127" i="39"/>
  <c r="B2128" i="39"/>
  <c r="C2128" i="39" s="1"/>
  <c r="D2128" i="39"/>
  <c r="H2128" i="39"/>
  <c r="B2129" i="39"/>
  <c r="C2129" i="39" s="1"/>
  <c r="D2129" i="39"/>
  <c r="H2129" i="39"/>
  <c r="B2130" i="39"/>
  <c r="D2130" i="39"/>
  <c r="H2130" i="39"/>
  <c r="B2131" i="39"/>
  <c r="D2131" i="39"/>
  <c r="H2131" i="39"/>
  <c r="B2132" i="39"/>
  <c r="C2132" i="39" s="1"/>
  <c r="D2132" i="39"/>
  <c r="H2132" i="39"/>
  <c r="B2133" i="39"/>
  <c r="C2133" i="39" s="1"/>
  <c r="D2133" i="39"/>
  <c r="H2133" i="39"/>
  <c r="B2134" i="39"/>
  <c r="C2134" i="39" s="1"/>
  <c r="D2134" i="39"/>
  <c r="H2134" i="39"/>
  <c r="B2135" i="39"/>
  <c r="C2135" i="39" s="1"/>
  <c r="D2135" i="39"/>
  <c r="H2135" i="39"/>
  <c r="B2136" i="39"/>
  <c r="C2136" i="39" s="1"/>
  <c r="D2136" i="39"/>
  <c r="H2136" i="39"/>
  <c r="B2138" i="39"/>
  <c r="C2138" i="39" s="1"/>
  <c r="D2138" i="39"/>
  <c r="H2138" i="39"/>
  <c r="B2139" i="39"/>
  <c r="C2139" i="39" s="1"/>
  <c r="D2139" i="39"/>
  <c r="H2139" i="39"/>
  <c r="B2140" i="39"/>
  <c r="C2140" i="39" s="1"/>
  <c r="D2140" i="39"/>
  <c r="H2140" i="39"/>
  <c r="B2141" i="39"/>
  <c r="C2141" i="39" s="1"/>
  <c r="D2141" i="39"/>
  <c r="H2141" i="39"/>
  <c r="B2142" i="39"/>
  <c r="D2142" i="39"/>
  <c r="H2142" i="39"/>
  <c r="B2143" i="39"/>
  <c r="D2143" i="39"/>
  <c r="H2143" i="39"/>
  <c r="B2144" i="39"/>
  <c r="C2144" i="39" s="1"/>
  <c r="D2144" i="39"/>
  <c r="H2144" i="39"/>
  <c r="B2145" i="39"/>
  <c r="C2145" i="39" s="1"/>
  <c r="D2145" i="39"/>
  <c r="H2145" i="39"/>
  <c r="B2146" i="39"/>
  <c r="C2146" i="39" s="1"/>
  <c r="D2146" i="39"/>
  <c r="H2146" i="39"/>
  <c r="B2147" i="39"/>
  <c r="C2147" i="39" s="1"/>
  <c r="D2147" i="39"/>
  <c r="H2147" i="39"/>
  <c r="B2148" i="39"/>
  <c r="C2148" i="39" s="1"/>
  <c r="D2148" i="39"/>
  <c r="H2148" i="39"/>
  <c r="B2149" i="39"/>
  <c r="C2149" i="39" s="1"/>
  <c r="D2149" i="39"/>
  <c r="H2149" i="39"/>
  <c r="B2150" i="39"/>
  <c r="C2150" i="39" s="1"/>
  <c r="D2150" i="39"/>
  <c r="H2150" i="39"/>
  <c r="B2152" i="39"/>
  <c r="C2152" i="39" s="1"/>
  <c r="D2152" i="39"/>
  <c r="H2152" i="39"/>
  <c r="B2153" i="39"/>
  <c r="C2153" i="39" s="1"/>
  <c r="D2153" i="39"/>
  <c r="H2153" i="39"/>
  <c r="B2154" i="39"/>
  <c r="D2154" i="39"/>
  <c r="H2154" i="39"/>
  <c r="B2155" i="39"/>
  <c r="D2155" i="39"/>
  <c r="H2155" i="39"/>
  <c r="B2156" i="39"/>
  <c r="C2156" i="39" s="1"/>
  <c r="D2156" i="39"/>
  <c r="H2156" i="39"/>
  <c r="B2158" i="39"/>
  <c r="C2158" i="39" s="1"/>
  <c r="D2158" i="39"/>
  <c r="H2158" i="39"/>
  <c r="B2159" i="39"/>
  <c r="C2159" i="39" s="1"/>
  <c r="D2159" i="39"/>
  <c r="H2159" i="39"/>
  <c r="B2160" i="39"/>
  <c r="C2160" i="39" s="1"/>
  <c r="D2160" i="39"/>
  <c r="H2160" i="39"/>
  <c r="B2161" i="39"/>
  <c r="C2161" i="39" s="1"/>
  <c r="D2161" i="39"/>
  <c r="H2161" i="39"/>
  <c r="B2162" i="39"/>
  <c r="C2162" i="39" s="1"/>
  <c r="D2162" i="39"/>
  <c r="H2162" i="39"/>
  <c r="B2163" i="39"/>
  <c r="C2163" i="39" s="1"/>
  <c r="D2163" i="39"/>
  <c r="H2163" i="39"/>
  <c r="B2164" i="39"/>
  <c r="C2164" i="39" s="1"/>
  <c r="D2164" i="39"/>
  <c r="H2164" i="39"/>
  <c r="B2165" i="39"/>
  <c r="C2165" i="39" s="1"/>
  <c r="D2165" i="39"/>
  <c r="H2165" i="39"/>
  <c r="B2166" i="39"/>
  <c r="D2166" i="39"/>
  <c r="H2166" i="39"/>
  <c r="B2167" i="39"/>
  <c r="D2167" i="39"/>
  <c r="H2167" i="39"/>
  <c r="B2168" i="39"/>
  <c r="C2168" i="39" s="1"/>
  <c r="D2168" i="39"/>
  <c r="H2168" i="39"/>
  <c r="B2169" i="39"/>
  <c r="C2169" i="39" s="1"/>
  <c r="D2169" i="39"/>
  <c r="H2169" i="39"/>
  <c r="B2170" i="39"/>
  <c r="C2170" i="39" s="1"/>
  <c r="D2170" i="39"/>
  <c r="H2170" i="39"/>
  <c r="B2171" i="39"/>
  <c r="C2171" i="39" s="1"/>
  <c r="D2171" i="39"/>
  <c r="H2171" i="39"/>
  <c r="B2172" i="39"/>
  <c r="C2172" i="39" s="1"/>
  <c r="D2172" i="39"/>
  <c r="H2172" i="39"/>
  <c r="B2173" i="39"/>
  <c r="C2173" i="39" s="1"/>
  <c r="D2173" i="39"/>
  <c r="H2173" i="39"/>
  <c r="B2174" i="39"/>
  <c r="C2174" i="39" s="1"/>
  <c r="D2174" i="39"/>
  <c r="H2174" i="39"/>
  <c r="B2177" i="39"/>
  <c r="D2177" i="39"/>
  <c r="H2177" i="39"/>
  <c r="B2178" i="39"/>
  <c r="C2178" i="39" s="1"/>
  <c r="D2178" i="39"/>
  <c r="H2178" i="39"/>
  <c r="B2180" i="39"/>
  <c r="D2180" i="39"/>
  <c r="H2180" i="39"/>
  <c r="B2181" i="39"/>
  <c r="C2181" i="39" s="1"/>
  <c r="D2181" i="39"/>
  <c r="H2181" i="39"/>
  <c r="B2182" i="39"/>
  <c r="C2182" i="39" s="1"/>
  <c r="D2182" i="39"/>
  <c r="H2182" i="39"/>
  <c r="B2183" i="39"/>
  <c r="C2183" i="39" s="1"/>
  <c r="D2183" i="39"/>
  <c r="H2183" i="39"/>
  <c r="B2184" i="39"/>
  <c r="C2184" i="39" s="1"/>
  <c r="D2184" i="39"/>
  <c r="H2184" i="39"/>
  <c r="B2185" i="39"/>
  <c r="C2185" i="39" s="1"/>
  <c r="D2185" i="39"/>
  <c r="H2185" i="39"/>
  <c r="B2186" i="39"/>
  <c r="C2186" i="39" s="1"/>
  <c r="D2186" i="39"/>
  <c r="H2186" i="39"/>
  <c r="B2187" i="39"/>
  <c r="C2187" i="39" s="1"/>
  <c r="D2187" i="39"/>
  <c r="H2187" i="39"/>
  <c r="B2188" i="39"/>
  <c r="C2188" i="39" s="1"/>
  <c r="D2188" i="39"/>
  <c r="H2188" i="39"/>
  <c r="B2189" i="39"/>
  <c r="C2189" i="39" s="1"/>
  <c r="D2189" i="39"/>
  <c r="H2189" i="39"/>
  <c r="B2191" i="39"/>
  <c r="D2191" i="39"/>
  <c r="H2191" i="39"/>
  <c r="B2193" i="39"/>
  <c r="C2193" i="39" s="1"/>
  <c r="D2193" i="39"/>
  <c r="H2193" i="39"/>
  <c r="B2194" i="39"/>
  <c r="C2194" i="39" s="1"/>
  <c r="D2194" i="39"/>
  <c r="H2194" i="39"/>
  <c r="B2195" i="39"/>
  <c r="C2195" i="39" s="1"/>
  <c r="D2195" i="39"/>
  <c r="H2195" i="39"/>
  <c r="B2196" i="39"/>
  <c r="D2196" i="39"/>
  <c r="H2196" i="39"/>
  <c r="B2197" i="39"/>
  <c r="C2197" i="39" s="1"/>
  <c r="D2197" i="39"/>
  <c r="H2197" i="39"/>
  <c r="B2199" i="39"/>
  <c r="C2199" i="39" s="1"/>
  <c r="D2199" i="39"/>
  <c r="H2199" i="39"/>
  <c r="B2200" i="39"/>
  <c r="D2200" i="39"/>
  <c r="H2200" i="39"/>
  <c r="B2201" i="39"/>
  <c r="C2201" i="39" s="1"/>
  <c r="D2201" i="39"/>
  <c r="H2201" i="39"/>
  <c r="B2202" i="39"/>
  <c r="D2202" i="39"/>
  <c r="H2202" i="39"/>
  <c r="B2203" i="39"/>
  <c r="C2203" i="39" s="1"/>
  <c r="D2203" i="39"/>
  <c r="H2203" i="39"/>
  <c r="B2204" i="39"/>
  <c r="C2204" i="39" s="1"/>
  <c r="D2204" i="39"/>
  <c r="H2204" i="39"/>
  <c r="B2205" i="39"/>
  <c r="C2205" i="39" s="1"/>
  <c r="D2205" i="39"/>
  <c r="H2205" i="39"/>
  <c r="B2207" i="39"/>
  <c r="D2207" i="39"/>
  <c r="H2207" i="39"/>
  <c r="B2209" i="39"/>
  <c r="C2209" i="39" s="1"/>
  <c r="D2209" i="39"/>
  <c r="H2209" i="39"/>
  <c r="B2210" i="39"/>
  <c r="C2210" i="39" s="1"/>
  <c r="D2210" i="39"/>
  <c r="H2210" i="39"/>
  <c r="B2213" i="39"/>
  <c r="D2213" i="39"/>
  <c r="H2213" i="39"/>
  <c r="B2214" i="39"/>
  <c r="C2214" i="39" s="1"/>
  <c r="D2214" i="39"/>
  <c r="H2214" i="39"/>
  <c r="B2215" i="39"/>
  <c r="D2215" i="39"/>
  <c r="H2215" i="39"/>
  <c r="B2216" i="39"/>
  <c r="C2216" i="39" s="1"/>
  <c r="D2216" i="39"/>
  <c r="H2216" i="39"/>
  <c r="B2218" i="39"/>
  <c r="C2218" i="39" s="1"/>
  <c r="D2218" i="39"/>
  <c r="H2218" i="39"/>
  <c r="B2219" i="39"/>
  <c r="C2219" i="39" s="1"/>
  <c r="D2219" i="39"/>
  <c r="H2219" i="39"/>
  <c r="B2220" i="39"/>
  <c r="C2220" i="39" s="1"/>
  <c r="D2220" i="39"/>
  <c r="H2220" i="39"/>
  <c r="B2221" i="39"/>
  <c r="C2221" i="39" s="1"/>
  <c r="D2221" i="39"/>
  <c r="H2221" i="39"/>
  <c r="B2222" i="39"/>
  <c r="D2222" i="39"/>
  <c r="H2222" i="39"/>
  <c r="B2223" i="39"/>
  <c r="C2223" i="39" s="1"/>
  <c r="D2223" i="39"/>
  <c r="H2223" i="39"/>
  <c r="B2224" i="39"/>
  <c r="C2224" i="39" s="1"/>
  <c r="D2224" i="39"/>
  <c r="H2224" i="39"/>
  <c r="B2225" i="39"/>
  <c r="C2225" i="39" s="1"/>
  <c r="D2225" i="39"/>
  <c r="H2225" i="39"/>
  <c r="B2226" i="39"/>
  <c r="C2226" i="39" s="1"/>
  <c r="D2226" i="39"/>
  <c r="H2226" i="39"/>
  <c r="B2227" i="39"/>
  <c r="D2227" i="39"/>
  <c r="H2227" i="39"/>
  <c r="B2228" i="39"/>
  <c r="C2228" i="39" s="1"/>
  <c r="D2228" i="39"/>
  <c r="H2228" i="39"/>
  <c r="B2229" i="39"/>
  <c r="C2229" i="39" s="1"/>
  <c r="D2229" i="39"/>
  <c r="H2229" i="39"/>
  <c r="B2230" i="39"/>
  <c r="C2230" i="39" s="1"/>
  <c r="D2230" i="39"/>
  <c r="H2230" i="39"/>
  <c r="B2231" i="39"/>
  <c r="C2231" i="39" s="1"/>
  <c r="D2231" i="39"/>
  <c r="H2231" i="39"/>
  <c r="B2232" i="39"/>
  <c r="D2232" i="39"/>
  <c r="H2232" i="39"/>
  <c r="B2233" i="39"/>
  <c r="C2233" i="39" s="1"/>
  <c r="D2233" i="39"/>
  <c r="H2233" i="39"/>
  <c r="B2234" i="39"/>
  <c r="C2234" i="39" s="1"/>
  <c r="D2234" i="39"/>
  <c r="H2234" i="39"/>
  <c r="B2235" i="39"/>
  <c r="C2235" i="39" s="1"/>
  <c r="D2235" i="39"/>
  <c r="H2235" i="39"/>
  <c r="B2236" i="39"/>
  <c r="D2236" i="39"/>
  <c r="H2236" i="39"/>
  <c r="B2237" i="39"/>
  <c r="C2237" i="39" s="1"/>
  <c r="D2237" i="39"/>
  <c r="H2237" i="39"/>
  <c r="B2238" i="39"/>
  <c r="D2238" i="39"/>
  <c r="H2238" i="39"/>
  <c r="B2239" i="39"/>
  <c r="C2239" i="39" s="1"/>
  <c r="D2239" i="39"/>
  <c r="H2239" i="39"/>
  <c r="B2240" i="39"/>
  <c r="C2240" i="39" s="1"/>
  <c r="D2240" i="39"/>
  <c r="H2240" i="39"/>
  <c r="B2241" i="39"/>
  <c r="C2241" i="39" s="1"/>
  <c r="D2241" i="39"/>
  <c r="H2241" i="39"/>
  <c r="B2242" i="39"/>
  <c r="C2242" i="39" s="1"/>
  <c r="D2242" i="39"/>
  <c r="H2242" i="39"/>
  <c r="B2243" i="39"/>
  <c r="D2243" i="39"/>
  <c r="H2243" i="39"/>
  <c r="B2244" i="39"/>
  <c r="C2244" i="39" s="1"/>
  <c r="D2244" i="39"/>
  <c r="H2244" i="39"/>
  <c r="B2245" i="39"/>
  <c r="C2245" i="39" s="1"/>
  <c r="D2245" i="39"/>
  <c r="H2245" i="39"/>
  <c r="B2246" i="39"/>
  <c r="C2246" i="39" s="1"/>
  <c r="D2246" i="39"/>
  <c r="H2246" i="39"/>
  <c r="B2247" i="39"/>
  <c r="C2247" i="39" s="1"/>
  <c r="D2247" i="39"/>
  <c r="H2247" i="39"/>
  <c r="B2248" i="39"/>
  <c r="C2248" i="39" s="1"/>
  <c r="D2248" i="39"/>
  <c r="H2248" i="39"/>
  <c r="B2249" i="39"/>
  <c r="D2249" i="39"/>
  <c r="H2249" i="39"/>
  <c r="B2250" i="39"/>
  <c r="C2250" i="39" s="1"/>
  <c r="D2250" i="39"/>
  <c r="H2250" i="39"/>
  <c r="B2251" i="39"/>
  <c r="D2251" i="39"/>
  <c r="H2251" i="39"/>
  <c r="B2252" i="39"/>
  <c r="C2252" i="39" s="1"/>
  <c r="D2252" i="39"/>
  <c r="H2252" i="39"/>
  <c r="B2253" i="39"/>
  <c r="D2253" i="39"/>
  <c r="H2253" i="39"/>
  <c r="B2254" i="39"/>
  <c r="C2254" i="39" s="1"/>
  <c r="D2254" i="39"/>
  <c r="H2254" i="39"/>
  <c r="B2255" i="39"/>
  <c r="C2255" i="39" s="1"/>
  <c r="D2255" i="39"/>
  <c r="H2255" i="39"/>
  <c r="B2256" i="39"/>
  <c r="C2256" i="39" s="1"/>
  <c r="D2256" i="39"/>
  <c r="H2256" i="39"/>
  <c r="B2257" i="39"/>
  <c r="D2257" i="39"/>
  <c r="H2257" i="39"/>
  <c r="B2259" i="39"/>
  <c r="C2259" i="39" s="1"/>
  <c r="D2259" i="39"/>
  <c r="H2259" i="39"/>
  <c r="B2260" i="39"/>
  <c r="C2260" i="39" s="1"/>
  <c r="D2260" i="39"/>
  <c r="H2260" i="39"/>
  <c r="B2261" i="39"/>
  <c r="C2261" i="39" s="1"/>
  <c r="D2261" i="39"/>
  <c r="H2261" i="39"/>
  <c r="B2262" i="39"/>
  <c r="C2262" i="39" s="1"/>
  <c r="D2262" i="39"/>
  <c r="H2262" i="39"/>
  <c r="B2263" i="39"/>
  <c r="D2263" i="39"/>
  <c r="H2263" i="39"/>
  <c r="B2264" i="39"/>
  <c r="D2264" i="39"/>
  <c r="H2264" i="39"/>
  <c r="B2265" i="39"/>
  <c r="C2265" i="39" s="1"/>
  <c r="D2265" i="39"/>
  <c r="H2265" i="39"/>
  <c r="B2266" i="39"/>
  <c r="C2266" i="39" s="1"/>
  <c r="D2266" i="39"/>
  <c r="H2266" i="39"/>
  <c r="B2267" i="39"/>
  <c r="C2267" i="39" s="1"/>
  <c r="D2267" i="39"/>
  <c r="H2267" i="39"/>
  <c r="B2268" i="39"/>
  <c r="D2268" i="39"/>
  <c r="H2268" i="39"/>
  <c r="B2269" i="39"/>
  <c r="C2269" i="39" s="1"/>
  <c r="D2269" i="39"/>
  <c r="H2269" i="39"/>
  <c r="B2270" i="39"/>
  <c r="C2270" i="39" s="1"/>
  <c r="D2270" i="39"/>
  <c r="H2270" i="39"/>
  <c r="B2272" i="39"/>
  <c r="D2272" i="39"/>
  <c r="H2272" i="39"/>
  <c r="B2274" i="39"/>
  <c r="D2274" i="39"/>
  <c r="H2274" i="39"/>
  <c r="B2275" i="39"/>
  <c r="C2275" i="39" s="1"/>
  <c r="D2275" i="39"/>
  <c r="H2275" i="39"/>
  <c r="B2276" i="39"/>
  <c r="C2276" i="39" s="1"/>
  <c r="D2276" i="39"/>
  <c r="H2276" i="39"/>
  <c r="B2277" i="39"/>
  <c r="C2277" i="39" s="1"/>
  <c r="D2277" i="39"/>
  <c r="H2277" i="39"/>
  <c r="B2278" i="39"/>
  <c r="D2278" i="39"/>
  <c r="H2278" i="39"/>
  <c r="B2279" i="39"/>
  <c r="D2279" i="39"/>
  <c r="H2279" i="39"/>
  <c r="B2280" i="39"/>
  <c r="C2280" i="39" s="1"/>
  <c r="D2280" i="39"/>
  <c r="H2280" i="39"/>
  <c r="B2281" i="39"/>
  <c r="C2281" i="39" s="1"/>
  <c r="D2281" i="39"/>
  <c r="H2281" i="39"/>
  <c r="B2282" i="39"/>
  <c r="C2282" i="39" s="1"/>
  <c r="D2282" i="39"/>
  <c r="H2282" i="39"/>
  <c r="B2283" i="39"/>
  <c r="D2283" i="39"/>
  <c r="H2283" i="39"/>
  <c r="B2284" i="39"/>
  <c r="C2284" i="39" s="1"/>
  <c r="D2284" i="39"/>
  <c r="H2284" i="39"/>
  <c r="B2285" i="39"/>
  <c r="D2285" i="39"/>
  <c r="H2285" i="39"/>
  <c r="B2286" i="39"/>
  <c r="C2286" i="39" s="1"/>
  <c r="D2286" i="39"/>
  <c r="H2286" i="39"/>
  <c r="B2287" i="39"/>
  <c r="D2287" i="39"/>
  <c r="H2287" i="39"/>
  <c r="B2288" i="39"/>
  <c r="C2288" i="39" s="1"/>
  <c r="D2288" i="39"/>
  <c r="H2288" i="39"/>
  <c r="B2289" i="39"/>
  <c r="D2289" i="39"/>
  <c r="H2289" i="39"/>
  <c r="B2290" i="39"/>
  <c r="C2290" i="39" s="1"/>
  <c r="D2290" i="39"/>
  <c r="H2290" i="39"/>
  <c r="B2291" i="39"/>
  <c r="C2291" i="39" s="1"/>
  <c r="D2291" i="39"/>
  <c r="H2291" i="39"/>
  <c r="B2292" i="39"/>
  <c r="C2292" i="39" s="1"/>
  <c r="D2292" i="39"/>
  <c r="H2292" i="39"/>
  <c r="B2293" i="39"/>
  <c r="D2293" i="39"/>
  <c r="H2293" i="39"/>
  <c r="B2294" i="39"/>
  <c r="C2294" i="39" s="1"/>
  <c r="D2294" i="39"/>
  <c r="H2294" i="39"/>
  <c r="B2295" i="39"/>
  <c r="C2295" i="39" s="1"/>
  <c r="D2295" i="39"/>
  <c r="H2295" i="39"/>
  <c r="B2296" i="39"/>
  <c r="C2296" i="39" s="1"/>
  <c r="D2296" i="39"/>
  <c r="H2296" i="39"/>
  <c r="B2297" i="39"/>
  <c r="C2297" i="39" s="1"/>
  <c r="D2297" i="39"/>
  <c r="H2297" i="39"/>
  <c r="B2298" i="39"/>
  <c r="C2298" i="39" s="1"/>
  <c r="D2298" i="39"/>
  <c r="H2298" i="39"/>
  <c r="B2299" i="39"/>
  <c r="D2299" i="39"/>
  <c r="H2299" i="39"/>
  <c r="B2300" i="39"/>
  <c r="D2300" i="39"/>
  <c r="H2300" i="39"/>
  <c r="B2301" i="39"/>
  <c r="C2301" i="39" s="1"/>
  <c r="D2301" i="39"/>
  <c r="H2301" i="39"/>
  <c r="B2302" i="39"/>
  <c r="C2302" i="39" s="1"/>
  <c r="D2302" i="39"/>
  <c r="H2302" i="39"/>
  <c r="B2303" i="39"/>
  <c r="C2303" i="39" s="1"/>
  <c r="D2303" i="39"/>
  <c r="H2303" i="39"/>
  <c r="B2304" i="39"/>
  <c r="C2304" i="39" s="1"/>
  <c r="D2304" i="39"/>
  <c r="H2304" i="39"/>
  <c r="B2305" i="39"/>
  <c r="C2305" i="39" s="1"/>
  <c r="D2305" i="39"/>
  <c r="H2305" i="39"/>
  <c r="B2306" i="39"/>
  <c r="C2306" i="39" s="1"/>
  <c r="D2306" i="39"/>
  <c r="H2306" i="39"/>
  <c r="B2307" i="39"/>
  <c r="C2307" i="39" s="1"/>
  <c r="D2307" i="39"/>
  <c r="H2307" i="39"/>
  <c r="B2308" i="39"/>
  <c r="D2308" i="39"/>
  <c r="H2308" i="39"/>
  <c r="B2309" i="39"/>
  <c r="C2309" i="39" s="1"/>
  <c r="D2309" i="39"/>
  <c r="H2309" i="39"/>
  <c r="B2310" i="39"/>
  <c r="C2310" i="39" s="1"/>
  <c r="D2310" i="39"/>
  <c r="H2310" i="39"/>
  <c r="B2311" i="39"/>
  <c r="C2311" i="39" s="1"/>
  <c r="D2311" i="39"/>
  <c r="H2311" i="39"/>
  <c r="B2312" i="39"/>
  <c r="C2312" i="39" s="1"/>
  <c r="D2312" i="39"/>
  <c r="H2312" i="39"/>
  <c r="B2313" i="39"/>
  <c r="C2313" i="39" s="1"/>
  <c r="D2313" i="39"/>
  <c r="H2313" i="39"/>
  <c r="B2314" i="39"/>
  <c r="D2314" i="39"/>
  <c r="H2314" i="39"/>
  <c r="B2315" i="39"/>
  <c r="C2315" i="39" s="1"/>
  <c r="D2315" i="39"/>
  <c r="H2315" i="39"/>
  <c r="B2316" i="39"/>
  <c r="C2316" i="39" s="1"/>
  <c r="D2316" i="39"/>
  <c r="H2316" i="39"/>
  <c r="B2317" i="39"/>
  <c r="C2317" i="39" s="1"/>
  <c r="D2317" i="39"/>
  <c r="H2317" i="39"/>
  <c r="B2318" i="39"/>
  <c r="D2318" i="39"/>
  <c r="H2318" i="39"/>
  <c r="B2319" i="39"/>
  <c r="C2319" i="39" s="1"/>
  <c r="D2319" i="39"/>
  <c r="H2319" i="39"/>
  <c r="B2320" i="39"/>
  <c r="C2320" i="39" s="1"/>
  <c r="D2320" i="39"/>
  <c r="H2320" i="39"/>
  <c r="B2321" i="39"/>
  <c r="C2321" i="39" s="1"/>
  <c r="D2321" i="39"/>
  <c r="H2321" i="39"/>
  <c r="B2322" i="39"/>
  <c r="C2322" i="39" s="1"/>
  <c r="D2322" i="39"/>
  <c r="H2322" i="39"/>
  <c r="B2323" i="39"/>
  <c r="D2323" i="39"/>
  <c r="H2323" i="39"/>
  <c r="B2324" i="39"/>
  <c r="D2324" i="39"/>
  <c r="H2324" i="39"/>
  <c r="B2325" i="39"/>
  <c r="D2325" i="39"/>
  <c r="H2325" i="39"/>
  <c r="B2327" i="39"/>
  <c r="C2327" i="39" s="1"/>
  <c r="D2327" i="39"/>
  <c r="H2327" i="39"/>
  <c r="B2328" i="39"/>
  <c r="D2328" i="39"/>
  <c r="H2328" i="39"/>
  <c r="B2329" i="39"/>
  <c r="C2329" i="39" s="1"/>
  <c r="D2329" i="39"/>
  <c r="H2329" i="39"/>
  <c r="B2330" i="39"/>
  <c r="C2330" i="39" s="1"/>
  <c r="D2330" i="39"/>
  <c r="H2330" i="39"/>
  <c r="B2331" i="39"/>
  <c r="D2331" i="39"/>
  <c r="H2331" i="39"/>
  <c r="B2332" i="39"/>
  <c r="C2332" i="39" s="1"/>
  <c r="D2332" i="39"/>
  <c r="H2332" i="39"/>
  <c r="B2333" i="39"/>
  <c r="C2333" i="39" s="1"/>
  <c r="D2333" i="39"/>
  <c r="H2333" i="39"/>
  <c r="B2334" i="39"/>
  <c r="D2334" i="39"/>
  <c r="H2334" i="39"/>
  <c r="B2335" i="39"/>
  <c r="C2335" i="39" s="1"/>
  <c r="D2335" i="39"/>
  <c r="H2335" i="39"/>
  <c r="B2336" i="39"/>
  <c r="C2336" i="39" s="1"/>
  <c r="D2336" i="39"/>
  <c r="H2336" i="39"/>
  <c r="B2337" i="39"/>
  <c r="D2337" i="39"/>
  <c r="H2337" i="39"/>
  <c r="B2338" i="39"/>
  <c r="C2338" i="39" s="1"/>
  <c r="D2338" i="39"/>
  <c r="H2338" i="39"/>
  <c r="B2339" i="39"/>
  <c r="C2339" i="39" s="1"/>
  <c r="D2339" i="39"/>
  <c r="H2339" i="39"/>
  <c r="B2340" i="39"/>
  <c r="D2340" i="39"/>
  <c r="H2340" i="39"/>
  <c r="B2341" i="39"/>
  <c r="C2341" i="39" s="1"/>
  <c r="D2341" i="39"/>
  <c r="H2341" i="39"/>
  <c r="B2342" i="39"/>
  <c r="D2342" i="39"/>
  <c r="H2342" i="39"/>
  <c r="B2343" i="39"/>
  <c r="D2343" i="39"/>
  <c r="H2343" i="39"/>
  <c r="B2344" i="39"/>
  <c r="C2344" i="39" s="1"/>
  <c r="D2344" i="39"/>
  <c r="H2344" i="39"/>
  <c r="B2345" i="39"/>
  <c r="C2345" i="39" s="1"/>
  <c r="D2345" i="39"/>
  <c r="H2345" i="39"/>
  <c r="B2346" i="39"/>
  <c r="D2346" i="39"/>
  <c r="H2346" i="39"/>
  <c r="B2347" i="39"/>
  <c r="C2347" i="39" s="1"/>
  <c r="D2347" i="39"/>
  <c r="H2347" i="39"/>
  <c r="B2348" i="39"/>
  <c r="C2348" i="39" s="1"/>
  <c r="D2348" i="39"/>
  <c r="H2348" i="39"/>
  <c r="B2349" i="39"/>
  <c r="D2349" i="39"/>
  <c r="H2349" i="39"/>
  <c r="B2350" i="39"/>
  <c r="C2350" i="39" s="1"/>
  <c r="D2350" i="39"/>
  <c r="H2350" i="39"/>
  <c r="B2351" i="39"/>
  <c r="C2351" i="39" s="1"/>
  <c r="D2351" i="39"/>
  <c r="H2351" i="39"/>
  <c r="B2352" i="39"/>
  <c r="D2352" i="39"/>
  <c r="H2352" i="39"/>
  <c r="B2354" i="39"/>
  <c r="C2354" i="39" s="1"/>
  <c r="D2354" i="39"/>
  <c r="H2354" i="39"/>
  <c r="B2355" i="39"/>
  <c r="D2355" i="39"/>
  <c r="H2355" i="39"/>
  <c r="B2356" i="39"/>
  <c r="C2356" i="39" s="1"/>
  <c r="D2356" i="39"/>
  <c r="H2356" i="39"/>
  <c r="B2357" i="39"/>
  <c r="C2357" i="39" s="1"/>
  <c r="D2357" i="39"/>
  <c r="H2357" i="39"/>
  <c r="B2358" i="39"/>
  <c r="D2358" i="39"/>
  <c r="H2358" i="39"/>
  <c r="B2359" i="39"/>
  <c r="C2359" i="39" s="1"/>
  <c r="D2359" i="39"/>
  <c r="H2359" i="39"/>
  <c r="B2361" i="39"/>
  <c r="D2361" i="39"/>
  <c r="H2361" i="39"/>
  <c r="B2362" i="39"/>
  <c r="C2362" i="39" s="1"/>
  <c r="D2362" i="39"/>
  <c r="H2362" i="39"/>
  <c r="B2363" i="39"/>
  <c r="C2363" i="39" s="1"/>
  <c r="D2363" i="39"/>
  <c r="H2363" i="39"/>
  <c r="B2364" i="39"/>
  <c r="D2364" i="39"/>
  <c r="H2364" i="39"/>
  <c r="B2365" i="39"/>
  <c r="C2365" i="39" s="1"/>
  <c r="D2365" i="39"/>
  <c r="H2365" i="39"/>
  <c r="B2367" i="39"/>
  <c r="D2367" i="39"/>
  <c r="H2367" i="39"/>
  <c r="B2368" i="39"/>
  <c r="C2368" i="39" s="1"/>
  <c r="D2368" i="39"/>
  <c r="H2368" i="39"/>
  <c r="B2369" i="39"/>
  <c r="C2369" i="39" s="1"/>
  <c r="D2369" i="39"/>
  <c r="H2369" i="39"/>
  <c r="B2370" i="39"/>
  <c r="D2370" i="39"/>
  <c r="H2370" i="39"/>
  <c r="B2371" i="39"/>
  <c r="C2371" i="39" s="1"/>
  <c r="D2371" i="39"/>
  <c r="H2371" i="39"/>
  <c r="B2372" i="39"/>
  <c r="C2372" i="39" s="1"/>
  <c r="D2372" i="39"/>
  <c r="H2372" i="39"/>
  <c r="B2373" i="39"/>
  <c r="D2373" i="39"/>
  <c r="H2373" i="39"/>
  <c r="B2374" i="39"/>
  <c r="C2374" i="39" s="1"/>
  <c r="D2374" i="39"/>
  <c r="H2374" i="39"/>
  <c r="B2375" i="39"/>
  <c r="C2375" i="39" s="1"/>
  <c r="D2375" i="39"/>
  <c r="H2375" i="39"/>
  <c r="B2376" i="39"/>
  <c r="D2376" i="39"/>
  <c r="H2376" i="39"/>
  <c r="B2377" i="39"/>
  <c r="C2377" i="39" s="1"/>
  <c r="D2377" i="39"/>
  <c r="H2377" i="39"/>
  <c r="B2378" i="39"/>
  <c r="D2378" i="39"/>
  <c r="H2378" i="39"/>
  <c r="B2379" i="39"/>
  <c r="D2379" i="39"/>
  <c r="H2379" i="39"/>
  <c r="B2380" i="39"/>
  <c r="C2380" i="39" s="1"/>
  <c r="D2380" i="39"/>
  <c r="H2380" i="39"/>
  <c r="B2381" i="39"/>
  <c r="C2381" i="39" s="1"/>
  <c r="D2381" i="39"/>
  <c r="H2381" i="39"/>
  <c r="B2382" i="39"/>
  <c r="D2382" i="39"/>
  <c r="H2382" i="39"/>
  <c r="B2384" i="39"/>
  <c r="C2384" i="39" s="1"/>
  <c r="D2384" i="39"/>
  <c r="H2384" i="39"/>
  <c r="B2385" i="39"/>
  <c r="D2385" i="39"/>
  <c r="H2385" i="39"/>
  <c r="B2387" i="39"/>
  <c r="C2387" i="39" s="1"/>
  <c r="D2387" i="39"/>
  <c r="H2387" i="39"/>
  <c r="B2388" i="39"/>
  <c r="D2388" i="39"/>
  <c r="H2388" i="39"/>
  <c r="B2390" i="39"/>
  <c r="C2390" i="39" s="1"/>
  <c r="D2390" i="39"/>
  <c r="H2390" i="39"/>
  <c r="B2391" i="39"/>
  <c r="D2391" i="39"/>
  <c r="H2391" i="39"/>
  <c r="B2392" i="39"/>
  <c r="C2392" i="39" s="1"/>
  <c r="D2392" i="39"/>
  <c r="H2392" i="39"/>
  <c r="B2394" i="39"/>
  <c r="D2394" i="39"/>
  <c r="H2394" i="39"/>
  <c r="B2395" i="39"/>
  <c r="C2395" i="39" s="1"/>
  <c r="D2395" i="39"/>
  <c r="H2395" i="39"/>
  <c r="B2397" i="39"/>
  <c r="D2397" i="39"/>
  <c r="H2397" i="39"/>
  <c r="B2398" i="39"/>
  <c r="C2398" i="39" s="1"/>
  <c r="D2398" i="39"/>
  <c r="H2398" i="39"/>
  <c r="B2399" i="39"/>
  <c r="C2399" i="39" s="1"/>
  <c r="D2399" i="39"/>
  <c r="H2399" i="39"/>
  <c r="B2400" i="39"/>
  <c r="D2400" i="39"/>
  <c r="H2400" i="39"/>
  <c r="B2401" i="39"/>
  <c r="C2401" i="39" s="1"/>
  <c r="D2401" i="39"/>
  <c r="H2401" i="39"/>
  <c r="B2402" i="39"/>
  <c r="C2402" i="39" s="1"/>
  <c r="D2402" i="39"/>
  <c r="H2402" i="39"/>
  <c r="B2403" i="39"/>
  <c r="D2403" i="39"/>
  <c r="H2403" i="39"/>
  <c r="B2404" i="39"/>
  <c r="C2404" i="39" s="1"/>
  <c r="D2404" i="39"/>
  <c r="H2404" i="39"/>
  <c r="B2405" i="39"/>
  <c r="C2405" i="39" s="1"/>
  <c r="D2405" i="39"/>
  <c r="H2405" i="39"/>
  <c r="B2406" i="39"/>
  <c r="D2406" i="39"/>
  <c r="H2406" i="39"/>
  <c r="B2407" i="39"/>
  <c r="C2407" i="39" s="1"/>
  <c r="D2407" i="39"/>
  <c r="H2407" i="39"/>
  <c r="B2408" i="39"/>
  <c r="C2408" i="39" s="1"/>
  <c r="D2408" i="39"/>
  <c r="H2408" i="39"/>
  <c r="B2409" i="39"/>
  <c r="D2409" i="39"/>
  <c r="H2409" i="39"/>
  <c r="B2410" i="39"/>
  <c r="C2410" i="39" s="1"/>
  <c r="D2410" i="39"/>
  <c r="H2410" i="39"/>
  <c r="B2411" i="39"/>
  <c r="C2411" i="39" s="1"/>
  <c r="D2411" i="39"/>
  <c r="H2411" i="39"/>
  <c r="B2412" i="39"/>
  <c r="D2412" i="39"/>
  <c r="H2412" i="39"/>
  <c r="B2413" i="39"/>
  <c r="C2413" i="39" s="1"/>
  <c r="D2413" i="39"/>
  <c r="H2413" i="39"/>
  <c r="B2414" i="39"/>
  <c r="D2414" i="39"/>
  <c r="H2414" i="39"/>
  <c r="B2415" i="39"/>
  <c r="D2415" i="39"/>
  <c r="H2415" i="39"/>
  <c r="B2416" i="39"/>
  <c r="C2416" i="39" s="1"/>
  <c r="D2416" i="39"/>
  <c r="H2416" i="39"/>
  <c r="B2417" i="39"/>
  <c r="C2417" i="39" s="1"/>
  <c r="D2417" i="39"/>
  <c r="H2417" i="39"/>
  <c r="B2422" i="39"/>
  <c r="C2422" i="39" s="1"/>
  <c r="D2422" i="39"/>
  <c r="H2422" i="39"/>
  <c r="B2423" i="39"/>
  <c r="C2423" i="39" s="1"/>
  <c r="D2423" i="39"/>
  <c r="H2423" i="39"/>
  <c r="B2424" i="39"/>
  <c r="D2424" i="39"/>
  <c r="H2424" i="39"/>
  <c r="B2425" i="39"/>
  <c r="C2425" i="39" s="1"/>
  <c r="D2425" i="39"/>
  <c r="H2425" i="39"/>
  <c r="B2426" i="39"/>
  <c r="C2426" i="39" s="1"/>
  <c r="D2426" i="39"/>
  <c r="H2426" i="39"/>
  <c r="B2427" i="39"/>
  <c r="D2427" i="39"/>
  <c r="H2427" i="39"/>
  <c r="B2428" i="39"/>
  <c r="C2428" i="39" s="1"/>
  <c r="D2428" i="39"/>
  <c r="H2428" i="39"/>
  <c r="B2429" i="39"/>
  <c r="C2429" i="39" s="1"/>
  <c r="D2429" i="39"/>
  <c r="H2429" i="39"/>
  <c r="B2431" i="39"/>
  <c r="C2431" i="39" s="1"/>
  <c r="D2431" i="39"/>
  <c r="H2431" i="39"/>
  <c r="B2432" i="39"/>
  <c r="D2432" i="39"/>
  <c r="H2432" i="39"/>
  <c r="B2433" i="39"/>
  <c r="D2433" i="39"/>
  <c r="H2433" i="39"/>
  <c r="B2434" i="39"/>
  <c r="C2434" i="39" s="1"/>
  <c r="D2434" i="39"/>
  <c r="H2434" i="39"/>
  <c r="B2435" i="39"/>
  <c r="C2435" i="39" s="1"/>
  <c r="D2435" i="39"/>
  <c r="H2435" i="39"/>
  <c r="B2436" i="39"/>
  <c r="D2436" i="39"/>
  <c r="H2436" i="39"/>
  <c r="B2438" i="39"/>
  <c r="C2438" i="39" s="1"/>
  <c r="D2438" i="39"/>
  <c r="H2438" i="39"/>
  <c r="B2439" i="39"/>
  <c r="D2439" i="39"/>
  <c r="H2439" i="39"/>
  <c r="B2440" i="39"/>
  <c r="C2440" i="39" s="1"/>
  <c r="D2440" i="39"/>
  <c r="H2440" i="39"/>
  <c r="B2441" i="39"/>
  <c r="C2441" i="39" s="1"/>
  <c r="D2441" i="39"/>
  <c r="H2441" i="39"/>
  <c r="B2443" i="39"/>
  <c r="C2443" i="39" s="1"/>
  <c r="D2443" i="39"/>
  <c r="H2443" i="39"/>
  <c r="B2444" i="39"/>
  <c r="C2444" i="39" s="1"/>
  <c r="D2444" i="39"/>
  <c r="H2444" i="39"/>
  <c r="B2445" i="39"/>
  <c r="D2445" i="39"/>
  <c r="H2445" i="39"/>
  <c r="B2446" i="39"/>
  <c r="C2446" i="39" s="1"/>
  <c r="D2446" i="39"/>
  <c r="H2446" i="39"/>
  <c r="B2447" i="39"/>
  <c r="C2447" i="39" s="1"/>
  <c r="D2447" i="39"/>
  <c r="H2447" i="39"/>
  <c r="B2449" i="39"/>
  <c r="C2449" i="39" s="1"/>
  <c r="D2449" i="39"/>
  <c r="H2449" i="39"/>
  <c r="B2450" i="39"/>
  <c r="D2450" i="39"/>
  <c r="H2450" i="39"/>
  <c r="B2453" i="39"/>
  <c r="C2453" i="39" s="1"/>
  <c r="D2453" i="39"/>
  <c r="H2453" i="39"/>
  <c r="B2454" i="39"/>
  <c r="D2454" i="39"/>
  <c r="H2454" i="39"/>
  <c r="B2455" i="39"/>
  <c r="D2455" i="39"/>
  <c r="H2455" i="39"/>
  <c r="B2456" i="39"/>
  <c r="C2456" i="39" s="1"/>
  <c r="D2456" i="39"/>
  <c r="H2456" i="39"/>
  <c r="B2458" i="39"/>
  <c r="D2458" i="39"/>
  <c r="H2458" i="39"/>
  <c r="B2459" i="39"/>
  <c r="C2459" i="39" s="1"/>
  <c r="D2459" i="39"/>
  <c r="H2459" i="39"/>
  <c r="B2461" i="39"/>
  <c r="D2461" i="39"/>
  <c r="H2461" i="39"/>
  <c r="B2462" i="39"/>
  <c r="C2462" i="39" s="1"/>
  <c r="D2462" i="39"/>
  <c r="H2462" i="39"/>
  <c r="B2463" i="39"/>
  <c r="C2463" i="39" s="1"/>
  <c r="D2463" i="39"/>
  <c r="H2463" i="39"/>
  <c r="B2464" i="39"/>
  <c r="D2464" i="39"/>
  <c r="H2464" i="39"/>
  <c r="B2465" i="39"/>
  <c r="C2465" i="39" s="1"/>
  <c r="D2465" i="39"/>
  <c r="H2465" i="39"/>
  <c r="B2466" i="39"/>
  <c r="C2466" i="39" s="1"/>
  <c r="D2466" i="39"/>
  <c r="H2466" i="39"/>
  <c r="B2467" i="39"/>
  <c r="D2467" i="39"/>
  <c r="H2467" i="39"/>
  <c r="B2469" i="39"/>
  <c r="C2469" i="39" s="1"/>
  <c r="D2469" i="39"/>
  <c r="H2469" i="39"/>
  <c r="B2470" i="39"/>
  <c r="D2470" i="39"/>
  <c r="H2470" i="39"/>
  <c r="B2471" i="39"/>
  <c r="C2471" i="39" s="1"/>
  <c r="D2471" i="39"/>
  <c r="H2471" i="39"/>
  <c r="B2472" i="39"/>
  <c r="C2472" i="39" s="1"/>
  <c r="D2472" i="39"/>
  <c r="H2472" i="39"/>
  <c r="B2473" i="39"/>
  <c r="D2473" i="39"/>
  <c r="H2473" i="39"/>
  <c r="B2474" i="39"/>
  <c r="C2474" i="39" s="1"/>
  <c r="D2474" i="39"/>
  <c r="H2474" i="39"/>
  <c r="B2475" i="39"/>
  <c r="C2475" i="39" s="1"/>
  <c r="D2475" i="39"/>
  <c r="H2475" i="39"/>
  <c r="B2476" i="39"/>
  <c r="D2476" i="39"/>
  <c r="H2476" i="39"/>
  <c r="B2478" i="39"/>
  <c r="C2478" i="39" s="1"/>
  <c r="D2478" i="39"/>
  <c r="H2478" i="39"/>
  <c r="B2479" i="39"/>
  <c r="D2479" i="39"/>
  <c r="H2479" i="39"/>
  <c r="B2481" i="39"/>
  <c r="C2481" i="39" s="1"/>
  <c r="D2481" i="39"/>
  <c r="H2481" i="39"/>
  <c r="B2483" i="39"/>
  <c r="C2483" i="39" s="1"/>
  <c r="D2483" i="39"/>
  <c r="H2483" i="39"/>
  <c r="B2484" i="39"/>
  <c r="C2484" i="39" s="1"/>
  <c r="D2484" i="39"/>
  <c r="H2484" i="39"/>
  <c r="B2485" i="39"/>
  <c r="D2485" i="39"/>
  <c r="H2485" i="39"/>
  <c r="B2486" i="39"/>
  <c r="C2486" i="39" s="1"/>
  <c r="D2486" i="39"/>
  <c r="H2486" i="39"/>
  <c r="B2487" i="39"/>
  <c r="C2487" i="39" s="1"/>
  <c r="D2487" i="39"/>
  <c r="H2487" i="39"/>
  <c r="B2488" i="39"/>
  <c r="D2488" i="39"/>
  <c r="H2488" i="39"/>
  <c r="B2489" i="39"/>
  <c r="C2489" i="39" s="1"/>
  <c r="D2489" i="39"/>
  <c r="H2489" i="39"/>
  <c r="B2490" i="39"/>
  <c r="C2490" i="39" s="1"/>
  <c r="D2490" i="39"/>
  <c r="H2490" i="39"/>
  <c r="B2491" i="39"/>
  <c r="D2491" i="39"/>
  <c r="H2491" i="39"/>
  <c r="B2492" i="39"/>
  <c r="C2492" i="39" s="1"/>
  <c r="D2492" i="39"/>
  <c r="H2492" i="39"/>
  <c r="B2493" i="39"/>
  <c r="C2493" i="39" s="1"/>
  <c r="D2493" i="39"/>
  <c r="H2493" i="39"/>
  <c r="B2494" i="39"/>
  <c r="D2494" i="39"/>
  <c r="H2494" i="39"/>
  <c r="B2495" i="39"/>
  <c r="C2495" i="39" s="1"/>
  <c r="D2495" i="39"/>
  <c r="H2495" i="39"/>
  <c r="B2496" i="39"/>
  <c r="C2496" i="39" s="1"/>
  <c r="D2496" i="39"/>
  <c r="H2496" i="39"/>
  <c r="B2497" i="39"/>
  <c r="D2497" i="39"/>
  <c r="H2497" i="39"/>
  <c r="B2498" i="39"/>
  <c r="C2498" i="39" s="1"/>
  <c r="D2498" i="39"/>
  <c r="H2498" i="39"/>
  <c r="B2499" i="39"/>
  <c r="C2499" i="39" s="1"/>
  <c r="D2499" i="39"/>
  <c r="H2499" i="39"/>
  <c r="B2500" i="39"/>
  <c r="D2500" i="39"/>
  <c r="H2500" i="39"/>
  <c r="B2501" i="39"/>
  <c r="C2501" i="39" s="1"/>
  <c r="D2501" i="39"/>
  <c r="H2501" i="39"/>
  <c r="B2502" i="39"/>
  <c r="C2502" i="39" s="1"/>
  <c r="D2502" i="39"/>
  <c r="H2502" i="39"/>
  <c r="B2503" i="39"/>
  <c r="D2503" i="39"/>
  <c r="H2503" i="39"/>
  <c r="B2504" i="39"/>
  <c r="C2504" i="39" s="1"/>
  <c r="D2504" i="39"/>
  <c r="H2504" i="39"/>
  <c r="B2505" i="39"/>
  <c r="C2505" i="39" s="1"/>
  <c r="D2505" i="39"/>
  <c r="H2505" i="39"/>
  <c r="B2506" i="39"/>
  <c r="D2506" i="39"/>
  <c r="H2506" i="39"/>
  <c r="B2507" i="39"/>
  <c r="C2507" i="39" s="1"/>
  <c r="D2507" i="39"/>
  <c r="H2507" i="39"/>
  <c r="B2508" i="39"/>
  <c r="C2508" i="39" s="1"/>
  <c r="D2508" i="39"/>
  <c r="H2508" i="39"/>
  <c r="B2509" i="39"/>
  <c r="D2509" i="39"/>
  <c r="H2509" i="39"/>
  <c r="B2510" i="39"/>
  <c r="C2510" i="39" s="1"/>
  <c r="D2510" i="39"/>
  <c r="H2510" i="39"/>
  <c r="B2511" i="39"/>
  <c r="C2511" i="39" s="1"/>
  <c r="D2511" i="39"/>
  <c r="H2511" i="39"/>
  <c r="B2512" i="39"/>
  <c r="D2512" i="39"/>
  <c r="H2512" i="39"/>
  <c r="B2513" i="39"/>
  <c r="C2513" i="39" s="1"/>
  <c r="D2513" i="39"/>
  <c r="H2513" i="39"/>
  <c r="B2514" i="39"/>
  <c r="C2514" i="39" s="1"/>
  <c r="D2514" i="39"/>
  <c r="H2514" i="39"/>
  <c r="B2515" i="39"/>
  <c r="D2515" i="39"/>
  <c r="H2515" i="39"/>
  <c r="B2516" i="39"/>
  <c r="C2516" i="39" s="1"/>
  <c r="D2516" i="39"/>
  <c r="H2516" i="39"/>
  <c r="B2517" i="39"/>
  <c r="C2517" i="39" s="1"/>
  <c r="D2517" i="39"/>
  <c r="H2517" i="39"/>
  <c r="B2518" i="39"/>
  <c r="D2518" i="39"/>
  <c r="H2518" i="39"/>
  <c r="B2519" i="39"/>
  <c r="C2519" i="39" s="1"/>
  <c r="D2519" i="39"/>
  <c r="H2519" i="39"/>
  <c r="B2520" i="39"/>
  <c r="C2520" i="39" s="1"/>
  <c r="D2520" i="39"/>
  <c r="H2520" i="39"/>
  <c r="B2521" i="39"/>
  <c r="D2521" i="39"/>
  <c r="H2521" i="39"/>
  <c r="B2522" i="39"/>
  <c r="C2522" i="39" s="1"/>
  <c r="D2522" i="39"/>
  <c r="H2522" i="39"/>
  <c r="B2523" i="39"/>
  <c r="C2523" i="39" s="1"/>
  <c r="D2523" i="39"/>
  <c r="H2523" i="39"/>
  <c r="B2524" i="39"/>
  <c r="D2524" i="39"/>
  <c r="H2524" i="39"/>
  <c r="B2525" i="39"/>
  <c r="C2525" i="39" s="1"/>
  <c r="D2525" i="39"/>
  <c r="H2525" i="39"/>
  <c r="B2526" i="39"/>
  <c r="C2526" i="39" s="1"/>
  <c r="D2526" i="39"/>
  <c r="H2526" i="39"/>
  <c r="B2527" i="39"/>
  <c r="D2527" i="39"/>
  <c r="H2527" i="39"/>
  <c r="B2528" i="39"/>
  <c r="C2528" i="39" s="1"/>
  <c r="D2528" i="39"/>
  <c r="H2528" i="39"/>
  <c r="B2529" i="39"/>
  <c r="C2529" i="39" s="1"/>
  <c r="D2529" i="39"/>
  <c r="H2529" i="39"/>
  <c r="B2530" i="39"/>
  <c r="D2530" i="39"/>
  <c r="H2530" i="39"/>
  <c r="B2531" i="39"/>
  <c r="C2531" i="39" s="1"/>
  <c r="D2531" i="39"/>
  <c r="H2531" i="39"/>
  <c r="B2532" i="39"/>
  <c r="C2532" i="39" s="1"/>
  <c r="D2532" i="39"/>
  <c r="H2532" i="39"/>
  <c r="B2533" i="39"/>
  <c r="D2533" i="39"/>
  <c r="H2533" i="39"/>
  <c r="B2534" i="39"/>
  <c r="C2534" i="39" s="1"/>
  <c r="D2534" i="39"/>
  <c r="H2534" i="39"/>
  <c r="B2535" i="39"/>
  <c r="C2535" i="39" s="1"/>
  <c r="D2535" i="39"/>
  <c r="H2535" i="39"/>
  <c r="B2536" i="39"/>
  <c r="D2536" i="39"/>
  <c r="H2536" i="39"/>
  <c r="B2537" i="39"/>
  <c r="C2537" i="39" s="1"/>
  <c r="D2537" i="39"/>
  <c r="H2537" i="39"/>
  <c r="B2538" i="39"/>
  <c r="C2538" i="39" s="1"/>
  <c r="D2538" i="39"/>
  <c r="H2538" i="39"/>
  <c r="B2539" i="39"/>
  <c r="D2539" i="39"/>
  <c r="H2539" i="39"/>
  <c r="B2540" i="39"/>
  <c r="C2540" i="39" s="1"/>
  <c r="D2540" i="39"/>
  <c r="H2540" i="39"/>
  <c r="B2541" i="39"/>
  <c r="C2541" i="39" s="1"/>
  <c r="D2541" i="39"/>
  <c r="H2541" i="39"/>
  <c r="B2542" i="39"/>
  <c r="D2542" i="39"/>
  <c r="H2542" i="39"/>
  <c r="B2543" i="39"/>
  <c r="C2543" i="39" s="1"/>
  <c r="D2543" i="39"/>
  <c r="H2543" i="39"/>
  <c r="B2544" i="39"/>
  <c r="C2544" i="39" s="1"/>
  <c r="D2544" i="39"/>
  <c r="H2544" i="39"/>
  <c r="B2545" i="39"/>
  <c r="D2545" i="39"/>
  <c r="H2545" i="39"/>
  <c r="B2546" i="39"/>
  <c r="C2546" i="39" s="1"/>
  <c r="D2546" i="39"/>
  <c r="H2546" i="39"/>
  <c r="B2547" i="39"/>
  <c r="C2547" i="39" s="1"/>
  <c r="D2547" i="39"/>
  <c r="H2547" i="39"/>
  <c r="B2548" i="39"/>
  <c r="D2548" i="39"/>
  <c r="H2548" i="39"/>
  <c r="B2549" i="39"/>
  <c r="C2549" i="39" s="1"/>
  <c r="D2549" i="39"/>
  <c r="H2549" i="39"/>
  <c r="B2550" i="39"/>
  <c r="C2550" i="39" s="1"/>
  <c r="D2550" i="39"/>
  <c r="H2550" i="39"/>
  <c r="B2551" i="39"/>
  <c r="D2551" i="39"/>
  <c r="H2551" i="39"/>
  <c r="B2552" i="39"/>
  <c r="C2552" i="39" s="1"/>
  <c r="D2552" i="39"/>
  <c r="H2552" i="39"/>
  <c r="B2553" i="39"/>
  <c r="C2553" i="39" s="1"/>
  <c r="D2553" i="39"/>
  <c r="H2553" i="39"/>
  <c r="B2554" i="39"/>
  <c r="D2554" i="39"/>
  <c r="H2554" i="39"/>
  <c r="B2555" i="39"/>
  <c r="C2555" i="39" s="1"/>
  <c r="D2555" i="39"/>
  <c r="H2555" i="39"/>
  <c r="B2556" i="39"/>
  <c r="C2556" i="39" s="1"/>
  <c r="D2556" i="39"/>
  <c r="H2556" i="39"/>
  <c r="B2557" i="39"/>
  <c r="D2557" i="39"/>
  <c r="H2557" i="39"/>
  <c r="B2558" i="39"/>
  <c r="C2558" i="39" s="1"/>
  <c r="D2558" i="39"/>
  <c r="H2558" i="39"/>
  <c r="B2559" i="39"/>
  <c r="C2559" i="39" s="1"/>
  <c r="D2559" i="39"/>
  <c r="H2559" i="39"/>
  <c r="B2560" i="39"/>
  <c r="D2560" i="39"/>
  <c r="H2560" i="39"/>
  <c r="B2561" i="39"/>
  <c r="C2561" i="39" s="1"/>
  <c r="D2561" i="39"/>
  <c r="H2561" i="39"/>
  <c r="B2562" i="39"/>
  <c r="C2562" i="39" s="1"/>
  <c r="D2562" i="39"/>
  <c r="H2562" i="39"/>
  <c r="B2563" i="39"/>
  <c r="D2563" i="39"/>
  <c r="H2563" i="39"/>
  <c r="B2564" i="39"/>
  <c r="C2564" i="39" s="1"/>
  <c r="D2564" i="39"/>
  <c r="H2564" i="39"/>
  <c r="B2565" i="39"/>
  <c r="C2565" i="39" s="1"/>
  <c r="D2565" i="39"/>
  <c r="H2565" i="39"/>
  <c r="B2566" i="39"/>
  <c r="D2566" i="39"/>
  <c r="H2566" i="39"/>
  <c r="B2567" i="39"/>
  <c r="C2567" i="39" s="1"/>
  <c r="D2567" i="39"/>
  <c r="H2567" i="39"/>
  <c r="B2568" i="39"/>
  <c r="C2568" i="39" s="1"/>
  <c r="D2568" i="39"/>
  <c r="H2568" i="39"/>
  <c r="B2569" i="39"/>
  <c r="D2569" i="39"/>
  <c r="H2569" i="39"/>
  <c r="B2570" i="39"/>
  <c r="C2570" i="39" s="1"/>
  <c r="D2570" i="39"/>
  <c r="H2570" i="39"/>
  <c r="B2571" i="39"/>
  <c r="C2571" i="39" s="1"/>
  <c r="D2571" i="39"/>
  <c r="H2571" i="39"/>
  <c r="B2572" i="39"/>
  <c r="D2572" i="39"/>
  <c r="H2572" i="39"/>
  <c r="B2573" i="39"/>
  <c r="C2573" i="39" s="1"/>
  <c r="D2573" i="39"/>
  <c r="H2573" i="39"/>
  <c r="B2574" i="39"/>
  <c r="C2574" i="39" s="1"/>
  <c r="D2574" i="39"/>
  <c r="H2574" i="39"/>
  <c r="B2575" i="39"/>
  <c r="D2575" i="39"/>
  <c r="H2575" i="39"/>
  <c r="B2576" i="39"/>
  <c r="C2576" i="39" s="1"/>
  <c r="D2576" i="39"/>
  <c r="H2576" i="39"/>
  <c r="B2577" i="39"/>
  <c r="C2577" i="39" s="1"/>
  <c r="D2577" i="39"/>
  <c r="H2577" i="39"/>
  <c r="B2578" i="39"/>
  <c r="D2578" i="39"/>
  <c r="H2578" i="39"/>
  <c r="B2579" i="39"/>
  <c r="C2579" i="39" s="1"/>
  <c r="D2579" i="39"/>
  <c r="H2579" i="39"/>
  <c r="B2580" i="39"/>
  <c r="C2580" i="39" s="1"/>
  <c r="D2580" i="39"/>
  <c r="H2580" i="39"/>
  <c r="B2581" i="39"/>
  <c r="D2581" i="39"/>
  <c r="H2581" i="39"/>
  <c r="B2582" i="39"/>
  <c r="C2582" i="39" s="1"/>
  <c r="D2582" i="39"/>
  <c r="H2582" i="39"/>
  <c r="B2583" i="39"/>
  <c r="C2583" i="39" s="1"/>
  <c r="D2583" i="39"/>
  <c r="H2583" i="39"/>
  <c r="B2584" i="39"/>
  <c r="D2584" i="39"/>
  <c r="H2584" i="39"/>
  <c r="B2585" i="39"/>
  <c r="C2585" i="39" s="1"/>
  <c r="D2585" i="39"/>
  <c r="H2585" i="39"/>
  <c r="B2586" i="39"/>
  <c r="C2586" i="39" s="1"/>
  <c r="D2586" i="39"/>
  <c r="H2586" i="39"/>
  <c r="B2587" i="39"/>
  <c r="D2587" i="39"/>
  <c r="H2587" i="39"/>
  <c r="B2588" i="39"/>
  <c r="C2588" i="39" s="1"/>
  <c r="D2588" i="39"/>
  <c r="H2588" i="39"/>
  <c r="B2589" i="39"/>
  <c r="C2589" i="39" s="1"/>
  <c r="D2589" i="39"/>
  <c r="H2589" i="39"/>
  <c r="B2590" i="39"/>
  <c r="D2590" i="39"/>
  <c r="H2590" i="39"/>
  <c r="B2591" i="39"/>
  <c r="C2591" i="39" s="1"/>
  <c r="D2591" i="39"/>
  <c r="H2591" i="39"/>
  <c r="B2592" i="39"/>
  <c r="C2592" i="39" s="1"/>
  <c r="D2592" i="39"/>
  <c r="H2592" i="39"/>
  <c r="B2593" i="39"/>
  <c r="D2593" i="39"/>
  <c r="H2593" i="39"/>
  <c r="B2594" i="39"/>
  <c r="C2594" i="39" s="1"/>
  <c r="D2594" i="39"/>
  <c r="H2594" i="39"/>
  <c r="B2595" i="39"/>
  <c r="C2595" i="39" s="1"/>
  <c r="D2595" i="39"/>
  <c r="H2595" i="39"/>
  <c r="B2596" i="39"/>
  <c r="D2596" i="39"/>
  <c r="H2596" i="39"/>
  <c r="B2597" i="39"/>
  <c r="C2597" i="39" s="1"/>
  <c r="D2597" i="39"/>
  <c r="H2597" i="39"/>
  <c r="B2598" i="39"/>
  <c r="C2598" i="39" s="1"/>
  <c r="D2598" i="39"/>
  <c r="H2598" i="39"/>
  <c r="B2599" i="39"/>
  <c r="D2599" i="39"/>
  <c r="H2599" i="39"/>
  <c r="B2600" i="39"/>
  <c r="C2600" i="39" s="1"/>
  <c r="D2600" i="39"/>
  <c r="H2600" i="39"/>
  <c r="B2601" i="39"/>
  <c r="C2601" i="39" s="1"/>
  <c r="D2601" i="39"/>
  <c r="H2601" i="39"/>
  <c r="B2602" i="39"/>
  <c r="D2602" i="39"/>
  <c r="H2602" i="39"/>
  <c r="B2603" i="39"/>
  <c r="C2603" i="39" s="1"/>
  <c r="D2603" i="39"/>
  <c r="H2603" i="39"/>
  <c r="B2604" i="39"/>
  <c r="C2604" i="39" s="1"/>
  <c r="D2604" i="39"/>
  <c r="H2604" i="39"/>
  <c r="B2605" i="39"/>
  <c r="D2605" i="39"/>
  <c r="H2605" i="39"/>
  <c r="B2606" i="39"/>
  <c r="C2606" i="39" s="1"/>
  <c r="D2606" i="39"/>
  <c r="H2606" i="39"/>
  <c r="B2607" i="39"/>
  <c r="C2607" i="39" s="1"/>
  <c r="D2607" i="39"/>
  <c r="H2607" i="39"/>
  <c r="B2608" i="39"/>
  <c r="D2608" i="39"/>
  <c r="H2608" i="39"/>
  <c r="B2609" i="39"/>
  <c r="C2609" i="39" s="1"/>
  <c r="D2609" i="39"/>
  <c r="H2609" i="39"/>
  <c r="B2610" i="39"/>
  <c r="C2610" i="39" s="1"/>
  <c r="D2610" i="39"/>
  <c r="H2610" i="39"/>
  <c r="B2611" i="39"/>
  <c r="D2611" i="39"/>
  <c r="H2611" i="39"/>
  <c r="B2612" i="39"/>
  <c r="C2612" i="39" s="1"/>
  <c r="D2612" i="39"/>
  <c r="H2612" i="39"/>
  <c r="B2613" i="39"/>
  <c r="C2613" i="39" s="1"/>
  <c r="D2613" i="39"/>
  <c r="H2613" i="39"/>
  <c r="B2614" i="39"/>
  <c r="D2614" i="39"/>
  <c r="H2614" i="39"/>
  <c r="B2615" i="39"/>
  <c r="C2615" i="39" s="1"/>
  <c r="D2615" i="39"/>
  <c r="H2615" i="39"/>
  <c r="B2616" i="39"/>
  <c r="C2616" i="39" s="1"/>
  <c r="D2616" i="39"/>
  <c r="H2616" i="39"/>
  <c r="B2617" i="39"/>
  <c r="D2617" i="39"/>
  <c r="H2617" i="39"/>
  <c r="B2618" i="39"/>
  <c r="C2618" i="39" s="1"/>
  <c r="D2618" i="39"/>
  <c r="H2618" i="39"/>
  <c r="B2619" i="39"/>
  <c r="C2619" i="39" s="1"/>
  <c r="D2619" i="39"/>
  <c r="H2619" i="39"/>
  <c r="B2620" i="39"/>
  <c r="D2620" i="39"/>
  <c r="H2620" i="39"/>
  <c r="B2621" i="39"/>
  <c r="C2621" i="39" s="1"/>
  <c r="D2621" i="39"/>
  <c r="H2621" i="39"/>
  <c r="B2622" i="39"/>
  <c r="C2622" i="39" s="1"/>
  <c r="D2622" i="39"/>
  <c r="H2622" i="39"/>
  <c r="B2623" i="39"/>
  <c r="D2623" i="39"/>
  <c r="H2623" i="39"/>
  <c r="B2624" i="39"/>
  <c r="C2624" i="39" s="1"/>
  <c r="D2624" i="39"/>
  <c r="H2624" i="39"/>
  <c r="B2625" i="39"/>
  <c r="C2625" i="39" s="1"/>
  <c r="D2625" i="39"/>
  <c r="H2625" i="39"/>
  <c r="B2626" i="39"/>
  <c r="D2626" i="39"/>
  <c r="H2626" i="39"/>
  <c r="B2627" i="39"/>
  <c r="C2627" i="39" s="1"/>
  <c r="D2627" i="39"/>
  <c r="H2627" i="39"/>
  <c r="B2628" i="39"/>
  <c r="C2628" i="39" s="1"/>
  <c r="D2628" i="39"/>
  <c r="H2628" i="39"/>
  <c r="B2629" i="39"/>
  <c r="D2629" i="39"/>
  <c r="H2629" i="39"/>
  <c r="B2630" i="39"/>
  <c r="C2630" i="39" s="1"/>
  <c r="D2630" i="39"/>
  <c r="H2630" i="39"/>
  <c r="B2631" i="39"/>
  <c r="C2631" i="39" s="1"/>
  <c r="D2631" i="39"/>
  <c r="H2631" i="39"/>
  <c r="B2632" i="39"/>
  <c r="D2632" i="39"/>
  <c r="H2632" i="39"/>
  <c r="B2633" i="39"/>
  <c r="C2633" i="39" s="1"/>
  <c r="D2633" i="39"/>
  <c r="H2633" i="39"/>
  <c r="B2634" i="39"/>
  <c r="C2634" i="39" s="1"/>
  <c r="D2634" i="39"/>
  <c r="H2634" i="39"/>
  <c r="B2635" i="39"/>
  <c r="D2635" i="39"/>
  <c r="H2635" i="39"/>
  <c r="B2636" i="39"/>
  <c r="C2636" i="39" s="1"/>
  <c r="D2636" i="39"/>
  <c r="H2636" i="39"/>
  <c r="B2637" i="39"/>
  <c r="C2637" i="39" s="1"/>
  <c r="D2637" i="39"/>
  <c r="H2637" i="39"/>
  <c r="B2638" i="39"/>
  <c r="D2638" i="39"/>
  <c r="H2638" i="39"/>
  <c r="B2639" i="39"/>
  <c r="C2639" i="39" s="1"/>
  <c r="D2639" i="39"/>
  <c r="H2639" i="39"/>
  <c r="B2640" i="39"/>
  <c r="C2640" i="39" s="1"/>
  <c r="D2640" i="39"/>
  <c r="H2640" i="39"/>
  <c r="B2641" i="39"/>
  <c r="D2641" i="39"/>
  <c r="H2641" i="39"/>
  <c r="B2642" i="39"/>
  <c r="C2642" i="39" s="1"/>
  <c r="D2642" i="39"/>
  <c r="H2642" i="39"/>
  <c r="B2643" i="39"/>
  <c r="C2643" i="39" s="1"/>
  <c r="D2643" i="39"/>
  <c r="H2643" i="39"/>
  <c r="B2644" i="39"/>
  <c r="D2644" i="39"/>
  <c r="H2644" i="39"/>
  <c r="B2645" i="39"/>
  <c r="C2645" i="39" s="1"/>
  <c r="D2645" i="39"/>
  <c r="H2645" i="39"/>
  <c r="B2646" i="39"/>
  <c r="C2646" i="39" s="1"/>
  <c r="D2646" i="39"/>
  <c r="H2646" i="39"/>
  <c r="B2647" i="39"/>
  <c r="D2647" i="39"/>
  <c r="H2647" i="39"/>
  <c r="B2648" i="39"/>
  <c r="C2648" i="39" s="1"/>
  <c r="D2648" i="39"/>
  <c r="H2648" i="39"/>
  <c r="B2649" i="39"/>
  <c r="C2649" i="39" s="1"/>
  <c r="D2649" i="39"/>
  <c r="H2649" i="39"/>
  <c r="B2650" i="39"/>
  <c r="D2650" i="39"/>
  <c r="H2650" i="39"/>
  <c r="B2651" i="39"/>
  <c r="C2651" i="39" s="1"/>
  <c r="D2651" i="39"/>
  <c r="H2651" i="39"/>
  <c r="B2652" i="39"/>
  <c r="C2652" i="39" s="1"/>
  <c r="D2652" i="39"/>
  <c r="H2652" i="39"/>
  <c r="B2653" i="39"/>
  <c r="D2653" i="39"/>
  <c r="H2653" i="39"/>
  <c r="B2654" i="39"/>
  <c r="C2654" i="39" s="1"/>
  <c r="D2654" i="39"/>
  <c r="H2654" i="39"/>
  <c r="B2655" i="39"/>
  <c r="C2655" i="39" s="1"/>
  <c r="D2655" i="39"/>
  <c r="H2655" i="39"/>
  <c r="B2656" i="39"/>
  <c r="D2656" i="39"/>
  <c r="H2656" i="39"/>
  <c r="B2657" i="39"/>
  <c r="C2657" i="39" s="1"/>
  <c r="D2657" i="39"/>
  <c r="H2657" i="39"/>
  <c r="B2658" i="39"/>
  <c r="C2658" i="39" s="1"/>
  <c r="D2658" i="39"/>
  <c r="H2658" i="39"/>
  <c r="B2659" i="39"/>
  <c r="D2659" i="39"/>
  <c r="H2659" i="39"/>
  <c r="B2660" i="39"/>
  <c r="C2660" i="39" s="1"/>
  <c r="D2660" i="39"/>
  <c r="H2660" i="39"/>
  <c r="B2661" i="39"/>
  <c r="C2661" i="39" s="1"/>
  <c r="D2661" i="39"/>
  <c r="H2661" i="39"/>
  <c r="B2662" i="39"/>
  <c r="D2662" i="39"/>
  <c r="H2662" i="39"/>
  <c r="B2663" i="39"/>
  <c r="C2663" i="39" s="1"/>
  <c r="D2663" i="39"/>
  <c r="H2663" i="39"/>
  <c r="B2664" i="39"/>
  <c r="C2664" i="39" s="1"/>
  <c r="D2664" i="39"/>
  <c r="H2664" i="39"/>
  <c r="B2665" i="39"/>
  <c r="D2665" i="39"/>
  <c r="H2665" i="39"/>
  <c r="B2666" i="39"/>
  <c r="C2666" i="39" s="1"/>
  <c r="D2666" i="39"/>
  <c r="H2666" i="39"/>
  <c r="B2667" i="39"/>
  <c r="C2667" i="39" s="1"/>
  <c r="D2667" i="39"/>
  <c r="H2667" i="39"/>
  <c r="B2668" i="39"/>
  <c r="D2668" i="39"/>
  <c r="H2668" i="39"/>
  <c r="B2669" i="39"/>
  <c r="C2669" i="39" s="1"/>
  <c r="D2669" i="39"/>
  <c r="H2669" i="39"/>
  <c r="B2670" i="39"/>
  <c r="C2670" i="39" s="1"/>
  <c r="D2670" i="39"/>
  <c r="H2670" i="39"/>
  <c r="B2671" i="39"/>
  <c r="D2671" i="39"/>
  <c r="H2671" i="39"/>
  <c r="B2672" i="39"/>
  <c r="C2672" i="39" s="1"/>
  <c r="D2672" i="39"/>
  <c r="H2672" i="39"/>
  <c r="B2673" i="39"/>
  <c r="C2673" i="39" s="1"/>
  <c r="D2673" i="39"/>
  <c r="H2673" i="39"/>
  <c r="B2674" i="39"/>
  <c r="D2674" i="39"/>
  <c r="H2674" i="39"/>
  <c r="B2675" i="39"/>
  <c r="C2675" i="39" s="1"/>
  <c r="D2675" i="39"/>
  <c r="H2675" i="39"/>
  <c r="B2676" i="39"/>
  <c r="C2676" i="39" s="1"/>
  <c r="D2676" i="39"/>
  <c r="H2676" i="39"/>
  <c r="B2677" i="39"/>
  <c r="D2677" i="39"/>
  <c r="H2677" i="39"/>
  <c r="B2678" i="39"/>
  <c r="C2678" i="39" s="1"/>
  <c r="D2678" i="39"/>
  <c r="H2678" i="39"/>
  <c r="B2680" i="39"/>
  <c r="D2680" i="39"/>
  <c r="H2680" i="39"/>
  <c r="B2681" i="39"/>
  <c r="C2681" i="39" s="1"/>
  <c r="D2681" i="39"/>
  <c r="H2681" i="39"/>
  <c r="B2682" i="39"/>
  <c r="C2682" i="39" s="1"/>
  <c r="D2682" i="39"/>
  <c r="H2682" i="39"/>
  <c r="B2683" i="39"/>
  <c r="D2683" i="39"/>
  <c r="H2683" i="39"/>
  <c r="B2686" i="39"/>
  <c r="D2686" i="39"/>
  <c r="H2686" i="39"/>
  <c r="B2687" i="39"/>
  <c r="C2687" i="39" s="1"/>
  <c r="D2687" i="39"/>
  <c r="H2687" i="39"/>
  <c r="B2688" i="39"/>
  <c r="C2688" i="39" s="1"/>
  <c r="D2688" i="39"/>
  <c r="H2688" i="39"/>
  <c r="B2691" i="39"/>
  <c r="C2691" i="39" s="1"/>
  <c r="D2691" i="39"/>
  <c r="H2691" i="39"/>
  <c r="B2692" i="39"/>
  <c r="D2692" i="39"/>
  <c r="H2692" i="39"/>
  <c r="B2693" i="39"/>
  <c r="C2693" i="39" s="1"/>
  <c r="D2693" i="39"/>
  <c r="H2693" i="39"/>
  <c r="B2694" i="39"/>
  <c r="C2694" i="39" s="1"/>
  <c r="D2694" i="39"/>
  <c r="H2694" i="39"/>
  <c r="B2695" i="39"/>
  <c r="D2695" i="39"/>
  <c r="H2695" i="39"/>
  <c r="B2696" i="39"/>
  <c r="C2696" i="39" s="1"/>
  <c r="D2696" i="39"/>
  <c r="H2696" i="39"/>
  <c r="B2697" i="39"/>
  <c r="C2697" i="39" s="1"/>
  <c r="D2697" i="39"/>
  <c r="H2697" i="39"/>
  <c r="B2698" i="39"/>
  <c r="D2698" i="39"/>
  <c r="H2698" i="39"/>
  <c r="B2699" i="39"/>
  <c r="C2699" i="39" s="1"/>
  <c r="D2699" i="39"/>
  <c r="H2699" i="39"/>
  <c r="B2700" i="39"/>
  <c r="C2700" i="39" s="1"/>
  <c r="D2700" i="39"/>
  <c r="H2700" i="39"/>
  <c r="B2702" i="39"/>
  <c r="C2702" i="39" s="1"/>
  <c r="D2702" i="39"/>
  <c r="H2702" i="39"/>
  <c r="B2703" i="39"/>
  <c r="C2703" i="39" s="1"/>
  <c r="D2703" i="39"/>
  <c r="H2703" i="39"/>
  <c r="B2704" i="39"/>
  <c r="D2704" i="39"/>
  <c r="H2704" i="39"/>
  <c r="B2705" i="39"/>
  <c r="C2705" i="39" s="1"/>
  <c r="D2705" i="39"/>
  <c r="H2705" i="39"/>
  <c r="B2706" i="39"/>
  <c r="C2706" i="39" s="1"/>
  <c r="D2706" i="39"/>
  <c r="H2706" i="39"/>
  <c r="B2707" i="39"/>
  <c r="D2707" i="39"/>
  <c r="H2707" i="39"/>
  <c r="B2708" i="39"/>
  <c r="C2708" i="39" s="1"/>
  <c r="D2708" i="39"/>
  <c r="H2708" i="39"/>
  <c r="B2709" i="39"/>
  <c r="C2709" i="39" s="1"/>
  <c r="D2709" i="39"/>
  <c r="H2709" i="39"/>
  <c r="B2710" i="39"/>
  <c r="D2710" i="39"/>
  <c r="H2710" i="39"/>
  <c r="B2711" i="39"/>
  <c r="C2711" i="39" s="1"/>
  <c r="D2711" i="39"/>
  <c r="H2711" i="39"/>
  <c r="B2712" i="39"/>
  <c r="C2712" i="39" s="1"/>
  <c r="D2712" i="39"/>
  <c r="H2712" i="39"/>
  <c r="B2713" i="39"/>
  <c r="D2713" i="39"/>
  <c r="H2713" i="39"/>
  <c r="B2714" i="39"/>
  <c r="C2714" i="39" s="1"/>
  <c r="D2714" i="39"/>
  <c r="H2714" i="39"/>
  <c r="B2715" i="39"/>
  <c r="C2715" i="39" s="1"/>
  <c r="D2715" i="39"/>
  <c r="H2715" i="39"/>
  <c r="B2716" i="39"/>
  <c r="D2716" i="39"/>
  <c r="H2716" i="39"/>
  <c r="B2717" i="39"/>
  <c r="C2717" i="39" s="1"/>
  <c r="D2717" i="39"/>
  <c r="H2717" i="39"/>
  <c r="B2718" i="39"/>
  <c r="C2718" i="39" s="1"/>
  <c r="D2718" i="39"/>
  <c r="H2718" i="39"/>
  <c r="B2719" i="39"/>
  <c r="D2719" i="39"/>
  <c r="H2719" i="39"/>
  <c r="B2720" i="39"/>
  <c r="C2720" i="39" s="1"/>
  <c r="D2720" i="39"/>
  <c r="H2720" i="39"/>
  <c r="B2721" i="39"/>
  <c r="C2721" i="39" s="1"/>
  <c r="D2721" i="39"/>
  <c r="H2721" i="39"/>
  <c r="B2722" i="39"/>
  <c r="D2722" i="39"/>
  <c r="H2722" i="39"/>
  <c r="B2723" i="39"/>
  <c r="C2723" i="39" s="1"/>
  <c r="D2723" i="39"/>
  <c r="H2723" i="39"/>
  <c r="B2724" i="39"/>
  <c r="C2724" i="39" s="1"/>
  <c r="D2724" i="39"/>
  <c r="H2724" i="39"/>
  <c r="B2725" i="39"/>
  <c r="D2725" i="39"/>
  <c r="H2725" i="39"/>
  <c r="B2726" i="39"/>
  <c r="C2726" i="39" s="1"/>
  <c r="D2726" i="39"/>
  <c r="H2726" i="39"/>
  <c r="B2727" i="39"/>
  <c r="C2727" i="39" s="1"/>
  <c r="D2727" i="39"/>
  <c r="H2727" i="39"/>
  <c r="B2728" i="39"/>
  <c r="D2728" i="39"/>
  <c r="H2728" i="39"/>
  <c r="B2729" i="39"/>
  <c r="C2729" i="39" s="1"/>
  <c r="D2729" i="39"/>
  <c r="H2729" i="39"/>
  <c r="B2730" i="39"/>
  <c r="C2730" i="39" s="1"/>
  <c r="D2730" i="39"/>
  <c r="H2730" i="39"/>
  <c r="B2731" i="39"/>
  <c r="D2731" i="39"/>
  <c r="H2731" i="39"/>
  <c r="B2732" i="39"/>
  <c r="C2732" i="39" s="1"/>
  <c r="D2732" i="39"/>
  <c r="H2732" i="39"/>
  <c r="B2733" i="39"/>
  <c r="C2733" i="39" s="1"/>
  <c r="D2733" i="39"/>
  <c r="H2733" i="39"/>
  <c r="B2734" i="39"/>
  <c r="D2734" i="39"/>
  <c r="H2734" i="39"/>
  <c r="B2735" i="39"/>
  <c r="C2735" i="39" s="1"/>
  <c r="D2735" i="39"/>
  <c r="H2735" i="39"/>
  <c r="B2736" i="39"/>
  <c r="C2736" i="39" s="1"/>
  <c r="D2736" i="39"/>
  <c r="H2736" i="39"/>
  <c r="B2737" i="39"/>
  <c r="D2737" i="39"/>
  <c r="H2737" i="39"/>
  <c r="B2738" i="39"/>
  <c r="C2738" i="39" s="1"/>
  <c r="D2738" i="39"/>
  <c r="H2738" i="39"/>
  <c r="B2739" i="39"/>
  <c r="C2739" i="39" s="1"/>
  <c r="D2739" i="39"/>
  <c r="H2739" i="39"/>
  <c r="B2740" i="39"/>
  <c r="D2740" i="39"/>
  <c r="H2740" i="39"/>
  <c r="B2741" i="39"/>
  <c r="C2741" i="39" s="1"/>
  <c r="D2741" i="39"/>
  <c r="H2741" i="39"/>
  <c r="B2742" i="39"/>
  <c r="C2742" i="39" s="1"/>
  <c r="D2742" i="39"/>
  <c r="H2742" i="39"/>
  <c r="B2743" i="39"/>
  <c r="D2743" i="39"/>
  <c r="H2743" i="39"/>
  <c r="B2744" i="39"/>
  <c r="C2744" i="39" s="1"/>
  <c r="D2744" i="39"/>
  <c r="H2744" i="39"/>
  <c r="B2745" i="39"/>
  <c r="C2745" i="39" s="1"/>
  <c r="D2745" i="39"/>
  <c r="H2745" i="39"/>
  <c r="B2746" i="39"/>
  <c r="D2746" i="39"/>
  <c r="H2746" i="39"/>
  <c r="B2747" i="39"/>
  <c r="C2747" i="39" s="1"/>
  <c r="D2747" i="39"/>
  <c r="H2747" i="39"/>
  <c r="B2748" i="39"/>
  <c r="C2748" i="39" s="1"/>
  <c r="D2748" i="39"/>
  <c r="H2748" i="39"/>
  <c r="B2749" i="39"/>
  <c r="D2749" i="39"/>
  <c r="H2749" i="39"/>
  <c r="B2750" i="39"/>
  <c r="C2750" i="39" s="1"/>
  <c r="D2750" i="39"/>
  <c r="H2750" i="39"/>
  <c r="B2751" i="39"/>
  <c r="C2751" i="39" s="1"/>
  <c r="D2751" i="39"/>
  <c r="H2751" i="39"/>
  <c r="B2752" i="39"/>
  <c r="D2752" i="39"/>
  <c r="H2752" i="39"/>
  <c r="B2753" i="39"/>
  <c r="C2753" i="39" s="1"/>
  <c r="D2753" i="39"/>
  <c r="H2753" i="39"/>
  <c r="B2754" i="39"/>
  <c r="C2754" i="39" s="1"/>
  <c r="D2754" i="39"/>
  <c r="H2754" i="39"/>
  <c r="B2755" i="39"/>
  <c r="D2755" i="39"/>
  <c r="H2755" i="39"/>
  <c r="B2756" i="39"/>
  <c r="C2756" i="39" s="1"/>
  <c r="D2756" i="39"/>
  <c r="H2756" i="39"/>
  <c r="B2757" i="39"/>
  <c r="C2757" i="39" s="1"/>
  <c r="D2757" i="39"/>
  <c r="H2757" i="39"/>
  <c r="B2758" i="39"/>
  <c r="D2758" i="39"/>
  <c r="H2758" i="39"/>
  <c r="B2759" i="39"/>
  <c r="C2759" i="39" s="1"/>
  <c r="D2759" i="39"/>
  <c r="H2759" i="39"/>
  <c r="B2760" i="39"/>
  <c r="C2760" i="39" s="1"/>
  <c r="D2760" i="39"/>
  <c r="H2760" i="39"/>
  <c r="B2761" i="39"/>
  <c r="D2761" i="39"/>
  <c r="H2761" i="39"/>
  <c r="B2762" i="39"/>
  <c r="C2762" i="39" s="1"/>
  <c r="D2762" i="39"/>
  <c r="H2762" i="39"/>
  <c r="B2763" i="39"/>
  <c r="C2763" i="39" s="1"/>
  <c r="D2763" i="39"/>
  <c r="H2763" i="39"/>
  <c r="B2764" i="39"/>
  <c r="D2764" i="39"/>
  <c r="H2764" i="39"/>
  <c r="B2766" i="39"/>
  <c r="C2766" i="39" s="1"/>
  <c r="D2766" i="39"/>
  <c r="H2766" i="39"/>
  <c r="B2768" i="39"/>
  <c r="C2768" i="39" s="1"/>
  <c r="D2768" i="39"/>
  <c r="H2768" i="39"/>
  <c r="B2770" i="39"/>
  <c r="D2770" i="39"/>
  <c r="H2770" i="39"/>
  <c r="B2771" i="39"/>
  <c r="C2771" i="39" s="1"/>
  <c r="D2771" i="39"/>
  <c r="H2771" i="39"/>
  <c r="B2772" i="39"/>
  <c r="C2772" i="39" s="1"/>
  <c r="D2772" i="39"/>
  <c r="H2772" i="39"/>
  <c r="B2773" i="39"/>
  <c r="D2773" i="39"/>
  <c r="H2773" i="39"/>
  <c r="B2774" i="39"/>
  <c r="C2774" i="39" s="1"/>
  <c r="D2774" i="39"/>
  <c r="H2774" i="39"/>
  <c r="A6" i="15"/>
  <c r="C3169" i="39" l="1"/>
  <c r="C2918" i="39"/>
  <c r="A2821" i="39"/>
  <c r="C3604" i="39"/>
  <c r="C3367" i="39"/>
  <c r="A3202" i="39"/>
  <c r="C2927" i="39"/>
  <c r="C2844" i="39"/>
  <c r="C3343" i="39"/>
  <c r="C3192" i="39"/>
  <c r="C3713" i="39"/>
  <c r="A3600" i="39"/>
  <c r="C3582" i="39"/>
  <c r="C3307" i="39"/>
  <c r="C2873" i="39"/>
  <c r="A3703" i="39"/>
  <c r="C3659" i="39"/>
  <c r="C2851" i="39"/>
  <c r="C3615" i="39"/>
  <c r="C3382" i="39"/>
  <c r="C3682" i="39"/>
  <c r="A3676" i="39"/>
  <c r="C3641" i="39"/>
  <c r="A3618" i="39"/>
  <c r="C3524" i="39"/>
  <c r="C3459" i="39"/>
  <c r="A3414" i="39"/>
  <c r="C3414" i="39"/>
  <c r="C3208" i="39"/>
  <c r="C2783" i="39"/>
  <c r="C3639" i="39"/>
  <c r="C3568" i="39"/>
  <c r="C3285" i="39"/>
  <c r="A3014" i="39"/>
  <c r="C3014" i="39"/>
  <c r="C3443" i="39"/>
  <c r="C3325" i="39"/>
  <c r="C3193" i="39"/>
  <c r="A3023" i="39"/>
  <c r="C3023" i="39"/>
  <c r="C3664" i="39"/>
  <c r="C3406" i="39"/>
  <c r="A3135" i="39"/>
  <c r="C3635" i="39"/>
  <c r="C3521" i="39"/>
  <c r="C3304" i="39"/>
  <c r="C3417" i="39"/>
  <c r="C3212" i="39"/>
  <c r="A3112" i="39"/>
  <c r="C3357" i="39"/>
  <c r="C3205" i="39"/>
  <c r="C3267" i="39"/>
  <c r="C3026" i="39"/>
  <c r="C2936" i="39"/>
  <c r="C3131" i="39"/>
  <c r="A2911" i="39"/>
  <c r="A2861" i="39"/>
  <c r="A3468" i="39"/>
  <c r="A3178" i="39"/>
  <c r="A3109" i="39"/>
  <c r="A2864" i="39"/>
  <c r="A3603" i="39"/>
  <c r="A3498" i="39"/>
  <c r="A3415" i="39"/>
  <c r="C3402" i="39"/>
  <c r="C3223" i="39"/>
  <c r="A3163" i="39"/>
  <c r="C3134" i="39"/>
  <c r="A3076" i="39"/>
  <c r="A3055" i="39"/>
  <c r="A2993" i="39"/>
  <c r="C2863" i="39"/>
  <c r="C2855" i="39"/>
  <c r="A3714" i="39"/>
  <c r="A3270" i="39"/>
  <c r="A3526" i="39"/>
  <c r="A3075" i="39"/>
  <c r="A3017" i="39"/>
  <c r="A2930" i="39"/>
  <c r="C2862" i="39"/>
  <c r="C3718" i="39"/>
  <c r="C3593" i="39"/>
  <c r="C3571" i="39"/>
  <c r="C3555" i="39"/>
  <c r="C3532" i="39"/>
  <c r="C3496" i="39"/>
  <c r="A3472" i="39"/>
  <c r="C3400" i="39"/>
  <c r="C3322" i="39"/>
  <c r="C3207" i="39"/>
  <c r="C3188" i="39"/>
  <c r="C3119" i="39"/>
  <c r="C3043" i="39"/>
  <c r="C2978" i="39"/>
  <c r="A3327" i="39"/>
  <c r="A3691" i="39"/>
  <c r="C3605" i="39"/>
  <c r="C3592" i="39"/>
  <c r="A3380" i="39"/>
  <c r="A3118" i="39"/>
  <c r="A3105" i="39"/>
  <c r="A2957" i="39"/>
  <c r="A3187" i="39"/>
  <c r="C3020" i="39"/>
  <c r="C2885" i="39"/>
  <c r="C3404" i="39"/>
  <c r="C3164" i="39"/>
  <c r="C2994" i="39"/>
  <c r="C2892" i="39"/>
  <c r="C3629" i="39"/>
  <c r="C3577" i="39"/>
  <c r="C3535" i="39"/>
  <c r="C3463" i="39"/>
  <c r="C3428" i="39"/>
  <c r="C3412" i="39"/>
  <c r="C3393" i="39"/>
  <c r="A3348" i="39"/>
  <c r="A3330" i="39"/>
  <c r="C3324" i="39"/>
  <c r="A3290" i="39"/>
  <c r="A3263" i="39"/>
  <c r="A3184" i="39"/>
  <c r="C3177" i="39"/>
  <c r="C3104" i="39"/>
  <c r="A3098" i="39"/>
  <c r="C2989" i="39"/>
  <c r="C2981" i="39"/>
  <c r="C2868" i="39"/>
  <c r="C2834" i="39"/>
  <c r="A3319" i="39"/>
  <c r="A3256" i="39"/>
  <c r="A3217" i="39"/>
  <c r="A3136" i="39"/>
  <c r="A3114" i="39"/>
  <c r="A2996" i="39"/>
  <c r="A2833" i="39"/>
  <c r="C3724" i="39"/>
  <c r="A3622" i="39"/>
  <c r="C3481" i="39"/>
  <c r="C3427" i="39"/>
  <c r="A3347" i="39"/>
  <c r="C3294" i="39"/>
  <c r="C3288" i="39"/>
  <c r="A3262" i="39"/>
  <c r="C3255" i="39"/>
  <c r="A3211" i="39"/>
  <c r="A3155" i="39"/>
  <c r="C3149" i="39"/>
  <c r="C3059" i="39"/>
  <c r="C2986" i="39"/>
  <c r="A2953" i="39"/>
  <c r="C2894" i="39"/>
  <c r="C2880" i="39"/>
  <c r="C3706" i="39"/>
  <c r="C3700" i="39"/>
  <c r="C3670" i="39"/>
  <c r="C3646" i="39"/>
  <c r="A3627" i="39"/>
  <c r="A3594" i="39"/>
  <c r="C3547" i="39"/>
  <c r="C3507" i="39"/>
  <c r="C3488" i="39"/>
  <c r="C3410" i="39"/>
  <c r="C3391" i="39"/>
  <c r="A3311" i="39"/>
  <c r="A3301" i="39"/>
  <c r="A3277" i="39"/>
  <c r="A3266" i="39"/>
  <c r="C3154" i="39"/>
  <c r="C3107" i="39"/>
  <c r="C3095" i="39"/>
  <c r="C3053" i="39"/>
  <c r="A3003" i="39"/>
  <c r="C2969" i="39"/>
  <c r="C2887" i="39"/>
  <c r="C3681" i="39"/>
  <c r="C3663" i="39"/>
  <c r="C3658" i="39"/>
  <c r="C3640" i="39"/>
  <c r="C3560" i="39"/>
  <c r="C3520" i="39"/>
  <c r="C3499" i="39"/>
  <c r="C3480" i="39"/>
  <c r="C3461" i="39"/>
  <c r="C3448" i="39"/>
  <c r="C3390" i="39"/>
  <c r="C3381" i="39"/>
  <c r="C3340" i="39"/>
  <c r="C3276" i="39"/>
  <c r="C3226" i="39"/>
  <c r="C3215" i="39"/>
  <c r="C3204" i="39"/>
  <c r="C3181" i="39"/>
  <c r="C3160" i="39"/>
  <c r="A2902" i="39"/>
  <c r="A2878" i="39"/>
  <c r="C3710" i="39"/>
  <c r="C3599" i="39"/>
  <c r="C3579" i="39"/>
  <c r="C3537" i="39"/>
  <c r="C3492" i="39"/>
  <c r="C3425" i="39"/>
  <c r="C3409" i="39"/>
  <c r="A3373" i="39"/>
  <c r="C3372" i="39"/>
  <c r="A3345" i="39"/>
  <c r="C3339" i="39"/>
  <c r="A3129" i="39"/>
  <c r="A3106" i="39"/>
  <c r="A3094" i="39"/>
  <c r="A3027" i="39"/>
  <c r="A2951" i="39"/>
  <c r="C3625" i="39"/>
  <c r="C3564" i="39"/>
  <c r="C3559" i="39"/>
  <c r="C3531" i="39"/>
  <c r="C3511" i="39"/>
  <c r="C3460" i="39"/>
  <c r="A3309" i="39"/>
  <c r="C3286" i="39"/>
  <c r="C3264" i="39"/>
  <c r="C3190" i="39"/>
  <c r="C3185" i="39"/>
  <c r="A3122" i="39"/>
  <c r="A3100" i="39"/>
  <c r="A3086" i="39"/>
  <c r="C3057" i="39"/>
  <c r="A3052" i="39"/>
  <c r="C2983" i="39"/>
  <c r="C2958" i="39"/>
  <c r="A2924" i="39"/>
  <c r="C2900" i="39"/>
  <c r="C3121" i="39"/>
  <c r="C3116" i="39"/>
  <c r="A2876" i="39"/>
  <c r="C2869" i="39"/>
  <c r="C2846" i="39"/>
  <c r="C2780" i="39"/>
  <c r="C3709" i="39"/>
  <c r="C3697" i="39"/>
  <c r="C3684" i="39"/>
  <c r="C3679" i="39"/>
  <c r="C3661" i="39"/>
  <c r="C3643" i="39"/>
  <c r="C3543" i="39"/>
  <c r="C3497" i="39"/>
  <c r="C3491" i="39"/>
  <c r="C3452" i="39"/>
  <c r="A3429" i="39"/>
  <c r="C3424" i="39"/>
  <c r="C3303" i="39"/>
  <c r="C3224" i="39"/>
  <c r="C3189" i="39"/>
  <c r="A3093" i="39"/>
  <c r="C3041" i="39"/>
  <c r="C3032" i="39"/>
  <c r="A3008" i="39"/>
  <c r="C3648" i="39"/>
  <c r="C3636" i="39"/>
  <c r="C3591" i="39"/>
  <c r="C3563" i="39"/>
  <c r="C3549" i="39"/>
  <c r="C3407" i="39"/>
  <c r="A3379" i="39"/>
  <c r="A3320" i="39"/>
  <c r="A3151" i="39"/>
  <c r="C3068" i="39"/>
  <c r="A2890" i="39"/>
  <c r="C2845" i="39"/>
  <c r="C2822" i="39"/>
  <c r="A3365" i="39"/>
  <c r="A3358" i="39"/>
  <c r="C3342" i="39"/>
  <c r="C3312" i="39"/>
  <c r="C3201" i="39"/>
  <c r="C3182" i="39"/>
  <c r="C3161" i="39"/>
  <c r="C3146" i="39"/>
  <c r="C3127" i="39"/>
  <c r="A3083" i="39"/>
  <c r="C3065" i="39"/>
  <c r="C3050" i="39"/>
  <c r="C3006" i="39"/>
  <c r="C2965" i="39"/>
  <c r="C2925" i="39"/>
  <c r="C2920" i="39"/>
  <c r="C2916" i="39"/>
  <c r="C2884" i="39"/>
  <c r="C2866" i="39"/>
  <c r="A3696" i="39"/>
  <c r="A3570" i="39"/>
  <c r="A3556" i="39"/>
  <c r="A3538" i="39"/>
  <c r="A3528" i="39"/>
  <c r="A3495" i="39"/>
  <c r="A3490" i="39"/>
  <c r="A3522" i="39"/>
  <c r="A3293" i="39"/>
  <c r="A3222" i="39"/>
  <c r="A3195" i="39"/>
  <c r="A3172" i="39"/>
  <c r="A3166" i="39"/>
  <c r="A3141" i="39"/>
  <c r="A3082" i="39"/>
  <c r="A3070" i="39"/>
  <c r="A3042" i="39"/>
  <c r="A2985" i="39"/>
  <c r="A2909" i="39"/>
  <c r="A2872" i="39"/>
  <c r="A2785" i="39"/>
  <c r="C3695" i="39"/>
  <c r="A3685" i="39"/>
  <c r="C3656" i="39"/>
  <c r="A3630" i="39"/>
  <c r="C3619" i="39"/>
  <c r="C3607" i="39"/>
  <c r="C3569" i="39"/>
  <c r="C3527" i="39"/>
  <c r="C3505" i="39"/>
  <c r="A3478" i="39"/>
  <c r="C3477" i="39"/>
  <c r="C3466" i="39"/>
  <c r="C3455" i="39"/>
  <c r="C3392" i="39"/>
  <c r="A3326" i="39"/>
  <c r="A3284" i="39"/>
  <c r="A3273" i="39"/>
  <c r="A3265" i="39"/>
  <c r="C3260" i="39"/>
  <c r="A3232" i="39"/>
  <c r="A3186" i="39"/>
  <c r="A3150" i="39"/>
  <c r="C3145" i="39"/>
  <c r="A3113" i="39"/>
  <c r="A3108" i="39"/>
  <c r="A2991" i="39"/>
  <c r="A2984" i="39"/>
  <c r="A2944" i="39"/>
  <c r="A2929" i="39"/>
  <c r="C2798" i="39"/>
  <c r="C3397" i="39"/>
  <c r="A3337" i="39"/>
  <c r="C3321" i="39"/>
  <c r="C3306" i="39"/>
  <c r="C3268" i="39"/>
  <c r="C3242" i="39"/>
  <c r="C3180" i="39"/>
  <c r="A3171" i="39"/>
  <c r="A3165" i="39"/>
  <c r="A3126" i="39"/>
  <c r="A3117" i="39"/>
  <c r="A3054" i="39"/>
  <c r="C3011" i="39"/>
  <c r="A2990" i="39"/>
  <c r="C2970" i="39"/>
  <c r="C2963" i="39"/>
  <c r="C2956" i="39"/>
  <c r="C2919" i="39"/>
  <c r="C2883" i="39"/>
  <c r="C2859" i="39"/>
  <c r="C2825" i="39"/>
  <c r="A3699" i="39"/>
  <c r="A3660" i="39"/>
  <c r="A3598" i="39"/>
  <c r="A3441" i="39"/>
  <c r="A3237" i="39"/>
  <c r="A3064" i="39"/>
  <c r="C3694" i="39"/>
  <c r="C3655" i="39"/>
  <c r="C3613" i="39"/>
  <c r="C3585" i="39"/>
  <c r="A3558" i="39"/>
  <c r="C3546" i="39"/>
  <c r="C3541" i="39"/>
  <c r="A3302" i="39"/>
  <c r="A3291" i="39"/>
  <c r="A3283" i="39"/>
  <c r="A3272" i="39"/>
  <c r="A3153" i="39"/>
  <c r="A3130" i="39"/>
  <c r="A3103" i="39"/>
  <c r="A3092" i="39"/>
  <c r="A3074" i="39"/>
  <c r="A3024" i="39"/>
  <c r="A3002" i="39"/>
  <c r="A2935" i="39"/>
  <c r="A2899" i="39"/>
  <c r="A2882" i="39"/>
  <c r="A3606" i="39"/>
  <c r="A3199" i="39"/>
  <c r="A3144" i="39"/>
  <c r="A3120" i="39"/>
  <c r="A3085" i="39"/>
  <c r="A2950" i="39"/>
  <c r="A3717" i="39"/>
  <c r="C3702" i="39"/>
  <c r="A3634" i="39"/>
  <c r="C3628" i="39"/>
  <c r="C3601" i="39"/>
  <c r="C3596" i="39"/>
  <c r="C3567" i="39"/>
  <c r="C3557" i="39"/>
  <c r="A3486" i="39"/>
  <c r="C3431" i="39"/>
  <c r="A3411" i="39"/>
  <c r="C3401" i="39"/>
  <c r="C3366" i="39"/>
  <c r="A3355" i="39"/>
  <c r="A3344" i="39"/>
  <c r="A3329" i="39"/>
  <c r="A3295" i="39"/>
  <c r="C3271" i="39"/>
  <c r="C3246" i="39"/>
  <c r="A3241" i="39"/>
  <c r="C3179" i="39"/>
  <c r="A3175" i="39"/>
  <c r="C3152" i="39"/>
  <c r="A3148" i="39"/>
  <c r="A3091" i="39"/>
  <c r="A3073" i="39"/>
  <c r="C3029" i="39"/>
  <c r="C3001" i="39"/>
  <c r="C2988" i="39"/>
  <c r="C2976" i="39"/>
  <c r="C2954" i="39"/>
  <c r="C2933" i="39"/>
  <c r="C2898" i="39"/>
  <c r="C2891" i="39"/>
  <c r="C2874" i="39"/>
  <c r="C2856" i="39"/>
  <c r="C3727" i="39"/>
  <c r="C3712" i="39"/>
  <c r="A3678" i="39"/>
  <c r="C3673" i="39"/>
  <c r="A3562" i="39"/>
  <c r="C3551" i="39"/>
  <c r="C3539" i="39"/>
  <c r="A3534" i="39"/>
  <c r="C3519" i="39"/>
  <c r="C3395" i="39"/>
  <c r="C3257" i="39"/>
  <c r="C3240" i="39"/>
  <c r="C3235" i="39"/>
  <c r="C3077" i="39"/>
  <c r="C3561" i="39"/>
  <c r="C3529" i="39"/>
  <c r="A3445" i="39"/>
  <c r="A3252" i="39"/>
  <c r="A3168" i="39"/>
  <c r="A3143" i="39"/>
  <c r="A3137" i="39"/>
  <c r="A3133" i="39"/>
  <c r="A3123" i="39"/>
  <c r="A3115" i="39"/>
  <c r="A3084" i="39"/>
  <c r="A3056" i="39"/>
  <c r="A2966" i="39"/>
  <c r="A2926" i="39"/>
  <c r="A2917" i="39"/>
  <c r="A2897" i="39"/>
  <c r="C3720" i="39"/>
  <c r="C3692" i="39"/>
  <c r="C3677" i="39"/>
  <c r="C3666" i="39"/>
  <c r="A3642" i="39"/>
  <c r="C3632" i="39"/>
  <c r="C3583" i="39"/>
  <c r="C3533" i="39"/>
  <c r="C3479" i="39"/>
  <c r="C3473" i="39"/>
  <c r="A3313" i="39"/>
  <c r="C3289" i="39"/>
  <c r="A3275" i="39"/>
  <c r="C3206" i="39"/>
  <c r="A3101" i="39"/>
  <c r="A3066" i="39"/>
  <c r="A2975" i="39"/>
  <c r="C2939" i="39"/>
  <c r="A2921" i="39"/>
  <c r="C2910" i="39"/>
  <c r="C2848" i="39"/>
  <c r="C2777" i="39"/>
  <c r="C3514" i="39"/>
  <c r="A3514" i="39"/>
  <c r="A3513" i="39"/>
  <c r="C3513" i="39"/>
  <c r="C3502" i="39"/>
  <c r="A3502" i="39"/>
  <c r="A3501" i="39"/>
  <c r="C3501" i="39"/>
  <c r="A3421" i="39"/>
  <c r="C3421" i="39"/>
  <c r="C3096" i="39"/>
  <c r="A3096" i="39"/>
  <c r="C3078" i="39"/>
  <c r="A3078" i="39"/>
  <c r="C3062" i="39"/>
  <c r="A3062" i="39"/>
  <c r="A3022" i="39"/>
  <c r="C3022" i="39"/>
  <c r="A3645" i="39"/>
  <c r="A3586" i="39"/>
  <c r="A3550" i="39"/>
  <c r="A3469" i="39"/>
  <c r="C3469" i="39"/>
  <c r="C3045" i="39"/>
  <c r="A3045" i="39"/>
  <c r="A3649" i="39"/>
  <c r="A3610" i="39"/>
  <c r="C3609" i="39"/>
  <c r="A3574" i="39"/>
  <c r="C3573" i="39"/>
  <c r="C3389" i="39"/>
  <c r="A3389" i="39"/>
  <c r="C3333" i="39"/>
  <c r="A3333" i="39"/>
  <c r="C3228" i="39"/>
  <c r="A3228" i="39"/>
  <c r="C2948" i="39"/>
  <c r="A2948" i="39"/>
  <c r="C2903" i="39"/>
  <c r="A2903" i="39"/>
  <c r="A3444" i="39"/>
  <c r="C3444" i="39"/>
  <c r="C3394" i="39"/>
  <c r="A3394" i="39"/>
  <c r="C3128" i="39"/>
  <c r="A3128" i="39"/>
  <c r="A3667" i="39"/>
  <c r="C3279" i="39"/>
  <c r="A3279" i="39"/>
  <c r="C3553" i="39"/>
  <c r="A3506" i="39"/>
  <c r="C3506" i="39"/>
  <c r="C3457" i="39"/>
  <c r="A3457" i="39"/>
  <c r="A3456" i="39"/>
  <c r="C3456" i="39"/>
  <c r="A3436" i="39"/>
  <c r="C3436" i="39"/>
  <c r="C3418" i="39"/>
  <c r="A3418" i="39"/>
  <c r="A3614" i="39"/>
  <c r="C3614" i="39"/>
  <c r="C3589" i="39"/>
  <c r="A3578" i="39"/>
  <c r="C3578" i="39"/>
  <c r="A3542" i="39"/>
  <c r="C3542" i="39"/>
  <c r="C3517" i="39"/>
  <c r="A3489" i="39"/>
  <c r="C3489" i="39"/>
  <c r="A3363" i="39"/>
  <c r="C3363" i="39"/>
  <c r="C3351" i="39"/>
  <c r="A3351" i="39"/>
  <c r="C3243" i="39"/>
  <c r="A3243" i="39"/>
  <c r="C3087" i="39"/>
  <c r="A3087" i="39"/>
  <c r="C3005" i="39"/>
  <c r="A3005" i="39"/>
  <c r="A2971" i="39"/>
  <c r="C2971" i="39"/>
  <c r="A2915" i="39"/>
  <c r="C2915" i="39"/>
  <c r="C3652" i="39"/>
  <c r="C3297" i="39"/>
  <c r="A3297" i="39"/>
  <c r="C3633" i="39"/>
  <c r="C3403" i="39"/>
  <c r="A3403" i="39"/>
  <c r="A3493" i="39"/>
  <c r="C3493" i="39"/>
  <c r="C3465" i="39"/>
  <c r="A3465" i="39"/>
  <c r="C3139" i="39"/>
  <c r="A3139" i="39"/>
  <c r="C3039" i="39"/>
  <c r="A3039" i="39"/>
  <c r="A3721" i="39"/>
  <c r="C3637" i="39"/>
  <c r="C3617" i="39"/>
  <c r="C3597" i="39"/>
  <c r="C3525" i="39"/>
  <c r="A3509" i="39"/>
  <c r="C3509" i="39"/>
  <c r="C3433" i="39"/>
  <c r="A3433" i="39"/>
  <c r="A3432" i="39"/>
  <c r="C3432" i="39"/>
  <c r="C3315" i="39"/>
  <c r="A3315" i="39"/>
  <c r="C3688" i="39"/>
  <c r="C3674" i="39"/>
  <c r="C3621" i="39"/>
  <c r="C3581" i="39"/>
  <c r="C3565" i="39"/>
  <c r="C3545" i="39"/>
  <c r="C3453" i="39"/>
  <c r="A3453" i="39"/>
  <c r="C3258" i="39"/>
  <c r="A3258" i="39"/>
  <c r="C3247" i="39"/>
  <c r="A3247" i="39"/>
  <c r="A3236" i="39"/>
  <c r="C3236" i="39"/>
  <c r="C3213" i="39"/>
  <c r="A3213" i="39"/>
  <c r="C3157" i="39"/>
  <c r="A3157" i="39"/>
  <c r="C3124" i="39"/>
  <c r="A3124" i="39"/>
  <c r="C3398" i="39"/>
  <c r="C3388" i="39"/>
  <c r="C3354" i="39"/>
  <c r="C3336" i="39"/>
  <c r="C3318" i="39"/>
  <c r="C3300" i="39"/>
  <c r="C3282" i="39"/>
  <c r="C3261" i="39"/>
  <c r="C3254" i="39"/>
  <c r="C3250" i="39"/>
  <c r="C3239" i="39"/>
  <c r="C3231" i="39"/>
  <c r="C3220" i="39"/>
  <c r="C3216" i="39"/>
  <c r="C3197" i="39"/>
  <c r="C3174" i="39"/>
  <c r="C3170" i="39"/>
  <c r="C3142" i="39"/>
  <c r="C3069" i="39"/>
  <c r="C3058" i="39"/>
  <c r="A3058" i="39"/>
  <c r="C3044" i="39"/>
  <c r="C3038" i="39"/>
  <c r="C3004" i="39"/>
  <c r="C2999" i="39"/>
  <c r="C2947" i="39"/>
  <c r="A2947" i="39"/>
  <c r="C2934" i="39"/>
  <c r="C2928" i="39"/>
  <c r="C2914" i="39"/>
  <c r="A2914" i="39"/>
  <c r="A2896" i="39"/>
  <c r="C2896" i="39"/>
  <c r="A2879" i="39"/>
  <c r="C2879" i="39"/>
  <c r="A2792" i="39"/>
  <c r="C2792" i="39"/>
  <c r="A3362" i="39"/>
  <c r="A3021" i="39"/>
  <c r="A2987" i="39"/>
  <c r="A2913" i="39"/>
  <c r="C2913" i="39"/>
  <c r="A2908" i="39"/>
  <c r="A2849" i="39"/>
  <c r="C2849" i="39"/>
  <c r="A2804" i="39"/>
  <c r="C2804" i="39"/>
  <c r="C2803" i="39"/>
  <c r="A2803" i="39"/>
  <c r="C3723" i="39"/>
  <c r="C3716" i="39"/>
  <c r="C3705" i="39"/>
  <c r="C3698" i="39"/>
  <c r="C3687" i="39"/>
  <c r="C3680" i="39"/>
  <c r="C3669" i="39"/>
  <c r="C3662" i="39"/>
  <c r="C3651" i="39"/>
  <c r="C3644" i="39"/>
  <c r="C3624" i="39"/>
  <c r="C3616" i="39"/>
  <c r="C3612" i="39"/>
  <c r="C3588" i="39"/>
  <c r="C3580" i="39"/>
  <c r="C3576" i="39"/>
  <c r="C3552" i="39"/>
  <c r="C3544" i="39"/>
  <c r="C3540" i="39"/>
  <c r="C3516" i="39"/>
  <c r="C3508" i="39"/>
  <c r="C3504" i="39"/>
  <c r="C3484" i="39"/>
  <c r="C3447" i="39"/>
  <c r="C3439" i="39"/>
  <c r="C3435" i="39"/>
  <c r="C3420" i="39"/>
  <c r="C3413" i="39"/>
  <c r="A3387" i="39"/>
  <c r="C3376" i="39"/>
  <c r="A3371" i="39"/>
  <c r="C3370" i="39"/>
  <c r="C3361" i="39"/>
  <c r="A3350" i="39"/>
  <c r="C3346" i="39"/>
  <c r="A3332" i="39"/>
  <c r="C3328" i="39"/>
  <c r="A3314" i="39"/>
  <c r="C3310" i="39"/>
  <c r="A3296" i="39"/>
  <c r="C3292" i="39"/>
  <c r="A3278" i="39"/>
  <c r="C3274" i="39"/>
  <c r="C3253" i="39"/>
  <c r="C3249" i="39"/>
  <c r="C3238" i="39"/>
  <c r="C3234" i="39"/>
  <c r="C3219" i="39"/>
  <c r="C3200" i="39"/>
  <c r="C3196" i="39"/>
  <c r="A3156" i="39"/>
  <c r="A3138" i="39"/>
  <c r="A3061" i="39"/>
  <c r="C3009" i="39"/>
  <c r="A3009" i="39"/>
  <c r="A2952" i="39"/>
  <c r="C2952" i="39"/>
  <c r="A2895" i="39"/>
  <c r="C2895" i="39"/>
  <c r="A2867" i="39"/>
  <c r="C2867" i="39"/>
  <c r="A2843" i="39"/>
  <c r="C2843" i="39"/>
  <c r="A3111" i="39"/>
  <c r="A3099" i="39"/>
  <c r="A3090" i="39"/>
  <c r="A3081" i="39"/>
  <c r="A3072" i="39"/>
  <c r="C3037" i="39"/>
  <c r="C3025" i="39"/>
  <c r="A2945" i="39"/>
  <c r="C2932" i="39"/>
  <c r="C2912" i="39"/>
  <c r="A2907" i="39"/>
  <c r="C2907" i="39"/>
  <c r="A2901" i="39"/>
  <c r="C2901" i="39"/>
  <c r="A2889" i="39"/>
  <c r="C2889" i="39"/>
  <c r="C3726" i="39"/>
  <c r="C3719" i="39"/>
  <c r="C3708" i="39"/>
  <c r="C3701" i="39"/>
  <c r="C3690" i="39"/>
  <c r="C3683" i="39"/>
  <c r="C3672" i="39"/>
  <c r="C3665" i="39"/>
  <c r="C3654" i="39"/>
  <c r="C3647" i="39"/>
  <c r="C3483" i="39"/>
  <c r="C3475" i="39"/>
  <c r="C3471" i="39"/>
  <c r="C3451" i="39"/>
  <c r="C3438" i="39"/>
  <c r="C3423" i="39"/>
  <c r="C3416" i="39"/>
  <c r="C3405" i="39"/>
  <c r="C3396" i="39"/>
  <c r="C3375" i="39"/>
  <c r="A3353" i="39"/>
  <c r="C3349" i="39"/>
  <c r="A3335" i="39"/>
  <c r="C3331" i="39"/>
  <c r="A3317" i="39"/>
  <c r="A3299" i="39"/>
  <c r="A3281" i="39"/>
  <c r="A3159" i="39"/>
  <c r="C3089" i="39"/>
  <c r="C3080" i="39"/>
  <c r="C3071" i="39"/>
  <c r="C3060" i="39"/>
  <c r="C3048" i="39"/>
  <c r="C3007" i="39"/>
  <c r="C2968" i="39"/>
  <c r="C3203" i="39"/>
  <c r="C3176" i="39"/>
  <c r="A3019" i="39"/>
  <c r="C3019" i="39"/>
  <c r="A2906" i="39"/>
  <c r="C2906" i="39"/>
  <c r="C2893" i="39"/>
  <c r="A2893" i="39"/>
  <c r="A2888" i="39"/>
  <c r="C2888" i="39"/>
  <c r="C2877" i="39"/>
  <c r="C3722" i="39"/>
  <c r="C3711" i="39"/>
  <c r="C3704" i="39"/>
  <c r="C3693" i="39"/>
  <c r="C3686" i="39"/>
  <c r="C3675" i="39"/>
  <c r="C3668" i="39"/>
  <c r="C3657" i="39"/>
  <c r="C3650" i="39"/>
  <c r="C3631" i="39"/>
  <c r="C3623" i="39"/>
  <c r="C3611" i="39"/>
  <c r="C3595" i="39"/>
  <c r="C3587" i="39"/>
  <c r="C3575" i="39"/>
  <c r="C3523" i="39"/>
  <c r="C3515" i="39"/>
  <c r="C3503" i="39"/>
  <c r="C3487" i="39"/>
  <c r="C3474" i="39"/>
  <c r="C3462" i="39"/>
  <c r="C3454" i="39"/>
  <c r="C3450" i="39"/>
  <c r="C3442" i="39"/>
  <c r="C3434" i="39"/>
  <c r="C3430" i="39"/>
  <c r="C3426" i="39"/>
  <c r="C3419" i="39"/>
  <c r="C3408" i="39"/>
  <c r="C3385" i="39"/>
  <c r="C3364" i="39"/>
  <c r="A3356" i="39"/>
  <c r="C3352" i="39"/>
  <c r="A3338" i="39"/>
  <c r="C3334" i="39"/>
  <c r="C3316" i="39"/>
  <c r="C3298" i="39"/>
  <c r="C3280" i="39"/>
  <c r="C3259" i="39"/>
  <c r="C3248" i="39"/>
  <c r="C3244" i="39"/>
  <c r="C3229" i="39"/>
  <c r="C3225" i="39"/>
  <c r="C3214" i="39"/>
  <c r="C3210" i="39"/>
  <c r="C3183" i="39"/>
  <c r="C3158" i="39"/>
  <c r="C3140" i="39"/>
  <c r="C3125" i="39"/>
  <c r="A3067" i="39"/>
  <c r="C3063" i="39"/>
  <c r="C3047" i="39"/>
  <c r="A2853" i="39"/>
  <c r="C2853" i="39"/>
  <c r="C2967" i="39"/>
  <c r="A2967" i="39"/>
  <c r="A2871" i="39"/>
  <c r="C2871" i="39"/>
  <c r="C3725" i="39"/>
  <c r="C3707" i="39"/>
  <c r="C3689" i="39"/>
  <c r="C3671" i="39"/>
  <c r="C3653" i="39"/>
  <c r="C3470" i="39"/>
  <c r="C3437" i="39"/>
  <c r="C3422" i="39"/>
  <c r="C3399" i="39"/>
  <c r="C3384" i="39"/>
  <c r="A3368" i="39"/>
  <c r="A3359" i="39"/>
  <c r="A3341" i="39"/>
  <c r="A3323" i="39"/>
  <c r="A3305" i="39"/>
  <c r="A3287" i="39"/>
  <c r="A3269" i="39"/>
  <c r="C3221" i="39"/>
  <c r="A3162" i="39"/>
  <c r="A3147" i="39"/>
  <c r="A3097" i="39"/>
  <c r="A3088" i="39"/>
  <c r="A3079" i="39"/>
  <c r="C3051" i="39"/>
  <c r="A3040" i="39"/>
  <c r="C3040" i="39"/>
  <c r="A3035" i="39"/>
  <c r="C3012" i="39"/>
  <c r="A2973" i="39"/>
  <c r="C2972" i="39"/>
  <c r="A2960" i="39"/>
  <c r="C2904" i="39"/>
  <c r="C2881" i="39"/>
  <c r="A2858" i="39"/>
  <c r="C2858" i="39"/>
  <c r="A2852" i="39"/>
  <c r="C2852" i="39"/>
  <c r="A2813" i="39"/>
  <c r="C2813" i="39"/>
  <c r="A2942" i="39"/>
  <c r="C2942" i="39"/>
  <c r="A2886" i="39"/>
  <c r="C2886" i="39"/>
  <c r="A2870" i="39"/>
  <c r="C2870" i="39"/>
  <c r="C2857" i="39"/>
  <c r="A2857" i="39"/>
  <c r="A2837" i="39"/>
  <c r="C2837" i="39"/>
  <c r="C2865" i="39"/>
  <c r="C2860" i="39"/>
  <c r="C2847" i="39"/>
  <c r="C2810" i="39"/>
  <c r="C2801" i="39"/>
  <c r="C3030" i="39"/>
  <c r="C2946" i="39"/>
  <c r="C2931" i="39"/>
  <c r="C2922" i="39"/>
  <c r="C2831" i="39"/>
  <c r="A2809" i="39"/>
  <c r="C2789" i="39"/>
  <c r="C2941" i="39"/>
  <c r="C2828" i="39"/>
  <c r="C2819" i="39"/>
  <c r="C2786" i="39"/>
  <c r="A2854" i="39"/>
  <c r="C2807" i="39"/>
  <c r="A2797" i="39"/>
  <c r="C3638" i="39"/>
  <c r="C3620" i="39"/>
  <c r="C3602" i="39"/>
  <c r="C3584" i="39"/>
  <c r="C3566" i="39"/>
  <c r="C3548" i="39"/>
  <c r="C3530" i="39"/>
  <c r="C3512" i="39"/>
  <c r="C3494" i="39"/>
  <c r="C3476" i="39"/>
  <c r="C3458" i="39"/>
  <c r="C3440" i="39"/>
  <c r="C3378" i="39"/>
  <c r="A3378" i="39"/>
  <c r="C3626" i="39"/>
  <c r="C3608" i="39"/>
  <c r="C3590" i="39"/>
  <c r="C3572" i="39"/>
  <c r="C3554" i="39"/>
  <c r="C3536" i="39"/>
  <c r="C3518" i="39"/>
  <c r="C3500" i="39"/>
  <c r="C3482" i="39"/>
  <c r="C3464" i="39"/>
  <c r="C3446" i="39"/>
  <c r="C3485" i="39"/>
  <c r="C3467" i="39"/>
  <c r="C3449" i="39"/>
  <c r="C3360" i="39"/>
  <c r="A3360" i="39"/>
  <c r="A3227" i="39"/>
  <c r="C3227" i="39"/>
  <c r="A3245" i="39"/>
  <c r="C3245" i="39"/>
  <c r="A3374" i="39"/>
  <c r="A3377" i="39"/>
  <c r="C3233" i="39"/>
  <c r="C3369" i="39"/>
  <c r="C3251" i="39"/>
  <c r="C3218" i="39"/>
  <c r="A3173" i="39"/>
  <c r="C3173" i="39"/>
  <c r="A3383" i="39"/>
  <c r="A3191" i="39"/>
  <c r="C3191" i="39"/>
  <c r="A3386" i="39"/>
  <c r="A3209" i="39"/>
  <c r="C3209" i="39"/>
  <c r="C3194" i="39"/>
  <c r="C2964" i="39"/>
  <c r="A2964" i="39"/>
  <c r="C2389" i="39"/>
  <c r="C3000" i="39"/>
  <c r="A3000" i="39"/>
  <c r="C3036" i="39"/>
  <c r="A3036" i="39"/>
  <c r="A2778" i="39"/>
  <c r="C2778" i="39"/>
  <c r="C2982" i="39"/>
  <c r="A2982" i="39"/>
  <c r="C3167" i="39"/>
  <c r="C2827" i="39"/>
  <c r="A2827" i="39"/>
  <c r="C3018" i="39"/>
  <c r="A3018" i="39"/>
  <c r="C2943" i="39"/>
  <c r="C3046" i="39"/>
  <c r="C3028" i="39"/>
  <c r="C3010" i="39"/>
  <c r="C2992" i="39"/>
  <c r="C2974" i="39"/>
  <c r="C2938" i="39"/>
  <c r="A2826" i="39"/>
  <c r="C2826" i="39"/>
  <c r="C3049" i="39"/>
  <c r="C3031" i="39"/>
  <c r="C3013" i="39"/>
  <c r="C2995" i="39"/>
  <c r="C2977" i="39"/>
  <c r="C2959" i="39"/>
  <c r="C2905" i="39"/>
  <c r="A2796" i="39"/>
  <c r="C2796" i="39"/>
  <c r="C2421" i="39"/>
  <c r="C2092" i="39"/>
  <c r="C3034" i="39"/>
  <c r="C3016" i="39"/>
  <c r="C2998" i="39"/>
  <c r="C2980" i="39"/>
  <c r="C2962" i="39"/>
  <c r="C2842" i="39"/>
  <c r="A2802" i="39"/>
  <c r="C2802" i="39"/>
  <c r="C2179" i="39"/>
  <c r="C2701" i="39"/>
  <c r="C3033" i="39"/>
  <c r="C3015" i="39"/>
  <c r="C2997" i="39"/>
  <c r="C2979" i="39"/>
  <c r="C2961" i="39"/>
  <c r="C2949" i="39"/>
  <c r="A2940" i="39"/>
  <c r="C2940" i="39"/>
  <c r="A2875" i="39"/>
  <c r="A2820" i="39"/>
  <c r="C2820" i="39"/>
  <c r="A2779" i="39"/>
  <c r="C2212" i="39"/>
  <c r="C2211" i="39"/>
  <c r="C2084" i="39"/>
  <c r="A2832" i="39"/>
  <c r="C2832" i="39"/>
  <c r="A2808" i="39"/>
  <c r="C2808" i="39"/>
  <c r="A2784" i="39"/>
  <c r="C2784" i="39"/>
  <c r="C2452" i="39"/>
  <c r="A2839" i="39"/>
  <c r="A2815" i="39"/>
  <c r="A2791" i="39"/>
  <c r="C2955" i="39"/>
  <c r="C2937" i="39"/>
  <c r="A2838" i="39"/>
  <c r="C2838" i="39"/>
  <c r="A2814" i="39"/>
  <c r="C2814" i="39"/>
  <c r="A2790" i="39"/>
  <c r="C2790" i="39"/>
  <c r="C2482" i="39"/>
  <c r="C2326" i="39"/>
  <c r="C2123" i="39"/>
  <c r="C2836" i="39"/>
  <c r="C2830" i="39"/>
  <c r="C2824" i="39"/>
  <c r="C2818" i="39"/>
  <c r="C2812" i="39"/>
  <c r="C2806" i="39"/>
  <c r="C2800" i="39"/>
  <c r="C2794" i="39"/>
  <c r="C2788" i="39"/>
  <c r="C2782" i="39"/>
  <c r="C2776" i="39"/>
  <c r="C2689" i="39"/>
  <c r="C2477" i="39"/>
  <c r="C2448" i="39"/>
  <c r="C2419" i="39"/>
  <c r="C2383" i="39"/>
  <c r="C2271" i="39"/>
  <c r="C2206" i="39"/>
  <c r="C2175" i="39"/>
  <c r="C2119" i="39"/>
  <c r="C2066" i="39"/>
  <c r="A2841" i="39"/>
  <c r="A2835" i="39"/>
  <c r="C2835" i="39"/>
  <c r="A2829" i="39"/>
  <c r="C2829" i="39"/>
  <c r="A2823" i="39"/>
  <c r="C2823" i="39"/>
  <c r="A2817" i="39"/>
  <c r="C2817" i="39"/>
  <c r="A2811" i="39"/>
  <c r="C2811" i="39"/>
  <c r="A2805" i="39"/>
  <c r="C2805" i="39"/>
  <c r="A2799" i="39"/>
  <c r="C2799" i="39"/>
  <c r="A2793" i="39"/>
  <c r="C2793" i="39"/>
  <c r="A2787" i="39"/>
  <c r="C2787" i="39"/>
  <c r="A2781" i="39"/>
  <c r="C2781" i="39"/>
  <c r="C2769" i="39"/>
  <c r="C2685" i="39"/>
  <c r="C2468" i="39"/>
  <c r="C2442" i="39"/>
  <c r="C2418" i="39"/>
  <c r="C2366" i="39"/>
  <c r="C2258" i="39"/>
  <c r="C2198" i="39"/>
  <c r="C2157" i="39"/>
  <c r="C2108" i="39"/>
  <c r="C541" i="39"/>
  <c r="C2840" i="39"/>
  <c r="C2" i="39"/>
  <c r="A3" i="39"/>
  <c r="A4" i="39" s="1"/>
  <c r="A5" i="39" s="1"/>
  <c r="A6" i="39" s="1"/>
  <c r="A7" i="39" s="1"/>
  <c r="A8" i="39" s="1"/>
  <c r="A9" i="39" s="1"/>
  <c r="A10" i="39" s="1"/>
  <c r="A11" i="39" s="1"/>
  <c r="A12" i="39" s="1"/>
  <c r="A13" i="39" s="1"/>
  <c r="A14" i="39" s="1"/>
  <c r="A15" i="39" s="1"/>
  <c r="A16" i="39" s="1"/>
  <c r="A17" i="39" s="1"/>
  <c r="A18" i="39" s="1"/>
  <c r="A19" i="39" s="1"/>
  <c r="A20" i="39" s="1"/>
  <c r="A21" i="39" s="1"/>
  <c r="A22" i="39" s="1"/>
  <c r="A23" i="39" s="1"/>
  <c r="A24" i="39" s="1"/>
  <c r="A25" i="39" s="1"/>
  <c r="A26" i="39" s="1"/>
  <c r="A27" i="39" s="1"/>
  <c r="A28" i="39" s="1"/>
  <c r="A29" i="39" s="1"/>
  <c r="A30" i="39" s="1"/>
  <c r="A31" i="39" s="1"/>
  <c r="A32" i="39" s="1"/>
  <c r="A33" i="39" s="1"/>
  <c r="A34" i="39" s="1"/>
  <c r="A35" i="39" s="1"/>
  <c r="A36" i="39" s="1"/>
  <c r="A37" i="39" s="1"/>
  <c r="A38" i="39" s="1"/>
  <c r="A39" i="39" s="1"/>
  <c r="A40" i="39" s="1"/>
  <c r="A41" i="39" s="1"/>
  <c r="A42" i="39" s="1"/>
  <c r="A43" i="39" s="1"/>
  <c r="A44" i="39" s="1"/>
  <c r="A45" i="39" s="1"/>
  <c r="A46" i="39" s="1"/>
  <c r="A47" i="39" s="1"/>
  <c r="A48" i="39" s="1"/>
  <c r="A49" i="39" s="1"/>
  <c r="A50" i="39" s="1"/>
  <c r="A51" i="39" s="1"/>
  <c r="A52" i="39" s="1"/>
  <c r="A53" i="39" s="1"/>
  <c r="A54" i="39" s="1"/>
  <c r="A55" i="39" s="1"/>
  <c r="A56" i="39" s="1"/>
  <c r="A57" i="39" s="1"/>
  <c r="A58" i="39" s="1"/>
  <c r="A59" i="39" s="1"/>
  <c r="A60" i="39" s="1"/>
  <c r="A61" i="39" s="1"/>
  <c r="A62" i="39" s="1"/>
  <c r="A63" i="39" s="1"/>
  <c r="A64" i="39" s="1"/>
  <c r="A65" i="39" s="1"/>
  <c r="A66" i="39" s="1"/>
  <c r="A67" i="39" s="1"/>
  <c r="A68" i="39" s="1"/>
  <c r="A69" i="39" s="1"/>
  <c r="A70" i="39" s="1"/>
  <c r="A71" i="39" s="1"/>
  <c r="A72" i="39" s="1"/>
  <c r="A73" i="39" s="1"/>
  <c r="A74" i="39" s="1"/>
  <c r="A75" i="39" s="1"/>
  <c r="A76" i="39" s="1"/>
  <c r="A77" i="39" s="1"/>
  <c r="A78" i="39" s="1"/>
  <c r="A79" i="39" s="1"/>
  <c r="A80" i="39" s="1"/>
  <c r="A81" i="39" s="1"/>
  <c r="A82" i="39" s="1"/>
  <c r="A83" i="39" s="1"/>
  <c r="A84" i="39" s="1"/>
  <c r="A85" i="39" s="1"/>
  <c r="A86" i="39" s="1"/>
  <c r="A87" i="39" s="1"/>
  <c r="A88" i="39" s="1"/>
  <c r="A89" i="39" s="1"/>
  <c r="A90" i="39" s="1"/>
  <c r="A91" i="39" s="1"/>
  <c r="A92" i="39" s="1"/>
  <c r="A93" i="39" s="1"/>
  <c r="A94" i="39" s="1"/>
  <c r="A95" i="39" s="1"/>
  <c r="A96" i="39" s="1"/>
  <c r="A97" i="39" s="1"/>
  <c r="A98" i="39" s="1"/>
  <c r="A99" i="39" s="1"/>
  <c r="A100" i="39" s="1"/>
  <c r="A101" i="39" s="1"/>
  <c r="A102" i="39" s="1"/>
  <c r="A103" i="39" s="1"/>
  <c r="A104" i="39" s="1"/>
  <c r="A105" i="39" s="1"/>
  <c r="A106" i="39" s="1"/>
  <c r="A107" i="39" s="1"/>
  <c r="A108" i="39" s="1"/>
  <c r="A109" i="39" s="1"/>
  <c r="A110" i="39" s="1"/>
  <c r="A111" i="39" s="1"/>
  <c r="A112" i="39" s="1"/>
  <c r="A113" i="39" s="1"/>
  <c r="A114" i="39" s="1"/>
  <c r="A115" i="39" s="1"/>
  <c r="A116" i="39" s="1"/>
  <c r="A117" i="39" s="1"/>
  <c r="A118" i="39" s="1"/>
  <c r="A119" i="39" s="1"/>
  <c r="A120" i="39" s="1"/>
  <c r="A121" i="39" s="1"/>
  <c r="A122" i="39" s="1"/>
  <c r="A123" i="39" s="1"/>
  <c r="A124" i="39" s="1"/>
  <c r="A125" i="39" s="1"/>
  <c r="A126" i="39" s="1"/>
  <c r="A127" i="39" s="1"/>
  <c r="A128" i="39" s="1"/>
  <c r="A129" i="39" s="1"/>
  <c r="A130" i="39" s="1"/>
  <c r="A131" i="39" s="1"/>
  <c r="A132" i="39" s="1"/>
  <c r="A133" i="39" s="1"/>
  <c r="A134" i="39" s="1"/>
  <c r="A135" i="39" s="1"/>
  <c r="A136" i="39" s="1"/>
  <c r="A137" i="39" s="1"/>
  <c r="A138" i="39" s="1"/>
  <c r="A139" i="39" s="1"/>
  <c r="A140" i="39" s="1"/>
  <c r="A141" i="39" s="1"/>
  <c r="A142" i="39" s="1"/>
  <c r="A143" i="39" s="1"/>
  <c r="A144" i="39" s="1"/>
  <c r="A145" i="39" s="1"/>
  <c r="A146" i="39" s="1"/>
  <c r="A147" i="39" s="1"/>
  <c r="A148" i="39" s="1"/>
  <c r="A149" i="39" s="1"/>
  <c r="A150" i="39" s="1"/>
  <c r="A151" i="39" s="1"/>
  <c r="A152" i="39" s="1"/>
  <c r="A153" i="39" s="1"/>
  <c r="A154" i="39" s="1"/>
  <c r="A155" i="39" s="1"/>
  <c r="A156" i="39" s="1"/>
  <c r="A157" i="39" s="1"/>
  <c r="A158" i="39" s="1"/>
  <c r="A159" i="39" s="1"/>
  <c r="A160" i="39" s="1"/>
  <c r="A161" i="39" s="1"/>
  <c r="A162" i="39" s="1"/>
  <c r="A163" i="39" s="1"/>
  <c r="A164" i="39" s="1"/>
  <c r="A165" i="39" s="1"/>
  <c r="A166" i="39" s="1"/>
  <c r="A167" i="39" s="1"/>
  <c r="A168" i="39" s="1"/>
  <c r="A169" i="39" s="1"/>
  <c r="A170" i="39" s="1"/>
  <c r="A171" i="39" s="1"/>
  <c r="A172" i="39" s="1"/>
  <c r="A173" i="39" s="1"/>
  <c r="A174" i="39" s="1"/>
  <c r="A175" i="39" s="1"/>
  <c r="A176" i="39" s="1"/>
  <c r="A177" i="39" s="1"/>
  <c r="A178" i="39" s="1"/>
  <c r="A179" i="39" s="1"/>
  <c r="A180" i="39" s="1"/>
  <c r="A181" i="39" s="1"/>
  <c r="A182" i="39" s="1"/>
  <c r="A183" i="39" s="1"/>
  <c r="A184" i="39" s="1"/>
  <c r="A185" i="39" s="1"/>
  <c r="A186" i="39" s="1"/>
  <c r="A187" i="39" s="1"/>
  <c r="A188" i="39" s="1"/>
  <c r="A189" i="39" s="1"/>
  <c r="A190" i="39" s="1"/>
  <c r="A191" i="39" s="1"/>
  <c r="A192" i="39" s="1"/>
  <c r="A193" i="39" s="1"/>
  <c r="A194" i="39" s="1"/>
  <c r="A195" i="39" s="1"/>
  <c r="A196" i="39" s="1"/>
  <c r="A197" i="39" s="1"/>
  <c r="A198" i="39" s="1"/>
  <c r="A199" i="39" s="1"/>
  <c r="A200" i="39" s="1"/>
  <c r="A201" i="39" s="1"/>
  <c r="A202" i="39" s="1"/>
  <c r="C2412" i="39"/>
  <c r="C2394" i="39"/>
  <c r="C2376" i="39"/>
  <c r="C2358" i="39"/>
  <c r="C2340" i="39"/>
  <c r="C2227" i="39"/>
  <c r="C1897" i="39"/>
  <c r="C2300" i="39"/>
  <c r="C2293" i="39"/>
  <c r="C2166" i="39"/>
  <c r="C2130" i="39"/>
  <c r="C2094" i="39"/>
  <c r="C2049" i="39"/>
  <c r="C2016" i="39"/>
  <c r="C2433" i="39"/>
  <c r="C2415" i="39"/>
  <c r="C2397" i="39"/>
  <c r="C2379" i="39"/>
  <c r="C2361" i="39"/>
  <c r="C2343" i="39"/>
  <c r="C2325" i="39"/>
  <c r="C2274" i="39"/>
  <c r="C2202" i="39"/>
  <c r="C2038" i="39"/>
  <c r="C2155" i="39"/>
  <c r="C2083" i="39"/>
  <c r="C1886" i="39"/>
  <c r="C2318" i="39"/>
  <c r="C2308" i="39"/>
  <c r="C2279" i="39"/>
  <c r="C2272" i="39"/>
  <c r="C2200" i="39"/>
  <c r="C2143" i="39"/>
  <c r="C2107" i="39"/>
  <c r="C2071" i="39"/>
  <c r="C1923" i="39"/>
  <c r="C2454" i="39"/>
  <c r="C2436" i="39"/>
  <c r="C2400" i="39"/>
  <c r="C2382" i="39"/>
  <c r="C2364" i="39"/>
  <c r="C2346" i="39"/>
  <c r="C2328" i="39"/>
  <c r="C2323" i="39"/>
  <c r="C2054" i="39"/>
  <c r="C2289" i="39"/>
  <c r="C2251" i="39"/>
  <c r="C2191" i="39"/>
  <c r="C2154" i="39"/>
  <c r="C2118" i="39"/>
  <c r="C2082" i="39"/>
  <c r="C1971" i="39"/>
  <c r="C1969" i="39"/>
  <c r="C2439" i="39"/>
  <c r="C2403" i="39"/>
  <c r="C2385" i="39"/>
  <c r="C2367" i="39"/>
  <c r="C2349" i="39"/>
  <c r="C2331" i="39"/>
  <c r="C2263" i="39"/>
  <c r="C2249" i="39"/>
  <c r="C2180" i="39"/>
  <c r="C2019" i="39"/>
  <c r="C2299" i="39"/>
  <c r="C2287" i="39"/>
  <c r="C2268" i="39"/>
  <c r="C2167" i="39"/>
  <c r="C2131" i="39"/>
  <c r="C2095" i="39"/>
  <c r="C2773" i="39"/>
  <c r="C2770" i="39"/>
  <c r="C2764" i="39"/>
  <c r="C2761" i="39"/>
  <c r="C2758" i="39"/>
  <c r="C2755" i="39"/>
  <c r="C2752" i="39"/>
  <c r="C2749" i="39"/>
  <c r="C2746" i="39"/>
  <c r="C2743" i="39"/>
  <c r="C2740" i="39"/>
  <c r="C2737" i="39"/>
  <c r="C2734" i="39"/>
  <c r="C2731" i="39"/>
  <c r="C2728" i="39"/>
  <c r="C2725" i="39"/>
  <c r="C2722" i="39"/>
  <c r="C2719" i="39"/>
  <c r="C2716" i="39"/>
  <c r="C2713" i="39"/>
  <c r="C2710" i="39"/>
  <c r="C2707" i="39"/>
  <c r="C2704" i="39"/>
  <c r="C2698" i="39"/>
  <c r="C2695" i="39"/>
  <c r="C2692" i="39"/>
  <c r="C2686" i="39"/>
  <c r="C2683" i="39"/>
  <c r="C2680" i="39"/>
  <c r="C2677" i="39"/>
  <c r="C2674" i="39"/>
  <c r="C2671" i="39"/>
  <c r="C2668" i="39"/>
  <c r="C2665" i="39"/>
  <c r="C2662" i="39"/>
  <c r="C2659" i="39"/>
  <c r="C2656" i="39"/>
  <c r="C2653" i="39"/>
  <c r="C2650" i="39"/>
  <c r="C2647" i="39"/>
  <c r="C2644" i="39"/>
  <c r="C2641" i="39"/>
  <c r="C2638" i="39"/>
  <c r="C2635" i="39"/>
  <c r="C2632" i="39"/>
  <c r="C2629" i="39"/>
  <c r="C2626" i="39"/>
  <c r="C2623" i="39"/>
  <c r="C2620" i="39"/>
  <c r="C2617" i="39"/>
  <c r="C2614" i="39"/>
  <c r="C2611" i="39"/>
  <c r="C2608" i="39"/>
  <c r="C2605" i="39"/>
  <c r="C2602" i="39"/>
  <c r="C2599" i="39"/>
  <c r="C2596" i="39"/>
  <c r="C2593" i="39"/>
  <c r="C2590" i="39"/>
  <c r="C2587" i="39"/>
  <c r="C2584" i="39"/>
  <c r="C2581" i="39"/>
  <c r="C2578" i="39"/>
  <c r="C2575" i="39"/>
  <c r="C2572" i="39"/>
  <c r="C2569" i="39"/>
  <c r="C2566" i="39"/>
  <c r="C2563" i="39"/>
  <c r="C2560" i="39"/>
  <c r="C2557" i="39"/>
  <c r="C2554" i="39"/>
  <c r="C2551" i="39"/>
  <c r="C2548" i="39"/>
  <c r="C2545" i="39"/>
  <c r="C2542" i="39"/>
  <c r="C2539" i="39"/>
  <c r="C2536" i="39"/>
  <c r="C2533" i="39"/>
  <c r="C2530" i="39"/>
  <c r="C2527" i="39"/>
  <c r="C2524" i="39"/>
  <c r="C2521" i="39"/>
  <c r="C2518" i="39"/>
  <c r="C2515" i="39"/>
  <c r="C2512" i="39"/>
  <c r="C2509" i="39"/>
  <c r="C2506" i="39"/>
  <c r="C2503" i="39"/>
  <c r="C2500" i="39"/>
  <c r="C2497" i="39"/>
  <c r="C2494" i="39"/>
  <c r="C2491" i="39"/>
  <c r="C2488" i="39"/>
  <c r="C2485" i="39"/>
  <c r="C2479" i="39"/>
  <c r="C2476" i="39"/>
  <c r="C2473" i="39"/>
  <c r="C2470" i="39"/>
  <c r="C2467" i="39"/>
  <c r="C2464" i="39"/>
  <c r="C2461" i="39"/>
  <c r="C2458" i="39"/>
  <c r="C2455" i="39"/>
  <c r="C2450" i="39"/>
  <c r="C2432" i="39"/>
  <c r="C2424" i="39"/>
  <c r="C2414" i="39"/>
  <c r="C2406" i="39"/>
  <c r="C2388" i="39"/>
  <c r="C2378" i="39"/>
  <c r="C2370" i="39"/>
  <c r="C2352" i="39"/>
  <c r="C2342" i="39"/>
  <c r="C2334" i="39"/>
  <c r="C2324" i="39"/>
  <c r="C2314" i="39"/>
  <c r="C2039" i="39"/>
  <c r="C2285" i="39"/>
  <c r="C2278" i="39"/>
  <c r="C2238" i="39"/>
  <c r="C2142" i="39"/>
  <c r="C2070" i="39"/>
  <c r="C2257" i="39"/>
  <c r="C2213" i="39"/>
  <c r="C2445" i="39"/>
  <c r="C2427" i="39"/>
  <c r="C2409" i="39"/>
  <c r="C2391" i="39"/>
  <c r="C2373" i="39"/>
  <c r="C2355" i="39"/>
  <c r="C2337" i="39"/>
  <c r="C2283" i="39"/>
  <c r="C2236" i="39"/>
  <c r="C2222" i="39"/>
  <c r="C2215" i="39"/>
  <c r="C2055" i="39"/>
  <c r="C2264" i="39"/>
  <c r="C2253" i="39"/>
  <c r="C2033" i="39"/>
  <c r="C1796" i="39"/>
  <c r="C1665" i="39"/>
  <c r="C1516" i="39"/>
  <c r="C1490" i="39"/>
  <c r="C1488" i="39"/>
  <c r="C1310" i="39"/>
  <c r="C1308" i="39"/>
  <c r="C2021" i="39"/>
  <c r="C2014" i="39"/>
  <c r="C1809" i="39"/>
  <c r="C1953" i="39"/>
  <c r="C1939" i="39"/>
  <c r="C1937" i="39"/>
  <c r="C1928" i="39"/>
  <c r="C1944" i="39"/>
  <c r="C1917" i="39"/>
  <c r="C1801" i="39"/>
  <c r="C1743" i="39"/>
  <c r="C1683" i="39"/>
  <c r="C2243" i="39"/>
  <c r="C2232" i="39"/>
  <c r="C2207" i="39"/>
  <c r="C2196" i="39"/>
  <c r="C2177" i="39"/>
  <c r="C1968" i="39"/>
  <c r="C1857" i="39"/>
  <c r="C2042" i="39"/>
  <c r="C1896" i="39"/>
  <c r="C1797" i="39"/>
  <c r="C1737" i="39"/>
  <c r="C1989" i="39"/>
  <c r="C2057" i="39"/>
  <c r="C1938" i="39"/>
  <c r="C1927" i="39"/>
  <c r="C1701" i="39"/>
  <c r="C1647" i="39"/>
  <c r="C1980" i="39"/>
  <c r="C1978" i="39"/>
  <c r="C1875" i="39"/>
  <c r="C1742" i="39"/>
  <c r="C1911" i="39"/>
  <c r="C1899" i="39"/>
  <c r="C1878" i="39"/>
  <c r="C1869" i="39"/>
  <c r="C1851" i="39"/>
  <c r="C1833" i="39"/>
  <c r="C1725" i="39"/>
  <c r="C1479" i="39"/>
  <c r="C1827" i="39"/>
  <c r="C1719" i="39"/>
  <c r="C1540" i="39"/>
  <c r="C1484" i="39"/>
  <c r="C1914" i="39"/>
  <c r="C1893" i="39"/>
  <c r="C1881" i="39"/>
  <c r="C1863" i="39"/>
  <c r="C1845" i="39"/>
  <c r="C1761" i="39"/>
  <c r="C1469" i="39"/>
  <c r="C1905" i="39"/>
  <c r="C1779" i="39"/>
  <c r="C1504" i="39"/>
  <c r="C1465" i="39"/>
  <c r="C1463" i="39"/>
  <c r="C1755" i="39"/>
  <c r="C1476" i="39"/>
  <c r="C1358" i="39"/>
  <c r="C1528" i="39"/>
  <c r="C1498" i="39"/>
  <c r="C1427" i="39"/>
  <c r="C1773" i="39"/>
  <c r="C1689" i="39"/>
  <c r="C1671" i="39"/>
  <c r="C1653" i="39"/>
  <c r="C1635" i="39"/>
  <c r="C1935" i="39"/>
  <c r="C1887" i="39"/>
  <c r="C1815" i="39"/>
  <c r="C1707" i="39"/>
  <c r="C1552" i="39"/>
  <c r="C1373" i="39"/>
  <c r="C1791" i="39"/>
  <c r="C84" i="39"/>
  <c r="C1454" i="39"/>
  <c r="C1402" i="39"/>
  <c r="C1400" i="39"/>
  <c r="C1348" i="39"/>
  <c r="C1346" i="39"/>
  <c r="C1184" i="39"/>
  <c r="C1908" i="39"/>
  <c r="C1890" i="39"/>
  <c r="C1872" i="39"/>
  <c r="C1854" i="39"/>
  <c r="C1836" i="39"/>
  <c r="C1818" i="39"/>
  <c r="C1800" i="39"/>
  <c r="C1782" i="39"/>
  <c r="C1764" i="39"/>
  <c r="C1746" i="39"/>
  <c r="C1728" i="39"/>
  <c r="C1710" i="39"/>
  <c r="C1692" i="39"/>
  <c r="C1674" i="39"/>
  <c r="C1656" i="39"/>
  <c r="C1638" i="39"/>
  <c r="C1494" i="39"/>
  <c r="C1459" i="39"/>
  <c r="C1303" i="39"/>
  <c r="C1839" i="39"/>
  <c r="C1821" i="39"/>
  <c r="C1803" i="39"/>
  <c r="C1785" i="39"/>
  <c r="C1767" i="39"/>
  <c r="C1749" i="39"/>
  <c r="C1731" i="39"/>
  <c r="C1713" i="39"/>
  <c r="C1695" i="39"/>
  <c r="C1677" i="39"/>
  <c r="C1659" i="39"/>
  <c r="C1641" i="39"/>
  <c r="C1220" i="39"/>
  <c r="C1076" i="39"/>
  <c r="C1499" i="39"/>
  <c r="C1480" i="39"/>
  <c r="C1229" i="39"/>
  <c r="C1860" i="39"/>
  <c r="C1842" i="39"/>
  <c r="C1824" i="39"/>
  <c r="C1806" i="39"/>
  <c r="C1788" i="39"/>
  <c r="C1770" i="39"/>
  <c r="C1752" i="39"/>
  <c r="C1734" i="39"/>
  <c r="C1716" i="39"/>
  <c r="C1698" i="39"/>
  <c r="C1680" i="39"/>
  <c r="C1662" i="39"/>
  <c r="C1644" i="39"/>
  <c r="C1429" i="39"/>
  <c r="C1375" i="39"/>
  <c r="C1112" i="39"/>
  <c r="C1495" i="39"/>
  <c r="C1474" i="39"/>
  <c r="C1458" i="39"/>
  <c r="C1920" i="39"/>
  <c r="C1902" i="39"/>
  <c r="C1884" i="39"/>
  <c r="C1866" i="39"/>
  <c r="C1848" i="39"/>
  <c r="C1830" i="39"/>
  <c r="C1812" i="39"/>
  <c r="C1794" i="39"/>
  <c r="C1776" i="39"/>
  <c r="C1758" i="39"/>
  <c r="C1740" i="39"/>
  <c r="C1722" i="39"/>
  <c r="C1704" i="39"/>
  <c r="C1686" i="39"/>
  <c r="C1668" i="39"/>
  <c r="C1650" i="39"/>
  <c r="C1632" i="39"/>
  <c r="C1148" i="39"/>
  <c r="C1410" i="39"/>
  <c r="C1405" i="39"/>
  <c r="C1356" i="39"/>
  <c r="C1351" i="39"/>
  <c r="C1292" i="39"/>
  <c r="C1283" i="39"/>
  <c r="C1256" i="39"/>
  <c r="C1290" i="39"/>
  <c r="C1254" i="39"/>
  <c r="C1445" i="39"/>
  <c r="C1391" i="39"/>
  <c r="C1337" i="39"/>
  <c r="C1232" i="39"/>
  <c r="C1196" i="39"/>
  <c r="C1160" i="39"/>
  <c r="C1124" i="39"/>
  <c r="C1088" i="39"/>
  <c r="C1015" i="39"/>
  <c r="C1304" i="39"/>
  <c r="C1428" i="39"/>
  <c r="C1423" i="39"/>
  <c r="C1406" i="39"/>
  <c r="C1374" i="39"/>
  <c r="C1369" i="39"/>
  <c r="C1295" i="39"/>
  <c r="C1268" i="39"/>
  <c r="C1323" i="39"/>
  <c r="C1316" i="39"/>
  <c r="C1266" i="39"/>
  <c r="C1042" i="39"/>
  <c r="C1208" i="39"/>
  <c r="C1172" i="39"/>
  <c r="C1136" i="39"/>
  <c r="C1100" i="39"/>
  <c r="C1040" i="39"/>
  <c r="C1629" i="39"/>
  <c r="C1626" i="39"/>
  <c r="C1623" i="39"/>
  <c r="C1620" i="39"/>
  <c r="C1617" i="39"/>
  <c r="C1614" i="39"/>
  <c r="C1611" i="39"/>
  <c r="C1608" i="39"/>
  <c r="C1605" i="39"/>
  <c r="C1602" i="39"/>
  <c r="C1599" i="39"/>
  <c r="C1596" i="39"/>
  <c r="C1593" i="39"/>
  <c r="C1590" i="39"/>
  <c r="C1587" i="39"/>
  <c r="C1584" i="39"/>
  <c r="C1581" i="39"/>
  <c r="C1578" i="39"/>
  <c r="C1575" i="39"/>
  <c r="C1572" i="39"/>
  <c r="C1569" i="39"/>
  <c r="C1566" i="39"/>
  <c r="C1563" i="39"/>
  <c r="C1560" i="39"/>
  <c r="C1557" i="39"/>
  <c r="C1554" i="39"/>
  <c r="C1551" i="39"/>
  <c r="C1548" i="39"/>
  <c r="C1545" i="39"/>
  <c r="C1542" i="39"/>
  <c r="C1539" i="39"/>
  <c r="C1536" i="39"/>
  <c r="C1533" i="39"/>
  <c r="C1530" i="39"/>
  <c r="C1527" i="39"/>
  <c r="C1524" i="39"/>
  <c r="C1521" i="39"/>
  <c r="C1518" i="39"/>
  <c r="C1515" i="39"/>
  <c r="C1512" i="39"/>
  <c r="C1509" i="39"/>
  <c r="C1506" i="39"/>
  <c r="C1503" i="39"/>
  <c r="C1478" i="39"/>
  <c r="C1467" i="39"/>
  <c r="C1328" i="39"/>
  <c r="C1244" i="39"/>
  <c r="C987" i="39"/>
  <c r="C1446" i="39"/>
  <c r="C1441" i="39"/>
  <c r="C1392" i="39"/>
  <c r="C1387" i="39"/>
  <c r="C1338" i="39"/>
  <c r="C1333" i="39"/>
  <c r="C1280" i="39"/>
  <c r="C1271" i="39"/>
  <c r="C1049" i="39"/>
  <c r="C1278" i="39"/>
  <c r="C1038" i="39"/>
  <c r="C1003" i="39"/>
  <c r="C661" i="39"/>
  <c r="C659" i="39"/>
  <c r="C1029" i="39"/>
  <c r="C1024" i="39"/>
  <c r="C827" i="39"/>
  <c r="C1039" i="39"/>
  <c r="C1013" i="39"/>
  <c r="C845" i="39"/>
  <c r="C755" i="39"/>
  <c r="C1004" i="39"/>
  <c r="C1002" i="39"/>
  <c r="C1065" i="39"/>
  <c r="C1060" i="39"/>
  <c r="C995" i="39"/>
  <c r="C1051" i="39"/>
  <c r="C988" i="39"/>
  <c r="C863" i="39"/>
  <c r="C797" i="39"/>
  <c r="C549" i="39"/>
  <c r="C993" i="39"/>
  <c r="C884" i="39"/>
  <c r="C875" i="39"/>
  <c r="C809" i="39"/>
  <c r="C737" i="39"/>
  <c r="C779" i="39"/>
  <c r="C791" i="39"/>
  <c r="C878" i="39"/>
  <c r="C619" i="39"/>
  <c r="C1055" i="39"/>
  <c r="C1044" i="39"/>
  <c r="C1019" i="39"/>
  <c r="C1008" i="39"/>
  <c r="C983" i="39"/>
  <c r="C851" i="39"/>
  <c r="C833" i="39"/>
  <c r="C761" i="39"/>
  <c r="C773" i="39"/>
  <c r="C643" i="39"/>
  <c r="C641" i="39"/>
  <c r="C881" i="39"/>
  <c r="C872" i="39"/>
  <c r="C856" i="39"/>
  <c r="C838" i="39"/>
  <c r="C815" i="39"/>
  <c r="C650" i="39"/>
  <c r="C679" i="39"/>
  <c r="C677" i="39"/>
  <c r="C606" i="39"/>
  <c r="C260" i="39"/>
  <c r="C697" i="39"/>
  <c r="C695" i="39"/>
  <c r="C715" i="39"/>
  <c r="C713" i="39"/>
  <c r="C646" i="39"/>
  <c r="C595" i="39"/>
  <c r="C561" i="39"/>
  <c r="C664" i="39"/>
  <c r="C631" i="39"/>
  <c r="C629" i="39"/>
  <c r="C568" i="39"/>
  <c r="C682" i="39"/>
  <c r="C642" i="39"/>
  <c r="C618" i="39"/>
  <c r="C700" i="39"/>
  <c r="C660" i="39"/>
  <c r="C656" i="39"/>
  <c r="C718" i="39"/>
  <c r="C678" i="39"/>
  <c r="C674" i="39"/>
  <c r="C607" i="39"/>
  <c r="C696" i="39"/>
  <c r="C692" i="39"/>
  <c r="C542" i="39"/>
  <c r="C714" i="39"/>
  <c r="C710" i="39"/>
  <c r="C630" i="39"/>
  <c r="C495" i="39"/>
  <c r="C455" i="39"/>
  <c r="C707" i="39"/>
  <c r="C689" i="39"/>
  <c r="C671" i="39"/>
  <c r="C653" i="39"/>
  <c r="C640" i="39"/>
  <c r="C628" i="39"/>
  <c r="C616" i="39"/>
  <c r="C604" i="39"/>
  <c r="C592" i="39"/>
  <c r="C547" i="39"/>
  <c r="C430" i="39"/>
  <c r="C361" i="39"/>
  <c r="C578" i="39"/>
  <c r="C481" i="39"/>
  <c r="C583" i="39"/>
  <c r="C531" i="39"/>
  <c r="C524" i="39"/>
  <c r="C463" i="39"/>
  <c r="C325" i="39"/>
  <c r="C567" i="39"/>
  <c r="C560" i="39"/>
  <c r="C536" i="39"/>
  <c r="C477" i="39"/>
  <c r="C470" i="39"/>
  <c r="C517" i="39"/>
  <c r="C496" i="39"/>
  <c r="C459" i="39"/>
  <c r="C634" i="39"/>
  <c r="C622" i="39"/>
  <c r="C610" i="39"/>
  <c r="C598" i="39"/>
  <c r="C572" i="39"/>
  <c r="C289" i="39"/>
  <c r="C231" i="39"/>
  <c r="C632" i="39"/>
  <c r="C553" i="39"/>
  <c r="C410" i="39"/>
  <c r="C532" i="39"/>
  <c r="C525" i="39"/>
  <c r="C637" i="39"/>
  <c r="C625" i="39"/>
  <c r="C613" i="39"/>
  <c r="C601" i="39"/>
  <c r="C589" i="39"/>
  <c r="C506" i="39"/>
  <c r="C434" i="39"/>
  <c r="C397" i="39"/>
  <c r="C60" i="39"/>
  <c r="C229" i="39"/>
  <c r="C511" i="39"/>
  <c r="C500" i="39"/>
  <c r="C489" i="39"/>
  <c r="C464" i="39"/>
  <c r="C453" i="39"/>
  <c r="C440" i="39"/>
  <c r="C400" i="39"/>
  <c r="C364" i="39"/>
  <c r="C263" i="39"/>
  <c r="C207" i="39"/>
  <c r="C143" i="39"/>
  <c r="C72" i="39"/>
  <c r="C584" i="39"/>
  <c r="C573" i="39"/>
  <c r="C548" i="39"/>
  <c r="C537" i="39"/>
  <c r="C512" i="39"/>
  <c r="C501" i="39"/>
  <c r="C476" i="39"/>
  <c r="C465" i="39"/>
  <c r="C184" i="39"/>
  <c r="C382" i="39"/>
  <c r="C206" i="39"/>
  <c r="C421" i="39"/>
  <c r="C108" i="39"/>
  <c r="C36" i="39"/>
  <c r="C196" i="39"/>
  <c r="C12" i="39"/>
  <c r="C346" i="39"/>
  <c r="C328" i="39"/>
  <c r="C310" i="39"/>
  <c r="C292" i="39"/>
  <c r="C274" i="39"/>
  <c r="C232" i="39"/>
  <c r="C204" i="39"/>
  <c r="C96" i="39"/>
  <c r="C48" i="39"/>
  <c r="C403" i="39"/>
  <c r="C385" i="39"/>
  <c r="C367" i="39"/>
  <c r="C349" i="39"/>
  <c r="C331" i="39"/>
  <c r="C313" i="39"/>
  <c r="C295" i="39"/>
  <c r="C277" i="39"/>
  <c r="C259" i="39"/>
  <c r="C209" i="39"/>
  <c r="C179" i="39"/>
  <c r="C120" i="39"/>
  <c r="C195" i="39"/>
  <c r="C24" i="39"/>
  <c r="C161" i="39"/>
  <c r="C118" i="39"/>
  <c r="C106" i="39"/>
  <c r="C94" i="39"/>
  <c r="C82" i="39"/>
  <c r="C70" i="39"/>
  <c r="C58" i="39"/>
  <c r="C46" i="39"/>
  <c r="C34" i="39"/>
  <c r="C22" i="39"/>
  <c r="C10" i="39"/>
  <c r="C121" i="39"/>
  <c r="C109" i="39"/>
  <c r="C97" i="39"/>
  <c r="C85" i="39"/>
  <c r="C73" i="39"/>
  <c r="C61" i="39"/>
  <c r="C49" i="39"/>
  <c r="C37" i="39"/>
  <c r="C25" i="39"/>
  <c r="C13" i="39"/>
  <c r="C6" i="39"/>
  <c r="C255" i="39"/>
  <c r="C230" i="39"/>
  <c r="C219" i="39"/>
  <c r="C194" i="39"/>
  <c r="C183" i="39"/>
  <c r="C124" i="39"/>
  <c r="C112" i="39"/>
  <c r="C100" i="39"/>
  <c r="C88" i="39"/>
  <c r="C76" i="39"/>
  <c r="C64" i="39"/>
  <c r="C52" i="39"/>
  <c r="C40" i="39"/>
  <c r="C28" i="39"/>
  <c r="C16" i="39"/>
  <c r="C4" i="39"/>
  <c r="C236" i="39"/>
  <c r="C225" i="39"/>
  <c r="C200" i="39"/>
  <c r="C189" i="39"/>
  <c r="C127" i="39"/>
  <c r="C115" i="39"/>
  <c r="C103" i="39"/>
  <c r="C91" i="39"/>
  <c r="C79" i="39"/>
  <c r="C67" i="39"/>
  <c r="C55" i="39"/>
  <c r="C43" i="39"/>
  <c r="C31" i="39"/>
  <c r="C19" i="39"/>
  <c r="C7" i="39"/>
  <c r="A203" i="39" l="1"/>
  <c r="A204" i="39" s="1"/>
  <c r="A205" i="39" s="1"/>
  <c r="A206" i="39" s="1"/>
  <c r="A207" i="39" s="1"/>
  <c r="A208" i="39" s="1"/>
  <c r="A209" i="39" s="1"/>
  <c r="A210" i="39" s="1"/>
  <c r="A211" i="39" s="1"/>
  <c r="A212" i="39" s="1"/>
  <c r="A213" i="39" s="1"/>
  <c r="A214" i="39" s="1"/>
  <c r="A215" i="39" s="1"/>
  <c r="A216" i="39" s="1"/>
  <c r="A217" i="39" s="1"/>
  <c r="A218" i="39" s="1"/>
  <c r="A219" i="39" s="1"/>
  <c r="A220" i="39" s="1"/>
  <c r="A221" i="39" s="1"/>
  <c r="A222" i="39" s="1"/>
  <c r="A223" i="39" s="1"/>
  <c r="A224" i="39" s="1"/>
  <c r="A225" i="39" s="1"/>
  <c r="A226" i="39" s="1"/>
  <c r="A227" i="39" s="1"/>
  <c r="A228" i="39" s="1"/>
  <c r="A229" i="39" s="1"/>
  <c r="A230" i="39" s="1"/>
  <c r="A231" i="39" s="1"/>
  <c r="A232" i="39" s="1"/>
  <c r="A233" i="39" s="1"/>
  <c r="A234" i="39" s="1"/>
  <c r="A235" i="39" s="1"/>
  <c r="A236" i="39" s="1"/>
  <c r="A237" i="39" s="1"/>
  <c r="A238" i="39" s="1"/>
  <c r="A239" i="39" s="1"/>
  <c r="A240" i="39" s="1"/>
  <c r="A241" i="39" s="1"/>
  <c r="A242" i="39" s="1"/>
  <c r="A243" i="39" s="1"/>
  <c r="A244" i="39" s="1"/>
  <c r="A245" i="39" s="1"/>
  <c r="A246" i="39" s="1"/>
  <c r="A247" i="39" s="1"/>
  <c r="A248" i="39" s="1"/>
  <c r="A249" i="39" s="1"/>
  <c r="A250" i="39" s="1"/>
  <c r="A251" i="39" s="1"/>
  <c r="A252" i="39" s="1"/>
  <c r="A253" i="39" s="1"/>
  <c r="A254" i="39" s="1"/>
  <c r="A255" i="39" s="1"/>
  <c r="A256" i="39" s="1"/>
  <c r="A257" i="39" s="1"/>
  <c r="A258" i="39" s="1"/>
  <c r="A259" i="39" s="1"/>
  <c r="A260" i="39" s="1"/>
  <c r="A261" i="39" s="1"/>
  <c r="A262" i="39" s="1"/>
  <c r="A263" i="39" s="1"/>
  <c r="A264" i="39" s="1"/>
  <c r="A265" i="39" s="1"/>
  <c r="A266" i="39" s="1"/>
  <c r="A267" i="39" s="1"/>
  <c r="A268" i="39" s="1"/>
  <c r="A269" i="39" s="1"/>
  <c r="A270" i="39" s="1"/>
  <c r="A271" i="39" s="1"/>
  <c r="A272" i="39" s="1"/>
  <c r="A273" i="39" s="1"/>
  <c r="A274" i="39" s="1"/>
  <c r="A275" i="39" s="1"/>
  <c r="A276" i="39" s="1"/>
  <c r="A277" i="39" s="1"/>
  <c r="A278" i="39" s="1"/>
  <c r="A279" i="39" s="1"/>
  <c r="A280" i="39" s="1"/>
  <c r="A281" i="39" s="1"/>
  <c r="A282" i="39" s="1"/>
  <c r="A283" i="39" s="1"/>
  <c r="A284" i="39" s="1"/>
  <c r="A285" i="39" s="1"/>
  <c r="A286" i="39" s="1"/>
  <c r="A287" i="39" s="1"/>
  <c r="A288" i="39" s="1"/>
  <c r="A289" i="39" s="1"/>
  <c r="A290" i="39" s="1"/>
  <c r="A291" i="39" s="1"/>
  <c r="A292" i="39" s="1"/>
  <c r="A293" i="39" s="1"/>
  <c r="A294" i="39" s="1"/>
  <c r="A295" i="39" s="1"/>
  <c r="A296" i="39" s="1"/>
  <c r="A297" i="39" s="1"/>
  <c r="A298" i="39" s="1"/>
  <c r="A299" i="39" s="1"/>
  <c r="A300" i="39" s="1"/>
  <c r="A301" i="39" s="1"/>
  <c r="A302" i="39" s="1"/>
  <c r="A303" i="39" s="1"/>
  <c r="A304" i="39" s="1"/>
  <c r="A305" i="39" s="1"/>
  <c r="A306" i="39" s="1"/>
  <c r="A307" i="39" s="1"/>
  <c r="A308" i="39" s="1"/>
  <c r="A309" i="39" s="1"/>
  <c r="A310" i="39" s="1"/>
  <c r="A311" i="39" s="1"/>
  <c r="A312" i="39" s="1"/>
  <c r="A313" i="39" s="1"/>
  <c r="A314" i="39" s="1"/>
  <c r="A315" i="39" s="1"/>
  <c r="A316" i="39" s="1"/>
  <c r="A317" i="39" s="1"/>
  <c r="A318" i="39" s="1"/>
  <c r="A319" i="39" s="1"/>
  <c r="A320" i="39" s="1"/>
  <c r="A321" i="39" s="1"/>
  <c r="A322" i="39" s="1"/>
  <c r="A323" i="39" s="1"/>
  <c r="A324" i="39" s="1"/>
  <c r="A325" i="39" s="1"/>
  <c r="A326" i="39" s="1"/>
  <c r="A327" i="39" s="1"/>
  <c r="A328" i="39" s="1"/>
  <c r="A329" i="39" s="1"/>
  <c r="A330" i="39" s="1"/>
  <c r="A331" i="39" s="1"/>
  <c r="A332" i="39" s="1"/>
  <c r="A333" i="39" s="1"/>
  <c r="A334" i="39" s="1"/>
  <c r="A335" i="39" s="1"/>
  <c r="A336" i="39" s="1"/>
  <c r="A337" i="39" s="1"/>
  <c r="A338" i="39" s="1"/>
  <c r="A339" i="39" s="1"/>
  <c r="A340" i="39" s="1"/>
  <c r="A341" i="39" s="1"/>
  <c r="A342" i="39" s="1"/>
  <c r="A343" i="39" s="1"/>
  <c r="A344" i="39" s="1"/>
  <c r="A345" i="39" s="1"/>
  <c r="A346" i="39" s="1"/>
  <c r="A347" i="39" s="1"/>
  <c r="A348" i="39" s="1"/>
  <c r="A349" i="39" s="1"/>
  <c r="A350" i="39" s="1"/>
  <c r="A351" i="39" s="1"/>
  <c r="A352" i="39" s="1"/>
  <c r="A353" i="39" s="1"/>
  <c r="A354" i="39" s="1"/>
  <c r="A355" i="39" s="1"/>
  <c r="A356" i="39" s="1"/>
  <c r="A357" i="39" s="1"/>
  <c r="A358" i="39" s="1"/>
  <c r="A359" i="39" s="1"/>
  <c r="A360" i="39" s="1"/>
  <c r="A361" i="39" s="1"/>
  <c r="A362" i="39" s="1"/>
  <c r="A363" i="39" s="1"/>
  <c r="A364" i="39" s="1"/>
  <c r="A365" i="39" s="1"/>
  <c r="A366" i="39" s="1"/>
  <c r="A367" i="39" s="1"/>
  <c r="A368" i="39" s="1"/>
  <c r="A369" i="39" s="1"/>
  <c r="A370" i="39" s="1"/>
  <c r="A371" i="39" s="1"/>
  <c r="A372" i="39" s="1"/>
  <c r="A373" i="39" s="1"/>
  <c r="A374" i="39" s="1"/>
  <c r="A375" i="39" s="1"/>
  <c r="A376" i="39" s="1"/>
  <c r="A377" i="39" s="1"/>
  <c r="A378" i="39" s="1"/>
  <c r="A379" i="39" s="1"/>
  <c r="A380" i="39" s="1"/>
  <c r="A381" i="39" s="1"/>
  <c r="A382" i="39" s="1"/>
  <c r="A383" i="39" s="1"/>
  <c r="A384" i="39" s="1"/>
  <c r="A385" i="39" s="1"/>
  <c r="A386" i="39" s="1"/>
  <c r="A387" i="39" s="1"/>
  <c r="A388" i="39" s="1"/>
  <c r="A389" i="39" s="1"/>
  <c r="A390" i="39" s="1"/>
  <c r="A391" i="39" s="1"/>
  <c r="A392" i="39" s="1"/>
  <c r="A393" i="39" s="1"/>
  <c r="A394" i="39" s="1"/>
  <c r="A395" i="39" s="1"/>
  <c r="A396" i="39" s="1"/>
  <c r="A397" i="39" s="1"/>
  <c r="A398" i="39" s="1"/>
  <c r="A399" i="39" s="1"/>
  <c r="A400" i="39" s="1"/>
  <c r="A401" i="39" s="1"/>
  <c r="A402" i="39" s="1"/>
  <c r="A403" i="39" s="1"/>
  <c r="A404" i="39" s="1"/>
  <c r="A405" i="39" s="1"/>
  <c r="A406" i="39" s="1"/>
  <c r="A407" i="39" s="1"/>
  <c r="A408" i="39" s="1"/>
  <c r="A409" i="39" s="1"/>
  <c r="A410" i="39" s="1"/>
  <c r="A411" i="39" s="1"/>
  <c r="A412" i="39" s="1"/>
  <c r="A413" i="39" s="1"/>
  <c r="A414" i="39" s="1"/>
  <c r="A415" i="39" s="1"/>
  <c r="A416" i="39" s="1"/>
  <c r="A417" i="39" s="1"/>
  <c r="A418" i="39" s="1"/>
  <c r="A419" i="39" s="1"/>
  <c r="A420" i="39" s="1"/>
  <c r="A421" i="39" s="1"/>
  <c r="A422" i="39" s="1"/>
  <c r="A423" i="39" s="1"/>
  <c r="A424" i="39" s="1"/>
  <c r="A425" i="39" s="1"/>
  <c r="A426" i="39" s="1"/>
  <c r="A427" i="39" s="1"/>
  <c r="A428" i="39" s="1"/>
  <c r="A429" i="39" s="1"/>
  <c r="A430" i="39" s="1"/>
  <c r="A431" i="39" s="1"/>
  <c r="A432" i="39" s="1"/>
  <c r="A433" i="39" s="1"/>
  <c r="A434" i="39" s="1"/>
  <c r="A435" i="39" s="1"/>
  <c r="A436" i="39" s="1"/>
  <c r="A437" i="39" s="1"/>
  <c r="A438" i="39" s="1"/>
  <c r="A439" i="39" s="1"/>
  <c r="A440" i="39" s="1"/>
  <c r="A441" i="39" s="1"/>
  <c r="A442" i="39" s="1"/>
  <c r="A443" i="39" s="1"/>
  <c r="A444" i="39" s="1"/>
  <c r="A445" i="39" s="1"/>
  <c r="A446" i="39" s="1"/>
  <c r="A447" i="39" s="1"/>
  <c r="A448" i="39" s="1"/>
  <c r="A449" i="39" s="1"/>
  <c r="A450" i="39" s="1"/>
  <c r="A451" i="39" s="1"/>
  <c r="A452" i="39" s="1"/>
  <c r="A453" i="39" s="1"/>
  <c r="A454" i="39" s="1"/>
  <c r="A455" i="39" s="1"/>
  <c r="A456" i="39" s="1"/>
  <c r="A457" i="39" s="1"/>
  <c r="A458" i="39" s="1"/>
  <c r="A459" i="39" s="1"/>
  <c r="A460" i="39" s="1"/>
  <c r="A461" i="39" s="1"/>
  <c r="A462" i="39" s="1"/>
  <c r="A463" i="39" s="1"/>
  <c r="A464" i="39" s="1"/>
  <c r="A465" i="39" s="1"/>
  <c r="A466" i="39" s="1"/>
  <c r="A467" i="39" s="1"/>
  <c r="A468" i="39" s="1"/>
  <c r="A469" i="39" s="1"/>
  <c r="A470" i="39" s="1"/>
  <c r="A471" i="39" s="1"/>
  <c r="A472" i="39" s="1"/>
  <c r="A473" i="39" s="1"/>
  <c r="A474" i="39" s="1"/>
  <c r="A475" i="39" s="1"/>
  <c r="A476" i="39" s="1"/>
  <c r="A477" i="39" s="1"/>
  <c r="A478" i="39" s="1"/>
  <c r="A479" i="39" s="1"/>
  <c r="A480" i="39" s="1"/>
  <c r="A481" i="39" s="1"/>
  <c r="A482" i="39" s="1"/>
  <c r="A483" i="39" s="1"/>
  <c r="A484" i="39" s="1"/>
  <c r="A485" i="39" s="1"/>
  <c r="A486" i="39" s="1"/>
  <c r="A487" i="39" s="1"/>
  <c r="A488" i="39" s="1"/>
  <c r="A489" i="39" s="1"/>
  <c r="A490" i="39" s="1"/>
  <c r="A491" i="39" s="1"/>
  <c r="A492" i="39" s="1"/>
  <c r="A493" i="39" s="1"/>
  <c r="A494" i="39" s="1"/>
  <c r="A495" i="39" s="1"/>
  <c r="A496" i="39" s="1"/>
  <c r="A497" i="39" s="1"/>
  <c r="A498" i="39" s="1"/>
  <c r="A499" i="39" s="1"/>
  <c r="A500" i="39" s="1"/>
  <c r="A501" i="39" s="1"/>
  <c r="A502" i="39" s="1"/>
  <c r="A503" i="39" s="1"/>
  <c r="A504" i="39" s="1"/>
  <c r="A505" i="39" s="1"/>
  <c r="A506" i="39" s="1"/>
  <c r="A507" i="39" s="1"/>
  <c r="A508" i="39" s="1"/>
  <c r="A509" i="39" s="1"/>
  <c r="A510" i="39" s="1"/>
  <c r="A511" i="39" s="1"/>
  <c r="A512" i="39" s="1"/>
  <c r="A513" i="39" s="1"/>
  <c r="A514" i="39" s="1"/>
  <c r="A515" i="39" s="1"/>
  <c r="A516" i="39" s="1"/>
  <c r="A517" i="39" s="1"/>
  <c r="A518" i="39" s="1"/>
  <c r="A519" i="39" s="1"/>
  <c r="A520" i="39" s="1"/>
  <c r="A521" i="39" s="1"/>
  <c r="A522" i="39" s="1"/>
  <c r="A523" i="39" s="1"/>
  <c r="A524" i="39" s="1"/>
  <c r="A525" i="39" s="1"/>
  <c r="A526" i="39" s="1"/>
  <c r="A527" i="39" s="1"/>
  <c r="A528" i="39" s="1"/>
  <c r="A529" i="39" s="1"/>
  <c r="A530" i="39" s="1"/>
  <c r="A531" i="39" s="1"/>
  <c r="A532" i="39" s="1"/>
  <c r="A533" i="39" s="1"/>
  <c r="A534" i="39" s="1"/>
  <c r="A535" i="39" s="1"/>
  <c r="A536" i="39" s="1"/>
  <c r="A537" i="39" s="1"/>
  <c r="A538" i="39" s="1"/>
  <c r="A539" i="39" s="1"/>
  <c r="A540" i="39" s="1"/>
  <c r="A541" i="39" s="1"/>
  <c r="A542" i="39" l="1"/>
  <c r="A543" i="39" s="1"/>
  <c r="A544" i="39" s="1"/>
  <c r="A545" i="39" s="1"/>
  <c r="A546" i="39" s="1"/>
  <c r="A547" i="39" s="1"/>
  <c r="A548" i="39" s="1"/>
  <c r="A549" i="39" s="1"/>
  <c r="A550" i="39" s="1"/>
  <c r="A551" i="39" s="1"/>
  <c r="A552" i="39" s="1"/>
  <c r="A553" i="39" s="1"/>
  <c r="A554" i="39" s="1"/>
  <c r="A555" i="39" s="1"/>
  <c r="A556" i="39" s="1"/>
  <c r="A557" i="39" s="1"/>
  <c r="A558" i="39" s="1"/>
  <c r="A559" i="39" s="1"/>
  <c r="A560" i="39" s="1"/>
  <c r="A561" i="39" s="1"/>
  <c r="A562" i="39" s="1"/>
  <c r="A563" i="39" s="1"/>
  <c r="A564" i="39" s="1"/>
  <c r="A565" i="39" s="1"/>
  <c r="A566" i="39" s="1"/>
  <c r="A567" i="39" s="1"/>
  <c r="A568" i="39" s="1"/>
  <c r="A569" i="39" s="1"/>
  <c r="A570" i="39" s="1"/>
  <c r="A571" i="39" s="1"/>
  <c r="A572" i="39" s="1"/>
  <c r="A573" i="39" s="1"/>
  <c r="A574" i="39" s="1"/>
  <c r="A575" i="39" s="1"/>
  <c r="A576" i="39" s="1"/>
  <c r="A577" i="39" s="1"/>
  <c r="A578" i="39" s="1"/>
  <c r="A579" i="39" s="1"/>
  <c r="A580" i="39" s="1"/>
  <c r="A581" i="39" s="1"/>
  <c r="A582" i="39" s="1"/>
  <c r="A583" i="39" s="1"/>
  <c r="A584" i="39" s="1"/>
  <c r="A585" i="39" s="1"/>
  <c r="A586" i="39" s="1"/>
  <c r="A587" i="39" s="1"/>
  <c r="A588" i="39" s="1"/>
  <c r="A589" i="39" s="1"/>
  <c r="A590" i="39" s="1"/>
  <c r="A591" i="39" s="1"/>
  <c r="A592" i="39" s="1"/>
  <c r="A593" i="39" s="1"/>
  <c r="A594" i="39" s="1"/>
  <c r="A595" i="39" s="1"/>
  <c r="A596" i="39" s="1"/>
  <c r="A597" i="39" s="1"/>
  <c r="A598" i="39" s="1"/>
  <c r="A599" i="39" s="1"/>
  <c r="A600" i="39" s="1"/>
  <c r="A601" i="39" s="1"/>
  <c r="A602" i="39" s="1"/>
  <c r="A603" i="39" s="1"/>
  <c r="A604" i="39" s="1"/>
  <c r="A605" i="39" s="1"/>
  <c r="A606" i="39" s="1"/>
  <c r="A607" i="39" s="1"/>
  <c r="A608" i="39" s="1"/>
  <c r="A609" i="39" s="1"/>
  <c r="A610" i="39" s="1"/>
  <c r="A611" i="39" s="1"/>
  <c r="A612" i="39" s="1"/>
  <c r="A613" i="39" s="1"/>
  <c r="A614" i="39" s="1"/>
  <c r="A615" i="39" s="1"/>
  <c r="A616" i="39" s="1"/>
  <c r="A617" i="39" s="1"/>
  <c r="A618" i="39" s="1"/>
  <c r="A619" i="39" s="1"/>
  <c r="A620" i="39" s="1"/>
  <c r="A621" i="39" s="1"/>
  <c r="A622" i="39" s="1"/>
  <c r="A623" i="39" s="1"/>
  <c r="A624" i="39" s="1"/>
  <c r="A625" i="39" s="1"/>
  <c r="A626" i="39" s="1"/>
  <c r="A627" i="39" s="1"/>
  <c r="A628" i="39" s="1"/>
  <c r="A629" i="39" s="1"/>
  <c r="A630" i="39" s="1"/>
  <c r="A631" i="39" s="1"/>
  <c r="A632" i="39" s="1"/>
  <c r="A633" i="39" s="1"/>
  <c r="A634" i="39" s="1"/>
  <c r="A635" i="39" s="1"/>
  <c r="A636" i="39" s="1"/>
  <c r="A637" i="39" s="1"/>
  <c r="A638" i="39" s="1"/>
  <c r="A639" i="39" s="1"/>
  <c r="A640" i="39" s="1"/>
  <c r="A641" i="39" s="1"/>
  <c r="A642" i="39" s="1"/>
  <c r="A643" i="39" s="1"/>
  <c r="A644" i="39" s="1"/>
  <c r="A645" i="39" s="1"/>
  <c r="A646" i="39" s="1"/>
  <c r="A647" i="39" s="1"/>
  <c r="A648" i="39" s="1"/>
  <c r="A649" i="39" s="1"/>
  <c r="A650" i="39" s="1"/>
  <c r="A651" i="39" s="1"/>
  <c r="A652" i="39" s="1"/>
  <c r="A653" i="39" s="1"/>
  <c r="A654" i="39" s="1"/>
  <c r="A655" i="39" s="1"/>
  <c r="A656" i="39" s="1"/>
  <c r="A657" i="39" s="1"/>
  <c r="A658" i="39" s="1"/>
  <c r="A659" i="39" s="1"/>
  <c r="A660" i="39" s="1"/>
  <c r="A661" i="39" s="1"/>
  <c r="A662" i="39" s="1"/>
  <c r="A663" i="39" s="1"/>
  <c r="A664" i="39" s="1"/>
  <c r="A665" i="39" s="1"/>
  <c r="A666" i="39" s="1"/>
  <c r="A667" i="39" s="1"/>
  <c r="A668" i="39" s="1"/>
  <c r="A669" i="39" s="1"/>
  <c r="A670" i="39" s="1"/>
  <c r="A671" i="39" s="1"/>
  <c r="A672" i="39" s="1"/>
  <c r="A673" i="39" s="1"/>
  <c r="A674" i="39" s="1"/>
  <c r="A675" i="39" s="1"/>
  <c r="A676" i="39" s="1"/>
  <c r="A677" i="39" s="1"/>
  <c r="A678" i="39" s="1"/>
  <c r="A679" i="39" s="1"/>
  <c r="A680" i="39" s="1"/>
  <c r="A681" i="39" s="1"/>
  <c r="A682" i="39" s="1"/>
  <c r="A683" i="39" s="1"/>
  <c r="A684" i="39" s="1"/>
  <c r="A685" i="39" s="1"/>
  <c r="A686" i="39" s="1"/>
  <c r="A687" i="39" s="1"/>
  <c r="A688" i="39" s="1"/>
  <c r="A689" i="39" s="1"/>
  <c r="A690" i="39" s="1"/>
  <c r="A691" i="39" s="1"/>
  <c r="A692" i="39" s="1"/>
  <c r="A693" i="39" s="1"/>
  <c r="A694" i="39" s="1"/>
  <c r="A695" i="39" s="1"/>
  <c r="A696" i="39" s="1"/>
  <c r="A697" i="39" s="1"/>
  <c r="A698" i="39" s="1"/>
  <c r="A699" i="39" s="1"/>
  <c r="A700" i="39" s="1"/>
  <c r="A701" i="39" s="1"/>
  <c r="A702" i="39" s="1"/>
  <c r="A703" i="39" s="1"/>
  <c r="A704" i="39" s="1"/>
  <c r="A705" i="39" s="1"/>
  <c r="A706" i="39" s="1"/>
  <c r="A707" i="39" s="1"/>
  <c r="A708" i="39" s="1"/>
  <c r="A709" i="39" s="1"/>
  <c r="A710" i="39" s="1"/>
  <c r="A711" i="39" s="1"/>
  <c r="A712" i="39" s="1"/>
  <c r="A713" i="39" s="1"/>
  <c r="A714" i="39" s="1"/>
  <c r="A715" i="39" s="1"/>
  <c r="A716" i="39" s="1"/>
  <c r="A717" i="39" s="1"/>
  <c r="A718" i="39" s="1"/>
  <c r="A719" i="39" s="1"/>
  <c r="A720" i="39" s="1"/>
  <c r="A721" i="39" s="1"/>
  <c r="A722" i="39" s="1"/>
  <c r="A723" i="39" s="1"/>
  <c r="A724" i="39" s="1"/>
  <c r="A725" i="39" s="1"/>
  <c r="A726" i="39" s="1"/>
  <c r="A727" i="39" s="1"/>
  <c r="A728" i="39" s="1"/>
  <c r="A729" i="39" s="1"/>
  <c r="A730" i="39" s="1"/>
  <c r="A731" i="39" s="1"/>
  <c r="A732" i="39" s="1"/>
  <c r="A733" i="39" s="1"/>
  <c r="A734" i="39" s="1"/>
  <c r="A735" i="39" s="1"/>
  <c r="A736" i="39" s="1"/>
  <c r="A737" i="39" s="1"/>
  <c r="A738" i="39" s="1"/>
  <c r="A739" i="39" s="1"/>
  <c r="A740" i="39" s="1"/>
  <c r="A741" i="39" s="1"/>
  <c r="A742" i="39" s="1"/>
  <c r="A743" i="39" s="1"/>
  <c r="A744" i="39" s="1"/>
  <c r="A745" i="39" s="1"/>
  <c r="A746" i="39" s="1"/>
  <c r="A747" i="39" s="1"/>
  <c r="A748" i="39" s="1"/>
  <c r="A749" i="39" s="1"/>
  <c r="A750" i="39" s="1"/>
  <c r="A751" i="39" s="1"/>
  <c r="A752" i="39" s="1"/>
  <c r="A753" i="39" s="1"/>
  <c r="A754" i="39" s="1"/>
  <c r="A755" i="39" s="1"/>
  <c r="A756" i="39" s="1"/>
  <c r="A757" i="39" s="1"/>
  <c r="A758" i="39" s="1"/>
  <c r="A759" i="39" s="1"/>
  <c r="A760" i="39" s="1"/>
  <c r="A761" i="39" s="1"/>
  <c r="A762" i="39" s="1"/>
  <c r="A763" i="39" s="1"/>
  <c r="A764" i="39" s="1"/>
  <c r="A765" i="39" s="1"/>
  <c r="A766" i="39" s="1"/>
  <c r="A767" i="39" s="1"/>
  <c r="A768" i="39" s="1"/>
  <c r="A769" i="39" s="1"/>
  <c r="A770" i="39" s="1"/>
  <c r="A771" i="39" s="1"/>
  <c r="A772" i="39" s="1"/>
  <c r="A773" i="39" s="1"/>
  <c r="A774" i="39" s="1"/>
  <c r="A775" i="39" s="1"/>
  <c r="A776" i="39" s="1"/>
  <c r="A777" i="39" s="1"/>
  <c r="A778" i="39" s="1"/>
  <c r="A779" i="39" s="1"/>
  <c r="A780" i="39" s="1"/>
  <c r="A781" i="39" s="1"/>
  <c r="A782" i="39" s="1"/>
  <c r="A783" i="39" s="1"/>
  <c r="A784" i="39" s="1"/>
  <c r="A785" i="39" s="1"/>
  <c r="A786" i="39" s="1"/>
  <c r="A787" i="39" s="1"/>
  <c r="A788" i="39" s="1"/>
  <c r="A789" i="39" s="1"/>
  <c r="A790" i="39" s="1"/>
  <c r="A791" i="39" s="1"/>
  <c r="A792" i="39" s="1"/>
  <c r="A793" i="39" s="1"/>
  <c r="A794" i="39" s="1"/>
  <c r="A795" i="39" s="1"/>
  <c r="A796" i="39" s="1"/>
  <c r="A797" i="39" s="1"/>
  <c r="A798" i="39" s="1"/>
  <c r="A799" i="39" s="1"/>
  <c r="A800" i="39" s="1"/>
  <c r="A801" i="39" s="1"/>
  <c r="A802" i="39" s="1"/>
  <c r="A803" i="39" s="1"/>
  <c r="A804" i="39" s="1"/>
  <c r="A805" i="39" s="1"/>
  <c r="A806" i="39" s="1"/>
  <c r="A807" i="39" s="1"/>
  <c r="A808" i="39" s="1"/>
  <c r="A809" i="39" s="1"/>
  <c r="A810" i="39" s="1"/>
  <c r="A811" i="39" s="1"/>
  <c r="A812" i="39" s="1"/>
  <c r="A813" i="39" s="1"/>
  <c r="A814" i="39" s="1"/>
  <c r="A815" i="39" s="1"/>
  <c r="A816" i="39" s="1"/>
  <c r="A817" i="39" s="1"/>
  <c r="A818" i="39" s="1"/>
  <c r="A819" i="39" s="1"/>
  <c r="A820" i="39" s="1"/>
  <c r="A821" i="39" s="1"/>
  <c r="A822" i="39" s="1"/>
  <c r="A823" i="39" s="1"/>
  <c r="A824" i="39" s="1"/>
  <c r="A825" i="39" s="1"/>
  <c r="A826" i="39" s="1"/>
  <c r="A827" i="39" s="1"/>
  <c r="A828" i="39" s="1"/>
  <c r="A829" i="39" s="1"/>
  <c r="A830" i="39" s="1"/>
  <c r="A831" i="39" s="1"/>
  <c r="A832" i="39" s="1"/>
  <c r="A833" i="39" s="1"/>
  <c r="A834" i="39" s="1"/>
  <c r="A835" i="39" s="1"/>
  <c r="A836" i="39" s="1"/>
  <c r="A837" i="39" s="1"/>
  <c r="A838" i="39" s="1"/>
  <c r="A839" i="39" s="1"/>
  <c r="A840" i="39" s="1"/>
  <c r="A841" i="39" s="1"/>
  <c r="A842" i="39" s="1"/>
  <c r="A843" i="39" s="1"/>
  <c r="A844" i="39" s="1"/>
  <c r="A845" i="39" s="1"/>
  <c r="A846" i="39" s="1"/>
  <c r="A847" i="39" s="1"/>
  <c r="A848" i="39" s="1"/>
  <c r="A849" i="39" s="1"/>
  <c r="A850" i="39" s="1"/>
  <c r="A851" i="39" s="1"/>
  <c r="A852" i="39" s="1"/>
  <c r="A853" i="39" s="1"/>
  <c r="A854" i="39" s="1"/>
  <c r="A855" i="39" s="1"/>
  <c r="A856" i="39" s="1"/>
  <c r="A857" i="39" s="1"/>
  <c r="A858" i="39" s="1"/>
  <c r="A859" i="39" s="1"/>
  <c r="A860" i="39" s="1"/>
  <c r="A861" i="39" s="1"/>
  <c r="A862" i="39" s="1"/>
  <c r="A863" i="39" s="1"/>
  <c r="A864" i="39" s="1"/>
  <c r="A865" i="39" s="1"/>
  <c r="A866" i="39" s="1"/>
  <c r="A867" i="39" s="1"/>
  <c r="A868" i="39" s="1"/>
  <c r="A869" i="39" s="1"/>
  <c r="A870" i="39" s="1"/>
  <c r="A871" i="39" s="1"/>
  <c r="A872" i="39" s="1"/>
  <c r="A873" i="39" s="1"/>
  <c r="A874" i="39" s="1"/>
  <c r="A875" i="39" s="1"/>
  <c r="A876" i="39" s="1"/>
  <c r="A877" i="39" s="1"/>
  <c r="A878" i="39" s="1"/>
  <c r="A879" i="39" s="1"/>
  <c r="A880" i="39" s="1"/>
  <c r="A881" i="39" s="1"/>
  <c r="A882" i="39" s="1"/>
  <c r="A883" i="39" s="1"/>
  <c r="A884" i="39" s="1"/>
  <c r="A885" i="39" s="1"/>
  <c r="A886" i="39" s="1"/>
  <c r="A887" i="39" s="1"/>
  <c r="A888" i="39" s="1"/>
  <c r="A889" i="39" s="1"/>
  <c r="A890" i="39" s="1"/>
  <c r="A891" i="39" s="1"/>
  <c r="A892" i="39" s="1"/>
  <c r="A893" i="39" s="1"/>
  <c r="A894" i="39" s="1"/>
  <c r="A895" i="39" s="1"/>
  <c r="A896" i="39" s="1"/>
  <c r="A897" i="39" s="1"/>
  <c r="A898" i="39" s="1"/>
  <c r="A899" i="39" s="1"/>
  <c r="A900" i="39" s="1"/>
  <c r="A901" i="39" s="1"/>
  <c r="A902" i="39" s="1"/>
  <c r="A903" i="39" s="1"/>
  <c r="A904" i="39" s="1"/>
  <c r="A905" i="39" s="1"/>
  <c r="A906" i="39" s="1"/>
  <c r="A907" i="39" s="1"/>
  <c r="A908" i="39" s="1"/>
  <c r="A909" i="39" s="1"/>
  <c r="A910" i="39" s="1"/>
  <c r="A911" i="39" s="1"/>
  <c r="A912" i="39" s="1"/>
  <c r="A913" i="39" s="1"/>
  <c r="A914" i="39" s="1"/>
  <c r="A915" i="39" s="1"/>
  <c r="A916" i="39" s="1"/>
  <c r="A917" i="39" s="1"/>
  <c r="A918" i="39" s="1"/>
  <c r="A919" i="39" s="1"/>
  <c r="A920" i="39" s="1"/>
  <c r="A921" i="39" s="1"/>
  <c r="A922" i="39" s="1"/>
  <c r="A923" i="39" s="1"/>
  <c r="A924" i="39" s="1"/>
  <c r="A925" i="39" s="1"/>
  <c r="A926" i="39" s="1"/>
  <c r="A927" i="39" s="1"/>
  <c r="A928" i="39" s="1"/>
  <c r="A929" i="39" s="1"/>
  <c r="A930" i="39" s="1"/>
  <c r="A931" i="39" s="1"/>
  <c r="A932" i="39" s="1"/>
  <c r="A933" i="39" s="1"/>
  <c r="A934" i="39" s="1"/>
  <c r="A935" i="39" s="1"/>
  <c r="A936" i="39" s="1"/>
  <c r="A937" i="39" s="1"/>
  <c r="A938" i="39" s="1"/>
  <c r="A939" i="39" s="1"/>
  <c r="A940" i="39" s="1"/>
  <c r="A941" i="39" s="1"/>
  <c r="A942" i="39" s="1"/>
  <c r="A943" i="39" s="1"/>
  <c r="A944" i="39" s="1"/>
  <c r="A945" i="39" s="1"/>
  <c r="A946" i="39" s="1"/>
  <c r="A947" i="39" s="1"/>
  <c r="A948" i="39" s="1"/>
  <c r="A949" i="39" s="1"/>
  <c r="A950" i="39" s="1"/>
  <c r="A951" i="39" s="1"/>
  <c r="A952" i="39" s="1"/>
  <c r="A953" i="39" s="1"/>
  <c r="A954" i="39" s="1"/>
  <c r="A955" i="39" s="1"/>
  <c r="A956" i="39" s="1"/>
  <c r="A957" i="39" s="1"/>
  <c r="A958" i="39" s="1"/>
  <c r="A959" i="39" s="1"/>
  <c r="A960" i="39" s="1"/>
  <c r="A961" i="39" s="1"/>
  <c r="A962" i="39" s="1"/>
  <c r="A963" i="39" s="1"/>
  <c r="A964" i="39" s="1"/>
  <c r="A965" i="39" s="1"/>
  <c r="A966" i="39" s="1"/>
  <c r="A967" i="39" s="1"/>
  <c r="A968" i="39" s="1"/>
  <c r="A969" i="39" s="1"/>
  <c r="A970" i="39" s="1"/>
  <c r="A971" i="39" s="1"/>
  <c r="A972" i="39" s="1"/>
  <c r="A973" i="39" s="1"/>
  <c r="A974" i="39" s="1"/>
  <c r="A975" i="39" s="1"/>
  <c r="A976" i="39" s="1"/>
  <c r="A977" i="39" s="1"/>
  <c r="A978" i="39" s="1"/>
  <c r="A979" i="39" s="1"/>
  <c r="A980" i="39" s="1"/>
  <c r="A981" i="39" s="1"/>
  <c r="A982" i="39" s="1"/>
  <c r="A983" i="39" s="1"/>
  <c r="A984" i="39" s="1"/>
  <c r="A985" i="39" s="1"/>
  <c r="A986" i="39" s="1"/>
  <c r="A987" i="39" s="1"/>
  <c r="A988" i="39" s="1"/>
  <c r="A989" i="39" s="1"/>
  <c r="A990" i="39" s="1"/>
  <c r="A991" i="39" s="1"/>
  <c r="A992" i="39" s="1"/>
  <c r="A993" i="39" s="1"/>
  <c r="A994" i="39" s="1"/>
  <c r="A995" i="39" s="1"/>
  <c r="A996" i="39" s="1"/>
  <c r="A997" i="39" s="1"/>
  <c r="A998" i="39" s="1"/>
  <c r="A999" i="39" s="1"/>
  <c r="A1000" i="39" s="1"/>
  <c r="A1001" i="39" s="1"/>
  <c r="A1002" i="39" s="1"/>
  <c r="A1003" i="39" s="1"/>
  <c r="A1004" i="39" s="1"/>
  <c r="A1005" i="39" s="1"/>
  <c r="A1006" i="39" s="1"/>
  <c r="A1007" i="39" s="1"/>
  <c r="A1008" i="39" s="1"/>
  <c r="A1009" i="39" s="1"/>
  <c r="A1010" i="39" s="1"/>
  <c r="A1011" i="39" s="1"/>
  <c r="A1012" i="39" s="1"/>
  <c r="A1013" i="39" s="1"/>
  <c r="A1014" i="39" s="1"/>
  <c r="A1015" i="39" s="1"/>
  <c r="A1016" i="39" s="1"/>
  <c r="A1017" i="39" s="1"/>
  <c r="A1018" i="39" s="1"/>
  <c r="A1019" i="39" s="1"/>
  <c r="A1020" i="39" s="1"/>
  <c r="A1021" i="39" s="1"/>
  <c r="A1022" i="39" s="1"/>
  <c r="A1023" i="39" s="1"/>
  <c r="A1024" i="39" s="1"/>
  <c r="A1025" i="39" s="1"/>
  <c r="A1026" i="39" s="1"/>
  <c r="A1027" i="39" s="1"/>
  <c r="A1028" i="39" s="1"/>
  <c r="A1029" i="39" s="1"/>
  <c r="A1030" i="39" s="1"/>
  <c r="A1031" i="39" s="1"/>
  <c r="A1032" i="39" s="1"/>
  <c r="A1033" i="39" s="1"/>
  <c r="A1034" i="39" s="1"/>
  <c r="A1035" i="39" s="1"/>
  <c r="A1036" i="39" s="1"/>
  <c r="A1037" i="39" s="1"/>
  <c r="A1038" i="39" s="1"/>
  <c r="A1039" i="39" s="1"/>
  <c r="A1040" i="39" s="1"/>
  <c r="A1041" i="39" s="1"/>
  <c r="A1042" i="39" s="1"/>
  <c r="A1043" i="39" s="1"/>
  <c r="A1044" i="39" s="1"/>
  <c r="A1045" i="39" s="1"/>
  <c r="A1046" i="39" s="1"/>
  <c r="A1047" i="39" s="1"/>
  <c r="A1048" i="39" s="1"/>
  <c r="A1049" i="39" s="1"/>
  <c r="A1050" i="39" s="1"/>
  <c r="A1051" i="39" s="1"/>
  <c r="A1052" i="39" s="1"/>
  <c r="A1053" i="39" s="1"/>
  <c r="A1054" i="39" s="1"/>
  <c r="A1055" i="39" s="1"/>
  <c r="A1056" i="39" s="1"/>
  <c r="A1057" i="39" s="1"/>
  <c r="A1058" i="39" s="1"/>
  <c r="A1059" i="39" s="1"/>
  <c r="A1060" i="39" s="1"/>
  <c r="A1061" i="39" s="1"/>
  <c r="A1062" i="39" s="1"/>
  <c r="A1063" i="39" s="1"/>
  <c r="A1064" i="39" s="1"/>
  <c r="A1065" i="39" s="1"/>
  <c r="A1066" i="39" s="1"/>
  <c r="A1067" i="39" s="1"/>
  <c r="A1068" i="39" s="1"/>
  <c r="A1069" i="39" s="1"/>
  <c r="A1070" i="39" s="1"/>
  <c r="A1071" i="39" s="1"/>
  <c r="A1072" i="39" s="1"/>
  <c r="A1073" i="39" s="1"/>
  <c r="A1074" i="39" s="1"/>
  <c r="A1075" i="39" s="1"/>
  <c r="A1076" i="39" s="1"/>
  <c r="A1077" i="39" s="1"/>
  <c r="A1078" i="39" s="1"/>
  <c r="A1079" i="39" s="1"/>
  <c r="A1080" i="39" s="1"/>
  <c r="A1081" i="39" s="1"/>
  <c r="A1082" i="39" s="1"/>
  <c r="A1083" i="39" s="1"/>
  <c r="A1084" i="39" s="1"/>
  <c r="A1085" i="39" s="1"/>
  <c r="A1086" i="39" s="1"/>
  <c r="A1087" i="39" s="1"/>
  <c r="A1088" i="39" s="1"/>
  <c r="A1089" i="39" s="1"/>
  <c r="A1090" i="39" s="1"/>
  <c r="A1091" i="39" s="1"/>
  <c r="A1092" i="39" s="1"/>
  <c r="A1093" i="39" s="1"/>
  <c r="A1094" i="39" s="1"/>
  <c r="A1095" i="39" s="1"/>
  <c r="A1096" i="39" s="1"/>
  <c r="A1097" i="39" s="1"/>
  <c r="A1098" i="39" s="1"/>
  <c r="A1099" i="39" s="1"/>
  <c r="A1100" i="39" s="1"/>
  <c r="A1101" i="39" s="1"/>
  <c r="A1102" i="39" s="1"/>
  <c r="A1103" i="39" s="1"/>
  <c r="A1104" i="39" s="1"/>
  <c r="A1105" i="39" s="1"/>
  <c r="A1106" i="39" s="1"/>
  <c r="A1107" i="39" s="1"/>
  <c r="A1108" i="39" s="1"/>
  <c r="A1109" i="39" s="1"/>
  <c r="A1110" i="39" s="1"/>
  <c r="A1111" i="39" s="1"/>
  <c r="A1112" i="39" s="1"/>
  <c r="A1113" i="39" s="1"/>
  <c r="A1114" i="39" s="1"/>
  <c r="A1115" i="39" s="1"/>
  <c r="A1116" i="39" s="1"/>
  <c r="A1117" i="39" s="1"/>
  <c r="A1118" i="39" s="1"/>
  <c r="A1119" i="39" s="1"/>
  <c r="A1120" i="39" s="1"/>
  <c r="A1121" i="39" s="1"/>
  <c r="A1122" i="39" s="1"/>
  <c r="A1123" i="39" s="1"/>
  <c r="A1124" i="39" s="1"/>
  <c r="A1125" i="39" s="1"/>
  <c r="A1126" i="39" s="1"/>
  <c r="A1127" i="39" s="1"/>
  <c r="A1128" i="39" s="1"/>
  <c r="A1129" i="39" s="1"/>
  <c r="A1130" i="39" s="1"/>
  <c r="A1131" i="39" s="1"/>
  <c r="A1132" i="39" s="1"/>
  <c r="A1133" i="39" s="1"/>
  <c r="A1134" i="39" s="1"/>
  <c r="A1135" i="39" s="1"/>
  <c r="A1136" i="39" s="1"/>
  <c r="A1137" i="39" s="1"/>
  <c r="A1138" i="39" s="1"/>
  <c r="A1139" i="39" s="1"/>
  <c r="A1140" i="39" s="1"/>
  <c r="A1141" i="39" s="1"/>
  <c r="A1142" i="39" s="1"/>
  <c r="A1143" i="39" s="1"/>
  <c r="A1144" i="39" s="1"/>
  <c r="A1145" i="39" s="1"/>
  <c r="A1146" i="39" s="1"/>
  <c r="A1147" i="39" s="1"/>
  <c r="A1148" i="39" s="1"/>
  <c r="A1149" i="39" s="1"/>
  <c r="A1150" i="39" s="1"/>
  <c r="A1151" i="39" s="1"/>
  <c r="A1152" i="39" s="1"/>
  <c r="A1153" i="39" s="1"/>
  <c r="A1154" i="39" s="1"/>
  <c r="A1155" i="39" s="1"/>
  <c r="A1156" i="39" s="1"/>
  <c r="A1157" i="39" s="1"/>
  <c r="A1158" i="39" s="1"/>
  <c r="A1159" i="39" s="1"/>
  <c r="A1160" i="39" s="1"/>
  <c r="A1161" i="39" s="1"/>
  <c r="A1162" i="39" s="1"/>
  <c r="A1163" i="39" s="1"/>
  <c r="A1164" i="39" s="1"/>
  <c r="A1165" i="39" s="1"/>
  <c r="A1166" i="39" s="1"/>
  <c r="A1167" i="39" s="1"/>
  <c r="A1168" i="39" s="1"/>
  <c r="A1169" i="39" s="1"/>
  <c r="A1170" i="39" s="1"/>
  <c r="A1171" i="39" s="1"/>
  <c r="A1172" i="39" s="1"/>
  <c r="A1173" i="39" s="1"/>
  <c r="A1174" i="39" s="1"/>
  <c r="A1175" i="39" s="1"/>
  <c r="A1176" i="39" s="1"/>
  <c r="A1177" i="39" s="1"/>
  <c r="A1178" i="39" s="1"/>
  <c r="A1179" i="39" s="1"/>
  <c r="A1180" i="39" s="1"/>
  <c r="A1181" i="39" s="1"/>
  <c r="A1182" i="39" s="1"/>
  <c r="A1183" i="39" s="1"/>
  <c r="A1184" i="39" s="1"/>
  <c r="A1185" i="39" s="1"/>
  <c r="A1186" i="39" s="1"/>
  <c r="A1187" i="39" s="1"/>
  <c r="A1188" i="39" s="1"/>
  <c r="A1189" i="39" s="1"/>
  <c r="A1190" i="39" s="1"/>
  <c r="A1191" i="39" s="1"/>
  <c r="A1192" i="39" s="1"/>
  <c r="A1193" i="39" s="1"/>
  <c r="A1194" i="39" s="1"/>
  <c r="A1195" i="39" s="1"/>
  <c r="A1196" i="39" s="1"/>
  <c r="A1197" i="39" s="1"/>
  <c r="A1198" i="39" s="1"/>
  <c r="A1199" i="39" s="1"/>
  <c r="A1200" i="39" s="1"/>
  <c r="A1201" i="39" s="1"/>
  <c r="A1202" i="39" s="1"/>
  <c r="A1203" i="39" s="1"/>
  <c r="A1204" i="39" s="1"/>
  <c r="A1205" i="39" s="1"/>
  <c r="A1206" i="39" s="1"/>
  <c r="A1207" i="39" s="1"/>
  <c r="A1208" i="39" s="1"/>
  <c r="A1209" i="39" s="1"/>
  <c r="A1210" i="39" s="1"/>
  <c r="A1211" i="39" s="1"/>
  <c r="A1212" i="39" s="1"/>
  <c r="A1213" i="39" s="1"/>
  <c r="A1214" i="39" s="1"/>
  <c r="A1215" i="39" s="1"/>
  <c r="A1216" i="39" s="1"/>
  <c r="A1217" i="39" s="1"/>
  <c r="A1218" i="39" s="1"/>
  <c r="A1219" i="39" s="1"/>
  <c r="A1220" i="39" s="1"/>
  <c r="A1221" i="39" s="1"/>
  <c r="A1222" i="39" s="1"/>
  <c r="A1223" i="39" s="1"/>
  <c r="A1224" i="39" s="1"/>
  <c r="A1225" i="39" s="1"/>
  <c r="A1226" i="39" s="1"/>
  <c r="A1227" i="39" s="1"/>
  <c r="A1228" i="39" s="1"/>
  <c r="A1229" i="39" s="1"/>
  <c r="A1230" i="39" s="1"/>
  <c r="A1231" i="39" s="1"/>
  <c r="A1232" i="39" s="1"/>
  <c r="A1233" i="39" s="1"/>
  <c r="A1234" i="39" s="1"/>
  <c r="A1235" i="39" s="1"/>
  <c r="A1236" i="39" s="1"/>
  <c r="A1237" i="39" s="1"/>
  <c r="A1238" i="39" s="1"/>
  <c r="A1239" i="39" s="1"/>
  <c r="A1240" i="39" s="1"/>
  <c r="A1241" i="39" s="1"/>
  <c r="A1242" i="39" s="1"/>
  <c r="A1243" i="39" s="1"/>
  <c r="A1244" i="39" s="1"/>
  <c r="A1245" i="39" s="1"/>
  <c r="A1246" i="39" s="1"/>
  <c r="A1247" i="39" s="1"/>
  <c r="A1248" i="39" s="1"/>
  <c r="A1249" i="39" s="1"/>
  <c r="A1250" i="39" s="1"/>
  <c r="A1251" i="39" s="1"/>
  <c r="A1252" i="39" s="1"/>
  <c r="A1253" i="39" s="1"/>
  <c r="A1254" i="39" s="1"/>
  <c r="A1255" i="39" s="1"/>
  <c r="A1256" i="39" s="1"/>
  <c r="A1257" i="39" s="1"/>
  <c r="A1258" i="39" s="1"/>
  <c r="A1259" i="39" s="1"/>
  <c r="A1260" i="39" s="1"/>
  <c r="A1261" i="39" s="1"/>
  <c r="A1262" i="39" s="1"/>
  <c r="A1263" i="39" s="1"/>
  <c r="A1264" i="39" s="1"/>
  <c r="A1265" i="39" s="1"/>
  <c r="A1266" i="39" s="1"/>
  <c r="A1267" i="39" s="1"/>
  <c r="A1268" i="39" s="1"/>
  <c r="A1269" i="39" s="1"/>
  <c r="A1270" i="39" s="1"/>
  <c r="A1271" i="39" s="1"/>
  <c r="A1272" i="39" s="1"/>
  <c r="A1273" i="39" s="1"/>
  <c r="A1274" i="39" s="1"/>
  <c r="A1275" i="39" s="1"/>
  <c r="A1276" i="39" s="1"/>
  <c r="A1277" i="39" s="1"/>
  <c r="A1278" i="39" s="1"/>
  <c r="A1279" i="39" s="1"/>
  <c r="A1280" i="39" s="1"/>
  <c r="A1281" i="39" s="1"/>
  <c r="A1282" i="39" s="1"/>
  <c r="A1283" i="39" s="1"/>
  <c r="A1284" i="39" s="1"/>
  <c r="A1285" i="39" s="1"/>
  <c r="A1286" i="39" s="1"/>
  <c r="A1287" i="39" s="1"/>
  <c r="A1288" i="39" s="1"/>
  <c r="A1289" i="39" s="1"/>
  <c r="A1290" i="39" s="1"/>
  <c r="A1291" i="39" s="1"/>
  <c r="A1292" i="39" s="1"/>
  <c r="A1293" i="39" s="1"/>
  <c r="A1294" i="39" s="1"/>
  <c r="A1295" i="39" s="1"/>
  <c r="A1296" i="39" s="1"/>
  <c r="A1297" i="39" s="1"/>
  <c r="A1298" i="39" s="1"/>
  <c r="A1299" i="39" s="1"/>
  <c r="A1300" i="39" s="1"/>
  <c r="A1301" i="39" s="1"/>
  <c r="A1302" i="39" s="1"/>
  <c r="A1303" i="39" s="1"/>
  <c r="A1304" i="39" s="1"/>
  <c r="A1305" i="39" s="1"/>
  <c r="A1306" i="39" s="1"/>
  <c r="A1307" i="39" s="1"/>
  <c r="A1308" i="39" s="1"/>
  <c r="A1309" i="39" s="1"/>
  <c r="A1310" i="39" s="1"/>
  <c r="A1311" i="39" s="1"/>
  <c r="A1312" i="39" s="1"/>
  <c r="A1313" i="39" s="1"/>
  <c r="A1314" i="39" s="1"/>
  <c r="A1315" i="39" s="1"/>
  <c r="A1316" i="39" s="1"/>
  <c r="A1317" i="39" s="1"/>
  <c r="A1318" i="39" s="1"/>
  <c r="A1319" i="39" s="1"/>
  <c r="A1320" i="39" s="1"/>
  <c r="A1321" i="39" s="1"/>
  <c r="A1322" i="39" s="1"/>
  <c r="A1323" i="39" s="1"/>
  <c r="A1324" i="39" s="1"/>
  <c r="A1325" i="39" s="1"/>
  <c r="A1326" i="39" s="1"/>
  <c r="A1327" i="39" s="1"/>
  <c r="A1328" i="39" s="1"/>
  <c r="A1329" i="39" s="1"/>
  <c r="A1330" i="39" s="1"/>
  <c r="A1331" i="39" s="1"/>
  <c r="A1332" i="39" s="1"/>
  <c r="A1333" i="39" s="1"/>
  <c r="A1334" i="39" s="1"/>
  <c r="A1335" i="39" s="1"/>
  <c r="A1336" i="39" s="1"/>
  <c r="A1337" i="39" s="1"/>
  <c r="A1338" i="39" s="1"/>
  <c r="A1339" i="39" s="1"/>
  <c r="A1340" i="39" s="1"/>
  <c r="A1341" i="39" s="1"/>
  <c r="A1342" i="39" s="1"/>
  <c r="A1343" i="39" s="1"/>
  <c r="A1344" i="39" s="1"/>
  <c r="A1345" i="39" s="1"/>
  <c r="A1346" i="39" s="1"/>
  <c r="A1347" i="39" s="1"/>
  <c r="A1348" i="39" s="1"/>
  <c r="A1349" i="39" s="1"/>
  <c r="A1350" i="39" s="1"/>
  <c r="A1351" i="39" s="1"/>
  <c r="A1352" i="39" s="1"/>
  <c r="A1353" i="39" s="1"/>
  <c r="A1354" i="39" s="1"/>
  <c r="A1355" i="39" s="1"/>
  <c r="A1356" i="39" s="1"/>
  <c r="A1357" i="39" s="1"/>
  <c r="A1358" i="39" s="1"/>
  <c r="A1359" i="39" s="1"/>
  <c r="A1360" i="39" s="1"/>
  <c r="A1361" i="39" s="1"/>
  <c r="A1362" i="39" s="1"/>
  <c r="A1363" i="39" s="1"/>
  <c r="A1364" i="39" s="1"/>
  <c r="A1365" i="39" s="1"/>
  <c r="A1366" i="39" s="1"/>
  <c r="A1367" i="39" s="1"/>
  <c r="A1368" i="39" s="1"/>
  <c r="A1369" i="39" s="1"/>
  <c r="A1370" i="39" s="1"/>
  <c r="A1371" i="39" s="1"/>
  <c r="A1372" i="39" s="1"/>
  <c r="A1373" i="39" s="1"/>
  <c r="A1374" i="39" s="1"/>
  <c r="A1375" i="39" s="1"/>
  <c r="A1376" i="39" s="1"/>
  <c r="A1377" i="39" s="1"/>
  <c r="A1378" i="39" s="1"/>
  <c r="A1379" i="39" s="1"/>
  <c r="A1380" i="39" s="1"/>
  <c r="A1381" i="39" s="1"/>
  <c r="A1382" i="39" s="1"/>
  <c r="A1383" i="39" s="1"/>
  <c r="A1384" i="39" s="1"/>
  <c r="A1385" i="39" s="1"/>
  <c r="A1386" i="39" s="1"/>
  <c r="A1387" i="39" s="1"/>
  <c r="A1388" i="39" s="1"/>
  <c r="A1389" i="39" s="1"/>
  <c r="A1390" i="39" s="1"/>
  <c r="A1391" i="39" s="1"/>
  <c r="A1392" i="39" s="1"/>
  <c r="A1393" i="39" s="1"/>
  <c r="A1394" i="39" s="1"/>
  <c r="A1395" i="39" s="1"/>
  <c r="A1396" i="39" s="1"/>
  <c r="A1397" i="39" s="1"/>
  <c r="A1398" i="39" s="1"/>
  <c r="A1399" i="39" s="1"/>
  <c r="A1400" i="39" s="1"/>
  <c r="A1401" i="39" s="1"/>
  <c r="A1402" i="39" s="1"/>
  <c r="A1403" i="39" s="1"/>
  <c r="A1404" i="39" s="1"/>
  <c r="A1405" i="39" s="1"/>
  <c r="A1406" i="39" s="1"/>
  <c r="A1407" i="39" s="1"/>
  <c r="A1408" i="39" s="1"/>
  <c r="A1409" i="39" s="1"/>
  <c r="A1410" i="39" s="1"/>
  <c r="A1411" i="39" s="1"/>
  <c r="A1412" i="39" s="1"/>
  <c r="A1413" i="39" s="1"/>
  <c r="A1414" i="39" s="1"/>
  <c r="A1415" i="39" s="1"/>
  <c r="A1416" i="39" s="1"/>
  <c r="A1417" i="39" s="1"/>
  <c r="A1418" i="39" s="1"/>
  <c r="A1419" i="39" s="1"/>
  <c r="A1420" i="39" s="1"/>
  <c r="A1421" i="39" s="1"/>
  <c r="A1422" i="39" s="1"/>
  <c r="A1423" i="39" s="1"/>
  <c r="A1424" i="39" s="1"/>
  <c r="A1425" i="39" s="1"/>
  <c r="A1426" i="39" s="1"/>
  <c r="A1427" i="39" s="1"/>
  <c r="A1428" i="39" s="1"/>
  <c r="A1429" i="39" s="1"/>
  <c r="A1430" i="39" s="1"/>
  <c r="A1431" i="39" s="1"/>
  <c r="A1432" i="39" s="1"/>
  <c r="A1433" i="39" s="1"/>
  <c r="A1434" i="39" s="1"/>
  <c r="A1435" i="39" s="1"/>
  <c r="A1436" i="39" s="1"/>
  <c r="A1437" i="39" s="1"/>
  <c r="A1438" i="39" s="1"/>
  <c r="A1439" i="39" s="1"/>
  <c r="A1440" i="39" s="1"/>
  <c r="A1441" i="39" s="1"/>
  <c r="A1442" i="39" s="1"/>
  <c r="A1443" i="39" s="1"/>
  <c r="A1444" i="39" s="1"/>
  <c r="A1445" i="39" s="1"/>
  <c r="A1446" i="39" s="1"/>
  <c r="A1447" i="39" s="1"/>
  <c r="A1448" i="39" s="1"/>
  <c r="A1449" i="39" s="1"/>
  <c r="A1450" i="39" s="1"/>
  <c r="A1451" i="39" s="1"/>
  <c r="A1452" i="39" s="1"/>
  <c r="A1453" i="39" s="1"/>
  <c r="A1454" i="39" s="1"/>
  <c r="A1455" i="39" s="1"/>
  <c r="A1456" i="39" s="1"/>
  <c r="A1457" i="39" s="1"/>
  <c r="A1458" i="39" s="1"/>
  <c r="A1459" i="39" s="1"/>
  <c r="A1460" i="39" s="1"/>
  <c r="A1461" i="39" s="1"/>
  <c r="A1462" i="39" s="1"/>
  <c r="A1463" i="39" s="1"/>
  <c r="A1464" i="39" s="1"/>
  <c r="A1465" i="39" s="1"/>
  <c r="A1466" i="39" s="1"/>
  <c r="A1467" i="39" s="1"/>
  <c r="A1468" i="39" s="1"/>
  <c r="A1469" i="39" s="1"/>
  <c r="A1470" i="39" s="1"/>
  <c r="A1471" i="39" s="1"/>
  <c r="A1472" i="39" s="1"/>
  <c r="A1473" i="39" s="1"/>
  <c r="A1474" i="39" s="1"/>
  <c r="A1475" i="39" s="1"/>
  <c r="A1476" i="39" s="1"/>
  <c r="A1477" i="39" s="1"/>
  <c r="A1478" i="39" s="1"/>
  <c r="A1479" i="39" s="1"/>
  <c r="A1480" i="39" s="1"/>
  <c r="A1481" i="39" s="1"/>
  <c r="A1482" i="39" s="1"/>
  <c r="A1483" i="39" s="1"/>
  <c r="A1484" i="39" s="1"/>
  <c r="A1485" i="39" s="1"/>
  <c r="A1486" i="39" s="1"/>
  <c r="A1487" i="39" s="1"/>
  <c r="A1488" i="39" s="1"/>
  <c r="A1489" i="39" s="1"/>
  <c r="A1490" i="39" s="1"/>
  <c r="A1491" i="39" s="1"/>
  <c r="A1492" i="39" s="1"/>
  <c r="A1493" i="39" s="1"/>
  <c r="A1494" i="39" s="1"/>
  <c r="A1495" i="39" s="1"/>
  <c r="A1496" i="39" s="1"/>
  <c r="A1497" i="39" s="1"/>
  <c r="A1498" i="39" s="1"/>
  <c r="A1499" i="39" s="1"/>
  <c r="A1500" i="39" s="1"/>
  <c r="A1501" i="39" s="1"/>
  <c r="A1502" i="39" s="1"/>
  <c r="A1503" i="39" s="1"/>
  <c r="A1504" i="39" s="1"/>
  <c r="A1505" i="39" s="1"/>
  <c r="A1506" i="39" s="1"/>
  <c r="A1507" i="39" s="1"/>
  <c r="A1508" i="39" s="1"/>
  <c r="A1509" i="39" s="1"/>
  <c r="A1510" i="39" s="1"/>
  <c r="A1511" i="39" s="1"/>
  <c r="A1512" i="39" s="1"/>
  <c r="A1513" i="39" s="1"/>
  <c r="A1514" i="39" s="1"/>
  <c r="A1515" i="39" s="1"/>
  <c r="A1516" i="39" s="1"/>
  <c r="A1517" i="39" s="1"/>
  <c r="A1518" i="39" s="1"/>
  <c r="A1519" i="39" s="1"/>
  <c r="A1520" i="39" s="1"/>
  <c r="A1521" i="39" s="1"/>
  <c r="A1522" i="39" s="1"/>
  <c r="A1523" i="39" s="1"/>
  <c r="A1524" i="39" s="1"/>
  <c r="A1525" i="39" s="1"/>
  <c r="A1526" i="39" s="1"/>
  <c r="A1527" i="39" s="1"/>
  <c r="A1528" i="39" s="1"/>
  <c r="A1529" i="39" s="1"/>
  <c r="A1530" i="39" s="1"/>
  <c r="A1531" i="39" s="1"/>
  <c r="A1532" i="39" s="1"/>
  <c r="A1533" i="39" s="1"/>
  <c r="A1534" i="39" s="1"/>
  <c r="A1535" i="39" s="1"/>
  <c r="A1536" i="39" s="1"/>
  <c r="A1537" i="39" s="1"/>
  <c r="A1538" i="39" s="1"/>
  <c r="A1539" i="39" s="1"/>
  <c r="A1540" i="39" s="1"/>
  <c r="A1541" i="39" s="1"/>
  <c r="A1542" i="39" s="1"/>
  <c r="A1543" i="39" s="1"/>
  <c r="A1544" i="39" s="1"/>
  <c r="A1545" i="39" s="1"/>
  <c r="A1546" i="39" s="1"/>
  <c r="A1547" i="39" s="1"/>
  <c r="A1548" i="39" s="1"/>
  <c r="A1549" i="39" s="1"/>
  <c r="A1550" i="39" s="1"/>
  <c r="A1551" i="39" s="1"/>
  <c r="A1552" i="39" s="1"/>
  <c r="A1553" i="39" s="1"/>
  <c r="A1554" i="39" s="1"/>
  <c r="A1555" i="39" s="1"/>
  <c r="A1556" i="39" s="1"/>
  <c r="A1557" i="39" s="1"/>
  <c r="A1558" i="39" s="1"/>
  <c r="A1559" i="39" s="1"/>
  <c r="A1560" i="39" s="1"/>
  <c r="A1561" i="39" s="1"/>
  <c r="A1562" i="39" s="1"/>
  <c r="A1563" i="39" s="1"/>
  <c r="A1564" i="39" s="1"/>
  <c r="A1565" i="39" s="1"/>
  <c r="A1566" i="39" s="1"/>
  <c r="A1567" i="39" s="1"/>
  <c r="A1568" i="39" s="1"/>
  <c r="A1569" i="39" s="1"/>
  <c r="A1570" i="39" s="1"/>
  <c r="A1571" i="39" s="1"/>
  <c r="A1572" i="39" s="1"/>
  <c r="A1573" i="39" s="1"/>
  <c r="A1574" i="39" s="1"/>
  <c r="A1575" i="39" s="1"/>
  <c r="A1576" i="39" s="1"/>
  <c r="A1577" i="39" s="1"/>
  <c r="A1578" i="39" s="1"/>
  <c r="A1579" i="39" s="1"/>
  <c r="A1580" i="39" s="1"/>
  <c r="A1581" i="39" s="1"/>
  <c r="A1582" i="39" s="1"/>
  <c r="A1583" i="39" s="1"/>
  <c r="A1584" i="39" s="1"/>
  <c r="A1585" i="39" s="1"/>
  <c r="A1586" i="39" s="1"/>
  <c r="A1587" i="39" s="1"/>
  <c r="A1588" i="39" s="1"/>
  <c r="A1589" i="39" s="1"/>
  <c r="A1590" i="39" s="1"/>
  <c r="A1591" i="39" s="1"/>
  <c r="A1592" i="39" s="1"/>
  <c r="A1593" i="39" s="1"/>
  <c r="A1594" i="39" s="1"/>
  <c r="A1595" i="39" s="1"/>
  <c r="A1596" i="39" s="1"/>
  <c r="A1597" i="39" s="1"/>
  <c r="A1598" i="39" s="1"/>
  <c r="A1599" i="39" s="1"/>
  <c r="A1600" i="39" s="1"/>
  <c r="A1601" i="39" s="1"/>
  <c r="A1602" i="39" s="1"/>
  <c r="A1603" i="39" s="1"/>
  <c r="A1604" i="39" s="1"/>
  <c r="A1605" i="39" s="1"/>
  <c r="A1606" i="39" s="1"/>
  <c r="A1607" i="39" s="1"/>
  <c r="A1608" i="39" s="1"/>
  <c r="A1609" i="39" s="1"/>
  <c r="A1610" i="39" s="1"/>
  <c r="A1611" i="39" s="1"/>
  <c r="A1612" i="39" s="1"/>
  <c r="A1613" i="39" s="1"/>
  <c r="A1614" i="39" s="1"/>
  <c r="A1615" i="39" s="1"/>
  <c r="A1616" i="39" s="1"/>
  <c r="A1617" i="39" s="1"/>
  <c r="A1618" i="39" s="1"/>
  <c r="A1619" i="39" s="1"/>
  <c r="A1620" i="39" s="1"/>
  <c r="A1621" i="39" s="1"/>
  <c r="A1622" i="39" s="1"/>
  <c r="A1623" i="39" s="1"/>
  <c r="A1624" i="39" s="1"/>
  <c r="A1625" i="39" s="1"/>
  <c r="A1626" i="39" s="1"/>
  <c r="A1627" i="39" s="1"/>
  <c r="A1628" i="39" s="1"/>
  <c r="A1629" i="39" s="1"/>
  <c r="A1630" i="39" s="1"/>
  <c r="A1631" i="39" s="1"/>
  <c r="A1632" i="39" s="1"/>
  <c r="A1633" i="39" s="1"/>
  <c r="A1634" i="39" s="1"/>
  <c r="A1635" i="39" s="1"/>
  <c r="A1636" i="39" s="1"/>
  <c r="A1637" i="39" s="1"/>
  <c r="A1638" i="39" s="1"/>
  <c r="A1639" i="39" s="1"/>
  <c r="A1640" i="39" s="1"/>
  <c r="A1641" i="39" s="1"/>
  <c r="A1642" i="39" s="1"/>
  <c r="A1643" i="39" s="1"/>
  <c r="A1644" i="39" s="1"/>
  <c r="A1645" i="39" s="1"/>
  <c r="A1646" i="39" s="1"/>
  <c r="A1647" i="39" s="1"/>
  <c r="A1648" i="39" s="1"/>
  <c r="A1649" i="39" s="1"/>
  <c r="A1650" i="39" s="1"/>
  <c r="A1651" i="39" s="1"/>
  <c r="A1652" i="39" s="1"/>
  <c r="A1653" i="39" s="1"/>
  <c r="A1654" i="39" s="1"/>
  <c r="A1655" i="39" s="1"/>
  <c r="A1656" i="39" s="1"/>
  <c r="A1657" i="39" s="1"/>
  <c r="A1658" i="39" s="1"/>
  <c r="A1659" i="39" s="1"/>
  <c r="A1660" i="39" s="1"/>
  <c r="A1661" i="39" s="1"/>
  <c r="A1662" i="39" s="1"/>
  <c r="A1663" i="39" s="1"/>
  <c r="A1664" i="39" s="1"/>
  <c r="A1665" i="39" s="1"/>
  <c r="A1666" i="39" s="1"/>
  <c r="A1667" i="39" s="1"/>
  <c r="A1668" i="39" s="1"/>
  <c r="A1669" i="39" s="1"/>
  <c r="A1670" i="39" s="1"/>
  <c r="A1671" i="39" s="1"/>
  <c r="A1672" i="39" s="1"/>
  <c r="A1673" i="39" s="1"/>
  <c r="A1674" i="39" s="1"/>
  <c r="A1675" i="39" s="1"/>
  <c r="A1676" i="39" s="1"/>
  <c r="A1677" i="39" s="1"/>
  <c r="A1678" i="39" s="1"/>
  <c r="A1679" i="39" s="1"/>
  <c r="A1680" i="39" s="1"/>
  <c r="A1681" i="39" s="1"/>
  <c r="A1682" i="39" s="1"/>
  <c r="A1683" i="39" s="1"/>
  <c r="A1684" i="39" s="1"/>
  <c r="A1685" i="39" s="1"/>
  <c r="A1686" i="39" s="1"/>
  <c r="A1687" i="39" s="1"/>
  <c r="A1688" i="39" s="1"/>
  <c r="A1689" i="39" s="1"/>
  <c r="A1690" i="39" s="1"/>
  <c r="A1691" i="39" s="1"/>
  <c r="A1692" i="39" s="1"/>
  <c r="A1693" i="39" s="1"/>
  <c r="A1694" i="39" s="1"/>
  <c r="A1695" i="39" s="1"/>
  <c r="A1696" i="39" s="1"/>
  <c r="A1697" i="39" s="1"/>
  <c r="A1698" i="39" s="1"/>
  <c r="A1699" i="39" s="1"/>
  <c r="A1700" i="39" s="1"/>
  <c r="A1701" i="39" s="1"/>
  <c r="A1702" i="39" s="1"/>
  <c r="A1703" i="39" s="1"/>
  <c r="A1704" i="39" s="1"/>
  <c r="A1705" i="39" s="1"/>
  <c r="A1706" i="39" s="1"/>
  <c r="A1707" i="39" s="1"/>
  <c r="A1708" i="39" s="1"/>
  <c r="A1709" i="39" s="1"/>
  <c r="A1710" i="39" s="1"/>
  <c r="A1711" i="39" s="1"/>
  <c r="A1712" i="39" s="1"/>
  <c r="A1713" i="39" s="1"/>
  <c r="A1714" i="39" s="1"/>
  <c r="A1715" i="39" s="1"/>
  <c r="A1716" i="39" s="1"/>
  <c r="A1717" i="39" s="1"/>
  <c r="A1718" i="39" s="1"/>
  <c r="A1719" i="39" s="1"/>
  <c r="A1720" i="39" s="1"/>
  <c r="A1721" i="39" s="1"/>
  <c r="A1722" i="39" s="1"/>
  <c r="A1723" i="39" s="1"/>
  <c r="A1724" i="39" s="1"/>
  <c r="A1725" i="39" s="1"/>
  <c r="A1726" i="39" s="1"/>
  <c r="A1727" i="39" s="1"/>
  <c r="A1728" i="39" s="1"/>
  <c r="A1729" i="39" s="1"/>
  <c r="A1730" i="39" s="1"/>
  <c r="A1731" i="39" s="1"/>
  <c r="A1732" i="39" s="1"/>
  <c r="A1733" i="39" s="1"/>
  <c r="A1734" i="39" s="1"/>
  <c r="A1735" i="39" s="1"/>
  <c r="A1736" i="39" s="1"/>
  <c r="A1737" i="39" s="1"/>
  <c r="A1738" i="39" s="1"/>
  <c r="A1739" i="39" s="1"/>
  <c r="A1740" i="39" s="1"/>
  <c r="A1741" i="39" s="1"/>
  <c r="A1742" i="39" s="1"/>
  <c r="A1743" i="39" s="1"/>
  <c r="A1744" i="39" s="1"/>
  <c r="A1745" i="39" s="1"/>
  <c r="A1746" i="39" s="1"/>
  <c r="A1747" i="39" s="1"/>
  <c r="A1748" i="39" s="1"/>
  <c r="A1749" i="39" s="1"/>
  <c r="A1750" i="39" s="1"/>
  <c r="A1751" i="39" s="1"/>
  <c r="A1752" i="39" s="1"/>
  <c r="A1753" i="39" s="1"/>
  <c r="A1754" i="39" s="1"/>
  <c r="A1755" i="39" s="1"/>
  <c r="A1756" i="39" s="1"/>
  <c r="A1757" i="39" s="1"/>
  <c r="A1758" i="39" s="1"/>
  <c r="A1759" i="39" s="1"/>
  <c r="A1760" i="39" s="1"/>
  <c r="A1761" i="39" s="1"/>
  <c r="A1762" i="39" s="1"/>
  <c r="A1763" i="39" s="1"/>
  <c r="A1764" i="39" s="1"/>
  <c r="A1765" i="39" s="1"/>
  <c r="A1766" i="39" s="1"/>
  <c r="A1767" i="39" s="1"/>
  <c r="A1768" i="39" s="1"/>
  <c r="A1769" i="39" s="1"/>
  <c r="A1770" i="39" s="1"/>
  <c r="A1771" i="39" s="1"/>
  <c r="A1772" i="39" s="1"/>
  <c r="A1773" i="39" s="1"/>
  <c r="A1774" i="39" s="1"/>
  <c r="A1775" i="39" s="1"/>
  <c r="A1776" i="39" s="1"/>
  <c r="A1777" i="39" s="1"/>
  <c r="A1778" i="39" s="1"/>
  <c r="A1779" i="39" s="1"/>
  <c r="A1780" i="39" s="1"/>
  <c r="A1781" i="39" s="1"/>
  <c r="A1782" i="39" s="1"/>
  <c r="A1783" i="39" s="1"/>
  <c r="A1784" i="39" s="1"/>
  <c r="A1785" i="39" s="1"/>
  <c r="A1786" i="39" s="1"/>
  <c r="A1787" i="39" s="1"/>
  <c r="A1788" i="39" s="1"/>
  <c r="A1789" i="39" s="1"/>
  <c r="A1790" i="39" s="1"/>
  <c r="A1791" i="39" s="1"/>
  <c r="A1792" i="39" s="1"/>
  <c r="A1793" i="39" s="1"/>
  <c r="A1794" i="39" s="1"/>
  <c r="A1795" i="39" s="1"/>
  <c r="A1796" i="39" s="1"/>
  <c r="A1797" i="39" s="1"/>
  <c r="A1798" i="39" s="1"/>
  <c r="A1799" i="39" s="1"/>
  <c r="A1800" i="39" s="1"/>
  <c r="A1801" i="39" s="1"/>
  <c r="A1802" i="39" s="1"/>
  <c r="A1803" i="39" s="1"/>
  <c r="A1804" i="39" s="1"/>
  <c r="A1805" i="39" s="1"/>
  <c r="A1806" i="39" s="1"/>
  <c r="A1807" i="39" s="1"/>
  <c r="A1808" i="39" s="1"/>
  <c r="A1809" i="39" s="1"/>
  <c r="A1810" i="39" s="1"/>
  <c r="A1811" i="39" s="1"/>
  <c r="A1812" i="39" s="1"/>
  <c r="A1813" i="39" s="1"/>
  <c r="A1814" i="39" s="1"/>
  <c r="A1815" i="39" s="1"/>
  <c r="A1816" i="39" s="1"/>
  <c r="A1817" i="39" s="1"/>
  <c r="A1818" i="39" s="1"/>
  <c r="A1819" i="39" s="1"/>
  <c r="A1820" i="39" s="1"/>
  <c r="A1821" i="39" s="1"/>
  <c r="A1822" i="39" s="1"/>
  <c r="A1823" i="39" s="1"/>
  <c r="A1824" i="39" s="1"/>
  <c r="A1825" i="39" s="1"/>
  <c r="A1826" i="39" s="1"/>
  <c r="A1827" i="39" s="1"/>
  <c r="A1828" i="39" s="1"/>
  <c r="A1829" i="39" s="1"/>
  <c r="A1830" i="39" s="1"/>
  <c r="A1831" i="39" s="1"/>
  <c r="A1832" i="39" s="1"/>
  <c r="A1833" i="39" s="1"/>
  <c r="A1834" i="39" s="1"/>
  <c r="A1835" i="39" s="1"/>
  <c r="A1836" i="39" s="1"/>
  <c r="A1837" i="39" s="1"/>
  <c r="A1838" i="39" s="1"/>
  <c r="A1839" i="39" s="1"/>
  <c r="A1840" i="39" s="1"/>
  <c r="A1841" i="39" s="1"/>
  <c r="A1842" i="39" s="1"/>
  <c r="A1843" i="39" s="1"/>
  <c r="A1844" i="39" s="1"/>
  <c r="A1845" i="39" s="1"/>
  <c r="A1846" i="39" s="1"/>
  <c r="A1847" i="39" s="1"/>
  <c r="A1848" i="39" s="1"/>
  <c r="A1849" i="39" s="1"/>
  <c r="A1850" i="39" s="1"/>
  <c r="A1851" i="39" s="1"/>
  <c r="A1852" i="39" s="1"/>
  <c r="A1853" i="39" s="1"/>
  <c r="A1854" i="39" s="1"/>
  <c r="A1855" i="39" s="1"/>
  <c r="A1856" i="39" s="1"/>
  <c r="A1857" i="39" s="1"/>
  <c r="A1858" i="39" s="1"/>
  <c r="A1859" i="39" s="1"/>
  <c r="A1860" i="39" s="1"/>
  <c r="A1861" i="39" s="1"/>
  <c r="A1862" i="39" s="1"/>
  <c r="A1863" i="39" s="1"/>
  <c r="A1864" i="39" s="1"/>
  <c r="A1865" i="39" s="1"/>
  <c r="A1866" i="39" s="1"/>
  <c r="A1867" i="39" s="1"/>
  <c r="A1868" i="39" s="1"/>
  <c r="A1869" i="39" s="1"/>
  <c r="A1870" i="39" s="1"/>
  <c r="A1871" i="39" s="1"/>
  <c r="A1872" i="39" s="1"/>
  <c r="A1873" i="39" s="1"/>
  <c r="A1874" i="39" s="1"/>
  <c r="A1875" i="39" s="1"/>
  <c r="A1876" i="39" s="1"/>
  <c r="A1877" i="39" s="1"/>
  <c r="A1878" i="39" s="1"/>
  <c r="A1879" i="39" s="1"/>
  <c r="A1880" i="39" s="1"/>
  <c r="A1881" i="39" s="1"/>
  <c r="A1882" i="39" s="1"/>
  <c r="A1883" i="39" s="1"/>
  <c r="A1884" i="39" s="1"/>
  <c r="A1885" i="39" s="1"/>
  <c r="A1886" i="39" s="1"/>
  <c r="A1887" i="39" s="1"/>
  <c r="A1888" i="39" s="1"/>
  <c r="A1889" i="39" s="1"/>
  <c r="A1890" i="39" s="1"/>
  <c r="A1891" i="39" s="1"/>
  <c r="A1892" i="39" s="1"/>
  <c r="A1893" i="39" s="1"/>
  <c r="A1894" i="39" s="1"/>
  <c r="A1895" i="39" s="1"/>
  <c r="A1896" i="39" s="1"/>
  <c r="A1897" i="39" s="1"/>
  <c r="A1898" i="39" s="1"/>
  <c r="A1899" i="39" s="1"/>
  <c r="A1900" i="39" s="1"/>
  <c r="A1901" i="39" s="1"/>
  <c r="A1902" i="39" s="1"/>
  <c r="A1903" i="39" s="1"/>
  <c r="A1904" i="39" s="1"/>
  <c r="A1905" i="39" s="1"/>
  <c r="A1906" i="39" s="1"/>
  <c r="A1907" i="39" s="1"/>
  <c r="A1908" i="39" s="1"/>
  <c r="A1909" i="39" s="1"/>
  <c r="A1910" i="39" s="1"/>
  <c r="A1911" i="39" s="1"/>
  <c r="A1912" i="39" s="1"/>
  <c r="A1913" i="39" s="1"/>
  <c r="A1914" i="39" s="1"/>
  <c r="A1915" i="39" s="1"/>
  <c r="A1916" i="39" s="1"/>
  <c r="A1917" i="39" s="1"/>
  <c r="A1918" i="39" s="1"/>
  <c r="A1919" i="39" s="1"/>
  <c r="A1920" i="39" s="1"/>
  <c r="A1921" i="39" s="1"/>
  <c r="A1922" i="39" s="1"/>
  <c r="A1923" i="39" s="1"/>
  <c r="A1924" i="39" s="1"/>
  <c r="A1925" i="39" s="1"/>
  <c r="A1926" i="39" s="1"/>
  <c r="A1927" i="39" s="1"/>
  <c r="A1928" i="39" s="1"/>
  <c r="A1929" i="39" s="1"/>
  <c r="A1930" i="39" s="1"/>
  <c r="A1931" i="39" s="1"/>
  <c r="A1932" i="39" s="1"/>
  <c r="A1933" i="39" s="1"/>
  <c r="A1934" i="39" s="1"/>
  <c r="A1935" i="39" s="1"/>
  <c r="A1936" i="39" s="1"/>
  <c r="A1937" i="39" s="1"/>
  <c r="A1938" i="39" s="1"/>
  <c r="A1939" i="39" s="1"/>
  <c r="A1940" i="39" s="1"/>
  <c r="A1941" i="39" s="1"/>
  <c r="A1942" i="39" s="1"/>
  <c r="A1943" i="39" s="1"/>
  <c r="A1944" i="39" s="1"/>
  <c r="A1945" i="39" s="1"/>
  <c r="A1946" i="39" s="1"/>
  <c r="A1947" i="39" s="1"/>
  <c r="A1948" i="39" s="1"/>
  <c r="A1949" i="39" s="1"/>
  <c r="A1950" i="39" s="1"/>
  <c r="A1951" i="39" s="1"/>
  <c r="A1952" i="39" s="1"/>
  <c r="A1953" i="39" s="1"/>
  <c r="A1954" i="39" s="1"/>
  <c r="A1955" i="39" s="1"/>
  <c r="A1956" i="39" s="1"/>
  <c r="A1957" i="39" s="1"/>
  <c r="A1958" i="39" s="1"/>
  <c r="A1959" i="39" s="1"/>
  <c r="A1960" i="39" s="1"/>
  <c r="A1961" i="39" s="1"/>
  <c r="A1962" i="39" s="1"/>
  <c r="A1963" i="39" s="1"/>
  <c r="A1964" i="39" s="1"/>
  <c r="A1965" i="39" s="1"/>
  <c r="A1966" i="39" s="1"/>
  <c r="A1967" i="39" s="1"/>
  <c r="A1968" i="39" s="1"/>
  <c r="A1969" i="39" s="1"/>
  <c r="A1970" i="39" s="1"/>
  <c r="A1971" i="39" s="1"/>
  <c r="A1972" i="39" s="1"/>
  <c r="A1973" i="39" s="1"/>
  <c r="A1974" i="39" s="1"/>
  <c r="A1975" i="39" s="1"/>
  <c r="A1976" i="39" s="1"/>
  <c r="A1977" i="39" s="1"/>
  <c r="A1978" i="39" s="1"/>
  <c r="A1979" i="39" s="1"/>
  <c r="A1980" i="39" s="1"/>
  <c r="A1981" i="39" s="1"/>
  <c r="A1982" i="39" s="1"/>
  <c r="A1983" i="39" s="1"/>
  <c r="A1984" i="39" s="1"/>
  <c r="A1985" i="39" s="1"/>
  <c r="A1986" i="39" s="1"/>
  <c r="A1987" i="39" s="1"/>
  <c r="A1988" i="39" s="1"/>
  <c r="A1989" i="39" s="1"/>
  <c r="A1990" i="39" s="1"/>
  <c r="A1991" i="39" s="1"/>
  <c r="A1992" i="39" s="1"/>
  <c r="A1993" i="39" s="1"/>
  <c r="A1994" i="39" s="1"/>
  <c r="A1995" i="39" s="1"/>
  <c r="A1996" i="39" s="1"/>
  <c r="A1997" i="39" s="1"/>
  <c r="A1998" i="39" s="1"/>
  <c r="A1999" i="39" s="1"/>
  <c r="A2000" i="39" s="1"/>
  <c r="A2001" i="39" s="1"/>
  <c r="A2002" i="39" s="1"/>
  <c r="A2003" i="39" s="1"/>
  <c r="A2004" i="39" s="1"/>
  <c r="A2005" i="39" s="1"/>
  <c r="A2006" i="39" s="1"/>
  <c r="A2007" i="39" s="1"/>
  <c r="A2008" i="39" s="1"/>
  <c r="A2009" i="39" s="1"/>
  <c r="A2010" i="39" s="1"/>
  <c r="A2011" i="39" s="1"/>
  <c r="A2012" i="39" s="1"/>
  <c r="A2013" i="39" s="1"/>
  <c r="A2014" i="39" s="1"/>
  <c r="A2015" i="39" s="1"/>
  <c r="A2016" i="39" s="1"/>
  <c r="A2017" i="39" s="1"/>
  <c r="A2018" i="39" s="1"/>
  <c r="A2019" i="39" s="1"/>
  <c r="A2020" i="39" s="1"/>
  <c r="A2021" i="39" s="1"/>
  <c r="A2022" i="39" s="1"/>
  <c r="A2023" i="39" s="1"/>
  <c r="A2024" i="39" s="1"/>
  <c r="A2025" i="39" s="1"/>
  <c r="A2026" i="39" s="1"/>
  <c r="A2027" i="39" s="1"/>
  <c r="A2028" i="39" s="1"/>
  <c r="A2029" i="39" s="1"/>
  <c r="A2030" i="39" s="1"/>
  <c r="A2031" i="39" s="1"/>
  <c r="A2032" i="39" s="1"/>
  <c r="A2033" i="39" s="1"/>
  <c r="A2034" i="39" s="1"/>
  <c r="A2035" i="39" s="1"/>
  <c r="A2036" i="39" s="1"/>
  <c r="A2037" i="39" s="1"/>
  <c r="A2038" i="39" s="1"/>
  <c r="A2039" i="39" s="1"/>
  <c r="A2040" i="39" s="1"/>
  <c r="A2041" i="39" s="1"/>
  <c r="A2042" i="39" s="1"/>
  <c r="A2043" i="39" s="1"/>
  <c r="A2044" i="39" s="1"/>
  <c r="A2045" i="39" s="1"/>
  <c r="A2046" i="39" s="1"/>
  <c r="A2047" i="39" s="1"/>
  <c r="A2048" i="39" s="1"/>
  <c r="A2049" i="39" s="1"/>
  <c r="A2050" i="39" s="1"/>
  <c r="A2051" i="39" s="1"/>
  <c r="A2052" i="39" s="1"/>
  <c r="A2053" i="39" s="1"/>
  <c r="A2054" i="39" s="1"/>
  <c r="A2055" i="39" s="1"/>
  <c r="A2056" i="39" s="1"/>
  <c r="A2057" i="39" s="1"/>
  <c r="A2058" i="39" s="1"/>
  <c r="A2059" i="39" s="1"/>
  <c r="A2060" i="39" s="1"/>
  <c r="A2061" i="39" s="1"/>
  <c r="A2062" i="39" s="1"/>
  <c r="A2063" i="39" s="1"/>
  <c r="A2064" i="39" s="1"/>
  <c r="A2065" i="39" s="1"/>
  <c r="A2066" i="39" s="1"/>
  <c r="A2067" i="39" l="1"/>
  <c r="A2068" i="39" s="1"/>
  <c r="A2069" i="39" s="1"/>
  <c r="A2070" i="39" l="1"/>
  <c r="A2071" i="39" s="1"/>
  <c r="A2072" i="39" s="1"/>
  <c r="A2073" i="39" s="1"/>
  <c r="A2074" i="39" s="1"/>
  <c r="A2075" i="39" s="1"/>
  <c r="A2076" i="39" s="1"/>
  <c r="A2077" i="39" s="1"/>
  <c r="A2078" i="39" s="1"/>
  <c r="A2079" i="39" s="1"/>
  <c r="A2080" i="39" s="1"/>
  <c r="A2081" i="39" s="1"/>
  <c r="A2082" i="39" s="1"/>
  <c r="A2083" i="39" s="1"/>
  <c r="A2084" i="39" s="1"/>
  <c r="A2085" i="39" l="1"/>
  <c r="A2086" i="39" s="1"/>
  <c r="A2087" i="39" s="1"/>
  <c r="A2088" i="39" s="1"/>
  <c r="A2089" i="39" s="1"/>
  <c r="A2090" i="39" s="1"/>
  <c r="A2091" i="39" s="1"/>
  <c r="A2092" i="39" s="1"/>
  <c r="A2093" i="39" l="1"/>
  <c r="A2094" i="39" s="1"/>
  <c r="A2095" i="39" s="1"/>
  <c r="A2096" i="39" s="1"/>
  <c r="A2097" i="39" s="1"/>
  <c r="A2098" i="39" s="1"/>
  <c r="A2099" i="39" s="1"/>
  <c r="A2100" i="39" s="1"/>
  <c r="A2101" i="39" s="1"/>
  <c r="A2102" i="39" s="1"/>
  <c r="A2103" i="39" s="1"/>
  <c r="A2104" i="39" s="1"/>
  <c r="A2105" i="39" s="1"/>
  <c r="A2106" i="39" s="1"/>
  <c r="A2107" i="39" l="1"/>
  <c r="A2108" i="39" s="1"/>
  <c r="A2109" i="39" l="1"/>
  <c r="A2110" i="39" s="1"/>
  <c r="A2111" i="39" s="1"/>
  <c r="A2112" i="39" s="1"/>
  <c r="A2113" i="39" s="1"/>
  <c r="A2114" i="39" s="1"/>
  <c r="A2115" i="39" s="1"/>
  <c r="A2116" i="39" s="1"/>
  <c r="A2117" i="39" s="1"/>
  <c r="A2118" i="39" s="1"/>
  <c r="A2119" i="39" s="1"/>
  <c r="A2120" i="39" s="1"/>
  <c r="A2121" i="39" l="1"/>
  <c r="A2122" i="39" s="1"/>
  <c r="A2123" i="39" s="1"/>
  <c r="A2124" i="39" l="1"/>
  <c r="A2125" i="39" s="1"/>
  <c r="A2126" i="39" s="1"/>
  <c r="A2127" i="39" s="1"/>
  <c r="A2128" i="39" s="1"/>
  <c r="A2129" i="39" s="1"/>
  <c r="A2130" i="39" s="1"/>
  <c r="A2131" i="39" s="1"/>
  <c r="A2132" i="39" s="1"/>
  <c r="A2133" i="39" s="1"/>
  <c r="A2134" i="39" s="1"/>
  <c r="A2135" i="39" s="1"/>
  <c r="A2136" i="39" s="1"/>
  <c r="A2137" i="39" s="1"/>
  <c r="A2138" i="39" l="1"/>
  <c r="A2139" i="39" s="1"/>
  <c r="A2140" i="39" s="1"/>
  <c r="A2141" i="39" s="1"/>
  <c r="A2142" i="39" s="1"/>
  <c r="A2143" i="39" s="1"/>
  <c r="A2144" i="39" s="1"/>
  <c r="A2145" i="39" s="1"/>
  <c r="A2146" i="39" s="1"/>
  <c r="A2147" i="39" s="1"/>
  <c r="A2148" i="39" s="1"/>
  <c r="A2149" i="39" s="1"/>
  <c r="A2150" i="39" s="1"/>
  <c r="A2151" i="39" s="1"/>
  <c r="A2152" i="39" l="1"/>
  <c r="A2153" i="39" s="1"/>
  <c r="A2154" i="39" s="1"/>
  <c r="A2155" i="39" s="1"/>
  <c r="A2156" i="39" s="1"/>
  <c r="A2157" i="39" s="1"/>
  <c r="A2158" i="39" l="1"/>
  <c r="A2159" i="39" s="1"/>
  <c r="A2160" i="39" s="1"/>
  <c r="A2161" i="39" s="1"/>
  <c r="A2162" i="39" s="1"/>
  <c r="A2163" i="39" s="1"/>
  <c r="A2164" i="39" s="1"/>
  <c r="A2165" i="39" s="1"/>
  <c r="A2166" i="39" s="1"/>
  <c r="A2167" i="39" s="1"/>
  <c r="A2168" i="39" s="1"/>
  <c r="A2169" i="39" s="1"/>
  <c r="A2170" i="39" s="1"/>
  <c r="A2171" i="39" s="1"/>
  <c r="A2172" i="39" s="1"/>
  <c r="A2173" i="39" s="1"/>
  <c r="A2174" i="39" s="1"/>
  <c r="A2175" i="39" s="1"/>
  <c r="A2176" i="39" s="1"/>
  <c r="A2177" i="39" l="1"/>
  <c r="A2178" i="39" s="1"/>
  <c r="A2179" i="39" s="1"/>
  <c r="A2180" i="39" l="1"/>
  <c r="A2181" i="39" s="1"/>
  <c r="A2182" i="39" s="1"/>
  <c r="A2183" i="39" s="1"/>
  <c r="A2184" i="39" s="1"/>
  <c r="A2185" i="39" s="1"/>
  <c r="A2186" i="39" s="1"/>
  <c r="A2187" i="39" s="1"/>
  <c r="A2188" i="39" s="1"/>
  <c r="A2189" i="39" s="1"/>
  <c r="A2190" i="39" s="1"/>
  <c r="A2191" i="39" l="1"/>
  <c r="A2192" i="39" s="1"/>
  <c r="A2193" i="39" l="1"/>
  <c r="A2194" i="39" s="1"/>
  <c r="A2195" i="39" s="1"/>
  <c r="A2196" i="39" s="1"/>
  <c r="A2197" i="39" s="1"/>
  <c r="A2198" i="39" s="1"/>
  <c r="A2199" i="39" l="1"/>
  <c r="A2200" i="39" s="1"/>
  <c r="A2201" i="39" s="1"/>
  <c r="A2202" i="39" s="1"/>
  <c r="A2203" i="39" s="1"/>
  <c r="A2204" i="39" s="1"/>
  <c r="A2205" i="39" s="1"/>
  <c r="A2206" i="39" s="1"/>
  <c r="A2207" i="39" l="1"/>
  <c r="A2208" i="39" s="1"/>
  <c r="A2209" i="39" l="1"/>
  <c r="A2210" i="39" s="1"/>
  <c r="A2211" i="39" s="1"/>
  <c r="A2212" i="39" s="1"/>
  <c r="A2213" i="39" l="1"/>
  <c r="A2214" i="39" s="1"/>
  <c r="A2215" i="39" s="1"/>
  <c r="A2216" i="39" s="1"/>
  <c r="A2217" i="39" s="1"/>
  <c r="A2218" i="39" l="1"/>
  <c r="A2219" i="39" s="1"/>
  <c r="A2220" i="39" s="1"/>
  <c r="A2221" i="39" s="1"/>
  <c r="A2222" i="39" s="1"/>
  <c r="A2223" i="39" s="1"/>
  <c r="A2224" i="39" s="1"/>
  <c r="A2225" i="39" s="1"/>
  <c r="A2226" i="39" s="1"/>
  <c r="A2227" i="39" s="1"/>
  <c r="A2228" i="39" s="1"/>
  <c r="A2229" i="39" s="1"/>
  <c r="A2230" i="39" s="1"/>
  <c r="A2231" i="39" s="1"/>
  <c r="A2232" i="39" s="1"/>
  <c r="A2233" i="39" s="1"/>
  <c r="A2234" i="39" s="1"/>
  <c r="A2235" i="39" s="1"/>
  <c r="A2236" i="39" s="1"/>
  <c r="A2237" i="39" s="1"/>
  <c r="A2238" i="39" s="1"/>
  <c r="A2239" i="39" s="1"/>
  <c r="A2240" i="39" s="1"/>
  <c r="A2241" i="39" s="1"/>
  <c r="A2242" i="39" s="1"/>
  <c r="A2243" i="39" s="1"/>
  <c r="A2244" i="39" s="1"/>
  <c r="A2245" i="39" s="1"/>
  <c r="A2246" i="39" s="1"/>
  <c r="A2247" i="39" s="1"/>
  <c r="A2248" i="39" s="1"/>
  <c r="A2249" i="39" s="1"/>
  <c r="A2250" i="39" s="1"/>
  <c r="A2251" i="39" s="1"/>
  <c r="A2252" i="39" s="1"/>
  <c r="A2253" i="39" s="1"/>
  <c r="A2254" i="39" s="1"/>
  <c r="A2255" i="39" s="1"/>
  <c r="A2256" i="39" s="1"/>
  <c r="A2257" i="39" s="1"/>
  <c r="A2258" i="39" s="1"/>
  <c r="A2259" i="39" l="1"/>
  <c r="A2260" i="39" s="1"/>
  <c r="A2261" i="39" s="1"/>
  <c r="A2262" i="39" s="1"/>
  <c r="A2263" i="39" s="1"/>
  <c r="A2264" i="39" s="1"/>
  <c r="A2265" i="39" s="1"/>
  <c r="A2266" i="39" s="1"/>
  <c r="A2267" i="39" s="1"/>
  <c r="A2268" i="39" s="1"/>
  <c r="A2269" i="39" s="1"/>
  <c r="A2270" i="39" s="1"/>
  <c r="A2271" i="39" s="1"/>
  <c r="A2272" i="39" l="1"/>
  <c r="A2273" i="39" s="1"/>
  <c r="A2274" i="39" l="1"/>
  <c r="A2275" i="39" s="1"/>
  <c r="A2276" i="39" s="1"/>
  <c r="A2277" i="39" s="1"/>
  <c r="A2278" i="39" s="1"/>
  <c r="A2279" i="39" s="1"/>
  <c r="A2280" i="39" s="1"/>
  <c r="A2281" i="39" s="1"/>
  <c r="A2282" i="39" s="1"/>
  <c r="A2283" i="39" s="1"/>
  <c r="A2284" i="39" s="1"/>
  <c r="A2285" i="39" s="1"/>
  <c r="A2286" i="39" s="1"/>
  <c r="A2287" i="39" s="1"/>
  <c r="A2288" i="39" s="1"/>
  <c r="A2289" i="39" s="1"/>
  <c r="A2290" i="39" s="1"/>
  <c r="A2291" i="39" s="1"/>
  <c r="A2292" i="39" s="1"/>
  <c r="A2293" i="39" s="1"/>
  <c r="A2294" i="39" s="1"/>
  <c r="A2295" i="39" s="1"/>
  <c r="A2296" i="39" s="1"/>
  <c r="A2297" i="39" s="1"/>
  <c r="A2298" i="39" s="1"/>
  <c r="A2299" i="39" s="1"/>
  <c r="A2300" i="39" s="1"/>
  <c r="A2301" i="39" s="1"/>
  <c r="A2302" i="39" s="1"/>
  <c r="A2303" i="39" s="1"/>
  <c r="A2304" i="39" s="1"/>
  <c r="A2305" i="39" s="1"/>
  <c r="A2306" i="39" s="1"/>
  <c r="A2307" i="39" s="1"/>
  <c r="A2308" i="39" s="1"/>
  <c r="A2309" i="39" s="1"/>
  <c r="A2310" i="39" s="1"/>
  <c r="A2311" i="39" s="1"/>
  <c r="A2312" i="39" s="1"/>
  <c r="A2313" i="39" s="1"/>
  <c r="A2314" i="39" s="1"/>
  <c r="A2315" i="39" s="1"/>
  <c r="A2316" i="39" s="1"/>
  <c r="A2317" i="39" s="1"/>
  <c r="A2318" i="39" s="1"/>
  <c r="A2319" i="39" s="1"/>
  <c r="A2320" i="39" s="1"/>
  <c r="A2321" i="39" s="1"/>
  <c r="A2322" i="39" s="1"/>
  <c r="A2323" i="39" s="1"/>
  <c r="A2324" i="39" s="1"/>
  <c r="A2325" i="39" s="1"/>
  <c r="A2326" i="39" s="1"/>
  <c r="A2327" i="39" l="1"/>
  <c r="A2328" i="39" s="1"/>
  <c r="A2329" i="39" s="1"/>
  <c r="A2330" i="39" s="1"/>
  <c r="A2331" i="39" s="1"/>
  <c r="A2332" i="39" s="1"/>
  <c r="A2333" i="39" s="1"/>
  <c r="A2334" i="39" s="1"/>
  <c r="A2335" i="39" s="1"/>
  <c r="A2336" i="39" s="1"/>
  <c r="A2337" i="39" s="1"/>
  <c r="A2338" i="39" s="1"/>
  <c r="A2339" i="39" s="1"/>
  <c r="A2340" i="39" s="1"/>
  <c r="A2341" i="39" s="1"/>
  <c r="A2342" i="39" s="1"/>
  <c r="A2343" i="39" s="1"/>
  <c r="A2344" i="39" s="1"/>
  <c r="A2345" i="39" s="1"/>
  <c r="A2346" i="39" s="1"/>
  <c r="A2347" i="39" s="1"/>
  <c r="A2348" i="39" s="1"/>
  <c r="A2349" i="39" s="1"/>
  <c r="A2350" i="39" s="1"/>
  <c r="A2351" i="39" s="1"/>
  <c r="A2352" i="39" s="1"/>
  <c r="A2353" i="39" s="1"/>
  <c r="A2354" i="39" l="1"/>
  <c r="A2355" i="39" s="1"/>
  <c r="A2356" i="39" s="1"/>
  <c r="A2357" i="39" s="1"/>
  <c r="A2358" i="39" s="1"/>
  <c r="A2359" i="39" s="1"/>
  <c r="A2360" i="39" s="1"/>
  <c r="A2361" i="39" l="1"/>
  <c r="A2362" i="39" s="1"/>
  <c r="A2363" i="39" s="1"/>
  <c r="A2364" i="39" s="1"/>
  <c r="A2365" i="39" s="1"/>
  <c r="A2366" i="39" s="1"/>
  <c r="A2367" i="39" l="1"/>
  <c r="A2368" i="39" s="1"/>
  <c r="A2369" i="39" s="1"/>
  <c r="A2370" i="39" s="1"/>
  <c r="A2371" i="39" s="1"/>
  <c r="A2372" i="39" s="1"/>
  <c r="A2373" i="39" s="1"/>
  <c r="A2374" i="39" s="1"/>
  <c r="A2375" i="39" s="1"/>
  <c r="A2376" i="39" s="1"/>
  <c r="A2377" i="39" s="1"/>
  <c r="A2378" i="39" s="1"/>
  <c r="A2379" i="39" s="1"/>
  <c r="A2380" i="39" s="1"/>
  <c r="A2381" i="39" s="1"/>
  <c r="A2382" i="39" s="1"/>
  <c r="A2383" i="39" s="1"/>
  <c r="A2384" i="39" l="1"/>
  <c r="A2385" i="39" s="1"/>
  <c r="A2386" i="39" s="1"/>
  <c r="A2387" i="39" l="1"/>
  <c r="A2388" i="39" s="1"/>
  <c r="A2389" i="39" s="1"/>
  <c r="A2390" i="39" l="1"/>
  <c r="A2391" i="39" s="1"/>
  <c r="A2392" i="39" s="1"/>
  <c r="A2393" i="39" s="1"/>
  <c r="A2394" i="39" l="1"/>
  <c r="A2395" i="39" s="1"/>
  <c r="A2396" i="39" s="1"/>
  <c r="A2397" i="39" l="1"/>
  <c r="A2398" i="39" s="1"/>
  <c r="A2399" i="39" s="1"/>
  <c r="A2400" i="39" s="1"/>
  <c r="A2401" i="39" s="1"/>
  <c r="A2402" i="39" s="1"/>
  <c r="A2403" i="39" s="1"/>
  <c r="A2404" i="39" s="1"/>
  <c r="A2405" i="39" s="1"/>
  <c r="A2406" i="39" s="1"/>
  <c r="A2407" i="39" s="1"/>
  <c r="A2408" i="39" s="1"/>
  <c r="A2409" i="39" s="1"/>
  <c r="A2410" i="39" s="1"/>
  <c r="A2411" i="39" s="1"/>
  <c r="A2412" i="39" s="1"/>
  <c r="A2413" i="39" s="1"/>
  <c r="A2414" i="39" s="1"/>
  <c r="A2415" i="39" s="1"/>
  <c r="A2416" i="39" s="1"/>
  <c r="A2417" i="39" s="1"/>
  <c r="A2418" i="39" s="1"/>
  <c r="A2419" i="39" s="1"/>
  <c r="A2420" i="39" s="1"/>
  <c r="A2421" i="39" s="1"/>
  <c r="A2422" i="39" l="1"/>
  <c r="A2423" i="39" s="1"/>
  <c r="A2424" i="39" s="1"/>
  <c r="A2425" i="39" s="1"/>
  <c r="A2426" i="39" s="1"/>
  <c r="A2427" i="39" s="1"/>
  <c r="A2428" i="39" s="1"/>
  <c r="A2429" i="39" s="1"/>
  <c r="A2430" i="39" s="1"/>
  <c r="A2431" i="39" l="1"/>
  <c r="A2432" i="39" s="1"/>
  <c r="A2433" i="39" s="1"/>
  <c r="A2434" i="39" s="1"/>
  <c r="A2435" i="39" s="1"/>
  <c r="A2436" i="39" s="1"/>
  <c r="A2437" i="39" s="1"/>
  <c r="A2438" i="39" l="1"/>
  <c r="A2439" i="39" s="1"/>
  <c r="A2440" i="39" s="1"/>
  <c r="A2441" i="39" s="1"/>
  <c r="A2442" i="39" s="1"/>
  <c r="A2443" i="39" l="1"/>
  <c r="A2444" i="39" s="1"/>
  <c r="A2445" i="39" s="1"/>
  <c r="A2446" i="39" s="1"/>
  <c r="A2447" i="39" s="1"/>
  <c r="A2448" i="39" s="1"/>
  <c r="A2449" i="39" l="1"/>
  <c r="A2450" i="39" s="1"/>
  <c r="A2451" i="39" s="1"/>
  <c r="A2452" i="39" s="1"/>
  <c r="A2453" i="39" l="1"/>
  <c r="A2454" i="39" s="1"/>
  <c r="A2455" i="39" s="1"/>
  <c r="A2456" i="39" s="1"/>
  <c r="A2457" i="39" s="1"/>
  <c r="A2458" i="39" l="1"/>
  <c r="A2459" i="39" s="1"/>
  <c r="A2460" i="39" s="1"/>
  <c r="A2461" i="39" l="1"/>
  <c r="A2462" i="39" s="1"/>
  <c r="A2463" i="39" s="1"/>
  <c r="A2464" i="39" s="1"/>
  <c r="A2465" i="39" s="1"/>
  <c r="A2466" i="39" s="1"/>
  <c r="A2467" i="39" s="1"/>
  <c r="A2468" i="39" s="1"/>
  <c r="A2469" i="39" l="1"/>
  <c r="A2470" i="39" s="1"/>
  <c r="A2471" i="39" s="1"/>
  <c r="A2472" i="39" s="1"/>
  <c r="A2473" i="39" s="1"/>
  <c r="A2474" i="39" s="1"/>
  <c r="A2475" i="39" s="1"/>
  <c r="A2476" i="39" s="1"/>
  <c r="A2477" i="39" s="1"/>
  <c r="A2478" i="39" l="1"/>
  <c r="A2479" i="39" s="1"/>
  <c r="A2480" i="39" s="1"/>
  <c r="A2481" i="39" l="1"/>
  <c r="A2482" i="39" s="1"/>
  <c r="A2483" i="39" l="1"/>
  <c r="A2484" i="39" s="1"/>
  <c r="A2485" i="39" s="1"/>
  <c r="A2486" i="39" s="1"/>
  <c r="A2487" i="39" s="1"/>
  <c r="A2488" i="39" s="1"/>
  <c r="A2489" i="39" s="1"/>
  <c r="A2490" i="39" s="1"/>
  <c r="A2491" i="39" s="1"/>
  <c r="A2492" i="39" s="1"/>
  <c r="A2493" i="39" s="1"/>
  <c r="A2494" i="39" s="1"/>
  <c r="A2495" i="39" s="1"/>
  <c r="A2496" i="39" s="1"/>
  <c r="A2497" i="39" s="1"/>
  <c r="A2498" i="39" s="1"/>
  <c r="A2499" i="39" s="1"/>
  <c r="A2500" i="39" s="1"/>
  <c r="A2501" i="39" s="1"/>
  <c r="A2502" i="39" s="1"/>
  <c r="A2503" i="39" s="1"/>
  <c r="A2504" i="39" s="1"/>
  <c r="A2505" i="39" s="1"/>
  <c r="A2506" i="39" s="1"/>
  <c r="A2507" i="39" s="1"/>
  <c r="A2508" i="39" s="1"/>
  <c r="A2509" i="39" s="1"/>
  <c r="A2510" i="39" s="1"/>
  <c r="A2511" i="39" s="1"/>
  <c r="A2512" i="39" s="1"/>
  <c r="A2513" i="39" s="1"/>
  <c r="A2514" i="39" s="1"/>
  <c r="A2515" i="39" s="1"/>
  <c r="A2516" i="39" s="1"/>
  <c r="A2517" i="39" s="1"/>
  <c r="A2518" i="39" s="1"/>
  <c r="A2519" i="39" s="1"/>
  <c r="A2520" i="39" s="1"/>
  <c r="A2521" i="39" s="1"/>
  <c r="A2522" i="39" s="1"/>
  <c r="A2523" i="39" s="1"/>
  <c r="A2524" i="39" s="1"/>
  <c r="A2525" i="39" s="1"/>
  <c r="A2526" i="39" s="1"/>
  <c r="A2527" i="39" s="1"/>
  <c r="A2528" i="39" s="1"/>
  <c r="A2529" i="39" s="1"/>
  <c r="A2530" i="39" s="1"/>
  <c r="A2531" i="39" s="1"/>
  <c r="A2532" i="39" s="1"/>
  <c r="A2533" i="39" s="1"/>
  <c r="A2534" i="39" s="1"/>
  <c r="A2535" i="39" s="1"/>
  <c r="A2536" i="39" s="1"/>
  <c r="A2537" i="39" s="1"/>
  <c r="A2538" i="39" s="1"/>
  <c r="A2539" i="39" s="1"/>
  <c r="A2540" i="39" s="1"/>
  <c r="A2541" i="39" s="1"/>
  <c r="A2542" i="39" s="1"/>
  <c r="A2543" i="39" s="1"/>
  <c r="A2544" i="39" s="1"/>
  <c r="A2545" i="39" s="1"/>
  <c r="A2546" i="39" s="1"/>
  <c r="A2547" i="39" s="1"/>
  <c r="A2548" i="39" s="1"/>
  <c r="A2549" i="39" s="1"/>
  <c r="A2550" i="39" s="1"/>
  <c r="A2551" i="39" s="1"/>
  <c r="A2552" i="39" s="1"/>
  <c r="A2553" i="39" s="1"/>
  <c r="A2554" i="39" s="1"/>
  <c r="A2555" i="39" s="1"/>
  <c r="A2556" i="39" s="1"/>
  <c r="A2557" i="39" s="1"/>
  <c r="A2558" i="39" s="1"/>
  <c r="A2559" i="39" s="1"/>
  <c r="A2560" i="39" s="1"/>
  <c r="A2561" i="39" s="1"/>
  <c r="A2562" i="39" s="1"/>
  <c r="A2563" i="39" s="1"/>
  <c r="A2564" i="39" s="1"/>
  <c r="A2565" i="39" s="1"/>
  <c r="A2566" i="39" s="1"/>
  <c r="A2567" i="39" s="1"/>
  <c r="A2568" i="39" s="1"/>
  <c r="A2569" i="39" s="1"/>
  <c r="A2570" i="39" s="1"/>
  <c r="A2571" i="39" s="1"/>
  <c r="A2572" i="39" s="1"/>
  <c r="A2573" i="39" s="1"/>
  <c r="A2574" i="39" s="1"/>
  <c r="A2575" i="39" s="1"/>
  <c r="A2576" i="39" s="1"/>
  <c r="A2577" i="39" s="1"/>
  <c r="A2578" i="39" s="1"/>
  <c r="A2579" i="39" s="1"/>
  <c r="A2580" i="39" s="1"/>
  <c r="A2581" i="39" s="1"/>
  <c r="A2582" i="39" s="1"/>
  <c r="A2583" i="39" s="1"/>
  <c r="A2584" i="39" s="1"/>
  <c r="A2585" i="39" s="1"/>
  <c r="A2586" i="39" s="1"/>
  <c r="A2587" i="39" s="1"/>
  <c r="A2588" i="39" s="1"/>
  <c r="A2589" i="39" s="1"/>
  <c r="A2590" i="39" s="1"/>
  <c r="A2591" i="39" s="1"/>
  <c r="A2592" i="39" s="1"/>
  <c r="A2593" i="39" s="1"/>
  <c r="A2594" i="39" s="1"/>
  <c r="A2595" i="39" s="1"/>
  <c r="A2596" i="39" s="1"/>
  <c r="A2597" i="39" s="1"/>
  <c r="A2598" i="39" s="1"/>
  <c r="A2599" i="39" s="1"/>
  <c r="A2600" i="39" s="1"/>
  <c r="A2601" i="39" s="1"/>
  <c r="A2602" i="39" s="1"/>
  <c r="A2603" i="39" s="1"/>
  <c r="A2604" i="39" s="1"/>
  <c r="A2605" i="39" s="1"/>
  <c r="A2606" i="39" s="1"/>
  <c r="A2607" i="39" s="1"/>
  <c r="A2608" i="39" s="1"/>
  <c r="A2609" i="39" s="1"/>
  <c r="A2610" i="39" s="1"/>
  <c r="A2611" i="39" s="1"/>
  <c r="A2612" i="39" s="1"/>
  <c r="A2613" i="39" s="1"/>
  <c r="A2614" i="39" s="1"/>
  <c r="A2615" i="39" s="1"/>
  <c r="A2616" i="39" s="1"/>
  <c r="A2617" i="39" s="1"/>
  <c r="A2618" i="39" s="1"/>
  <c r="A2619" i="39" s="1"/>
  <c r="A2620" i="39" s="1"/>
  <c r="A2621" i="39" s="1"/>
  <c r="A2622" i="39" s="1"/>
  <c r="A2623" i="39" s="1"/>
  <c r="A2624" i="39" s="1"/>
  <c r="A2625" i="39" s="1"/>
  <c r="A2626" i="39" s="1"/>
  <c r="A2627" i="39" s="1"/>
  <c r="A2628" i="39" s="1"/>
  <c r="A2629" i="39" s="1"/>
  <c r="A2630" i="39" s="1"/>
  <c r="A2631" i="39" s="1"/>
  <c r="A2632" i="39" s="1"/>
  <c r="A2633" i="39" s="1"/>
  <c r="A2634" i="39" s="1"/>
  <c r="A2635" i="39" s="1"/>
  <c r="A2636" i="39" s="1"/>
  <c r="A2637" i="39" s="1"/>
  <c r="A2638" i="39" s="1"/>
  <c r="A2639" i="39" s="1"/>
  <c r="A2640" i="39" s="1"/>
  <c r="A2641" i="39" s="1"/>
  <c r="A2642" i="39" s="1"/>
  <c r="A2643" i="39" s="1"/>
  <c r="A2644" i="39" s="1"/>
  <c r="A2645" i="39" s="1"/>
  <c r="A2646" i="39" s="1"/>
  <c r="A2647" i="39" s="1"/>
  <c r="A2648" i="39" s="1"/>
  <c r="A2649" i="39" s="1"/>
  <c r="A2650" i="39" s="1"/>
  <c r="A2651" i="39" s="1"/>
  <c r="A2652" i="39" s="1"/>
  <c r="A2653" i="39" s="1"/>
  <c r="A2654" i="39" s="1"/>
  <c r="A2655" i="39" s="1"/>
  <c r="A2656" i="39" s="1"/>
  <c r="A2657" i="39" s="1"/>
  <c r="A2658" i="39" s="1"/>
  <c r="A2659" i="39" s="1"/>
  <c r="A2660" i="39" s="1"/>
  <c r="A2661" i="39" s="1"/>
  <c r="A2662" i="39" s="1"/>
  <c r="A2663" i="39" s="1"/>
  <c r="A2664" i="39" s="1"/>
  <c r="A2665" i="39" s="1"/>
  <c r="A2666" i="39" s="1"/>
  <c r="A2667" i="39" s="1"/>
  <c r="A2668" i="39" s="1"/>
  <c r="A2669" i="39" s="1"/>
  <c r="A2670" i="39" s="1"/>
  <c r="A2671" i="39" s="1"/>
  <c r="A2672" i="39" s="1"/>
  <c r="A2673" i="39" s="1"/>
  <c r="A2674" i="39" s="1"/>
  <c r="A2675" i="39" s="1"/>
  <c r="A2676" i="39" s="1"/>
  <c r="A2677" i="39" s="1"/>
  <c r="A2678" i="39" s="1"/>
  <c r="A2679" i="39" s="1"/>
  <c r="A2680" i="39" l="1"/>
  <c r="A2681" i="39" s="1"/>
  <c r="A2682" i="39" s="1"/>
  <c r="A2683" i="39" s="1"/>
  <c r="A2684" i="39" s="1"/>
  <c r="A2685" i="39" s="1"/>
  <c r="A2686" i="39" l="1"/>
  <c r="A2687" i="39" s="1"/>
  <c r="A2688" i="39" s="1"/>
  <c r="A2689" i="39" s="1"/>
  <c r="A2690" i="39" s="1"/>
  <c r="A2691" i="39" l="1"/>
  <c r="A2692" i="39" s="1"/>
  <c r="A2693" i="39" s="1"/>
  <c r="A2694" i="39" s="1"/>
  <c r="A2695" i="39" s="1"/>
  <c r="A2696" i="39" s="1"/>
  <c r="A2697" i="39" s="1"/>
  <c r="A2698" i="39" s="1"/>
  <c r="A2699" i="39" s="1"/>
  <c r="A2700" i="39" s="1"/>
  <c r="A2701" i="39" s="1"/>
  <c r="A2702" i="39" l="1"/>
  <c r="A2703" i="39" s="1"/>
  <c r="A2704" i="39" s="1"/>
  <c r="A2705" i="39" s="1"/>
  <c r="A2706" i="39" s="1"/>
  <c r="A2707" i="39" s="1"/>
  <c r="A2708" i="39" s="1"/>
  <c r="A2709" i="39" s="1"/>
  <c r="A2710" i="39" s="1"/>
  <c r="A2711" i="39" s="1"/>
  <c r="A2712" i="39" s="1"/>
  <c r="A2713" i="39" s="1"/>
  <c r="A2714" i="39" s="1"/>
  <c r="A2715" i="39" s="1"/>
  <c r="A2716" i="39" s="1"/>
  <c r="A2717" i="39" s="1"/>
  <c r="A2718" i="39" s="1"/>
  <c r="A2719" i="39" s="1"/>
  <c r="A2720" i="39" s="1"/>
  <c r="A2721" i="39" s="1"/>
  <c r="A2722" i="39" s="1"/>
  <c r="A2723" i="39" s="1"/>
  <c r="A2724" i="39" s="1"/>
  <c r="A2725" i="39" s="1"/>
  <c r="A2726" i="39" s="1"/>
  <c r="A2727" i="39" s="1"/>
  <c r="A2728" i="39" s="1"/>
  <c r="A2729" i="39" s="1"/>
  <c r="A2730" i="39" s="1"/>
  <c r="A2731" i="39" s="1"/>
  <c r="A2732" i="39" s="1"/>
  <c r="A2733" i="39" s="1"/>
  <c r="A2734" i="39" s="1"/>
  <c r="A2735" i="39" s="1"/>
  <c r="A2736" i="39" s="1"/>
  <c r="A2737" i="39" s="1"/>
  <c r="A2738" i="39" s="1"/>
  <c r="A2739" i="39" s="1"/>
  <c r="A2740" i="39" s="1"/>
  <c r="A2741" i="39" s="1"/>
  <c r="A2742" i="39" s="1"/>
  <c r="A2743" i="39" s="1"/>
  <c r="A2744" i="39" s="1"/>
  <c r="A2745" i="39" s="1"/>
  <c r="A2746" i="39" s="1"/>
  <c r="A2747" i="39" s="1"/>
  <c r="A2748" i="39" s="1"/>
  <c r="A2749" i="39" s="1"/>
  <c r="A2750" i="39" s="1"/>
  <c r="A2751" i="39" s="1"/>
  <c r="A2752" i="39" s="1"/>
  <c r="A2753" i="39" s="1"/>
  <c r="A2754" i="39" s="1"/>
  <c r="A2755" i="39" s="1"/>
  <c r="A2756" i="39" s="1"/>
  <c r="A2757" i="39" s="1"/>
  <c r="A2758" i="39" s="1"/>
  <c r="A2759" i="39" s="1"/>
  <c r="A2760" i="39" s="1"/>
  <c r="A2761" i="39" s="1"/>
  <c r="A2762" i="39" s="1"/>
  <c r="A2763" i="39" s="1"/>
  <c r="A2764" i="39" s="1"/>
  <c r="A2765" i="39" s="1"/>
  <c r="A2766" i="39" l="1"/>
  <c r="A2767" i="39" s="1"/>
  <c r="A2768" i="39" l="1"/>
  <c r="A2769" i="39" s="1"/>
  <c r="A2770" i="39" l="1"/>
  <c r="A2771" i="39" s="1"/>
  <c r="A2772" i="39" s="1"/>
  <c r="A2773" i="39" s="1"/>
  <c r="A2774" i="39" s="1"/>
  <c r="B2775" i="39" l="1"/>
  <c r="A2775" i="39" s="1"/>
  <c r="J1" i="39" s="1"/>
  <c r="D2775" i="39"/>
  <c r="H2775" i="39"/>
  <c r="A821" i="22"/>
  <c r="A5" i="22"/>
  <c r="S5" i="8"/>
  <c r="D9" i="15"/>
  <c r="D8" i="15"/>
  <c r="D11" i="15"/>
  <c r="D13" i="15"/>
  <c r="D10" i="15"/>
  <c r="D12" i="15"/>
  <c r="C2775" i="39" l="1"/>
  <c r="M9" i="12"/>
  <c r="H32" i="3" l="1"/>
  <c r="H33" i="3"/>
  <c r="H34" i="3"/>
  <c r="H35" i="3"/>
  <c r="H36" i="3"/>
  <c r="H37" i="3"/>
  <c r="H38" i="3"/>
  <c r="H39" i="3"/>
  <c r="H40" i="3"/>
  <c r="H41" i="3"/>
  <c r="H42" i="3"/>
  <c r="H43" i="3"/>
  <c r="H44" i="3"/>
  <c r="H45" i="3"/>
  <c r="H46" i="3"/>
  <c r="H47" i="3"/>
  <c r="H48" i="3"/>
  <c r="H49" i="3"/>
  <c r="H50" i="3"/>
  <c r="H51" i="3"/>
  <c r="H52" i="3"/>
  <c r="H53" i="3"/>
  <c r="H54" i="3"/>
  <c r="F22" i="3"/>
  <c r="H22" i="3"/>
  <c r="F23" i="3"/>
  <c r="H23" i="3" s="1"/>
  <c r="F24" i="3"/>
  <c r="H24" i="3"/>
  <c r="F25" i="3"/>
  <c r="H25" i="3" s="1"/>
  <c r="F26" i="3"/>
  <c r="H26" i="3" s="1"/>
  <c r="F27" i="3"/>
  <c r="H27" i="3"/>
  <c r="F28" i="3"/>
  <c r="H28" i="3"/>
  <c r="F29" i="3"/>
  <c r="H29" i="3"/>
  <c r="F30" i="3"/>
  <c r="H30" i="3"/>
  <c r="F31" i="3"/>
  <c r="H31" i="3" s="1"/>
  <c r="G8" i="1"/>
  <c r="A820" i="22" l="1"/>
  <c r="A818" i="22"/>
  <c r="A819" i="22"/>
  <c r="A815" i="22"/>
  <c r="A816" i="22"/>
  <c r="A817" i="22"/>
  <c r="A813" i="22"/>
  <c r="A814" i="22"/>
  <c r="D474" i="18"/>
  <c r="D473" i="18"/>
  <c r="D457" i="18"/>
  <c r="D456" i="18"/>
  <c r="D438" i="18"/>
  <c r="D437" i="18"/>
  <c r="D51" i="18"/>
  <c r="D50" i="18"/>
  <c r="D49" i="18"/>
  <c r="C8" i="16"/>
  <c r="C7" i="16"/>
  <c r="C6" i="16"/>
  <c r="C5" i="16"/>
  <c r="P18" i="8"/>
  <c r="S3" i="8" s="1"/>
  <c r="D16" i="8"/>
  <c r="Q15" i="8"/>
  <c r="D15" i="8"/>
  <c r="G14" i="8"/>
  <c r="D12" i="8"/>
  <c r="Q11" i="8"/>
  <c r="Q10" i="8"/>
  <c r="T6" i="8"/>
  <c r="S6" i="8"/>
  <c r="R6" i="8"/>
  <c r="T5" i="8"/>
  <c r="Q5" i="8"/>
  <c r="G5" i="8"/>
  <c r="T4" i="8"/>
  <c r="S4" i="8"/>
  <c r="R4" i="8"/>
  <c r="T3" i="8"/>
  <c r="Q3" i="8"/>
  <c r="D3" i="8"/>
  <c r="AA18" i="37"/>
  <c r="Z18" i="37"/>
  <c r="W18" i="37"/>
  <c r="V18" i="37"/>
  <c r="S18" i="37"/>
  <c r="R18" i="37"/>
  <c r="O18" i="37"/>
  <c r="N18" i="37"/>
  <c r="K18" i="37"/>
  <c r="J18" i="37"/>
  <c r="G18" i="37"/>
  <c r="F18" i="37"/>
  <c r="AA17" i="37"/>
  <c r="Z17" i="37"/>
  <c r="W17" i="37"/>
  <c r="V17" i="37"/>
  <c r="S17" i="37"/>
  <c r="R17" i="37"/>
  <c r="O17" i="37"/>
  <c r="N17" i="37"/>
  <c r="K17" i="37"/>
  <c r="J17" i="37"/>
  <c r="G17" i="37"/>
  <c r="F17" i="37"/>
  <c r="AA16" i="37"/>
  <c r="Z16" i="37"/>
  <c r="W16" i="37"/>
  <c r="V16" i="37"/>
  <c r="S16" i="37"/>
  <c r="R16" i="37"/>
  <c r="O16" i="37"/>
  <c r="N16" i="37"/>
  <c r="K16" i="37"/>
  <c r="J16" i="37"/>
  <c r="G16" i="37"/>
  <c r="F16" i="37"/>
  <c r="C26" i="7"/>
  <c r="C25" i="7"/>
  <c r="B25" i="7"/>
  <c r="F24" i="7"/>
  <c r="C24" i="7"/>
  <c r="B24" i="7"/>
  <c r="F23" i="7"/>
  <c r="C23" i="7"/>
  <c r="F22" i="7"/>
  <c r="C22" i="7"/>
  <c r="F21" i="7"/>
  <c r="C21" i="7"/>
  <c r="F20" i="7"/>
  <c r="F19" i="7"/>
  <c r="F18" i="7"/>
  <c r="F17" i="7"/>
  <c r="F16" i="7"/>
  <c r="F7" i="7"/>
  <c r="F6" i="7"/>
  <c r="F5" i="7"/>
  <c r="F4" i="7"/>
  <c r="F21" i="3"/>
  <c r="H21" i="3" s="1"/>
  <c r="F20" i="3"/>
  <c r="H20" i="3" s="1"/>
  <c r="F19" i="3"/>
  <c r="H19" i="3" s="1"/>
  <c r="F18" i="3"/>
  <c r="H18" i="3" s="1"/>
  <c r="F17" i="3"/>
  <c r="H17" i="3" s="1"/>
  <c r="H5" i="3"/>
  <c r="H16" i="3"/>
  <c r="H15" i="3"/>
  <c r="H14" i="3"/>
  <c r="H13" i="3"/>
  <c r="H12" i="3"/>
  <c r="H11" i="3"/>
  <c r="H10" i="3"/>
  <c r="H9" i="3"/>
  <c r="H8" i="3"/>
  <c r="H7" i="3"/>
  <c r="H6" i="3"/>
  <c r="F4" i="3"/>
  <c r="H4" i="3" s="1"/>
  <c r="M70" i="13"/>
  <c r="N70" i="13" s="1"/>
  <c r="F70" i="13" s="1"/>
  <c r="B61" i="13"/>
  <c r="C61" i="13" s="1"/>
  <c r="B62" i="13" s="1"/>
  <c r="C62" i="13" s="1"/>
  <c r="B31" i="13"/>
  <c r="C31" i="13" s="1"/>
  <c r="R9" i="13"/>
  <c r="R8" i="13"/>
  <c r="R7" i="13"/>
  <c r="R6" i="13"/>
  <c r="R5" i="13"/>
  <c r="R4" i="13"/>
  <c r="R3" i="13"/>
  <c r="K2" i="13"/>
  <c r="A4" i="14"/>
  <c r="B2" i="14"/>
  <c r="B1" i="14"/>
  <c r="Q108" i="28"/>
  <c r="O108" i="28"/>
  <c r="AL96" i="28"/>
  <c r="AI96" i="28"/>
  <c r="AF96" i="28"/>
  <c r="AD96" i="28"/>
  <c r="AB96" i="28"/>
  <c r="Z96" i="28"/>
  <c r="J96" i="28"/>
  <c r="AL95" i="28"/>
  <c r="AI95" i="28"/>
  <c r="AF95" i="28"/>
  <c r="AD95" i="28"/>
  <c r="AB95" i="28"/>
  <c r="Z95" i="28"/>
  <c r="J95" i="28"/>
  <c r="AL93" i="28"/>
  <c r="AI93" i="28"/>
  <c r="AF93" i="28"/>
  <c r="AD93" i="28"/>
  <c r="AB93" i="28"/>
  <c r="Z93" i="28"/>
  <c r="Z90" i="28"/>
  <c r="AL87" i="28"/>
  <c r="AI87" i="28"/>
  <c r="AF87" i="28"/>
  <c r="AD87" i="28"/>
  <c r="AB87" i="28"/>
  <c r="Z87" i="28"/>
  <c r="J87" i="28"/>
  <c r="AQ49" i="28"/>
  <c r="S49" i="28"/>
  <c r="S108" i="28" s="1"/>
  <c r="AQ37" i="28"/>
  <c r="AL37" i="28"/>
  <c r="AI37" i="28"/>
  <c r="AF37" i="28"/>
  <c r="AD37" i="28"/>
  <c r="AB37" i="28"/>
  <c r="Z37" i="28"/>
  <c r="J37" i="28"/>
  <c r="AQ36" i="28"/>
  <c r="AL36" i="28"/>
  <c r="AI36" i="28"/>
  <c r="AF36" i="28"/>
  <c r="AD36" i="28"/>
  <c r="AB36" i="28"/>
  <c r="Z36" i="28"/>
  <c r="J36" i="28"/>
  <c r="AL34" i="28"/>
  <c r="AI34" i="28"/>
  <c r="AF34" i="28"/>
  <c r="AD34" i="28"/>
  <c r="AB34" i="28"/>
  <c r="Z34" i="28"/>
  <c r="Z31" i="28"/>
  <c r="AQ28" i="28"/>
  <c r="AL28" i="28"/>
  <c r="AI28" i="28"/>
  <c r="AF28" i="28"/>
  <c r="AD28" i="28"/>
  <c r="AB28" i="28"/>
  <c r="Z28" i="28"/>
  <c r="J28" i="28"/>
  <c r="H44" i="29"/>
  <c r="H42" i="29"/>
  <c r="H40" i="29"/>
  <c r="AF38" i="29"/>
  <c r="V38" i="29"/>
  <c r="Q38" i="29"/>
  <c r="J38" i="29"/>
  <c r="J22" i="29"/>
  <c r="J19" i="29"/>
  <c r="H4" i="29"/>
  <c r="S67" i="40"/>
  <c r="K39" i="40"/>
  <c r="K89" i="40" s="1"/>
  <c r="K37" i="40"/>
  <c r="K87" i="40" s="1"/>
  <c r="K30" i="40"/>
  <c r="K80" i="40" s="1"/>
  <c r="BH22" i="40"/>
  <c r="AL19" i="40"/>
  <c r="AL18" i="40"/>
  <c r="S17" i="40"/>
  <c r="AL11" i="40"/>
  <c r="V38" i="38"/>
  <c r="F37" i="38" s="1"/>
  <c r="Q37" i="38"/>
  <c r="Q33" i="38"/>
  <c r="Q31" i="38"/>
  <c r="D31" i="38"/>
  <c r="Q27" i="38"/>
  <c r="Q25" i="38"/>
  <c r="D25" i="38"/>
  <c r="Q21" i="38"/>
  <c r="Q19" i="38"/>
  <c r="D19" i="38"/>
  <c r="Q15" i="38"/>
  <c r="Q13" i="38"/>
  <c r="D13" i="38"/>
  <c r="A11" i="38"/>
  <c r="A17" i="38" s="1"/>
  <c r="E17" i="38" s="1"/>
  <c r="Q17" i="38" s="1"/>
  <c r="Q9" i="38"/>
  <c r="Q7" i="38"/>
  <c r="J12" i="30"/>
  <c r="A8" i="30"/>
  <c r="AA3" i="30"/>
  <c r="AA2" i="30"/>
  <c r="K2" i="30"/>
  <c r="F25" i="30" s="1"/>
  <c r="L22" i="25"/>
  <c r="A1" i="20"/>
  <c r="F23" i="20" s="1"/>
  <c r="R37" i="34"/>
  <c r="O33" i="34"/>
  <c r="V22" i="34"/>
  <c r="F22" i="34"/>
  <c r="AL4" i="34"/>
  <c r="F17" i="33" s="1"/>
  <c r="AL1" i="34"/>
  <c r="B27" i="34" s="1"/>
  <c r="AV45" i="36"/>
  <c r="AS45" i="36"/>
  <c r="Y45" i="36"/>
  <c r="T45" i="36"/>
  <c r="O45" i="36"/>
  <c r="Y43" i="36"/>
  <c r="AV40" i="36"/>
  <c r="Y40" i="36" s="1"/>
  <c r="AS40" i="36"/>
  <c r="AN40" i="36"/>
  <c r="T40" i="36"/>
  <c r="O40" i="36"/>
  <c r="AN39" i="36"/>
  <c r="AO38" i="36"/>
  <c r="AO39" i="36" s="1"/>
  <c r="AN44" i="36" s="1"/>
  <c r="AN45" i="36" s="1"/>
  <c r="AO43" i="36" s="1"/>
  <c r="AO44" i="36" s="1"/>
  <c r="AV35" i="36"/>
  <c r="Y33" i="36" s="1"/>
  <c r="AS35" i="36"/>
  <c r="AN35" i="36"/>
  <c r="T35" i="36"/>
  <c r="O35" i="36"/>
  <c r="AO34" i="36"/>
  <c r="AN34" i="36"/>
  <c r="AO33" i="36"/>
  <c r="AV30" i="36"/>
  <c r="Y30" i="36" s="1"/>
  <c r="AS30" i="36"/>
  <c r="AN30" i="36"/>
  <c r="T30" i="36"/>
  <c r="O30" i="36"/>
  <c r="AO29" i="36"/>
  <c r="AN29" i="36"/>
  <c r="AO28" i="36"/>
  <c r="Y28" i="36"/>
  <c r="AV25" i="36"/>
  <c r="Y23" i="36" s="1"/>
  <c r="AS25" i="36"/>
  <c r="AN25" i="36"/>
  <c r="T25" i="36"/>
  <c r="O25" i="36"/>
  <c r="AO24" i="36"/>
  <c r="AN24" i="36"/>
  <c r="AO23" i="36"/>
  <c r="AV20" i="36"/>
  <c r="AW20" i="36" s="1"/>
  <c r="Y19" i="36" s="1"/>
  <c r="AS20" i="36"/>
  <c r="AN20" i="36"/>
  <c r="T20" i="36"/>
  <c r="O20" i="36"/>
  <c r="AO19" i="36"/>
  <c r="AO18" i="36"/>
  <c r="AT15" i="36"/>
  <c r="AJ10" i="36"/>
  <c r="AO4" i="36"/>
  <c r="AN4" i="36"/>
  <c r="AU65" i="36" s="1"/>
  <c r="AN2" i="36"/>
  <c r="N28" i="36" s="1"/>
  <c r="N53" i="33"/>
  <c r="N52" i="33"/>
  <c r="N51" i="33"/>
  <c r="N50" i="33"/>
  <c r="N49" i="33"/>
  <c r="N48" i="33"/>
  <c r="N47" i="33"/>
  <c r="N46" i="33"/>
  <c r="N45" i="33"/>
  <c r="N44" i="33"/>
  <c r="N43" i="33"/>
  <c r="N42" i="33"/>
  <c r="N41" i="33"/>
  <c r="N40" i="33"/>
  <c r="N39" i="33"/>
  <c r="N38" i="33"/>
  <c r="N37" i="33"/>
  <c r="N36" i="33"/>
  <c r="N35" i="33"/>
  <c r="N34" i="33"/>
  <c r="N33" i="33"/>
  <c r="N32" i="33"/>
  <c r="N31" i="33"/>
  <c r="N30" i="33"/>
  <c r="N29" i="33"/>
  <c r="N28" i="33"/>
  <c r="N27" i="33"/>
  <c r="N26" i="33"/>
  <c r="N25" i="33"/>
  <c r="N24" i="33"/>
  <c r="N23" i="33"/>
  <c r="I23" i="33"/>
  <c r="N22" i="33"/>
  <c r="N21" i="33"/>
  <c r="N20" i="33"/>
  <c r="N19" i="33"/>
  <c r="N18" i="33"/>
  <c r="N17" i="33"/>
  <c r="N16" i="33"/>
  <c r="I16" i="33"/>
  <c r="N15" i="33"/>
  <c r="N14" i="33"/>
  <c r="N13" i="33"/>
  <c r="N12" i="33"/>
  <c r="N11" i="33"/>
  <c r="N10" i="33"/>
  <c r="N9" i="33"/>
  <c r="N8" i="33"/>
  <c r="N7" i="33"/>
  <c r="X6" i="33"/>
  <c r="N6" i="33"/>
  <c r="X5" i="33"/>
  <c r="N5" i="33"/>
  <c r="X4" i="33"/>
  <c r="N4" i="33"/>
  <c r="X3" i="33"/>
  <c r="D835" i="18"/>
  <c r="D834" i="18"/>
  <c r="D833" i="18"/>
  <c r="D832" i="18"/>
  <c r="D831" i="18"/>
  <c r="D830" i="18"/>
  <c r="D829" i="18"/>
  <c r="D828" i="18"/>
  <c r="D827" i="18"/>
  <c r="D826" i="18"/>
  <c r="D825" i="18"/>
  <c r="D824" i="18"/>
  <c r="D823" i="18"/>
  <c r="D822" i="18"/>
  <c r="D821" i="18"/>
  <c r="D820" i="18"/>
  <c r="D819" i="18"/>
  <c r="D818" i="18"/>
  <c r="D817" i="18"/>
  <c r="D816" i="18"/>
  <c r="D815" i="18"/>
  <c r="D814" i="18"/>
  <c r="D813" i="18"/>
  <c r="D812" i="18"/>
  <c r="D811" i="18"/>
  <c r="D810" i="18"/>
  <c r="D809" i="18"/>
  <c r="D808" i="18"/>
  <c r="D807" i="18"/>
  <c r="D806" i="18"/>
  <c r="D805" i="18"/>
  <c r="D804" i="18"/>
  <c r="D803" i="18"/>
  <c r="D802" i="18"/>
  <c r="D801" i="18"/>
  <c r="D800" i="18"/>
  <c r="D799" i="18"/>
  <c r="D798" i="18"/>
  <c r="D797" i="18"/>
  <c r="D796" i="18"/>
  <c r="D795" i="18"/>
  <c r="D794" i="18"/>
  <c r="D793" i="18"/>
  <c r="D792" i="18"/>
  <c r="D791" i="18"/>
  <c r="D790" i="18"/>
  <c r="D789" i="18"/>
  <c r="D788" i="18"/>
  <c r="D787" i="18"/>
  <c r="D786" i="18"/>
  <c r="D785" i="18"/>
  <c r="D784" i="18"/>
  <c r="D783" i="18"/>
  <c r="D782" i="18"/>
  <c r="D781" i="18"/>
  <c r="D780" i="18"/>
  <c r="D779" i="18"/>
  <c r="D778" i="18"/>
  <c r="D777" i="18"/>
  <c r="D776" i="18"/>
  <c r="D775" i="18"/>
  <c r="D774" i="18"/>
  <c r="D773" i="18"/>
  <c r="D772" i="18"/>
  <c r="D771" i="18"/>
  <c r="D770" i="18"/>
  <c r="D769" i="18"/>
  <c r="D768" i="18"/>
  <c r="D767" i="18"/>
  <c r="D766" i="18"/>
  <c r="D765" i="18"/>
  <c r="D764" i="18"/>
  <c r="D763" i="18"/>
  <c r="D762" i="18"/>
  <c r="D761" i="18"/>
  <c r="D760" i="18"/>
  <c r="D759" i="18"/>
  <c r="D758" i="18"/>
  <c r="D757" i="18"/>
  <c r="D756" i="18"/>
  <c r="D755" i="18"/>
  <c r="D754" i="18"/>
  <c r="D753" i="18"/>
  <c r="D752" i="18"/>
  <c r="D751" i="18"/>
  <c r="D750" i="18"/>
  <c r="D749" i="18"/>
  <c r="D748" i="18"/>
  <c r="D747" i="18"/>
  <c r="D746" i="18"/>
  <c r="D745" i="18"/>
  <c r="D744" i="18"/>
  <c r="D743" i="18"/>
  <c r="D742" i="18"/>
  <c r="D741" i="18"/>
  <c r="D740" i="18"/>
  <c r="D739" i="18"/>
  <c r="D738" i="18"/>
  <c r="D737" i="18"/>
  <c r="D736" i="18"/>
  <c r="D735" i="18"/>
  <c r="D734" i="18"/>
  <c r="D733" i="18"/>
  <c r="D732" i="18"/>
  <c r="D731" i="18"/>
  <c r="D730" i="18"/>
  <c r="D729" i="18"/>
  <c r="D728" i="18"/>
  <c r="D727" i="18"/>
  <c r="D726" i="18"/>
  <c r="D725" i="18"/>
  <c r="D724" i="18"/>
  <c r="D723" i="18"/>
  <c r="D722" i="18"/>
  <c r="D721" i="18"/>
  <c r="D720" i="18"/>
  <c r="D719" i="18"/>
  <c r="D718" i="18"/>
  <c r="D717" i="18"/>
  <c r="D716" i="18"/>
  <c r="D715" i="18"/>
  <c r="D714" i="18"/>
  <c r="D713" i="18"/>
  <c r="D712" i="18"/>
  <c r="D711" i="18"/>
  <c r="D710" i="18"/>
  <c r="D709" i="18"/>
  <c r="D708" i="18"/>
  <c r="D707" i="18"/>
  <c r="D706" i="18"/>
  <c r="D705" i="18"/>
  <c r="D704" i="18"/>
  <c r="D703" i="18"/>
  <c r="D702" i="18"/>
  <c r="D701" i="18"/>
  <c r="D700" i="18"/>
  <c r="D699" i="18"/>
  <c r="D698" i="18"/>
  <c r="D697" i="18"/>
  <c r="D696" i="18"/>
  <c r="D695" i="18"/>
  <c r="D694" i="18"/>
  <c r="D693" i="18"/>
  <c r="D692" i="18"/>
  <c r="D691" i="18"/>
  <c r="D690" i="18"/>
  <c r="D689" i="18"/>
  <c r="D688" i="18"/>
  <c r="D687" i="18"/>
  <c r="D686" i="18"/>
  <c r="D685" i="18"/>
  <c r="D684" i="18"/>
  <c r="D683" i="18"/>
  <c r="D682" i="18"/>
  <c r="D681" i="18"/>
  <c r="D680" i="18"/>
  <c r="D679" i="18"/>
  <c r="D678" i="18"/>
  <c r="D677" i="18"/>
  <c r="D676" i="18"/>
  <c r="D675" i="18"/>
  <c r="D674" i="18"/>
  <c r="D673" i="18"/>
  <c r="D672" i="18"/>
  <c r="D671" i="18"/>
  <c r="D670" i="18"/>
  <c r="D669" i="18"/>
  <c r="D668" i="18"/>
  <c r="D667" i="18"/>
  <c r="D666" i="18"/>
  <c r="D665" i="18"/>
  <c r="D664" i="18"/>
  <c r="D663" i="18"/>
  <c r="D662" i="18"/>
  <c r="D661" i="18"/>
  <c r="D660" i="18"/>
  <c r="D659" i="18"/>
  <c r="D658" i="18"/>
  <c r="D657" i="18"/>
  <c r="D656" i="18"/>
  <c r="D655" i="18"/>
  <c r="D654" i="18"/>
  <c r="D653" i="18"/>
  <c r="D652" i="18"/>
  <c r="D651" i="18"/>
  <c r="D650" i="18"/>
  <c r="D649" i="18"/>
  <c r="D648" i="18"/>
  <c r="D647" i="18"/>
  <c r="D646" i="18"/>
  <c r="D645" i="18"/>
  <c r="D644" i="18"/>
  <c r="D643" i="18"/>
  <c r="D642" i="18"/>
  <c r="D641" i="18"/>
  <c r="D640" i="18"/>
  <c r="D639" i="18"/>
  <c r="D638" i="18"/>
  <c r="D637" i="18"/>
  <c r="D636" i="18"/>
  <c r="D635" i="18"/>
  <c r="D634" i="18"/>
  <c r="D633" i="18"/>
  <c r="D632" i="18"/>
  <c r="D631" i="18"/>
  <c r="D630" i="18"/>
  <c r="D629" i="18"/>
  <c r="D628" i="18"/>
  <c r="D627" i="18"/>
  <c r="D626" i="18"/>
  <c r="D625" i="18"/>
  <c r="D624" i="18"/>
  <c r="D623" i="18"/>
  <c r="D622" i="18"/>
  <c r="D621" i="18"/>
  <c r="D620" i="18"/>
  <c r="D619" i="18"/>
  <c r="D618" i="18"/>
  <c r="D617" i="18"/>
  <c r="D616" i="18"/>
  <c r="D615" i="18"/>
  <c r="D614" i="18"/>
  <c r="D613" i="18"/>
  <c r="D612" i="18"/>
  <c r="D611" i="18"/>
  <c r="D610" i="18"/>
  <c r="D609" i="18"/>
  <c r="D608" i="18"/>
  <c r="D607" i="18"/>
  <c r="D606" i="18"/>
  <c r="D605" i="18"/>
  <c r="D604" i="18"/>
  <c r="D603" i="18"/>
  <c r="D602" i="18"/>
  <c r="D601" i="18"/>
  <c r="D600" i="18"/>
  <c r="D599" i="18"/>
  <c r="D598" i="18"/>
  <c r="D597" i="18"/>
  <c r="D596" i="18"/>
  <c r="D595" i="18"/>
  <c r="D594" i="18"/>
  <c r="D593" i="18"/>
  <c r="D592" i="18"/>
  <c r="D591" i="18"/>
  <c r="D590" i="18"/>
  <c r="D589" i="18"/>
  <c r="D588" i="18"/>
  <c r="D587" i="18"/>
  <c r="D586" i="18"/>
  <c r="D585" i="18"/>
  <c r="D584" i="18"/>
  <c r="D583" i="18"/>
  <c r="D582" i="18"/>
  <c r="D581" i="18"/>
  <c r="D580" i="18"/>
  <c r="D579" i="18"/>
  <c r="D578" i="18"/>
  <c r="D577" i="18"/>
  <c r="D576" i="18"/>
  <c r="D575" i="18"/>
  <c r="D574" i="18"/>
  <c r="D573" i="18"/>
  <c r="D572" i="18"/>
  <c r="D571" i="18"/>
  <c r="D570" i="18"/>
  <c r="D569" i="18"/>
  <c r="D568" i="18"/>
  <c r="D567" i="18"/>
  <c r="D563" i="18"/>
  <c r="D562" i="18"/>
  <c r="D561" i="18"/>
  <c r="D560" i="18"/>
  <c r="D559" i="18"/>
  <c r="D558" i="18"/>
  <c r="D557" i="18"/>
  <c r="D556" i="18"/>
  <c r="D555" i="18"/>
  <c r="D554" i="18"/>
  <c r="D553" i="18"/>
  <c r="D552" i="18"/>
  <c r="D551" i="18"/>
  <c r="D550" i="18"/>
  <c r="D549" i="18"/>
  <c r="D548" i="18"/>
  <c r="D547" i="18"/>
  <c r="D546" i="18"/>
  <c r="D545" i="18"/>
  <c r="D543" i="18"/>
  <c r="D542" i="18"/>
  <c r="D541" i="18"/>
  <c r="D540" i="18"/>
  <c r="D539" i="18"/>
  <c r="D538" i="18"/>
  <c r="D537" i="18"/>
  <c r="D536" i="18"/>
  <c r="D535" i="18"/>
  <c r="D534" i="18"/>
  <c r="D533" i="18"/>
  <c r="D532" i="18"/>
  <c r="D531" i="18"/>
  <c r="D530" i="18"/>
  <c r="D529" i="18"/>
  <c r="D528" i="18"/>
  <c r="D527" i="18"/>
  <c r="D523" i="18"/>
  <c r="E522" i="18"/>
  <c r="F522" i="18" s="1"/>
  <c r="E521" i="18"/>
  <c r="E520" i="18"/>
  <c r="F520" i="18" s="1"/>
  <c r="D519" i="18"/>
  <c r="D518" i="18"/>
  <c r="D517" i="18"/>
  <c r="D516" i="18"/>
  <c r="D515" i="18"/>
  <c r="D514" i="18"/>
  <c r="D513" i="18"/>
  <c r="D512" i="18"/>
  <c r="D511" i="18"/>
  <c r="D510" i="18"/>
  <c r="D509" i="18"/>
  <c r="D508" i="18"/>
  <c r="D507" i="18"/>
  <c r="D506" i="18"/>
  <c r="D505" i="18"/>
  <c r="D504" i="18"/>
  <c r="D503" i="18"/>
  <c r="D502" i="18"/>
  <c r="D501" i="18"/>
  <c r="D500" i="18"/>
  <c r="D499" i="18"/>
  <c r="D498" i="18"/>
  <c r="D497" i="18"/>
  <c r="D496" i="18"/>
  <c r="D495" i="18"/>
  <c r="D494" i="18"/>
  <c r="D493" i="18"/>
  <c r="D492" i="18"/>
  <c r="D491" i="18"/>
  <c r="D490" i="18"/>
  <c r="D488" i="18"/>
  <c r="D487" i="18"/>
  <c r="D486" i="18"/>
  <c r="D485" i="18"/>
  <c r="D484" i="18"/>
  <c r="D483" i="18"/>
  <c r="D482" i="18"/>
  <c r="D481" i="18"/>
  <c r="D480" i="18"/>
  <c r="D479" i="18"/>
  <c r="D478" i="18"/>
  <c r="D477" i="18"/>
  <c r="D476" i="18"/>
  <c r="D475" i="18"/>
  <c r="D472" i="18"/>
  <c r="D471" i="18"/>
  <c r="D470" i="18"/>
  <c r="D469" i="18"/>
  <c r="D468" i="18"/>
  <c r="D467" i="18"/>
  <c r="D466" i="18"/>
  <c r="D465" i="18"/>
  <c r="D464" i="18"/>
  <c r="D463" i="18"/>
  <c r="D462" i="18"/>
  <c r="D461" i="18"/>
  <c r="D460" i="18"/>
  <c r="D459" i="18"/>
  <c r="D458" i="18"/>
  <c r="D455" i="18"/>
  <c r="D454" i="18"/>
  <c r="D453" i="18"/>
  <c r="D452" i="18"/>
  <c r="D451" i="18"/>
  <c r="D450" i="18"/>
  <c r="D449" i="18"/>
  <c r="D448" i="18"/>
  <c r="D447" i="18"/>
  <c r="D446" i="18"/>
  <c r="D445" i="18"/>
  <c r="D444" i="18"/>
  <c r="D443" i="18"/>
  <c r="D442" i="18"/>
  <c r="D441" i="18"/>
  <c r="D440" i="18"/>
  <c r="D439" i="18"/>
  <c r="D436" i="18"/>
  <c r="D435" i="18"/>
  <c r="D434" i="18"/>
  <c r="D433" i="18"/>
  <c r="D432" i="18"/>
  <c r="D431" i="18"/>
  <c r="D430" i="18"/>
  <c r="D429" i="18"/>
  <c r="D428" i="18"/>
  <c r="D427" i="18"/>
  <c r="D426" i="18"/>
  <c r="D425" i="18"/>
  <c r="D424" i="18"/>
  <c r="D423" i="18"/>
  <c r="D422" i="18"/>
  <c r="D421" i="18"/>
  <c r="D420" i="18"/>
  <c r="D419" i="18"/>
  <c r="D418" i="18"/>
  <c r="D417" i="18"/>
  <c r="D416" i="18"/>
  <c r="D415" i="18"/>
  <c r="D414" i="18"/>
  <c r="D413" i="18"/>
  <c r="D412" i="18"/>
  <c r="D411" i="18"/>
  <c r="D410" i="18"/>
  <c r="D409" i="18"/>
  <c r="D408" i="18"/>
  <c r="D407" i="18"/>
  <c r="D406" i="18"/>
  <c r="D405" i="18"/>
  <c r="D404" i="18"/>
  <c r="D403" i="18"/>
  <c r="D402" i="18"/>
  <c r="D401" i="18"/>
  <c r="D400" i="18"/>
  <c r="D399" i="18"/>
  <c r="D398" i="18"/>
  <c r="D397" i="18"/>
  <c r="D396" i="18"/>
  <c r="D395" i="18"/>
  <c r="D394" i="18"/>
  <c r="D393" i="18"/>
  <c r="D392" i="18"/>
  <c r="D391" i="18"/>
  <c r="D390" i="18"/>
  <c r="D389" i="18"/>
  <c r="D388" i="18"/>
  <c r="D387" i="18"/>
  <c r="D386" i="18"/>
  <c r="D385" i="18"/>
  <c r="D384" i="18"/>
  <c r="D383" i="18"/>
  <c r="D382" i="18"/>
  <c r="D381" i="18"/>
  <c r="D380" i="18"/>
  <c r="D379" i="18"/>
  <c r="D378" i="18"/>
  <c r="D377" i="18"/>
  <c r="D376" i="18"/>
  <c r="D375" i="18"/>
  <c r="D374" i="18"/>
  <c r="D373" i="18"/>
  <c r="D372" i="18"/>
  <c r="D371" i="18"/>
  <c r="D370" i="18"/>
  <c r="D369" i="18"/>
  <c r="D368" i="18"/>
  <c r="D367" i="18"/>
  <c r="D366" i="18"/>
  <c r="D365" i="18"/>
  <c r="D364" i="18"/>
  <c r="D363" i="18"/>
  <c r="D362" i="18"/>
  <c r="D361" i="18"/>
  <c r="D360" i="18"/>
  <c r="D359" i="18"/>
  <c r="D358" i="18"/>
  <c r="D357" i="18"/>
  <c r="D356" i="18"/>
  <c r="D355" i="18"/>
  <c r="D354" i="18"/>
  <c r="D353" i="18"/>
  <c r="D352" i="18"/>
  <c r="D351" i="18"/>
  <c r="D350" i="18"/>
  <c r="D349" i="18"/>
  <c r="D348" i="18"/>
  <c r="D347" i="18"/>
  <c r="D346" i="18"/>
  <c r="D345" i="18"/>
  <c r="D344" i="18"/>
  <c r="D343" i="18"/>
  <c r="D342" i="18"/>
  <c r="D341" i="18"/>
  <c r="D340" i="18"/>
  <c r="D339" i="18"/>
  <c r="D335" i="18"/>
  <c r="D334" i="18"/>
  <c r="D333" i="18"/>
  <c r="D332" i="18"/>
  <c r="D331" i="18"/>
  <c r="D330" i="18"/>
  <c r="D329" i="18"/>
  <c r="D328" i="18"/>
  <c r="D327" i="18"/>
  <c r="D326" i="18"/>
  <c r="D325" i="18"/>
  <c r="D324" i="18"/>
  <c r="D323" i="18"/>
  <c r="D322" i="18"/>
  <c r="D321" i="18"/>
  <c r="D320" i="18"/>
  <c r="D319" i="18"/>
  <c r="D318" i="18"/>
  <c r="D317" i="18"/>
  <c r="D316" i="18"/>
  <c r="D315" i="18"/>
  <c r="D314" i="18"/>
  <c r="D313" i="18"/>
  <c r="D312" i="18"/>
  <c r="D308" i="18"/>
  <c r="D307" i="18"/>
  <c r="D306" i="18"/>
  <c r="D305" i="18"/>
  <c r="D304" i="18"/>
  <c r="D303" i="18"/>
  <c r="D302" i="18"/>
  <c r="D298" i="18"/>
  <c r="D297" i="18"/>
  <c r="D296" i="18"/>
  <c r="D295" i="18"/>
  <c r="D294" i="18"/>
  <c r="D293" i="18"/>
  <c r="D292" i="18"/>
  <c r="D291" i="18"/>
  <c r="D290" i="18"/>
  <c r="D289" i="18"/>
  <c r="D288" i="18"/>
  <c r="D287" i="18"/>
  <c r="D286" i="18"/>
  <c r="D285" i="18"/>
  <c r="D284" i="18"/>
  <c r="D283" i="18"/>
  <c r="D282" i="18"/>
  <c r="D281" i="18"/>
  <c r="D280" i="18"/>
  <c r="D279" i="18"/>
  <c r="D278" i="18"/>
  <c r="D277" i="18"/>
  <c r="D276" i="18"/>
  <c r="D275" i="18"/>
  <c r="D274" i="18"/>
  <c r="D273" i="18"/>
  <c r="D272" i="18"/>
  <c r="D271" i="18"/>
  <c r="D270" i="18"/>
  <c r="D269" i="18"/>
  <c r="D268" i="18"/>
  <c r="D267" i="18"/>
  <c r="D266" i="18"/>
  <c r="D265" i="18"/>
  <c r="D264" i="18"/>
  <c r="D263" i="18"/>
  <c r="D262" i="18"/>
  <c r="D261" i="18"/>
  <c r="D260" i="18"/>
  <c r="D259" i="18"/>
  <c r="D258" i="18"/>
  <c r="D257" i="18"/>
  <c r="D256" i="18"/>
  <c r="D255" i="18"/>
  <c r="D254" i="18"/>
  <c r="D253" i="18"/>
  <c r="D252" i="18"/>
  <c r="D251" i="18"/>
  <c r="D250" i="18"/>
  <c r="D249" i="18"/>
  <c r="D248" i="18"/>
  <c r="D247" i="18"/>
  <c r="D246" i="18"/>
  <c r="D245" i="18"/>
  <c r="D244" i="18"/>
  <c r="D243" i="18"/>
  <c r="D242" i="18"/>
  <c r="D241" i="18"/>
  <c r="D240" i="18"/>
  <c r="D239" i="18"/>
  <c r="D238" i="18"/>
  <c r="D237" i="18"/>
  <c r="D236" i="18"/>
  <c r="D235" i="18"/>
  <c r="D234" i="18"/>
  <c r="D233" i="18"/>
  <c r="D232" i="18"/>
  <c r="D231" i="18"/>
  <c r="D230" i="18"/>
  <c r="D229" i="18"/>
  <c r="D228" i="18"/>
  <c r="D227" i="18"/>
  <c r="D226" i="18"/>
  <c r="D225" i="18"/>
  <c r="D224" i="18"/>
  <c r="D223" i="18"/>
  <c r="D222" i="18"/>
  <c r="D221" i="18"/>
  <c r="D220" i="18"/>
  <c r="D219" i="18"/>
  <c r="D218" i="18"/>
  <c r="D217" i="18"/>
  <c r="D216" i="18"/>
  <c r="D215" i="18"/>
  <c r="D214" i="18"/>
  <c r="D213" i="18"/>
  <c r="D212" i="18"/>
  <c r="D211" i="18"/>
  <c r="D210" i="18"/>
  <c r="D209" i="18"/>
  <c r="D208" i="18"/>
  <c r="D207" i="18"/>
  <c r="D206" i="18"/>
  <c r="D205" i="18"/>
  <c r="D204" i="18"/>
  <c r="D203" i="18"/>
  <c r="D202" i="18"/>
  <c r="D201" i="18"/>
  <c r="D200" i="18"/>
  <c r="D199" i="18"/>
  <c r="D198" i="18"/>
  <c r="D197" i="18"/>
  <c r="D196" i="18"/>
  <c r="D195" i="18"/>
  <c r="D194" i="18"/>
  <c r="D193" i="18"/>
  <c r="D192" i="18"/>
  <c r="D191" i="18"/>
  <c r="D190" i="18"/>
  <c r="D189" i="18"/>
  <c r="D188" i="18"/>
  <c r="D187" i="18"/>
  <c r="D186" i="18"/>
  <c r="D185" i="18"/>
  <c r="D184" i="18"/>
  <c r="D183" i="18"/>
  <c r="D182" i="18"/>
  <c r="D181" i="18"/>
  <c r="D180" i="18"/>
  <c r="D179" i="18"/>
  <c r="D178" i="18"/>
  <c r="D177" i="18"/>
  <c r="D176" i="18"/>
  <c r="D175" i="18"/>
  <c r="D174" i="18"/>
  <c r="D173" i="18"/>
  <c r="D172" i="18"/>
  <c r="D171" i="18"/>
  <c r="D170" i="18"/>
  <c r="D169" i="18"/>
  <c r="D168" i="18"/>
  <c r="D167" i="18"/>
  <c r="D166" i="18"/>
  <c r="D165" i="18"/>
  <c r="D164" i="18"/>
  <c r="D163" i="18"/>
  <c r="D162" i="18"/>
  <c r="D161" i="18"/>
  <c r="D160" i="18"/>
  <c r="D159" i="18"/>
  <c r="D158" i="18"/>
  <c r="D157" i="18"/>
  <c r="D156" i="18"/>
  <c r="D155" i="18"/>
  <c r="D154" i="18"/>
  <c r="D153" i="18"/>
  <c r="D152" i="18"/>
  <c r="D151" i="18"/>
  <c r="D150" i="18"/>
  <c r="D149" i="18"/>
  <c r="D148" i="18"/>
  <c r="D147" i="18"/>
  <c r="D146" i="18"/>
  <c r="D145" i="18"/>
  <c r="D144" i="18"/>
  <c r="D143" i="18"/>
  <c r="D142" i="18"/>
  <c r="D141" i="18"/>
  <c r="D140" i="18"/>
  <c r="D139" i="18"/>
  <c r="D138" i="18"/>
  <c r="D137" i="18"/>
  <c r="D136" i="18"/>
  <c r="D135" i="18"/>
  <c r="D134" i="18"/>
  <c r="D133" i="18"/>
  <c r="D132" i="18"/>
  <c r="D131" i="18"/>
  <c r="D130" i="18"/>
  <c r="D129" i="18"/>
  <c r="D128" i="18"/>
  <c r="D127" i="18"/>
  <c r="D126" i="18"/>
  <c r="D125" i="18"/>
  <c r="D124" i="18"/>
  <c r="D120" i="18"/>
  <c r="D119" i="18"/>
  <c r="D118" i="18"/>
  <c r="D117" i="18"/>
  <c r="D116" i="18"/>
  <c r="D115" i="18"/>
  <c r="D114" i="18"/>
  <c r="D113" i="18"/>
  <c r="D112" i="18"/>
  <c r="D111" i="18"/>
  <c r="D110" i="18"/>
  <c r="D109" i="18"/>
  <c r="D108" i="18"/>
  <c r="D107" i="18"/>
  <c r="D106" i="18"/>
  <c r="D105" i="18"/>
  <c r="D104" i="18"/>
  <c r="D103" i="18"/>
  <c r="D102" i="18"/>
  <c r="D101" i="18"/>
  <c r="D100" i="18"/>
  <c r="D99" i="18"/>
  <c r="D98" i="18"/>
  <c r="D97" i="18"/>
  <c r="D96" i="18"/>
  <c r="D95" i="18"/>
  <c r="D94" i="18"/>
  <c r="D93" i="18"/>
  <c r="D92" i="18"/>
  <c r="D91" i="18"/>
  <c r="D90" i="18"/>
  <c r="D89" i="18"/>
  <c r="D88" i="18"/>
  <c r="D87" i="18"/>
  <c r="D86" i="18"/>
  <c r="D85" i="18"/>
  <c r="D84" i="18"/>
  <c r="D83" i="18"/>
  <c r="D82" i="18"/>
  <c r="D81" i="18"/>
  <c r="D80" i="18"/>
  <c r="D79" i="18"/>
  <c r="D78" i="18"/>
  <c r="D77" i="18"/>
  <c r="D76" i="18"/>
  <c r="D75" i="18"/>
  <c r="D74" i="18"/>
  <c r="D73" i="18"/>
  <c r="D72" i="18"/>
  <c r="D71" i="18"/>
  <c r="D70" i="18"/>
  <c r="D69" i="18"/>
  <c r="D68" i="18"/>
  <c r="D67" i="18"/>
  <c r="D66" i="18"/>
  <c r="D65" i="18"/>
  <c r="D64" i="18"/>
  <c r="D63" i="18"/>
  <c r="D62" i="18"/>
  <c r="D61" i="18"/>
  <c r="D60" i="18"/>
  <c r="D59" i="18"/>
  <c r="D58" i="18"/>
  <c r="D57" i="18"/>
  <c r="D56" i="18"/>
  <c r="D55" i="18"/>
  <c r="D54" i="18"/>
  <c r="D53" i="18"/>
  <c r="D52" i="18"/>
  <c r="D48" i="18"/>
  <c r="D47" i="18"/>
  <c r="D46" i="18"/>
  <c r="D45" i="18"/>
  <c r="D44" i="18"/>
  <c r="D43" i="18"/>
  <c r="D42" i="18"/>
  <c r="D41" i="18"/>
  <c r="D40" i="18"/>
  <c r="D39" i="18"/>
  <c r="D38" i="18"/>
  <c r="D37" i="18"/>
  <c r="D36" i="18"/>
  <c r="D35" i="18"/>
  <c r="D34" i="18"/>
  <c r="D33" i="18"/>
  <c r="D32" i="18"/>
  <c r="D28" i="18"/>
  <c r="D27" i="18"/>
  <c r="D26" i="18"/>
  <c r="D25" i="18"/>
  <c r="D24" i="18"/>
  <c r="D23" i="18"/>
  <c r="D22" i="18"/>
  <c r="D21" i="18"/>
  <c r="D20" i="18"/>
  <c r="D19" i="18"/>
  <c r="D18" i="18"/>
  <c r="D17" i="18"/>
  <c r="D16" i="18"/>
  <c r="D15" i="18"/>
  <c r="D14" i="18"/>
  <c r="D13" i="18"/>
  <c r="D12" i="18"/>
  <c r="D11" i="18"/>
  <c r="D10" i="18"/>
  <c r="D9" i="18"/>
  <c r="D8" i="18"/>
  <c r="D7" i="18"/>
  <c r="D6" i="18"/>
  <c r="D5" i="18"/>
  <c r="D4" i="18"/>
  <c r="D3" i="18"/>
  <c r="D2" i="18"/>
  <c r="B2" i="18"/>
  <c r="F1" i="18"/>
  <c r="A516" i="18" s="1"/>
  <c r="A812" i="22"/>
  <c r="A811" i="22"/>
  <c r="A810" i="22"/>
  <c r="A809" i="22"/>
  <c r="A808" i="22"/>
  <c r="A807" i="22"/>
  <c r="A806" i="22"/>
  <c r="A805" i="22"/>
  <c r="A804" i="22"/>
  <c r="A803" i="22"/>
  <c r="A802" i="22"/>
  <c r="A801" i="22"/>
  <c r="A800" i="22"/>
  <c r="A799" i="22"/>
  <c r="A798" i="22"/>
  <c r="A797" i="22"/>
  <c r="A796" i="22"/>
  <c r="A795" i="22"/>
  <c r="A794" i="22"/>
  <c r="A793" i="22"/>
  <c r="A792" i="22"/>
  <c r="A791" i="22"/>
  <c r="A790" i="22"/>
  <c r="A789" i="22"/>
  <c r="A788" i="22"/>
  <c r="A787" i="22"/>
  <c r="A786" i="22"/>
  <c r="A785" i="22"/>
  <c r="A784" i="22"/>
  <c r="A783" i="22"/>
  <c r="A782" i="22"/>
  <c r="A781" i="22"/>
  <c r="A780" i="22"/>
  <c r="A779" i="22"/>
  <c r="A778" i="22"/>
  <c r="A777" i="22"/>
  <c r="A776" i="22"/>
  <c r="A775" i="22"/>
  <c r="A774" i="22"/>
  <c r="A773" i="22"/>
  <c r="A772" i="22"/>
  <c r="A771" i="22"/>
  <c r="A770" i="22"/>
  <c r="A769" i="22"/>
  <c r="A768" i="22"/>
  <c r="A767" i="22"/>
  <c r="A766" i="22"/>
  <c r="A765" i="22"/>
  <c r="A764" i="22"/>
  <c r="A763" i="22"/>
  <c r="A762" i="22"/>
  <c r="A761" i="22"/>
  <c r="A760" i="22"/>
  <c r="A759" i="22"/>
  <c r="A758" i="22"/>
  <c r="A757" i="22"/>
  <c r="A756" i="22"/>
  <c r="A755" i="22"/>
  <c r="A754" i="22"/>
  <c r="A753" i="22"/>
  <c r="A752" i="22"/>
  <c r="A751" i="22"/>
  <c r="A750" i="22"/>
  <c r="A749" i="22"/>
  <c r="A748" i="22"/>
  <c r="A747" i="22"/>
  <c r="A746" i="22"/>
  <c r="A745" i="22"/>
  <c r="A744" i="22"/>
  <c r="A743" i="22"/>
  <c r="A742" i="22"/>
  <c r="A741" i="22"/>
  <c r="A740" i="22"/>
  <c r="A739" i="22"/>
  <c r="A738" i="22"/>
  <c r="A737" i="22"/>
  <c r="A736" i="22"/>
  <c r="A735" i="22"/>
  <c r="A734" i="22"/>
  <c r="A733" i="22"/>
  <c r="A732" i="22"/>
  <c r="A731" i="22"/>
  <c r="A730" i="22"/>
  <c r="A729" i="22"/>
  <c r="A728" i="22"/>
  <c r="A727" i="22"/>
  <c r="A726" i="22"/>
  <c r="A725" i="22"/>
  <c r="A724" i="22"/>
  <c r="A723" i="22"/>
  <c r="A722" i="22"/>
  <c r="A721" i="22"/>
  <c r="A720" i="22"/>
  <c r="A719" i="22"/>
  <c r="A718" i="22"/>
  <c r="A717" i="22"/>
  <c r="A716" i="22"/>
  <c r="A715" i="22"/>
  <c r="A714" i="22"/>
  <c r="A713" i="22"/>
  <c r="A712" i="22"/>
  <c r="A711" i="22"/>
  <c r="A710" i="22"/>
  <c r="A709" i="22"/>
  <c r="A708" i="22"/>
  <c r="A707" i="22"/>
  <c r="A706" i="22"/>
  <c r="A705" i="22"/>
  <c r="A704" i="22"/>
  <c r="A703" i="22"/>
  <c r="A702" i="22"/>
  <c r="A701" i="22"/>
  <c r="A700" i="22"/>
  <c r="A699" i="22"/>
  <c r="A698" i="22"/>
  <c r="A697" i="22"/>
  <c r="A696" i="22"/>
  <c r="A695" i="22"/>
  <c r="A694" i="22"/>
  <c r="A693" i="22"/>
  <c r="A692" i="22"/>
  <c r="A691" i="22"/>
  <c r="A690" i="22"/>
  <c r="A689" i="22"/>
  <c r="A688" i="22"/>
  <c r="A687" i="22"/>
  <c r="A686" i="22"/>
  <c r="A685" i="22"/>
  <c r="A684" i="22"/>
  <c r="A683" i="22"/>
  <c r="A682" i="22"/>
  <c r="A681" i="22"/>
  <c r="A680" i="22"/>
  <c r="A679" i="22"/>
  <c r="A678" i="22"/>
  <c r="A677" i="22"/>
  <c r="A676" i="22"/>
  <c r="A675" i="22"/>
  <c r="A674" i="22"/>
  <c r="A673" i="22"/>
  <c r="A672" i="22"/>
  <c r="A671" i="22"/>
  <c r="A670" i="22"/>
  <c r="A669" i="22"/>
  <c r="A668" i="22"/>
  <c r="A667" i="22"/>
  <c r="A666" i="22"/>
  <c r="A665" i="22"/>
  <c r="A664" i="22"/>
  <c r="A663" i="22"/>
  <c r="A662" i="22"/>
  <c r="A661" i="22"/>
  <c r="A660" i="22"/>
  <c r="A659" i="22"/>
  <c r="A658" i="22"/>
  <c r="A657" i="22"/>
  <c r="A656" i="22"/>
  <c r="A655" i="22"/>
  <c r="A654" i="22"/>
  <c r="A653" i="22"/>
  <c r="A652" i="22"/>
  <c r="A651" i="22"/>
  <c r="A650" i="22"/>
  <c r="A649" i="22"/>
  <c r="A648" i="22"/>
  <c r="A647" i="22"/>
  <c r="A646" i="22"/>
  <c r="A645" i="22"/>
  <c r="A644" i="22"/>
  <c r="A643" i="22"/>
  <c r="A642" i="22"/>
  <c r="A641" i="22"/>
  <c r="A640" i="22"/>
  <c r="A639" i="22"/>
  <c r="A638" i="22"/>
  <c r="A637" i="22"/>
  <c r="A636" i="22"/>
  <c r="A635" i="22"/>
  <c r="A634" i="22"/>
  <c r="A633" i="22"/>
  <c r="A632" i="22"/>
  <c r="A631" i="22"/>
  <c r="A630" i="22"/>
  <c r="A629" i="22"/>
  <c r="A628" i="22"/>
  <c r="A627" i="22"/>
  <c r="A626" i="22"/>
  <c r="A625" i="22"/>
  <c r="A624" i="22"/>
  <c r="A623" i="22"/>
  <c r="A622" i="22"/>
  <c r="A621" i="22"/>
  <c r="A620" i="22"/>
  <c r="A619" i="22"/>
  <c r="A618" i="22"/>
  <c r="A617" i="22"/>
  <c r="A616" i="22"/>
  <c r="A615" i="22"/>
  <c r="A614" i="22"/>
  <c r="A613" i="22"/>
  <c r="A612" i="22"/>
  <c r="A611" i="22"/>
  <c r="A610" i="22"/>
  <c r="A609" i="22"/>
  <c r="A608" i="22"/>
  <c r="A607" i="22"/>
  <c r="A606" i="22"/>
  <c r="A605" i="22"/>
  <c r="A604" i="22"/>
  <c r="A603" i="22"/>
  <c r="A602" i="22"/>
  <c r="A601" i="22"/>
  <c r="A600" i="22"/>
  <c r="A599" i="22"/>
  <c r="A598" i="22"/>
  <c r="A597" i="22"/>
  <c r="A596" i="22"/>
  <c r="A595" i="22"/>
  <c r="A594" i="22"/>
  <c r="A593" i="22"/>
  <c r="A592" i="22"/>
  <c r="A591" i="22"/>
  <c r="A590" i="22"/>
  <c r="A589" i="22"/>
  <c r="A588" i="22"/>
  <c r="A587" i="22"/>
  <c r="A586" i="22"/>
  <c r="A585" i="22"/>
  <c r="A584" i="22"/>
  <c r="A583" i="22"/>
  <c r="A582" i="22"/>
  <c r="A581" i="22"/>
  <c r="A580" i="22"/>
  <c r="A579" i="22"/>
  <c r="A578" i="22"/>
  <c r="A577" i="22"/>
  <c r="A576" i="22"/>
  <c r="A575" i="22"/>
  <c r="A574" i="22"/>
  <c r="A573" i="22"/>
  <c r="A572" i="22"/>
  <c r="A571" i="22"/>
  <c r="A570" i="22"/>
  <c r="A569" i="22"/>
  <c r="A568" i="22"/>
  <c r="A567" i="22"/>
  <c r="A566" i="22"/>
  <c r="A565" i="22"/>
  <c r="A564" i="22"/>
  <c r="A563" i="22"/>
  <c r="A562" i="22"/>
  <c r="A561" i="22"/>
  <c r="A560" i="22"/>
  <c r="A559" i="22"/>
  <c r="A558" i="22"/>
  <c r="A557" i="22"/>
  <c r="A556" i="22"/>
  <c r="A555" i="22"/>
  <c r="A554" i="22"/>
  <c r="A553" i="22"/>
  <c r="A552" i="22"/>
  <c r="A551" i="22"/>
  <c r="A550" i="22"/>
  <c r="A549" i="22"/>
  <c r="A548" i="22"/>
  <c r="A547" i="22"/>
  <c r="A546" i="22"/>
  <c r="A545" i="22"/>
  <c r="A544" i="22"/>
  <c r="A543" i="22"/>
  <c r="A542" i="22"/>
  <c r="A541" i="22"/>
  <c r="A540" i="22"/>
  <c r="A539" i="22"/>
  <c r="A538" i="22"/>
  <c r="A537" i="22"/>
  <c r="A536" i="22"/>
  <c r="A535" i="22"/>
  <c r="A534" i="22"/>
  <c r="A533" i="22"/>
  <c r="A532" i="22"/>
  <c r="A531" i="22"/>
  <c r="A530" i="22"/>
  <c r="A529" i="22"/>
  <c r="A528" i="22"/>
  <c r="A527" i="22"/>
  <c r="A526" i="22"/>
  <c r="A525" i="22"/>
  <c r="A524" i="22"/>
  <c r="A523" i="22"/>
  <c r="A522" i="22"/>
  <c r="A521" i="22"/>
  <c r="A520" i="22"/>
  <c r="A519" i="22"/>
  <c r="A518" i="22"/>
  <c r="A517" i="22"/>
  <c r="A516" i="22"/>
  <c r="A515" i="22"/>
  <c r="A514" i="22"/>
  <c r="A513" i="22"/>
  <c r="A512" i="22"/>
  <c r="A511" i="22"/>
  <c r="A510" i="22"/>
  <c r="A509" i="22"/>
  <c r="A508" i="22"/>
  <c r="A507" i="22"/>
  <c r="A506" i="22"/>
  <c r="A505" i="22"/>
  <c r="A504" i="22"/>
  <c r="A503" i="22"/>
  <c r="A502" i="22"/>
  <c r="A501" i="22"/>
  <c r="A500" i="22"/>
  <c r="A499" i="22"/>
  <c r="A498" i="22"/>
  <c r="A497" i="22"/>
  <c r="A496" i="22"/>
  <c r="A495" i="22"/>
  <c r="A494" i="22"/>
  <c r="A493" i="22"/>
  <c r="A492" i="22"/>
  <c r="A491" i="22"/>
  <c r="A490" i="22"/>
  <c r="A489" i="22"/>
  <c r="A488" i="22"/>
  <c r="A487" i="22"/>
  <c r="A486" i="22"/>
  <c r="A485" i="22"/>
  <c r="A484" i="22"/>
  <c r="A483" i="22"/>
  <c r="A482" i="22"/>
  <c r="A481" i="22"/>
  <c r="A480" i="22"/>
  <c r="A479" i="22"/>
  <c r="A478" i="22"/>
  <c r="A477" i="22"/>
  <c r="A476" i="22"/>
  <c r="A475" i="22"/>
  <c r="A474" i="22"/>
  <c r="A473" i="22"/>
  <c r="A472" i="22"/>
  <c r="A471" i="22"/>
  <c r="A470" i="22"/>
  <c r="A469" i="22"/>
  <c r="A468" i="22"/>
  <c r="A467" i="22"/>
  <c r="A466" i="22"/>
  <c r="A465" i="22"/>
  <c r="A464" i="22"/>
  <c r="A463" i="22"/>
  <c r="A462" i="22"/>
  <c r="A461" i="22"/>
  <c r="A460" i="22"/>
  <c r="A459" i="22"/>
  <c r="A458" i="22"/>
  <c r="A457" i="22"/>
  <c r="A456" i="22"/>
  <c r="A455" i="22"/>
  <c r="A454" i="22"/>
  <c r="A453" i="22"/>
  <c r="A452" i="22"/>
  <c r="A451" i="22"/>
  <c r="A450" i="22"/>
  <c r="A449" i="22"/>
  <c r="A448" i="22"/>
  <c r="A447" i="22"/>
  <c r="A446" i="22"/>
  <c r="A445" i="22"/>
  <c r="A444" i="22"/>
  <c r="A443" i="22"/>
  <c r="A442" i="22"/>
  <c r="A441" i="22"/>
  <c r="A440" i="22"/>
  <c r="A439" i="22"/>
  <c r="A438" i="22"/>
  <c r="A437" i="22"/>
  <c r="A436" i="22"/>
  <c r="A435" i="22"/>
  <c r="A434" i="22"/>
  <c r="A433" i="22"/>
  <c r="A432" i="22"/>
  <c r="A431" i="22"/>
  <c r="A430" i="22"/>
  <c r="A429" i="22"/>
  <c r="A428" i="22"/>
  <c r="A427" i="22"/>
  <c r="A426" i="22"/>
  <c r="A425" i="22"/>
  <c r="A424" i="22"/>
  <c r="A423" i="22"/>
  <c r="A422" i="22"/>
  <c r="A421" i="22"/>
  <c r="A420" i="22"/>
  <c r="A419" i="22"/>
  <c r="A418" i="22"/>
  <c r="A417" i="22"/>
  <c r="A416" i="22"/>
  <c r="A415" i="22"/>
  <c r="A414" i="22"/>
  <c r="A413" i="22"/>
  <c r="A412" i="22"/>
  <c r="A411" i="22"/>
  <c r="A410" i="22"/>
  <c r="A409" i="22"/>
  <c r="A408" i="22"/>
  <c r="A407" i="22"/>
  <c r="A406" i="22"/>
  <c r="A405" i="22"/>
  <c r="A404" i="22"/>
  <c r="A403" i="22"/>
  <c r="A402" i="22"/>
  <c r="A401" i="22"/>
  <c r="A400" i="22"/>
  <c r="A399" i="22"/>
  <c r="A398" i="22"/>
  <c r="A397" i="22"/>
  <c r="A396" i="22"/>
  <c r="A395" i="22"/>
  <c r="A394" i="22"/>
  <c r="A393" i="22"/>
  <c r="A392" i="22"/>
  <c r="A391" i="22"/>
  <c r="A390" i="22"/>
  <c r="A389" i="22"/>
  <c r="A388" i="22"/>
  <c r="A387" i="22"/>
  <c r="A386" i="22"/>
  <c r="A385" i="22"/>
  <c r="A384" i="22"/>
  <c r="A383" i="22"/>
  <c r="A382" i="22"/>
  <c r="A381" i="22"/>
  <c r="A380" i="22"/>
  <c r="A379" i="22"/>
  <c r="A378" i="22"/>
  <c r="A377" i="22"/>
  <c r="A376" i="22"/>
  <c r="A375" i="22"/>
  <c r="A374" i="22"/>
  <c r="A373" i="22"/>
  <c r="A372" i="22"/>
  <c r="A371" i="22"/>
  <c r="A370" i="22"/>
  <c r="A369" i="22"/>
  <c r="A368" i="22"/>
  <c r="A367" i="22"/>
  <c r="A366" i="22"/>
  <c r="A365" i="22"/>
  <c r="A364" i="22"/>
  <c r="A363" i="22"/>
  <c r="A362" i="22"/>
  <c r="A361" i="22"/>
  <c r="A360" i="22"/>
  <c r="A359" i="22"/>
  <c r="A358" i="22"/>
  <c r="A357" i="22"/>
  <c r="A356" i="22"/>
  <c r="A355" i="22"/>
  <c r="A354" i="22"/>
  <c r="A353" i="22"/>
  <c r="A352" i="22"/>
  <c r="A351" i="22"/>
  <c r="A350" i="22"/>
  <c r="A349" i="22"/>
  <c r="A348" i="22"/>
  <c r="A347" i="22"/>
  <c r="A346" i="22"/>
  <c r="A345" i="22"/>
  <c r="A344" i="22"/>
  <c r="A343" i="22"/>
  <c r="A342" i="22"/>
  <c r="A341" i="22"/>
  <c r="A340" i="22"/>
  <c r="A339" i="22"/>
  <c r="A338" i="22"/>
  <c r="A337" i="22"/>
  <c r="A336" i="22"/>
  <c r="A335" i="22"/>
  <c r="A334" i="22"/>
  <c r="A333" i="22"/>
  <c r="A332" i="22"/>
  <c r="A331" i="22"/>
  <c r="A330" i="22"/>
  <c r="A329" i="22"/>
  <c r="A328" i="22"/>
  <c r="A327" i="22"/>
  <c r="A326" i="22"/>
  <c r="A325" i="22"/>
  <c r="A324" i="22"/>
  <c r="A323" i="22"/>
  <c r="A322" i="22"/>
  <c r="A321" i="22"/>
  <c r="A320" i="22"/>
  <c r="A319" i="22"/>
  <c r="A318" i="22"/>
  <c r="A317" i="22"/>
  <c r="A316" i="22"/>
  <c r="A315" i="22"/>
  <c r="A314" i="22"/>
  <c r="A313" i="22"/>
  <c r="A312" i="22"/>
  <c r="A311" i="22"/>
  <c r="A310" i="22"/>
  <c r="A309" i="22"/>
  <c r="A308" i="22"/>
  <c r="A307" i="22"/>
  <c r="A306" i="22"/>
  <c r="A305" i="22"/>
  <c r="A304" i="22"/>
  <c r="A303" i="22"/>
  <c r="A302" i="22"/>
  <c r="A301" i="22"/>
  <c r="A300" i="22"/>
  <c r="A299" i="22"/>
  <c r="A298" i="22"/>
  <c r="A297" i="22"/>
  <c r="A296" i="22"/>
  <c r="A295" i="22"/>
  <c r="A294" i="22"/>
  <c r="A293" i="22"/>
  <c r="A292" i="22"/>
  <c r="A291" i="22"/>
  <c r="A290" i="22"/>
  <c r="A289" i="22"/>
  <c r="A288" i="22"/>
  <c r="A287" i="22"/>
  <c r="A286" i="22"/>
  <c r="A285" i="22"/>
  <c r="A284" i="22"/>
  <c r="A283" i="22"/>
  <c r="A282" i="22"/>
  <c r="A281" i="22"/>
  <c r="A280" i="22"/>
  <c r="A279" i="22"/>
  <c r="A278" i="22"/>
  <c r="A277" i="22"/>
  <c r="A276" i="22"/>
  <c r="A275" i="22"/>
  <c r="A274" i="22"/>
  <c r="A273" i="22"/>
  <c r="A272" i="22"/>
  <c r="A271" i="22"/>
  <c r="A270" i="22"/>
  <c r="A269" i="22"/>
  <c r="A268" i="22"/>
  <c r="A267" i="22"/>
  <c r="A266" i="22"/>
  <c r="A265" i="22"/>
  <c r="A264" i="22"/>
  <c r="A263" i="22"/>
  <c r="A262" i="22"/>
  <c r="A261" i="22"/>
  <c r="A260" i="22"/>
  <c r="A259" i="22"/>
  <c r="A258" i="22"/>
  <c r="A257" i="22"/>
  <c r="A256" i="22"/>
  <c r="A255" i="22"/>
  <c r="A254" i="22"/>
  <c r="A253" i="22"/>
  <c r="A252" i="22"/>
  <c r="A251" i="22"/>
  <c r="A250" i="22"/>
  <c r="A249" i="22"/>
  <c r="A248" i="22"/>
  <c r="A247" i="22"/>
  <c r="A246" i="22"/>
  <c r="A245" i="22"/>
  <c r="A244" i="22"/>
  <c r="A243" i="22"/>
  <c r="A242" i="22"/>
  <c r="A241" i="22"/>
  <c r="A240" i="22"/>
  <c r="A239" i="22"/>
  <c r="A238" i="22"/>
  <c r="A237" i="22"/>
  <c r="A236" i="22"/>
  <c r="A235" i="22"/>
  <c r="A234" i="22"/>
  <c r="A233" i="22"/>
  <c r="A232" i="22"/>
  <c r="A231" i="22"/>
  <c r="A230" i="22"/>
  <c r="A229" i="22"/>
  <c r="A228" i="22"/>
  <c r="A227" i="22"/>
  <c r="A226" i="22"/>
  <c r="A225" i="22"/>
  <c r="A224" i="22"/>
  <c r="A223" i="22"/>
  <c r="A222" i="22"/>
  <c r="A221" i="22"/>
  <c r="A220" i="22"/>
  <c r="A219" i="22"/>
  <c r="A218" i="22"/>
  <c r="A217" i="22"/>
  <c r="A216" i="22"/>
  <c r="A215" i="22"/>
  <c r="A214" i="22"/>
  <c r="A213" i="22"/>
  <c r="A212" i="22"/>
  <c r="A211" i="22"/>
  <c r="A210" i="22"/>
  <c r="A209" i="22"/>
  <c r="A208" i="22"/>
  <c r="A207" i="22"/>
  <c r="A206" i="22"/>
  <c r="A205" i="22"/>
  <c r="A204" i="22"/>
  <c r="A203" i="22"/>
  <c r="A202" i="22"/>
  <c r="A201" i="22"/>
  <c r="A200" i="22"/>
  <c r="A199" i="22"/>
  <c r="A198" i="22"/>
  <c r="A197" i="22"/>
  <c r="A196" i="22"/>
  <c r="A195" i="22"/>
  <c r="A194" i="22"/>
  <c r="A193" i="22"/>
  <c r="A192" i="22"/>
  <c r="A191" i="22"/>
  <c r="A190" i="22"/>
  <c r="A189" i="22"/>
  <c r="A188" i="22"/>
  <c r="A187" i="22"/>
  <c r="A186" i="22"/>
  <c r="A185" i="22"/>
  <c r="A184" i="22"/>
  <c r="A183" i="22"/>
  <c r="A182" i="22"/>
  <c r="A181" i="22"/>
  <c r="A180" i="22"/>
  <c r="A179" i="22"/>
  <c r="A178" i="22"/>
  <c r="A177" i="22"/>
  <c r="A176" i="22"/>
  <c r="A175" i="22"/>
  <c r="A174" i="22"/>
  <c r="A173" i="22"/>
  <c r="A172" i="22"/>
  <c r="A171" i="22"/>
  <c r="A170" i="22"/>
  <c r="A169" i="22"/>
  <c r="A168" i="22"/>
  <c r="A167" i="22"/>
  <c r="A166" i="22"/>
  <c r="A165" i="22"/>
  <c r="A164" i="22"/>
  <c r="A163" i="22"/>
  <c r="A162" i="22"/>
  <c r="A161" i="22"/>
  <c r="A160" i="22"/>
  <c r="A159" i="22"/>
  <c r="A158" i="22"/>
  <c r="A157" i="22"/>
  <c r="A156" i="22"/>
  <c r="A155" i="22"/>
  <c r="A154" i="22"/>
  <c r="A153" i="22"/>
  <c r="A152" i="22"/>
  <c r="A151" i="22"/>
  <c r="A150" i="22"/>
  <c r="A149" i="22"/>
  <c r="A148" i="22"/>
  <c r="A147" i="22"/>
  <c r="A146" i="22"/>
  <c r="A145" i="22"/>
  <c r="A144" i="22"/>
  <c r="A143" i="22"/>
  <c r="A142" i="22"/>
  <c r="A141" i="22"/>
  <c r="A140" i="22"/>
  <c r="A139" i="22"/>
  <c r="A138" i="22"/>
  <c r="A137" i="22"/>
  <c r="A136" i="22"/>
  <c r="A135" i="22"/>
  <c r="A134" i="22"/>
  <c r="A133" i="22"/>
  <c r="A132" i="22"/>
  <c r="A131" i="22"/>
  <c r="A130" i="22"/>
  <c r="A129" i="22"/>
  <c r="A128" i="22"/>
  <c r="A127" i="22"/>
  <c r="A126" i="22"/>
  <c r="A125" i="22"/>
  <c r="A124" i="22"/>
  <c r="A123" i="22"/>
  <c r="A122" i="22"/>
  <c r="A121" i="22"/>
  <c r="A120" i="22"/>
  <c r="A119" i="22"/>
  <c r="A118" i="22"/>
  <c r="A117" i="22"/>
  <c r="A116" i="22"/>
  <c r="A115" i="22"/>
  <c r="A114" i="22"/>
  <c r="A113" i="22"/>
  <c r="A112" i="22"/>
  <c r="A111" i="22"/>
  <c r="A110" i="22"/>
  <c r="A109" i="22"/>
  <c r="A108" i="22"/>
  <c r="A107" i="22"/>
  <c r="A106" i="22"/>
  <c r="A105" i="22"/>
  <c r="A104" i="22"/>
  <c r="A103" i="22"/>
  <c r="A102" i="22"/>
  <c r="A101" i="22"/>
  <c r="A100" i="22"/>
  <c r="A99" i="22"/>
  <c r="A98" i="22"/>
  <c r="A97" i="22"/>
  <c r="A96" i="22"/>
  <c r="A95" i="22"/>
  <c r="A94" i="22"/>
  <c r="A93" i="22"/>
  <c r="A92" i="22"/>
  <c r="A91" i="22"/>
  <c r="A90" i="22"/>
  <c r="A89" i="22"/>
  <c r="A88" i="22"/>
  <c r="A87" i="22"/>
  <c r="A86" i="22"/>
  <c r="A85" i="22"/>
  <c r="A84" i="22"/>
  <c r="A83" i="22"/>
  <c r="A82" i="22"/>
  <c r="A81" i="22"/>
  <c r="A80" i="22"/>
  <c r="A79" i="22"/>
  <c r="A78" i="22"/>
  <c r="A77" i="22"/>
  <c r="A76" i="22"/>
  <c r="A75" i="22"/>
  <c r="A74" i="22"/>
  <c r="A73" i="22"/>
  <c r="A72" i="22"/>
  <c r="A71" i="22"/>
  <c r="A70" i="22"/>
  <c r="A69" i="22"/>
  <c r="A68" i="22"/>
  <c r="A67" i="22"/>
  <c r="A66" i="22"/>
  <c r="A65" i="22"/>
  <c r="A64" i="22"/>
  <c r="A63" i="22"/>
  <c r="A62" i="22"/>
  <c r="A61" i="22"/>
  <c r="A60" i="22"/>
  <c r="A59" i="22"/>
  <c r="A58" i="22"/>
  <c r="A57" i="22"/>
  <c r="A56" i="22"/>
  <c r="A55" i="22"/>
  <c r="A54" i="22"/>
  <c r="A53" i="22"/>
  <c r="A52" i="22"/>
  <c r="A51" i="22"/>
  <c r="A50" i="22"/>
  <c r="A49" i="22"/>
  <c r="A48" i="22"/>
  <c r="A47" i="22"/>
  <c r="A46" i="22"/>
  <c r="A45" i="22"/>
  <c r="A44" i="22"/>
  <c r="A43" i="22"/>
  <c r="A42" i="22"/>
  <c r="A41" i="22"/>
  <c r="A40" i="22"/>
  <c r="A39" i="22"/>
  <c r="A38" i="22"/>
  <c r="A37" i="22"/>
  <c r="A36" i="22"/>
  <c r="A35" i="22"/>
  <c r="A34" i="22"/>
  <c r="A33" i="22"/>
  <c r="A32" i="22"/>
  <c r="A31" i="22"/>
  <c r="A30" i="22"/>
  <c r="A29" i="22"/>
  <c r="A28" i="22"/>
  <c r="A27" i="22"/>
  <c r="A26" i="22"/>
  <c r="A25" i="22"/>
  <c r="A24" i="22"/>
  <c r="A23" i="22"/>
  <c r="A22" i="22"/>
  <c r="A21" i="22"/>
  <c r="A20" i="22"/>
  <c r="A19" i="22"/>
  <c r="A18" i="22"/>
  <c r="A17" i="22"/>
  <c r="A16" i="22"/>
  <c r="A15" i="22"/>
  <c r="A14" i="22"/>
  <c r="A13" i="22"/>
  <c r="A12" i="22"/>
  <c r="A11" i="22"/>
  <c r="A10" i="22"/>
  <c r="A9" i="22"/>
  <c r="A8" i="22"/>
  <c r="A7" i="22"/>
  <c r="A6" i="22"/>
  <c r="B3" i="22"/>
  <c r="AR28" i="23"/>
  <c r="AP28" i="23"/>
  <c r="AN28" i="23"/>
  <c r="AN27" i="23"/>
  <c r="C27" i="23"/>
  <c r="E17" i="23"/>
  <c r="AN1" i="23"/>
  <c r="AN29" i="23" s="1"/>
  <c r="C29" i="23" s="1"/>
  <c r="AJ21" i="17"/>
  <c r="K26" i="17" s="1"/>
  <c r="H14" i="17"/>
  <c r="B89" i="6"/>
  <c r="E89" i="6" s="1"/>
  <c r="E87" i="6"/>
  <c r="E85" i="6"/>
  <c r="E84" i="6"/>
  <c r="E82" i="6"/>
  <c r="B78" i="6"/>
  <c r="E78" i="6" s="1"/>
  <c r="C72" i="6"/>
  <c r="B57" i="6"/>
  <c r="C57" i="6" s="1"/>
  <c r="E57" i="6" s="1"/>
  <c r="B55" i="6"/>
  <c r="E55" i="6" s="1"/>
  <c r="D55" i="6" s="1"/>
  <c r="B35" i="6"/>
  <c r="E35" i="6" s="1"/>
  <c r="C26" i="6"/>
  <c r="C25" i="6"/>
  <c r="B21" i="6"/>
  <c r="C21" i="6" s="1"/>
  <c r="C17" i="6"/>
  <c r="C16" i="6"/>
  <c r="B9" i="6"/>
  <c r="E4" i="6"/>
  <c r="E7" i="6" s="1"/>
  <c r="B4" i="6"/>
  <c r="AI23" i="12"/>
  <c r="AH23" i="12"/>
  <c r="AD20" i="12"/>
  <c r="W9" i="17" s="1"/>
  <c r="AC20" i="12"/>
  <c r="Q21" i="12" s="1"/>
  <c r="K20" i="12"/>
  <c r="K17" i="12"/>
  <c r="L17" i="12" s="1"/>
  <c r="W12" i="12"/>
  <c r="AB12" i="12" s="1"/>
  <c r="U12" i="12"/>
  <c r="S12" i="12"/>
  <c r="W11" i="12"/>
  <c r="U11" i="12"/>
  <c r="S11" i="12"/>
  <c r="L11" i="12"/>
  <c r="O14" i="12" s="1"/>
  <c r="L10" i="12"/>
  <c r="AA9" i="12"/>
  <c r="AB14" i="12" s="1"/>
  <c r="K25" i="12"/>
  <c r="L5" i="12"/>
  <c r="L4" i="12"/>
  <c r="K4" i="12"/>
  <c r="L3" i="12"/>
  <c r="K3" i="12"/>
  <c r="E11" i="10"/>
  <c r="D11" i="10"/>
  <c r="C11" i="10"/>
  <c r="E10" i="10"/>
  <c r="D10" i="10"/>
  <c r="C10" i="10"/>
  <c r="E9" i="10"/>
  <c r="D9" i="10"/>
  <c r="C9" i="10"/>
  <c r="I1" i="10"/>
  <c r="Z23" i="15"/>
  <c r="V23" i="15"/>
  <c r="T23" i="15"/>
  <c r="R23" i="15"/>
  <c r="O23" i="15"/>
  <c r="Q21" i="15"/>
  <c r="Y22" i="15" s="1"/>
  <c r="Y23" i="15" s="1"/>
  <c r="Z20" i="15"/>
  <c r="A1" i="25" s="1"/>
  <c r="A4" i="25" s="1"/>
  <c r="J20" i="15"/>
  <c r="A16" i="15"/>
  <c r="Q11" i="15"/>
  <c r="J10" i="15"/>
  <c r="X49" i="28"/>
  <c r="X108" i="28" s="1"/>
  <c r="K4" i="15"/>
  <c r="I13" i="17" s="1"/>
  <c r="K3" i="15"/>
  <c r="K2" i="15"/>
  <c r="C25" i="1"/>
  <c r="G21" i="1"/>
  <c r="D2" i="15" s="1"/>
  <c r="G20" i="1"/>
  <c r="G19" i="1"/>
  <c r="L8" i="12" s="1"/>
  <c r="G16" i="1"/>
  <c r="L14" i="7" s="1"/>
  <c r="L26" i="7" s="1"/>
  <c r="E10" i="6" s="1"/>
  <c r="G15" i="1"/>
  <c r="H15" i="1" s="1"/>
  <c r="G13" i="1"/>
  <c r="D22" i="30" s="1"/>
  <c r="G12" i="1"/>
  <c r="G11" i="1"/>
  <c r="G10" i="1"/>
  <c r="E8" i="25"/>
  <c r="B25" i="9"/>
  <c r="D4" i="11" s="1"/>
  <c r="D6" i="11" s="1"/>
  <c r="D8" i="11" s="1"/>
  <c r="D12" i="11" s="1"/>
  <c r="D18" i="15"/>
  <c r="D19" i="15"/>
  <c r="D21" i="15"/>
  <c r="D22" i="15"/>
  <c r="D23" i="15"/>
  <c r="D20" i="15"/>
  <c r="E17" i="12" l="1"/>
  <c r="G17" i="12"/>
  <c r="I17" i="12"/>
  <c r="F24" i="29"/>
  <c r="E3" i="38"/>
  <c r="D7" i="35"/>
  <c r="B83" i="13"/>
  <c r="C83" i="13" s="1"/>
  <c r="B68" i="13"/>
  <c r="C68" i="13" s="1"/>
  <c r="B69" i="13" s="1"/>
  <c r="C69" i="13" s="1"/>
  <c r="B53" i="13"/>
  <c r="C53" i="13" s="1"/>
  <c r="B47" i="13"/>
  <c r="C47" i="13" s="1"/>
  <c r="B48" i="13" s="1"/>
  <c r="C48" i="13" s="1"/>
  <c r="M38" i="13"/>
  <c r="N38" i="13" s="1"/>
  <c r="F38" i="13" s="1"/>
  <c r="B23" i="13"/>
  <c r="C23" i="13" s="1"/>
  <c r="B87" i="13"/>
  <c r="C87" i="13" s="1"/>
  <c r="B88" i="13" s="1"/>
  <c r="C88" i="13" s="1"/>
  <c r="B63" i="13"/>
  <c r="C63" i="13" s="1"/>
  <c r="B66" i="13" s="1"/>
  <c r="C66" i="13" s="1"/>
  <c r="B42" i="13"/>
  <c r="C42" i="13" s="1"/>
  <c r="B43" i="13" s="1"/>
  <c r="C43" i="13" s="1"/>
  <c r="B27" i="13"/>
  <c r="C27" i="13" s="1"/>
  <c r="B28" i="13" s="1"/>
  <c r="C28" i="13" s="1"/>
  <c r="M12" i="13"/>
  <c r="N12" i="13" s="1"/>
  <c r="F12" i="13" s="1"/>
  <c r="B82" i="13"/>
  <c r="C82" i="13" s="1"/>
  <c r="B76" i="13"/>
  <c r="C76" i="13" s="1"/>
  <c r="B77" i="13" s="1"/>
  <c r="C77" i="13" s="1"/>
  <c r="M67" i="13"/>
  <c r="N67" i="13" s="1"/>
  <c r="F67" i="13" s="1"/>
  <c r="B52" i="13"/>
  <c r="C52" i="13" s="1"/>
  <c r="B22" i="13"/>
  <c r="C22" i="13" s="1"/>
  <c r="B16" i="13"/>
  <c r="C16" i="13" s="1"/>
  <c r="B17" i="13" s="1"/>
  <c r="C17" i="13" s="1"/>
  <c r="B9" i="13"/>
  <c r="C9" i="13" s="1"/>
  <c r="B5" i="13"/>
  <c r="C5" i="13" s="1"/>
  <c r="B8" i="13" s="1"/>
  <c r="C8" i="13" s="1"/>
  <c r="B86" i="13"/>
  <c r="C86" i="13" s="1"/>
  <c r="B71" i="13"/>
  <c r="C71" i="13" s="1"/>
  <c r="B72" i="13" s="1"/>
  <c r="C72" i="13" s="1"/>
  <c r="B56" i="13"/>
  <c r="C56" i="13" s="1"/>
  <c r="B57" i="13" s="1"/>
  <c r="C57" i="13" s="1"/>
  <c r="M41" i="13"/>
  <c r="N41" i="13" s="1"/>
  <c r="F41" i="13" s="1"/>
  <c r="B41" i="13" s="1"/>
  <c r="C41" i="13" s="1"/>
  <c r="B38" i="13"/>
  <c r="C38" i="13" s="1"/>
  <c r="B32" i="13"/>
  <c r="C32" i="13" s="1"/>
  <c r="B33" i="13" s="1"/>
  <c r="C33" i="13" s="1"/>
  <c r="M26" i="13"/>
  <c r="N26" i="13" s="1"/>
  <c r="F26" i="13" s="1"/>
  <c r="B81" i="13"/>
  <c r="C81" i="13" s="1"/>
  <c r="B51" i="13"/>
  <c r="C51" i="13" s="1"/>
  <c r="B45" i="13"/>
  <c r="C45" i="13" s="1"/>
  <c r="B46" i="13" s="1"/>
  <c r="C46" i="13" s="1"/>
  <c r="B21" i="13"/>
  <c r="C21" i="13" s="1"/>
  <c r="M15" i="13"/>
  <c r="N15" i="13" s="1"/>
  <c r="F15" i="13" s="1"/>
  <c r="B12" i="13"/>
  <c r="C12" i="13" s="1"/>
  <c r="B80" i="13"/>
  <c r="C80" i="13" s="1"/>
  <c r="B74" i="13"/>
  <c r="C74" i="13" s="1"/>
  <c r="B75" i="13" s="1"/>
  <c r="C75" i="13" s="1"/>
  <c r="B50" i="13"/>
  <c r="C50" i="13" s="1"/>
  <c r="M44" i="13"/>
  <c r="N44" i="13" s="1"/>
  <c r="F44" i="13" s="1"/>
  <c r="B44" i="13" s="1"/>
  <c r="C44" i="13" s="1"/>
  <c r="B26" i="13"/>
  <c r="C26" i="13" s="1"/>
  <c r="B20" i="13"/>
  <c r="C20" i="13" s="1"/>
  <c r="U3" i="13"/>
  <c r="M84" i="13"/>
  <c r="N84" i="13" s="1"/>
  <c r="F84" i="13" s="1"/>
  <c r="B84" i="13" s="1"/>
  <c r="C84" i="13" s="1"/>
  <c r="B60" i="13"/>
  <c r="C60" i="13" s="1"/>
  <c r="B36" i="13"/>
  <c r="C36" i="13" s="1"/>
  <c r="B15" i="13"/>
  <c r="C15" i="13" s="1"/>
  <c r="B79" i="13"/>
  <c r="C79" i="13" s="1"/>
  <c r="M73" i="13"/>
  <c r="N73" i="13" s="1"/>
  <c r="F73" i="13" s="1"/>
  <c r="B70" i="13"/>
  <c r="C70" i="13" s="1"/>
  <c r="B55" i="13"/>
  <c r="C55" i="13" s="1"/>
  <c r="B49" i="13"/>
  <c r="C49" i="13" s="1"/>
  <c r="B25" i="13"/>
  <c r="C25" i="13" s="1"/>
  <c r="B10" i="13"/>
  <c r="C10" i="13" s="1"/>
  <c r="B11" i="13" s="1"/>
  <c r="C11" i="13" s="1"/>
  <c r="B7" i="13"/>
  <c r="C7" i="13" s="1"/>
  <c r="B89" i="13"/>
  <c r="C89" i="13" s="1"/>
  <c r="B90" i="13" s="1"/>
  <c r="C90" i="13" s="1"/>
  <c r="B65" i="13"/>
  <c r="C65" i="13" s="1"/>
  <c r="B35" i="13"/>
  <c r="C35" i="13" s="1"/>
  <c r="B29" i="13"/>
  <c r="C29" i="13" s="1"/>
  <c r="B30" i="13" s="1"/>
  <c r="C30" i="13" s="1"/>
  <c r="B3" i="13"/>
  <c r="C3" i="13" s="1"/>
  <c r="B4" i="13" s="1"/>
  <c r="C4" i="13" s="1"/>
  <c r="B64" i="13"/>
  <c r="C64" i="13" s="1"/>
  <c r="U2" i="13"/>
  <c r="N19" i="12" s="1"/>
  <c r="O19" i="12" s="1"/>
  <c r="B24" i="13"/>
  <c r="C24" i="13" s="1"/>
  <c r="M9" i="13"/>
  <c r="N9" i="13" s="1"/>
  <c r="F9" i="13" s="1"/>
  <c r="B67" i="13"/>
  <c r="C67" i="13" s="1"/>
  <c r="B85" i="13"/>
  <c r="C85" i="13" s="1"/>
  <c r="B13" i="13"/>
  <c r="C13" i="13" s="1"/>
  <c r="B14" i="13" s="1"/>
  <c r="C14" i="13" s="1"/>
  <c r="B34" i="13"/>
  <c r="C34" i="13" s="1"/>
  <c r="B73" i="13"/>
  <c r="C73" i="13" s="1"/>
  <c r="B6" i="13"/>
  <c r="C6" i="13" s="1"/>
  <c r="B54" i="13"/>
  <c r="C54" i="13" s="1"/>
  <c r="M55" i="13"/>
  <c r="N55" i="13" s="1"/>
  <c r="F55" i="13" s="1"/>
  <c r="B58" i="13"/>
  <c r="C58" i="13" s="1"/>
  <c r="B59" i="13" s="1"/>
  <c r="C59" i="13" s="1"/>
  <c r="B18" i="13"/>
  <c r="C18" i="13" s="1"/>
  <c r="B19" i="13" s="1"/>
  <c r="C19" i="13" s="1"/>
  <c r="B39" i="13"/>
  <c r="C39" i="13" s="1"/>
  <c r="B40" i="13" s="1"/>
  <c r="C40" i="13" s="1"/>
  <c r="B78" i="13"/>
  <c r="C78" i="13" s="1"/>
  <c r="F22" i="15"/>
  <c r="E11" i="38"/>
  <c r="Q11" i="38" s="1"/>
  <c r="C544" i="18"/>
  <c r="D544" i="18" s="1"/>
  <c r="A23" i="38"/>
  <c r="A29" i="38" s="1"/>
  <c r="E29" i="38"/>
  <c r="Q29" i="38" s="1"/>
  <c r="A35" i="38"/>
  <c r="E35" i="38" s="1"/>
  <c r="Q35" i="38" s="1"/>
  <c r="E23" i="38"/>
  <c r="Q23" i="38" s="1"/>
  <c r="A25" i="30"/>
  <c r="B25" i="30"/>
  <c r="C78" i="6"/>
  <c r="B20" i="34"/>
  <c r="AI7" i="34"/>
  <c r="C35" i="34" s="1"/>
  <c r="AU50" i="36"/>
  <c r="AG6" i="36"/>
  <c r="W50" i="36"/>
  <c r="W65" i="36"/>
  <c r="Y38" i="36"/>
  <c r="Y35" i="36"/>
  <c r="AW25" i="36"/>
  <c r="Y24" i="36" s="1"/>
  <c r="D35" i="36"/>
  <c r="Y18" i="36"/>
  <c r="D19" i="36"/>
  <c r="N19" i="36"/>
  <c r="N33" i="36"/>
  <c r="D44" i="36"/>
  <c r="N23" i="36"/>
  <c r="N39" i="36"/>
  <c r="B11" i="36"/>
  <c r="Y20" i="36"/>
  <c r="D29" i="36"/>
  <c r="D25" i="36"/>
  <c r="N29" i="36"/>
  <c r="N38" i="36"/>
  <c r="N18" i="36"/>
  <c r="D34" i="36"/>
  <c r="N34" i="36"/>
  <c r="N43" i="36"/>
  <c r="Y25" i="36"/>
  <c r="D30" i="36"/>
  <c r="D39" i="36"/>
  <c r="N44" i="36"/>
  <c r="D24" i="36"/>
  <c r="D40" i="36"/>
  <c r="D20" i="36"/>
  <c r="N24" i="36"/>
  <c r="B5" i="22"/>
  <c r="AB11" i="12"/>
  <c r="AB15" i="12" s="1"/>
  <c r="E21" i="6"/>
  <c r="B22" i="6"/>
  <c r="A22" i="6"/>
  <c r="A3" i="6"/>
  <c r="D14" i="11" s="1"/>
  <c r="V6" i="20"/>
  <c r="L20" i="12"/>
  <c r="AB27" i="12"/>
  <c r="AH9" i="40"/>
  <c r="AS3" i="35"/>
  <c r="A18" i="21"/>
  <c r="G3" i="38"/>
  <c r="E28" i="6"/>
  <c r="X32" i="21"/>
  <c r="V6" i="25"/>
  <c r="F26" i="29"/>
  <c r="K22" i="12"/>
  <c r="E48" i="6"/>
  <c r="G31" i="23"/>
  <c r="S9" i="30"/>
  <c r="E40" i="28"/>
  <c r="E99" i="28" s="1"/>
  <c r="K35" i="40"/>
  <c r="K85" i="40" s="1"/>
  <c r="K4" i="23"/>
  <c r="G12" i="21"/>
  <c r="E98" i="6"/>
  <c r="B91" i="6"/>
  <c r="E90" i="6"/>
  <c r="B97" i="6"/>
  <c r="B90" i="6"/>
  <c r="B98" i="6"/>
  <c r="B94" i="6"/>
  <c r="E97" i="6"/>
  <c r="E100" i="6" s="1"/>
  <c r="B99" i="6"/>
  <c r="E96" i="6"/>
  <c r="B96" i="6"/>
  <c r="E95" i="6"/>
  <c r="B95" i="6"/>
  <c r="E94" i="6"/>
  <c r="B100" i="6"/>
  <c r="E99" i="6"/>
  <c r="A18" i="20"/>
  <c r="A17" i="20"/>
  <c r="A4" i="20"/>
  <c r="C24" i="6"/>
  <c r="E24" i="6" s="1"/>
  <c r="C15" i="6"/>
  <c r="E15" i="6" s="1"/>
  <c r="AC14" i="12"/>
  <c r="U14" i="12"/>
  <c r="W14" i="12"/>
  <c r="S14" i="12"/>
  <c r="L12" i="12"/>
  <c r="K29" i="17"/>
  <c r="F13" i="10"/>
  <c r="D10" i="11" s="1"/>
  <c r="D4" i="6"/>
  <c r="AC12" i="12"/>
  <c r="E5" i="6"/>
  <c r="E6" i="6"/>
  <c r="E4" i="38"/>
  <c r="G14" i="21"/>
  <c r="K6" i="23"/>
  <c r="E47" i="6"/>
  <c r="J16" i="28"/>
  <c r="J75" i="28" s="1"/>
  <c r="D13" i="40"/>
  <c r="E49" i="6"/>
  <c r="M33" i="23"/>
  <c r="P37" i="21" s="1"/>
  <c r="A10" i="30"/>
  <c r="E11" i="6"/>
  <c r="E12" i="6"/>
  <c r="E11" i="17"/>
  <c r="J13" i="28"/>
  <c r="J72" i="28" s="1"/>
  <c r="G51" i="28"/>
  <c r="G110" i="28" s="1"/>
  <c r="F12" i="15"/>
  <c r="C17" i="33"/>
  <c r="S19" i="12"/>
  <c r="E46" i="6"/>
  <c r="AC12" i="23"/>
  <c r="X25" i="28" s="1"/>
  <c r="X84" i="28" s="1"/>
  <c r="C9" i="34"/>
  <c r="E8" i="20"/>
  <c r="B73" i="40"/>
  <c r="C9" i="29"/>
  <c r="L2" i="7"/>
  <c r="L10" i="7" s="1"/>
  <c r="E43" i="6" s="1"/>
  <c r="E489" i="18" s="1"/>
  <c r="H16" i="1"/>
  <c r="B19" i="6"/>
  <c r="E29" i="6"/>
  <c r="O13" i="12"/>
  <c r="AC13" i="23"/>
  <c r="E4" i="35"/>
  <c r="B23" i="40"/>
  <c r="D21" i="30"/>
  <c r="O29" i="29"/>
  <c r="O35" i="29" s="1"/>
  <c r="E9" i="6"/>
  <c r="D9" i="6" s="1"/>
  <c r="C1" i="23"/>
  <c r="M35" i="23"/>
  <c r="P40" i="21" s="1"/>
  <c r="K41" i="21" s="1"/>
  <c r="A15" i="25"/>
  <c r="A16" i="25"/>
  <c r="F21" i="25"/>
  <c r="E566" i="18"/>
  <c r="C566" i="18" s="1"/>
  <c r="D566" i="18" s="1"/>
  <c r="E564" i="18"/>
  <c r="C564" i="18" s="1"/>
  <c r="D564" i="18" s="1"/>
  <c r="B3" i="18"/>
  <c r="E565" i="18"/>
  <c r="C565" i="18" s="1"/>
  <c r="D565" i="18" s="1"/>
  <c r="E525" i="18"/>
  <c r="F521" i="18"/>
  <c r="C521" i="18" s="1"/>
  <c r="D521" i="18" s="1"/>
  <c r="A517" i="18"/>
  <c r="A531" i="18"/>
  <c r="A553" i="18"/>
  <c r="B516" i="18"/>
  <c r="A530" i="18"/>
  <c r="A554" i="18"/>
  <c r="C520" i="18"/>
  <c r="D520" i="18" s="1"/>
  <c r="C522" i="18"/>
  <c r="D522" i="18" s="1"/>
  <c r="E524" i="18"/>
  <c r="E526" i="18"/>
  <c r="R22" i="15"/>
  <c r="Z22" i="15" s="1"/>
  <c r="L21" i="25" s="1"/>
  <c r="F20" i="15"/>
  <c r="G20" i="15" s="1"/>
  <c r="F8" i="15"/>
  <c r="F21" i="15"/>
  <c r="G21" i="15" s="1"/>
  <c r="F11" i="15"/>
  <c r="G11" i="15" s="1"/>
  <c r="H11" i="15" s="1"/>
  <c r="F10" i="15"/>
  <c r="F19" i="15"/>
  <c r="F23" i="15"/>
  <c r="G23" i="15" s="1"/>
  <c r="H23" i="15" s="1"/>
  <c r="F13" i="15"/>
  <c r="F18" i="15"/>
  <c r="F9" i="15"/>
  <c r="Y12" i="15"/>
  <c r="Y13" i="15" s="1"/>
  <c r="R12" i="15"/>
  <c r="Z12" i="15" s="1"/>
  <c r="B37" i="13" l="1"/>
  <c r="C37" i="13" s="1"/>
  <c r="C28" i="34"/>
  <c r="C489" i="18"/>
  <c r="D489" i="18" s="1"/>
  <c r="B517" i="18"/>
  <c r="AH59" i="40"/>
  <c r="AN10" i="23"/>
  <c r="K27" i="12"/>
  <c r="G27" i="12" s="1"/>
  <c r="AC11" i="12"/>
  <c r="S27" i="12"/>
  <c r="W27" i="12"/>
  <c r="U27" i="12"/>
  <c r="E8" i="35"/>
  <c r="D23" i="30"/>
  <c r="L22" i="12"/>
  <c r="I22" i="12"/>
  <c r="G22" i="12"/>
  <c r="E22" i="12"/>
  <c r="E13" i="6"/>
  <c r="T13" i="15"/>
  <c r="R13" i="15"/>
  <c r="V13" i="15"/>
  <c r="K20" i="15"/>
  <c r="Q12" i="25" s="1"/>
  <c r="G18" i="15"/>
  <c r="H18" i="15" s="1"/>
  <c r="I18" i="15" s="1"/>
  <c r="K18" i="15"/>
  <c r="Q11" i="25" s="1"/>
  <c r="G19" i="15"/>
  <c r="H19" i="15" s="1"/>
  <c r="I19" i="15" s="1"/>
  <c r="K19" i="15"/>
  <c r="D35" i="6"/>
  <c r="O18" i="23"/>
  <c r="AN18" i="23"/>
  <c r="AC15" i="12"/>
  <c r="W15" i="12"/>
  <c r="U15" i="12"/>
  <c r="S15" i="12"/>
  <c r="K29" i="12"/>
  <c r="D63" i="40"/>
  <c r="Z26" i="12"/>
  <c r="G4" i="38"/>
  <c r="B73" i="6"/>
  <c r="E20" i="6"/>
  <c r="E19" i="6"/>
  <c r="C71" i="6"/>
  <c r="C19" i="6"/>
  <c r="C38" i="6" s="1"/>
  <c r="C20" i="33"/>
  <c r="C21" i="33" s="1"/>
  <c r="C23" i="33" s="1"/>
  <c r="D17" i="33" s="1"/>
  <c r="AJ28" i="34" s="1"/>
  <c r="AJ27" i="34"/>
  <c r="K47" i="21"/>
  <c r="H42" i="23"/>
  <c r="H36" i="23"/>
  <c r="B6" i="22"/>
  <c r="B4" i="18"/>
  <c r="A527" i="18"/>
  <c r="A525" i="18"/>
  <c r="A528" i="18"/>
  <c r="A524" i="18"/>
  <c r="A521" i="18"/>
  <c r="A520" i="18"/>
  <c r="A518" i="18"/>
  <c r="A519" i="18"/>
  <c r="A523" i="18"/>
  <c r="A526" i="18"/>
  <c r="A522" i="18"/>
  <c r="A566" i="18"/>
  <c r="A563" i="18"/>
  <c r="A559" i="18"/>
  <c r="A555" i="18"/>
  <c r="A564" i="18"/>
  <c r="A558" i="18"/>
  <c r="A567" i="18"/>
  <c r="A565" i="18"/>
  <c r="A562" i="18"/>
  <c r="A556" i="18"/>
  <c r="A561" i="18"/>
  <c r="A560" i="18"/>
  <c r="A557" i="18"/>
  <c r="A551" i="18"/>
  <c r="A547" i="18"/>
  <c r="A543" i="18"/>
  <c r="A539" i="18"/>
  <c r="A535" i="18"/>
  <c r="A550" i="18"/>
  <c r="A546" i="18"/>
  <c r="A538" i="18"/>
  <c r="A533" i="18"/>
  <c r="A542" i="18"/>
  <c r="A549" i="18"/>
  <c r="A544" i="18"/>
  <c r="A537" i="18"/>
  <c r="A540" i="18"/>
  <c r="A534" i="18"/>
  <c r="A548" i="18"/>
  <c r="A541" i="18"/>
  <c r="A532" i="18"/>
  <c r="A545" i="18"/>
  <c r="A536" i="18"/>
  <c r="F525" i="18"/>
  <c r="C525" i="18" s="1"/>
  <c r="D525" i="18" s="1"/>
  <c r="F526" i="18"/>
  <c r="C526" i="18" s="1"/>
  <c r="D526" i="18" s="1"/>
  <c r="F524" i="18"/>
  <c r="C524" i="18" s="1"/>
  <c r="D524" i="18" s="1"/>
  <c r="K23" i="15"/>
  <c r="Q13" i="25" s="1"/>
  <c r="H21" i="15"/>
  <c r="I21" i="15" s="1"/>
  <c r="E25" i="15"/>
  <c r="K8" i="15"/>
  <c r="G8" i="15"/>
  <c r="H8" i="15" s="1"/>
  <c r="I8" i="15" s="1"/>
  <c r="K21" i="15"/>
  <c r="H20" i="15"/>
  <c r="L23" i="20"/>
  <c r="E65" i="6"/>
  <c r="G9" i="15"/>
  <c r="H9" i="15" s="1"/>
  <c r="E51" i="6"/>
  <c r="K9" i="15"/>
  <c r="E31" i="6"/>
  <c r="G13" i="15"/>
  <c r="H13" i="15" s="1"/>
  <c r="K13" i="15"/>
  <c r="E93" i="6" s="1"/>
  <c r="E32" i="6"/>
  <c r="E52" i="6"/>
  <c r="G10" i="15"/>
  <c r="B5" i="18" l="1"/>
  <c r="B6" i="18" s="1"/>
  <c r="B7" i="18" s="1"/>
  <c r="M20" i="12"/>
  <c r="N20" i="12" s="1"/>
  <c r="O20" i="12" s="1"/>
  <c r="B7" i="22"/>
  <c r="I27" i="12"/>
  <c r="E27" i="12"/>
  <c r="D69" i="6"/>
  <c r="D89" i="6"/>
  <c r="AD22" i="12"/>
  <c r="P8" i="23" s="1"/>
  <c r="E91" i="6"/>
  <c r="G17" i="33"/>
  <c r="AJ30" i="34" s="1"/>
  <c r="Z13" i="15"/>
  <c r="I20" i="15"/>
  <c r="I23" i="15" s="1"/>
  <c r="M20" i="15" s="1"/>
  <c r="M44" i="23" s="1"/>
  <c r="D84" i="6"/>
  <c r="D78" i="6"/>
  <c r="D87" i="6"/>
  <c r="D64" i="6"/>
  <c r="D81" i="6"/>
  <c r="D57" i="6"/>
  <c r="D62" i="6"/>
  <c r="D68" i="6"/>
  <c r="I29" i="12"/>
  <c r="G29" i="12"/>
  <c r="E29" i="12"/>
  <c r="K23" i="12"/>
  <c r="AD27" i="12"/>
  <c r="K33" i="17" s="1"/>
  <c r="I9" i="15"/>
  <c r="B38" i="6"/>
  <c r="E36" i="6"/>
  <c r="E72" i="6"/>
  <c r="D72" i="6" s="1"/>
  <c r="A72" i="6"/>
  <c r="F37" i="34"/>
  <c r="F30" i="34"/>
  <c r="L37" i="34"/>
  <c r="L30" i="34"/>
  <c r="K11" i="15"/>
  <c r="H10" i="15"/>
  <c r="K10" i="15"/>
  <c r="E30" i="6"/>
  <c r="R11" i="29"/>
  <c r="U16" i="40"/>
  <c r="O43" i="28"/>
  <c r="O102" i="28" s="1"/>
  <c r="E50" i="6"/>
  <c r="E33" i="6"/>
  <c r="R15" i="29"/>
  <c r="O47" i="28"/>
  <c r="E53" i="6"/>
  <c r="O106" i="28"/>
  <c r="U20" i="40"/>
  <c r="U17" i="40"/>
  <c r="R12" i="29"/>
  <c r="B10" i="22" l="1"/>
  <c r="B8" i="18"/>
  <c r="B11" i="22" s="1"/>
  <c r="B9" i="22"/>
  <c r="B8" i="22"/>
  <c r="E102" i="6"/>
  <c r="D102" i="6"/>
  <c r="J9" i="6" s="1"/>
  <c r="H17" i="33"/>
  <c r="I17" i="33" s="1"/>
  <c r="AJ31" i="34" s="1"/>
  <c r="E92" i="6"/>
  <c r="L24" i="20"/>
  <c r="E66" i="6"/>
  <c r="M18" i="15"/>
  <c r="M42" i="23" s="1"/>
  <c r="N18" i="15"/>
  <c r="S42" i="23" s="1"/>
  <c r="P47" i="21" s="1"/>
  <c r="M22" i="15"/>
  <c r="M46" i="23" s="1"/>
  <c r="N19" i="15"/>
  <c r="S43" i="23" s="1"/>
  <c r="P48" i="21" s="1"/>
  <c r="N22" i="15"/>
  <c r="N20" i="15"/>
  <c r="M21" i="15"/>
  <c r="O21" i="15" s="1"/>
  <c r="M19" i="15"/>
  <c r="M43" i="23" s="1"/>
  <c r="N21" i="15"/>
  <c r="O23" i="30"/>
  <c r="N8" i="35"/>
  <c r="E5" i="38"/>
  <c r="M23" i="12"/>
  <c r="E23" i="12"/>
  <c r="L23" i="12"/>
  <c r="I23" i="12"/>
  <c r="E14" i="6"/>
  <c r="G23" i="12"/>
  <c r="AD29" i="12"/>
  <c r="K36" i="17" s="1"/>
  <c r="J4" i="6"/>
  <c r="I10" i="15"/>
  <c r="I11" i="15" s="1"/>
  <c r="B74" i="6"/>
  <c r="E39" i="6"/>
  <c r="E38" i="6"/>
  <c r="E40" i="6"/>
  <c r="T23" i="12"/>
  <c r="AB24" i="12" s="1"/>
  <c r="O20" i="15"/>
  <c r="U67" i="40"/>
  <c r="U66" i="40"/>
  <c r="U18" i="40"/>
  <c r="R13" i="29"/>
  <c r="O45" i="28"/>
  <c r="O104" i="28" s="1"/>
  <c r="U70" i="40"/>
  <c r="U19" i="40"/>
  <c r="R14" i="29"/>
  <c r="B9" i="18" l="1"/>
  <c r="I15" i="6"/>
  <c r="H15" i="6" s="1"/>
  <c r="A16" i="14" s="1"/>
  <c r="J20" i="6"/>
  <c r="J17" i="6"/>
  <c r="J22" i="6"/>
  <c r="I8" i="6"/>
  <c r="B9" i="14" s="1"/>
  <c r="I13" i="6"/>
  <c r="H13" i="6" s="1"/>
  <c r="A14" i="14" s="1"/>
  <c r="I7" i="6"/>
  <c r="B8" i="14" s="1"/>
  <c r="J19" i="6"/>
  <c r="I14" i="6"/>
  <c r="H14" i="6" s="1"/>
  <c r="A15" i="14" s="1"/>
  <c r="J10" i="6"/>
  <c r="I6" i="6"/>
  <c r="H6" i="6" s="1"/>
  <c r="A7" i="14" s="1"/>
  <c r="I20" i="6"/>
  <c r="H20" i="6" s="1"/>
  <c r="A21" i="14" s="1"/>
  <c r="J6" i="6"/>
  <c r="J16" i="6"/>
  <c r="I10" i="6"/>
  <c r="B11" i="14" s="1"/>
  <c r="J8" i="6"/>
  <c r="I23" i="6"/>
  <c r="H23" i="6" s="1"/>
  <c r="A24" i="14" s="1"/>
  <c r="I22" i="6"/>
  <c r="H22" i="6" s="1"/>
  <c r="A23" i="14" s="1"/>
  <c r="J15" i="6"/>
  <c r="I11" i="6"/>
  <c r="B12" i="14" s="1"/>
  <c r="I5" i="6"/>
  <c r="H5" i="6" s="1"/>
  <c r="A6" i="14" s="1"/>
  <c r="I16" i="6"/>
  <c r="B17" i="14" s="1"/>
  <c r="J23" i="6"/>
  <c r="I17" i="6"/>
  <c r="B18" i="14" s="1"/>
  <c r="J7" i="6"/>
  <c r="J13" i="6"/>
  <c r="I12" i="6"/>
  <c r="B13" i="14" s="1"/>
  <c r="I4" i="6"/>
  <c r="B5" i="14" s="1"/>
  <c r="J5" i="6"/>
  <c r="I21" i="6"/>
  <c r="H21" i="6" s="1"/>
  <c r="A22" i="14" s="1"/>
  <c r="J21" i="6"/>
  <c r="I18" i="6"/>
  <c r="H18" i="6" s="1"/>
  <c r="A19" i="14" s="1"/>
  <c r="J11" i="6"/>
  <c r="I19" i="6"/>
  <c r="B20" i="14" s="1"/>
  <c r="J12" i="6"/>
  <c r="I9" i="6"/>
  <c r="B10" i="14" s="1"/>
  <c r="J14" i="6"/>
  <c r="J18" i="6"/>
  <c r="R30" i="34"/>
  <c r="H33" i="34" s="1"/>
  <c r="V33" i="34" s="1"/>
  <c r="X37" i="34"/>
  <c r="I18" i="33"/>
  <c r="H18" i="33" s="1"/>
  <c r="S45" i="23"/>
  <c r="P50" i="21" s="1"/>
  <c r="O22" i="15"/>
  <c r="S46" i="23" s="1"/>
  <c r="P51" i="21" s="1"/>
  <c r="M45" i="23"/>
  <c r="S44" i="23"/>
  <c r="P49" i="21" s="1"/>
  <c r="N23" i="12"/>
  <c r="O23" i="12" s="1"/>
  <c r="AD23" i="12"/>
  <c r="I13" i="15"/>
  <c r="AQ31" i="28"/>
  <c r="AL14" i="40"/>
  <c r="E118" i="18"/>
  <c r="U69" i="40"/>
  <c r="U68" i="40"/>
  <c r="B12" i="22" l="1"/>
  <c r="B10" i="18"/>
  <c r="B13" i="22" s="1"/>
  <c r="B11" i="18"/>
  <c r="B16" i="14"/>
  <c r="B7" i="14"/>
  <c r="B14" i="14"/>
  <c r="H8" i="6"/>
  <c r="A9" i="14" s="1"/>
  <c r="B14" i="22"/>
  <c r="B12" i="18"/>
  <c r="B21" i="14"/>
  <c r="B24" i="14"/>
  <c r="B15" i="14"/>
  <c r="H7" i="6"/>
  <c r="A8" i="14" s="1"/>
  <c r="B23" i="14"/>
  <c r="H10" i="6"/>
  <c r="A11" i="14" s="1"/>
  <c r="B6" i="14"/>
  <c r="H16" i="6"/>
  <c r="A17" i="14" s="1"/>
  <c r="H11" i="6"/>
  <c r="A12" i="14" s="1"/>
  <c r="H17" i="6"/>
  <c r="A18" i="14" s="1"/>
  <c r="H12" i="6"/>
  <c r="A13" i="14" s="1"/>
  <c r="H4" i="6"/>
  <c r="A5" i="14" s="1"/>
  <c r="B22" i="14"/>
  <c r="B19" i="14"/>
  <c r="H19" i="6"/>
  <c r="A20" i="14" s="1"/>
  <c r="H9" i="6"/>
  <c r="A10" i="14" s="1"/>
  <c r="K18" i="12"/>
  <c r="O18" i="12"/>
  <c r="J19" i="28"/>
  <c r="J78" i="28" s="1"/>
  <c r="P9" i="23"/>
  <c r="M11" i="15"/>
  <c r="O16" i="34" s="1"/>
  <c r="N8" i="15"/>
  <c r="M8" i="15"/>
  <c r="N9" i="15"/>
  <c r="O15" i="17" s="1"/>
  <c r="M9" i="15"/>
  <c r="G14" i="30" s="1"/>
  <c r="M12" i="15"/>
  <c r="M40" i="23" s="1"/>
  <c r="N10" i="15"/>
  <c r="K15" i="30" s="1"/>
  <c r="M10" i="15"/>
  <c r="N12" i="15"/>
  <c r="T17" i="34" s="1"/>
  <c r="N11" i="15"/>
  <c r="E122" i="18"/>
  <c r="C122" i="18" s="1"/>
  <c r="D122" i="18" s="1"/>
  <c r="E121" i="18"/>
  <c r="C121" i="18" s="1"/>
  <c r="D121" i="18" s="1"/>
  <c r="E123" i="18"/>
  <c r="J34" i="28"/>
  <c r="J93" i="28" s="1"/>
  <c r="J33" i="28"/>
  <c r="J92" i="28" s="1"/>
  <c r="J32" i="28"/>
  <c r="J91" i="28" s="1"/>
  <c r="AM12" i="40"/>
  <c r="K32" i="40"/>
  <c r="K82" i="40" s="1"/>
  <c r="Z32" i="40"/>
  <c r="Z82" i="40" s="1"/>
  <c r="R32" i="40"/>
  <c r="R82" i="40" s="1"/>
  <c r="B13" i="18" l="1"/>
  <c r="B15" i="22"/>
  <c r="C123" i="18"/>
  <c r="D123" i="18" s="1"/>
  <c r="I17" i="17"/>
  <c r="G14" i="20"/>
  <c r="G16" i="30"/>
  <c r="M39" i="23"/>
  <c r="O11" i="15"/>
  <c r="S39" i="23" s="1"/>
  <c r="P44" i="21" s="1"/>
  <c r="G11" i="20"/>
  <c r="O13" i="34"/>
  <c r="I14" i="17"/>
  <c r="M36" i="23"/>
  <c r="G13" i="30"/>
  <c r="K13" i="30"/>
  <c r="AJ6" i="35"/>
  <c r="M11" i="20"/>
  <c r="O14" i="17"/>
  <c r="S36" i="23"/>
  <c r="P41" i="21" s="1"/>
  <c r="T13" i="34"/>
  <c r="G12" i="20"/>
  <c r="O14" i="34"/>
  <c r="I15" i="17"/>
  <c r="M37" i="23"/>
  <c r="S37" i="23"/>
  <c r="P42" i="21" s="1"/>
  <c r="M12" i="20"/>
  <c r="K14" i="30"/>
  <c r="T14" i="34"/>
  <c r="AJ7" i="35"/>
  <c r="O17" i="34"/>
  <c r="G15" i="20"/>
  <c r="M38" i="23"/>
  <c r="G13" i="20"/>
  <c r="O10" i="15"/>
  <c r="O16" i="17" s="1"/>
  <c r="G15" i="30"/>
  <c r="I16" i="17"/>
  <c r="O15" i="34"/>
  <c r="G17" i="30"/>
  <c r="T15" i="34"/>
  <c r="AJ8" i="35"/>
  <c r="M13" i="20"/>
  <c r="I18" i="17"/>
  <c r="AJ10" i="35"/>
  <c r="O12" i="15"/>
  <c r="S40" i="23" s="1"/>
  <c r="P45" i="21" s="1"/>
  <c r="K17" i="30"/>
  <c r="M15" i="20"/>
  <c r="AJ9" i="35"/>
  <c r="T16" i="34"/>
  <c r="M14" i="20"/>
  <c r="K16" i="30"/>
  <c r="B16" i="22" l="1"/>
  <c r="B14" i="18"/>
  <c r="O17" i="17"/>
  <c r="S38" i="23"/>
  <c r="P43" i="21" s="1"/>
  <c r="O18" i="17"/>
  <c r="B15" i="18" l="1"/>
  <c r="B17" i="22"/>
  <c r="B16" i="18" l="1"/>
  <c r="B18" i="22"/>
  <c r="B19" i="22" l="1"/>
  <c r="B17" i="18"/>
  <c r="B20" i="22" l="1"/>
  <c r="B18" i="18"/>
  <c r="B19" i="18" l="1"/>
  <c r="B22" i="22"/>
  <c r="B21" i="22"/>
  <c r="B20" i="18" l="1"/>
  <c r="B21" i="18" l="1"/>
  <c r="B23" i="22"/>
  <c r="B24" i="22" l="1"/>
  <c r="B22" i="18"/>
  <c r="B25" i="22" l="1"/>
  <c r="B23" i="18"/>
  <c r="B24" i="18" l="1"/>
  <c r="B27" i="22"/>
  <c r="B26" i="22"/>
  <c r="B25" i="18"/>
  <c r="B28" i="22" s="1"/>
  <c r="B26" i="18" l="1"/>
  <c r="B29" i="22"/>
  <c r="B27" i="18"/>
  <c r="B28" i="18" l="1"/>
  <c r="B29" i="18" l="1"/>
  <c r="B30" i="18" s="1"/>
  <c r="B31" i="18" s="1"/>
  <c r="B32" i="18" s="1"/>
  <c r="B33" i="18" s="1"/>
  <c r="B34" i="18" s="1"/>
  <c r="B30" i="22"/>
  <c r="B31" i="22"/>
  <c r="B32" i="22"/>
  <c r="B33" i="22" l="1"/>
  <c r="B34" i="22"/>
  <c r="B35" i="18" l="1"/>
  <c r="B36" i="18" l="1"/>
  <c r="B36" i="22"/>
  <c r="B35" i="22"/>
  <c r="B37" i="18" l="1"/>
  <c r="B38" i="18" l="1"/>
  <c r="B38" i="22"/>
  <c r="B37" i="22"/>
  <c r="B39" i="18" l="1"/>
  <c r="B40" i="18" l="1"/>
  <c r="B39" i="22"/>
  <c r="B40" i="22"/>
  <c r="B41" i="18" l="1"/>
  <c r="B42" i="18" l="1"/>
  <c r="B42" i="22"/>
  <c r="B41" i="22"/>
  <c r="B43" i="18" l="1"/>
  <c r="B44" i="18" l="1"/>
  <c r="B45" i="18" l="1"/>
  <c r="B46" i="18" l="1"/>
  <c r="B47" i="18" l="1"/>
  <c r="B48" i="18" l="1"/>
  <c r="B49" i="18" l="1"/>
  <c r="B50" i="18" l="1"/>
  <c r="B51" i="18" l="1"/>
  <c r="B52" i="18" l="1"/>
  <c r="B53" i="18" l="1"/>
  <c r="B54" i="18" l="1"/>
  <c r="B55" i="18" l="1"/>
  <c r="B56" i="18" l="1"/>
  <c r="B57" i="18" l="1"/>
  <c r="B58" i="18" l="1"/>
  <c r="B59" i="18" l="1"/>
  <c r="B60" i="18" l="1"/>
  <c r="B61" i="18" l="1"/>
  <c r="B62" i="18" l="1"/>
  <c r="B63" i="18" l="1"/>
  <c r="B64" i="18" l="1"/>
  <c r="B65" i="18" l="1"/>
  <c r="B66" i="18" l="1"/>
  <c r="B67" i="18" l="1"/>
  <c r="B68" i="18" l="1"/>
  <c r="B69" i="18" l="1"/>
  <c r="B70" i="18" l="1"/>
  <c r="B71" i="18" s="1"/>
  <c r="B72" i="18" s="1"/>
  <c r="B73" i="18" s="1"/>
  <c r="B74" i="18" s="1"/>
  <c r="B75" i="18" s="1"/>
  <c r="B76" i="18" s="1"/>
  <c r="B77" i="18" s="1"/>
  <c r="B78" i="18" s="1"/>
  <c r="B79" i="18" s="1"/>
  <c r="B80" i="18" s="1"/>
  <c r="B81" i="18" s="1"/>
  <c r="B82" i="18" s="1"/>
  <c r="B83" i="18" s="1"/>
  <c r="B84" i="18" s="1"/>
  <c r="B85" i="18" s="1"/>
  <c r="B86" i="18" s="1"/>
  <c r="B87" i="18" s="1"/>
  <c r="B88" i="18" s="1"/>
  <c r="B89" i="18" s="1"/>
  <c r="B90" i="18" s="1"/>
  <c r="B91" i="18" s="1"/>
  <c r="B92" i="18" s="1"/>
  <c r="B93" i="18" s="1"/>
  <c r="B94" i="18" s="1"/>
  <c r="B95" i="18" s="1"/>
  <c r="B96" i="18" s="1"/>
  <c r="B97" i="18" s="1"/>
  <c r="B98" i="18" s="1"/>
  <c r="B99" i="18" s="1"/>
  <c r="B100" i="18" s="1"/>
  <c r="B101" i="18" s="1"/>
  <c r="B102" i="18" s="1"/>
  <c r="B103" i="18" s="1"/>
  <c r="B104" i="18" s="1"/>
  <c r="B105" i="18" s="1"/>
  <c r="B106" i="18" s="1"/>
  <c r="B107" i="18" s="1"/>
  <c r="B108" i="18" s="1"/>
  <c r="B109" i="18" s="1"/>
  <c r="B110" i="18" s="1"/>
  <c r="B111" i="18" s="1"/>
  <c r="B112" i="18" s="1"/>
  <c r="B113" i="18" s="1"/>
  <c r="B114" i="18" s="1"/>
  <c r="B115" i="18" s="1"/>
  <c r="B116" i="18" s="1"/>
  <c r="B117" i="18" s="1"/>
  <c r="B118" i="18" s="1"/>
  <c r="B119" i="18" s="1"/>
  <c r="B120" i="18" s="1"/>
  <c r="B121" i="18" s="1"/>
  <c r="B122" i="18" s="1"/>
  <c r="B123" i="18" s="1"/>
  <c r="B124" i="18" s="1"/>
  <c r="B125" i="18" s="1"/>
  <c r="B126" i="18" s="1"/>
  <c r="B127" i="18" s="1"/>
  <c r="B128" i="18" s="1"/>
  <c r="B129" i="18" s="1"/>
  <c r="B130" i="18" s="1"/>
  <c r="B131" i="18" s="1"/>
  <c r="B132" i="18" s="1"/>
  <c r="B133" i="18" s="1"/>
  <c r="B134" i="18" s="1"/>
  <c r="B135" i="18" s="1"/>
  <c r="B136" i="18" s="1"/>
  <c r="B137" i="18" s="1"/>
  <c r="B138" i="18" s="1"/>
  <c r="B139" i="18" s="1"/>
  <c r="B140" i="18" s="1"/>
  <c r="B141" i="18" s="1"/>
  <c r="B142" i="18" s="1"/>
  <c r="B143" i="18" s="1"/>
  <c r="B144" i="18" s="1"/>
  <c r="B145" i="18" s="1"/>
  <c r="B146" i="18" s="1"/>
  <c r="B147" i="18" s="1"/>
  <c r="B148" i="18" s="1"/>
  <c r="B149" i="18" s="1"/>
  <c r="B150" i="18" s="1"/>
  <c r="B151" i="18" s="1"/>
  <c r="B152" i="18" s="1"/>
  <c r="B153" i="18" s="1"/>
  <c r="B154" i="18" s="1"/>
  <c r="B155" i="18" s="1"/>
  <c r="B156" i="18" s="1"/>
  <c r="B157" i="18" s="1"/>
  <c r="B158" i="18" s="1"/>
  <c r="B159" i="18" s="1"/>
  <c r="B160" i="18" s="1"/>
  <c r="B161" i="18" s="1"/>
  <c r="B162" i="18" s="1"/>
  <c r="B163" i="18" s="1"/>
  <c r="B164" i="18" s="1"/>
  <c r="B165" i="18" s="1"/>
  <c r="B166" i="18" s="1"/>
  <c r="B167" i="18" s="1"/>
  <c r="B168" i="18" s="1"/>
  <c r="B169" i="18" s="1"/>
  <c r="B170" i="18" s="1"/>
  <c r="B171" i="18" s="1"/>
  <c r="B172" i="18" s="1"/>
  <c r="B173" i="18" s="1"/>
  <c r="B174" i="18" s="1"/>
  <c r="B175" i="18" s="1"/>
  <c r="B176" i="18" s="1"/>
  <c r="B177" i="18" s="1"/>
  <c r="B178" i="18" s="1"/>
  <c r="B179" i="18" s="1"/>
  <c r="B180" i="18" s="1"/>
  <c r="B181" i="18" s="1"/>
  <c r="B182" i="18" s="1"/>
  <c r="B183" i="18" s="1"/>
  <c r="B184" i="18" s="1"/>
  <c r="B185" i="18" s="1"/>
  <c r="B186" i="18" s="1"/>
  <c r="B187" i="18" s="1"/>
  <c r="B188" i="18" s="1"/>
  <c r="B189" i="18" s="1"/>
  <c r="B190" i="18" s="1"/>
  <c r="B191" i="18" s="1"/>
  <c r="B192" i="18" s="1"/>
  <c r="B193" i="18" s="1"/>
  <c r="B194" i="18" s="1"/>
  <c r="B195" i="18" s="1"/>
  <c r="B196" i="18" s="1"/>
  <c r="B197" i="18" s="1"/>
  <c r="B198" i="18" s="1"/>
  <c r="B199" i="18" s="1"/>
  <c r="B200" i="18" s="1"/>
  <c r="B201" i="18" s="1"/>
  <c r="B202" i="18" s="1"/>
  <c r="B203" i="18" s="1"/>
  <c r="B204" i="18" s="1"/>
  <c r="B205" i="18" s="1"/>
  <c r="B206" i="18" s="1"/>
  <c r="B207" i="18" s="1"/>
  <c r="B208" i="18" s="1"/>
  <c r="B209" i="18" s="1"/>
  <c r="B210" i="18" s="1"/>
  <c r="B211" i="18" s="1"/>
  <c r="B212" i="18" s="1"/>
  <c r="B213" i="18" s="1"/>
  <c r="B214" i="18" s="1"/>
  <c r="B215" i="18" s="1"/>
  <c r="B216" i="18" s="1"/>
  <c r="B217" i="18" s="1"/>
  <c r="B218" i="18" s="1"/>
  <c r="B219" i="18" s="1"/>
  <c r="B220" i="18" s="1"/>
  <c r="B221" i="18" s="1"/>
  <c r="B222" i="18" s="1"/>
  <c r="B223" i="18" s="1"/>
  <c r="B224" i="18" s="1"/>
  <c r="B225" i="18" s="1"/>
  <c r="B226" i="18" s="1"/>
  <c r="B227" i="18" s="1"/>
  <c r="B228" i="18" s="1"/>
  <c r="B229" i="18" s="1"/>
  <c r="B230" i="18" s="1"/>
  <c r="B231" i="18" s="1"/>
  <c r="B232" i="18" s="1"/>
  <c r="B233" i="18" s="1"/>
  <c r="B234" i="18" s="1"/>
  <c r="B235" i="18" s="1"/>
  <c r="B236" i="18" s="1"/>
  <c r="B237" i="18" s="1"/>
  <c r="B238" i="18" s="1"/>
  <c r="B239" i="18" s="1"/>
  <c r="B240" i="18" s="1"/>
  <c r="B241" i="18" s="1"/>
  <c r="B242" i="18" s="1"/>
  <c r="B243" i="18" s="1"/>
  <c r="B244" i="18" s="1"/>
  <c r="B245" i="18" s="1"/>
  <c r="B246" i="18" s="1"/>
  <c r="B247" i="18" s="1"/>
  <c r="B248" i="18" s="1"/>
  <c r="B249" i="18" s="1"/>
  <c r="B250" i="18" s="1"/>
  <c r="B251" i="18" s="1"/>
  <c r="B252" i="18" s="1"/>
  <c r="B253" i="18" s="1"/>
  <c r="B254" i="18" s="1"/>
  <c r="B255" i="18" s="1"/>
  <c r="B46" i="22" l="1"/>
  <c r="B44" i="22"/>
  <c r="B50" i="22"/>
  <c r="B47" i="22"/>
  <c r="B43" i="22"/>
  <c r="B49" i="22"/>
  <c r="B51" i="22"/>
  <c r="B45" i="22"/>
  <c r="B48" i="22"/>
  <c r="B52" i="22"/>
  <c r="B53" i="22"/>
  <c r="B54" i="22"/>
  <c r="B55" i="22"/>
  <c r="B57" i="22"/>
  <c r="B56" i="22"/>
  <c r="B58" i="22"/>
  <c r="B184" i="22"/>
  <c r="B94" i="22"/>
  <c r="B71" i="22"/>
  <c r="B100" i="22"/>
  <c r="B102" i="22"/>
  <c r="B240" i="22"/>
  <c r="B248" i="22"/>
  <c r="B132" i="22"/>
  <c r="B128" i="22"/>
  <c r="B163" i="22"/>
  <c r="B112" i="22"/>
  <c r="B175" i="22"/>
  <c r="B152" i="22"/>
  <c r="B209" i="22"/>
  <c r="B250" i="22"/>
  <c r="B253" i="22"/>
  <c r="B199" i="22"/>
  <c r="B185" i="22"/>
  <c r="B246" i="22"/>
  <c r="B221" i="22"/>
  <c r="B140" i="22"/>
  <c r="B220" i="22"/>
  <c r="B70" i="22"/>
  <c r="B91" i="22"/>
  <c r="B218" i="22"/>
  <c r="B191" i="22"/>
  <c r="B233" i="22"/>
  <c r="B212" i="22"/>
  <c r="B173" i="22"/>
  <c r="B205" i="22"/>
  <c r="B229" i="22"/>
  <c r="B195" i="22"/>
  <c r="B258" i="22"/>
  <c r="B200" i="22"/>
  <c r="B110" i="22"/>
  <c r="B87" i="22"/>
  <c r="B210" i="22"/>
  <c r="B237" i="22"/>
  <c r="B118" i="22"/>
  <c r="B111" i="22"/>
  <c r="B108" i="22"/>
  <c r="B224" i="22"/>
  <c r="B150" i="22"/>
  <c r="B202" i="22"/>
  <c r="B115" i="22"/>
  <c r="B158" i="22"/>
  <c r="B142" i="22"/>
  <c r="B120" i="22"/>
  <c r="B122" i="22"/>
  <c r="B186" i="22"/>
  <c r="B98" i="22"/>
  <c r="B180" i="22"/>
  <c r="B156" i="22"/>
  <c r="B181" i="22"/>
  <c r="B137" i="22"/>
  <c r="B72" i="22"/>
  <c r="B134" i="22"/>
  <c r="B66" i="22"/>
  <c r="B92" i="22"/>
  <c r="B75" i="22"/>
  <c r="B83" i="22"/>
  <c r="B78" i="22"/>
  <c r="B252" i="22"/>
  <c r="B106" i="22"/>
  <c r="B183" i="22"/>
  <c r="B161" i="22"/>
  <c r="B77" i="22"/>
  <c r="B251" i="22"/>
  <c r="B153" i="22"/>
  <c r="B238" i="22"/>
  <c r="B154" i="22"/>
  <c r="B227" i="22"/>
  <c r="B219" i="22"/>
  <c r="B65" i="22"/>
  <c r="B99" i="22"/>
  <c r="B155" i="22"/>
  <c r="B143" i="22"/>
  <c r="B159" i="22"/>
  <c r="B198" i="22"/>
  <c r="B232" i="22"/>
  <c r="B68" i="22"/>
  <c r="B64" i="22"/>
  <c r="B127" i="22"/>
  <c r="B62" i="22"/>
  <c r="B135" i="22"/>
  <c r="B74" i="22"/>
  <c r="B139" i="22"/>
  <c r="B116" i="22"/>
  <c r="B107" i="22"/>
  <c r="B133" i="22"/>
  <c r="B196" i="22"/>
  <c r="B95" i="22"/>
  <c r="B145" i="22"/>
  <c r="B105" i="22"/>
  <c r="B197" i="22"/>
  <c r="B236" i="22"/>
  <c r="B147" i="22"/>
  <c r="B192" i="22"/>
  <c r="B182" i="22"/>
  <c r="B244" i="22"/>
  <c r="B254" i="22"/>
  <c r="B79" i="22"/>
  <c r="B121" i="22"/>
  <c r="B138" i="22"/>
  <c r="B178" i="22"/>
  <c r="B167" i="22"/>
  <c r="B203" i="22"/>
  <c r="B170" i="22"/>
  <c r="B149" i="22"/>
  <c r="B69" i="22"/>
  <c r="B93" i="22"/>
  <c r="B226" i="22"/>
  <c r="B194" i="22"/>
  <c r="B59" i="22"/>
  <c r="B114" i="22"/>
  <c r="B67" i="22"/>
  <c r="B109" i="22"/>
  <c r="B216" i="22"/>
  <c r="B160" i="22"/>
  <c r="B257" i="22"/>
  <c r="B144" i="22"/>
  <c r="B88" i="22"/>
  <c r="B73" i="22"/>
  <c r="B189" i="22"/>
  <c r="B241" i="22"/>
  <c r="B243" i="22"/>
  <c r="B61" i="22"/>
  <c r="B101" i="22"/>
  <c r="B245" i="22"/>
  <c r="B213" i="22"/>
  <c r="B113" i="22"/>
  <c r="B129" i="22"/>
  <c r="B242" i="22"/>
  <c r="B90" i="22"/>
  <c r="B146" i="22"/>
  <c r="B223" i="22"/>
  <c r="B211" i="22"/>
  <c r="B76" i="22"/>
  <c r="B104" i="22"/>
  <c r="B60" i="22"/>
  <c r="B174" i="22"/>
  <c r="B190" i="22"/>
  <c r="B247" i="22"/>
  <c r="B126" i="22"/>
  <c r="B179" i="22"/>
  <c r="B193" i="22"/>
  <c r="B177" i="22"/>
  <c r="B63" i="22"/>
  <c r="B123" i="22"/>
  <c r="B97" i="22"/>
  <c r="B162" i="22"/>
  <c r="B85" i="22"/>
  <c r="B82" i="22"/>
  <c r="B235" i="22"/>
  <c r="B165" i="22"/>
  <c r="B157" i="22"/>
  <c r="B130" i="22"/>
  <c r="B201" i="22"/>
  <c r="B151" i="22"/>
  <c r="B172" i="22"/>
  <c r="B230" i="22"/>
  <c r="B141" i="22"/>
  <c r="B255" i="22"/>
  <c r="B84" i="22"/>
  <c r="B239" i="22"/>
  <c r="B168" i="22"/>
  <c r="B231" i="22"/>
  <c r="B80" i="22"/>
  <c r="B256" i="22"/>
  <c r="B171" i="22"/>
  <c r="B117" i="22"/>
  <c r="B164" i="22"/>
  <c r="B187" i="22"/>
  <c r="B125" i="22"/>
  <c r="B119" i="22"/>
  <c r="B96" i="22"/>
  <c r="B136" i="22"/>
  <c r="B234" i="22"/>
  <c r="B225" i="22"/>
  <c r="B166" i="22"/>
  <c r="B89" i="22"/>
  <c r="B206" i="22"/>
  <c r="B214" i="22"/>
  <c r="B148" i="22"/>
  <c r="B131" i="22"/>
  <c r="B222" i="22"/>
  <c r="B169" i="22"/>
  <c r="B215" i="22"/>
  <c r="B207" i="22"/>
  <c r="B188" i="22"/>
  <c r="B228" i="22"/>
  <c r="B217" i="22"/>
  <c r="B249" i="22"/>
  <c r="B103" i="22"/>
  <c r="B86" i="22"/>
  <c r="B208" i="22"/>
  <c r="B81" i="22"/>
  <c r="B204" i="22"/>
  <c r="B124" i="22"/>
  <c r="B176" i="22"/>
  <c r="B256" i="18" l="1"/>
  <c r="B259" i="22" s="1"/>
  <c r="B257" i="18" l="1"/>
  <c r="B260" i="22"/>
  <c r="B258" i="18" l="1"/>
  <c r="B261" i="22" s="1"/>
  <c r="B259" i="18" l="1"/>
  <c r="B262" i="22"/>
  <c r="B260" i="18" l="1"/>
  <c r="B263" i="22" s="1"/>
  <c r="B261" i="18" l="1"/>
  <c r="B264" i="22"/>
  <c r="B262" i="18" l="1"/>
  <c r="B265" i="22" s="1"/>
  <c r="B263" i="18" l="1"/>
  <c r="B266" i="22"/>
  <c r="B264" i="18" l="1"/>
  <c r="B267" i="22" s="1"/>
  <c r="B265" i="18" l="1"/>
  <c r="B268" i="22"/>
  <c r="B266" i="18" l="1"/>
  <c r="B269" i="22" s="1"/>
  <c r="B267" i="18" l="1"/>
  <c r="B268" i="18" l="1"/>
  <c r="B269" i="18" l="1"/>
  <c r="B270" i="18" l="1"/>
  <c r="B271" i="18" l="1"/>
  <c r="B272" i="18" l="1"/>
  <c r="B273" i="18" l="1"/>
  <c r="B274" i="18" l="1"/>
  <c r="B275" i="18" l="1"/>
  <c r="B276" i="18" l="1"/>
  <c r="B277" i="18" l="1"/>
  <c r="B278" i="18" l="1"/>
  <c r="B279" i="18" l="1"/>
  <c r="B280" i="18" l="1"/>
  <c r="B281" i="18" l="1"/>
  <c r="B282" i="18" l="1"/>
  <c r="B283" i="18" l="1"/>
  <c r="B284" i="18" l="1"/>
  <c r="B285" i="18" l="1"/>
  <c r="B286" i="18" l="1"/>
  <c r="B287" i="18" l="1"/>
  <c r="B288" i="18" l="1"/>
  <c r="B289" i="18" l="1"/>
  <c r="B290" i="18" l="1"/>
  <c r="B291" i="18" l="1"/>
  <c r="B292" i="18" l="1"/>
  <c r="B293" i="18" l="1"/>
  <c r="B294" i="18" s="1"/>
  <c r="B295" i="18" s="1"/>
  <c r="B296" i="18" s="1"/>
  <c r="B297" i="18" s="1"/>
  <c r="B298" i="18" s="1"/>
  <c r="B299" i="18" s="1"/>
  <c r="B300" i="18" s="1"/>
  <c r="B301" i="18" s="1"/>
  <c r="B302" i="18" s="1"/>
  <c r="B303" i="18" s="1"/>
  <c r="B304" i="18" s="1"/>
  <c r="B305" i="18" s="1"/>
  <c r="B306" i="18" s="1"/>
  <c r="B307" i="18" s="1"/>
  <c r="B308" i="18" s="1"/>
  <c r="B309" i="18" s="1"/>
  <c r="B310" i="18" s="1"/>
  <c r="B311" i="18" s="1"/>
  <c r="B312" i="18" s="1"/>
  <c r="B313" i="18" s="1"/>
  <c r="B314" i="18" s="1"/>
  <c r="B315" i="18" s="1"/>
  <c r="B312" i="22" l="1"/>
  <c r="B316" i="18"/>
  <c r="B317" i="18" s="1"/>
  <c r="B318" i="18" s="1"/>
  <c r="B319" i="18" s="1"/>
  <c r="B320" i="18" s="1"/>
  <c r="B321" i="18" s="1"/>
  <c r="B322" i="18" s="1"/>
  <c r="B323" i="18" s="1"/>
  <c r="B324" i="18" s="1"/>
  <c r="B325" i="18" s="1"/>
  <c r="B326" i="18" s="1"/>
  <c r="B327" i="18" s="1"/>
  <c r="B328" i="18" s="1"/>
  <c r="B329" i="18" s="1"/>
  <c r="B330" i="18" s="1"/>
  <c r="B331" i="18" s="1"/>
  <c r="B332" i="18" s="1"/>
  <c r="B333" i="18" s="1"/>
  <c r="B334" i="18" s="1"/>
  <c r="B335" i="18" s="1"/>
  <c r="B319" i="22" l="1"/>
  <c r="B336" i="18"/>
  <c r="B337" i="18" s="1"/>
  <c r="B338" i="18" s="1"/>
  <c r="B341" i="18" l="1"/>
  <c r="B342" i="18" s="1"/>
  <c r="B343" i="18" s="1"/>
  <c r="B344" i="18" s="1"/>
  <c r="B345" i="18" s="1"/>
  <c r="B346" i="18" s="1"/>
  <c r="B347" i="18" s="1"/>
  <c r="B348" i="18" s="1"/>
  <c r="B349" i="18" s="1"/>
  <c r="B350" i="18" s="1"/>
  <c r="B351" i="18" s="1"/>
  <c r="B352" i="18" s="1"/>
  <c r="B353" i="18" s="1"/>
  <c r="B354" i="18" s="1"/>
  <c r="B355" i="18" s="1"/>
  <c r="B356" i="18" s="1"/>
  <c r="B357" i="18" s="1"/>
  <c r="B358" i="18" s="1"/>
  <c r="B359" i="18" s="1"/>
  <c r="B360" i="18" s="1"/>
  <c r="B361" i="18" s="1"/>
  <c r="B362" i="18" s="1"/>
  <c r="B363" i="18" s="1"/>
  <c r="B364" i="18" s="1"/>
  <c r="B365" i="18" s="1"/>
  <c r="B366" i="18" s="1"/>
  <c r="B367" i="18" s="1"/>
  <c r="B368" i="18" s="1"/>
  <c r="B369" i="18" s="1"/>
  <c r="B370" i="18" s="1"/>
  <c r="B371" i="18" s="1"/>
  <c r="B372" i="18" s="1"/>
  <c r="B373" i="18" s="1"/>
  <c r="B374" i="18" s="1"/>
  <c r="B375" i="18" s="1"/>
  <c r="B376" i="18" s="1"/>
  <c r="B377" i="18" s="1"/>
  <c r="B378" i="18" s="1"/>
  <c r="B379" i="18" s="1"/>
  <c r="B380" i="18" s="1"/>
  <c r="B381" i="18" s="1"/>
  <c r="B382" i="18" s="1"/>
  <c r="B383" i="18" s="1"/>
  <c r="B384" i="18" s="1"/>
  <c r="B385" i="18" s="1"/>
  <c r="B386" i="18" s="1"/>
  <c r="B387" i="18" s="1"/>
  <c r="B388" i="18" s="1"/>
  <c r="B389" i="18" s="1"/>
  <c r="B390" i="18" s="1"/>
  <c r="B391" i="18" s="1"/>
  <c r="B392" i="18" s="1"/>
  <c r="B393" i="18" s="1"/>
  <c r="B394" i="18" s="1"/>
  <c r="B395" i="18" s="1"/>
  <c r="B396" i="18" s="1"/>
  <c r="B397" i="18" s="1"/>
  <c r="B398" i="18" s="1"/>
  <c r="B399" i="18" s="1"/>
  <c r="B400" i="18" s="1"/>
  <c r="B401" i="18" s="1"/>
  <c r="B402" i="18" s="1"/>
  <c r="B403" i="18" s="1"/>
  <c r="B404" i="18" s="1"/>
  <c r="B405" i="18" s="1"/>
  <c r="B406" i="18" s="1"/>
  <c r="B407" i="18" s="1"/>
  <c r="B408" i="18" s="1"/>
  <c r="B409" i="18" s="1"/>
  <c r="B410" i="18" s="1"/>
  <c r="B411" i="18" s="1"/>
  <c r="B412" i="18" s="1"/>
  <c r="B413" i="18" s="1"/>
  <c r="B414" i="18" s="1"/>
  <c r="B415" i="18" s="1"/>
  <c r="B416" i="18" s="1"/>
  <c r="B417" i="18" s="1"/>
  <c r="B418" i="18" s="1"/>
  <c r="B419" i="18" s="1"/>
  <c r="B420" i="18" s="1"/>
  <c r="B421" i="18" s="1"/>
  <c r="B422" i="18" s="1"/>
  <c r="B423" i="18" s="1"/>
  <c r="B424" i="18" s="1"/>
  <c r="B425" i="18" s="1"/>
  <c r="B426" i="18" s="1"/>
  <c r="B427" i="18" s="1"/>
  <c r="B428" i="18" s="1"/>
  <c r="B429" i="18" s="1"/>
  <c r="B430" i="18" s="1"/>
  <c r="B431" i="18" s="1"/>
  <c r="B432" i="18" s="1"/>
  <c r="B433" i="18" s="1"/>
  <c r="B434" i="18" s="1"/>
  <c r="B435" i="18" s="1"/>
  <c r="B436" i="18" s="1"/>
  <c r="B437" i="18" s="1"/>
  <c r="B438" i="18" s="1"/>
  <c r="B439" i="18" s="1"/>
  <c r="B440" i="18" s="1"/>
  <c r="B441" i="18" s="1"/>
  <c r="B442" i="18" s="1"/>
  <c r="B443" i="18" s="1"/>
  <c r="B444" i="18" s="1"/>
  <c r="B445" i="18" s="1"/>
  <c r="B446" i="18" s="1"/>
  <c r="B447" i="18" s="1"/>
  <c r="B448" i="18" s="1"/>
  <c r="B449" i="18" s="1"/>
  <c r="B450" i="18" s="1"/>
  <c r="B451" i="18" s="1"/>
  <c r="B452" i="18" s="1"/>
  <c r="B453" i="18" s="1"/>
  <c r="B454" i="18" s="1"/>
  <c r="B455" i="18" s="1"/>
  <c r="B456" i="18" s="1"/>
  <c r="B457" i="18" s="1"/>
  <c r="B458" i="18" s="1"/>
  <c r="B459" i="18" s="1"/>
  <c r="B460" i="18" s="1"/>
  <c r="B461" i="18" s="1"/>
  <c r="B462" i="18" s="1"/>
  <c r="B463" i="18" s="1"/>
  <c r="B464" i="18" s="1"/>
  <c r="B465" i="18" s="1"/>
  <c r="B466" i="18" s="1"/>
  <c r="B467" i="18" s="1"/>
  <c r="B468" i="18" s="1"/>
  <c r="B469" i="18" s="1"/>
  <c r="B470" i="18" s="1"/>
  <c r="B471" i="18" s="1"/>
  <c r="B472" i="18" s="1"/>
  <c r="B473" i="18" s="1"/>
  <c r="B474" i="18" s="1"/>
  <c r="B475" i="18" s="1"/>
  <c r="B476" i="18" s="1"/>
  <c r="B477" i="18" s="1"/>
  <c r="B478" i="18" s="1"/>
  <c r="B479" i="18" s="1"/>
  <c r="B480" i="18" s="1"/>
  <c r="B481" i="18" s="1"/>
  <c r="B482" i="18" s="1"/>
  <c r="B483" i="18" s="1"/>
  <c r="B484" i="18" s="1"/>
  <c r="B485" i="18" s="1"/>
  <c r="B486" i="18" s="1"/>
  <c r="B487" i="18" s="1"/>
  <c r="B488" i="18" s="1"/>
  <c r="B489" i="18" s="1"/>
  <c r="B490" i="18" s="1"/>
  <c r="B491" i="18" s="1"/>
  <c r="B492" i="18" s="1"/>
  <c r="B493" i="18" s="1"/>
  <c r="B494" i="18" s="1"/>
  <c r="B495" i="18" s="1"/>
  <c r="B496" i="18" s="1"/>
  <c r="B497" i="18" s="1"/>
  <c r="B498" i="18" s="1"/>
  <c r="B499" i="18" s="1"/>
  <c r="B500" i="18" s="1"/>
  <c r="B501" i="18" s="1"/>
  <c r="B502" i="18" s="1"/>
  <c r="B503" i="18" s="1"/>
  <c r="B504" i="18" s="1"/>
  <c r="B505" i="18" s="1"/>
  <c r="B506" i="18" s="1"/>
  <c r="B507" i="18" s="1"/>
  <c r="B508" i="18" s="1"/>
  <c r="B509" i="18" s="1"/>
  <c r="B510" i="18" s="1"/>
  <c r="B511" i="18" s="1"/>
  <c r="B512" i="18" s="1"/>
  <c r="B513" i="18" s="1"/>
  <c r="B514" i="18" s="1"/>
  <c r="B515" i="18" s="1"/>
  <c r="B518" i="18" s="1"/>
  <c r="B519" i="18" l="1"/>
  <c r="B520" i="18" s="1"/>
  <c r="B521" i="18" s="1"/>
  <c r="B522" i="18" s="1"/>
  <c r="B523" i="18" s="1"/>
  <c r="B524" i="18" s="1"/>
  <c r="B525" i="18" s="1"/>
  <c r="B526" i="18" s="1"/>
  <c r="B527" i="18" s="1"/>
  <c r="B528" i="18" s="1"/>
  <c r="B529" i="18" s="1"/>
  <c r="B275" i="22"/>
  <c r="B287" i="22"/>
  <c r="B271" i="22"/>
  <c r="B282" i="22"/>
  <c r="B290" i="22"/>
  <c r="B284" i="22"/>
  <c r="B273" i="22"/>
  <c r="B281" i="22"/>
  <c r="B288" i="22"/>
  <c r="B301" i="22"/>
  <c r="B276" i="22"/>
  <c r="B306" i="22"/>
  <c r="B303" i="22"/>
  <c r="B296" i="22"/>
  <c r="B304" i="22"/>
  <c r="B298" i="22"/>
  <c r="B291" i="22"/>
  <c r="B302" i="22"/>
  <c r="B285" i="22"/>
  <c r="B283" i="22"/>
  <c r="B277" i="22"/>
  <c r="B292" i="22"/>
  <c r="B274" i="22"/>
  <c r="B293" i="22"/>
  <c r="B289" i="22"/>
  <c r="B297" i="22"/>
  <c r="B300" i="22"/>
  <c r="B279" i="22"/>
  <c r="B299" i="22"/>
  <c r="B294" i="22"/>
  <c r="B286" i="22"/>
  <c r="B278" i="22"/>
  <c r="B295" i="22"/>
  <c r="B272" i="22"/>
  <c r="B280" i="22"/>
  <c r="B270" i="22"/>
  <c r="B305" i="22"/>
  <c r="B307" i="22"/>
  <c r="B308" i="22"/>
  <c r="B309" i="22"/>
  <c r="B314" i="22"/>
  <c r="B310" i="22"/>
  <c r="B311" i="22"/>
  <c r="B318" i="22"/>
  <c r="B313" i="22"/>
  <c r="B316" i="22"/>
  <c r="B315" i="22"/>
  <c r="B321" i="22"/>
  <c r="B317" i="22"/>
  <c r="B320" i="22"/>
  <c r="B344" i="22"/>
  <c r="B463" i="22"/>
  <c r="B413" i="22"/>
  <c r="B406" i="22"/>
  <c r="B407" i="22"/>
  <c r="B340" i="22"/>
  <c r="B333" i="22"/>
  <c r="B452" i="22"/>
  <c r="B358" i="22"/>
  <c r="B367" i="22"/>
  <c r="B444" i="22"/>
  <c r="B491" i="22"/>
  <c r="B419" i="22"/>
  <c r="B388" i="22"/>
  <c r="B512" i="22"/>
  <c r="B355" i="22"/>
  <c r="B484" i="22"/>
  <c r="B405" i="22"/>
  <c r="B350" i="22"/>
  <c r="B378" i="22"/>
  <c r="B351" i="22"/>
  <c r="B457" i="22"/>
  <c r="B332" i="22"/>
  <c r="B369" i="22"/>
  <c r="B368" i="22"/>
  <c r="B482" i="22"/>
  <c r="B398" i="22"/>
  <c r="B408" i="22"/>
  <c r="B391" i="22"/>
  <c r="B511" i="22"/>
  <c r="B450" i="22"/>
  <c r="B464" i="22"/>
  <c r="B347" i="22"/>
  <c r="B336" i="22"/>
  <c r="B412" i="22"/>
  <c r="B495" i="22"/>
  <c r="B466" i="22"/>
  <c r="B330" i="22"/>
  <c r="B505" i="22"/>
  <c r="B390" i="22"/>
  <c r="B373" i="22"/>
  <c r="B404" i="22"/>
  <c r="B427" i="22"/>
  <c r="B337" i="22"/>
  <c r="B443" i="22"/>
  <c r="B497" i="22"/>
  <c r="B507" i="22"/>
  <c r="B371" i="22"/>
  <c r="B518" i="22"/>
  <c r="B339" i="22"/>
  <c r="B379" i="22"/>
  <c r="B469" i="22"/>
  <c r="B360" i="22"/>
  <c r="B448" i="22"/>
  <c r="B345" i="22"/>
  <c r="B462" i="22"/>
  <c r="B384" i="22"/>
  <c r="B467" i="22"/>
  <c r="B420" i="22"/>
  <c r="B327" i="22"/>
  <c r="B480" i="22"/>
  <c r="B474" i="22"/>
  <c r="B341" i="22"/>
  <c r="B473" i="22"/>
  <c r="B438" i="22"/>
  <c r="B459" i="22"/>
  <c r="B325" i="22"/>
  <c r="B445" i="22"/>
  <c r="B456" i="22"/>
  <c r="B429" i="22"/>
  <c r="B326" i="22"/>
  <c r="B359" i="22"/>
  <c r="B519" i="22"/>
  <c r="B376" i="22"/>
  <c r="B517" i="22"/>
  <c r="B499" i="22"/>
  <c r="B374" i="22"/>
  <c r="B322" i="22"/>
  <c r="B449" i="22"/>
  <c r="B481" i="22"/>
  <c r="B366" i="22"/>
  <c r="B428" i="22"/>
  <c r="B425" i="22"/>
  <c r="B365" i="22"/>
  <c r="B451" i="22"/>
  <c r="B334" i="22"/>
  <c r="B436" i="22"/>
  <c r="B503" i="22"/>
  <c r="B386" i="22"/>
  <c r="B455" i="22"/>
  <c r="B400" i="22"/>
  <c r="B492" i="22"/>
  <c r="B494" i="22"/>
  <c r="B476" i="22"/>
  <c r="B496" i="22"/>
  <c r="B440" i="22"/>
  <c r="B465" i="22"/>
  <c r="B478" i="22"/>
  <c r="B513" i="22"/>
  <c r="B389" i="22"/>
  <c r="B331" i="22"/>
  <c r="B328" i="22"/>
  <c r="B501" i="22"/>
  <c r="B346" i="22"/>
  <c r="B409" i="22"/>
  <c r="B515" i="22"/>
  <c r="B383" i="22"/>
  <c r="B461" i="22"/>
  <c r="B508" i="22"/>
  <c r="B475" i="22"/>
  <c r="B487" i="22"/>
  <c r="B422" i="22"/>
  <c r="B470" i="22"/>
  <c r="B483" i="22"/>
  <c r="B418" i="22"/>
  <c r="B486" i="22"/>
  <c r="B353" i="22"/>
  <c r="B500" i="22"/>
  <c r="B396" i="22"/>
  <c r="B479" i="22"/>
  <c r="B348" i="22"/>
  <c r="B433" i="22"/>
  <c r="B323" i="22"/>
  <c r="B361" i="22"/>
  <c r="B377" i="22"/>
  <c r="B435" i="22"/>
  <c r="B356" i="22"/>
  <c r="B454" i="22"/>
  <c r="B471" i="22"/>
  <c r="B338" i="22"/>
  <c r="B357" i="22"/>
  <c r="B432" i="22"/>
  <c r="B382" i="22"/>
  <c r="B387" i="22"/>
  <c r="B426" i="22"/>
  <c r="B411" i="22"/>
  <c r="B393" i="22"/>
  <c r="B335" i="22"/>
  <c r="B417" i="22"/>
  <c r="B423" i="22"/>
  <c r="B510" i="22"/>
  <c r="B516" i="22"/>
  <c r="B363" i="22"/>
  <c r="B514" i="22"/>
  <c r="B354" i="22"/>
  <c r="B416" i="22"/>
  <c r="B329" i="22"/>
  <c r="B414" i="22"/>
  <c r="B488" i="22"/>
  <c r="B370" i="22"/>
  <c r="B415" i="22"/>
  <c r="B401" i="22"/>
  <c r="B421" i="22"/>
  <c r="B502" i="22"/>
  <c r="B489" i="22"/>
  <c r="B424" i="22"/>
  <c r="B521" i="22"/>
  <c r="B498" i="22"/>
  <c r="B490" i="22"/>
  <c r="B395" i="22"/>
  <c r="B342" i="22"/>
  <c r="B380" i="22"/>
  <c r="B453" i="22"/>
  <c r="B402" i="22"/>
  <c r="B477" i="22"/>
  <c r="B434" i="22"/>
  <c r="B504" i="22"/>
  <c r="B364" i="22"/>
  <c r="B485" i="22"/>
  <c r="B509" i="22"/>
  <c r="B397" i="22"/>
  <c r="B375" i="22"/>
  <c r="B437" i="22"/>
  <c r="B410" i="22"/>
  <c r="B394" i="22"/>
  <c r="B430" i="22"/>
  <c r="B468" i="22"/>
  <c r="B431" i="22"/>
  <c r="B439" i="22"/>
  <c r="B460" i="22"/>
  <c r="B506" i="22"/>
  <c r="B447" i="22"/>
  <c r="B493" i="22"/>
  <c r="B372" i="22"/>
  <c r="B349" i="22"/>
  <c r="B403" i="22"/>
  <c r="B458" i="22"/>
  <c r="B442" i="22"/>
  <c r="B352" i="22"/>
  <c r="B441" i="22"/>
  <c r="B472" i="22"/>
  <c r="B392" i="22"/>
  <c r="B399" i="22"/>
  <c r="B385" i="22"/>
  <c r="B362" i="22"/>
  <c r="B343" i="22"/>
  <c r="B324" i="22"/>
  <c r="B446" i="22"/>
  <c r="B520" i="22"/>
  <c r="B381" i="22"/>
  <c r="B531" i="18" l="1"/>
  <c r="B530" i="18"/>
  <c r="B532" i="18" s="1"/>
  <c r="B533" i="18" s="1"/>
  <c r="B534" i="18" s="1"/>
  <c r="B535" i="18" s="1"/>
  <c r="B536" i="18" s="1"/>
  <c r="B537" i="18" s="1"/>
  <c r="B538" i="18" s="1"/>
  <c r="B539" i="18" s="1"/>
  <c r="B540" i="18" s="1"/>
  <c r="B541" i="18" s="1"/>
  <c r="B542" i="18" s="1"/>
  <c r="B543" i="18" s="1"/>
  <c r="B544" i="18" s="1"/>
  <c r="B545" i="18" s="1"/>
  <c r="B546" i="18" s="1"/>
  <c r="B547" i="18" s="1"/>
  <c r="B548" i="18" s="1"/>
  <c r="B549" i="18" s="1"/>
  <c r="B550" i="18" s="1"/>
  <c r="B551" i="18" s="1"/>
  <c r="B523" i="22" l="1"/>
  <c r="B524" i="22"/>
  <c r="B522" i="22"/>
  <c r="B553" i="18"/>
  <c r="B552" i="18"/>
  <c r="B525" i="22" l="1"/>
  <c r="B554" i="18"/>
  <c r="B555" i="18" s="1"/>
  <c r="B556" i="18" s="1"/>
  <c r="B557" i="18" s="1"/>
  <c r="B558" i="18" s="1"/>
  <c r="B559" i="18" s="1"/>
  <c r="B560" i="18" s="1"/>
  <c r="B561" i="18" s="1"/>
  <c r="B562" i="18" s="1"/>
  <c r="B563" i="18" s="1"/>
  <c r="B564" i="18" s="1"/>
  <c r="B565" i="18" s="1"/>
  <c r="B566" i="18" s="1"/>
  <c r="B567" i="18" s="1"/>
  <c r="B526" i="22" l="1"/>
  <c r="B568" i="18"/>
  <c r="B569" i="18" l="1"/>
  <c r="B528" i="22"/>
  <c r="B527" i="22"/>
  <c r="B570" i="18" l="1"/>
  <c r="B571" i="18" l="1"/>
  <c r="B529" i="22"/>
  <c r="B572" i="18" l="1"/>
  <c r="B530" i="22"/>
  <c r="B573" i="18" l="1"/>
  <c r="B574" i="18" s="1"/>
  <c r="B575" i="18" s="1"/>
  <c r="B576" i="18" s="1"/>
  <c r="B577" i="18" s="1"/>
  <c r="B578" i="18" s="1"/>
  <c r="B579" i="18" s="1"/>
  <c r="B580" i="18" s="1"/>
  <c r="B581" i="18" s="1"/>
  <c r="B582" i="18" s="1"/>
  <c r="B583" i="18" s="1"/>
  <c r="B584" i="18" s="1"/>
  <c r="B585" i="18" s="1"/>
  <c r="B586" i="18" s="1"/>
  <c r="B587" i="18" s="1"/>
  <c r="B588" i="18" s="1"/>
  <c r="B589" i="18" s="1"/>
  <c r="B590" i="18" s="1"/>
  <c r="B591" i="18" s="1"/>
  <c r="B592" i="18" s="1"/>
  <c r="B593" i="18" s="1"/>
  <c r="B594" i="18" s="1"/>
  <c r="B595" i="18" s="1"/>
  <c r="B596" i="18" s="1"/>
  <c r="B597" i="18" s="1"/>
  <c r="B598" i="18" s="1"/>
  <c r="B599" i="18" s="1"/>
  <c r="B600" i="18" s="1"/>
  <c r="B601" i="18" s="1"/>
  <c r="B602" i="18" s="1"/>
  <c r="B603" i="18" s="1"/>
  <c r="B604" i="18" s="1"/>
  <c r="B605" i="18" s="1"/>
  <c r="B606" i="18" s="1"/>
  <c r="B607" i="18" s="1"/>
  <c r="B608" i="18" s="1"/>
  <c r="B609" i="18" s="1"/>
  <c r="B610" i="18" s="1"/>
  <c r="B611" i="18" s="1"/>
  <c r="B612" i="18" s="1"/>
  <c r="B613" i="18" s="1"/>
  <c r="B614" i="18" s="1"/>
  <c r="B615" i="18" s="1"/>
  <c r="B616" i="18" s="1"/>
  <c r="B617" i="18" s="1"/>
  <c r="B618" i="18" s="1"/>
  <c r="B619" i="18" s="1"/>
  <c r="B620" i="18" s="1"/>
  <c r="B621" i="18" s="1"/>
  <c r="B622" i="18" s="1"/>
  <c r="B623" i="18" s="1"/>
  <c r="B624" i="18" s="1"/>
  <c r="B625" i="18" s="1"/>
  <c r="B626" i="18" s="1"/>
  <c r="B627" i="18" s="1"/>
  <c r="B628" i="18" s="1"/>
  <c r="B629" i="18" s="1"/>
  <c r="B630" i="18" s="1"/>
  <c r="B631" i="18" s="1"/>
  <c r="B632" i="18" s="1"/>
  <c r="B633" i="18" s="1"/>
  <c r="B634" i="18" s="1"/>
  <c r="B635" i="18" s="1"/>
  <c r="B636" i="18" s="1"/>
  <c r="B637" i="18" s="1"/>
  <c r="B638" i="18" s="1"/>
  <c r="B639" i="18" s="1"/>
  <c r="B640" i="18" s="1"/>
  <c r="B641" i="18" s="1"/>
  <c r="B642" i="18" s="1"/>
  <c r="B643" i="18" s="1"/>
  <c r="B644" i="18" s="1"/>
  <c r="B645" i="18" s="1"/>
  <c r="B646" i="18" s="1"/>
  <c r="B647" i="18" s="1"/>
  <c r="B648" i="18" s="1"/>
  <c r="B649" i="18" s="1"/>
  <c r="B650" i="18" s="1"/>
  <c r="B651" i="18" s="1"/>
  <c r="B652" i="18" s="1"/>
  <c r="B653" i="18" s="1"/>
  <c r="B654" i="18" s="1"/>
  <c r="B655" i="18" s="1"/>
  <c r="B656" i="18" s="1"/>
  <c r="B657" i="18" s="1"/>
  <c r="B658" i="18" s="1"/>
  <c r="B659" i="18" s="1"/>
  <c r="B660" i="18" s="1"/>
  <c r="B661" i="18" s="1"/>
  <c r="B662" i="18" s="1"/>
  <c r="B663" i="18" s="1"/>
  <c r="B664" i="18" s="1"/>
  <c r="B665" i="18" s="1"/>
  <c r="B666" i="18" s="1"/>
  <c r="B667" i="18" s="1"/>
  <c r="B668" i="18" s="1"/>
  <c r="B669" i="18" s="1"/>
  <c r="B670" i="18" s="1"/>
  <c r="B671" i="18" s="1"/>
  <c r="B672" i="18" s="1"/>
  <c r="B673" i="18" s="1"/>
  <c r="B674" i="18" s="1"/>
  <c r="B675" i="18" s="1"/>
  <c r="B676" i="18" s="1"/>
  <c r="B677" i="18" s="1"/>
  <c r="B678" i="18" s="1"/>
  <c r="B679" i="18" s="1"/>
  <c r="B680" i="18" s="1"/>
  <c r="B681" i="18" s="1"/>
  <c r="B682" i="18" s="1"/>
  <c r="B683" i="18" s="1"/>
  <c r="B684" i="18" s="1"/>
  <c r="B685" i="18" s="1"/>
  <c r="B686" i="18" s="1"/>
  <c r="B687" i="18" s="1"/>
  <c r="B688" i="18" s="1"/>
  <c r="B689" i="18" s="1"/>
  <c r="B690" i="18" s="1"/>
  <c r="B691" i="18" s="1"/>
  <c r="B692" i="18" s="1"/>
  <c r="B693" i="18" s="1"/>
  <c r="B694" i="18" s="1"/>
  <c r="B695" i="18" s="1"/>
  <c r="B696" i="18" s="1"/>
  <c r="B697" i="18" s="1"/>
  <c r="B698" i="18" s="1"/>
  <c r="B699" i="18" s="1"/>
  <c r="B700" i="18" s="1"/>
  <c r="B701" i="18" s="1"/>
  <c r="B702" i="18" s="1"/>
  <c r="B703" i="18" s="1"/>
  <c r="B704" i="18" s="1"/>
  <c r="B705" i="18" s="1"/>
  <c r="B706" i="18" s="1"/>
  <c r="B707" i="18" s="1"/>
  <c r="B708" i="18" s="1"/>
  <c r="B709" i="18" s="1"/>
  <c r="B710" i="18" s="1"/>
  <c r="B711" i="18" s="1"/>
  <c r="B712" i="18" s="1"/>
  <c r="B713" i="18" s="1"/>
  <c r="B714" i="18" s="1"/>
  <c r="B715" i="18" s="1"/>
  <c r="B716" i="18" s="1"/>
  <c r="B717" i="18" s="1"/>
  <c r="B718" i="18" s="1"/>
  <c r="B719" i="18" s="1"/>
  <c r="B720" i="18" s="1"/>
  <c r="B721" i="18" s="1"/>
  <c r="B722" i="18" s="1"/>
  <c r="B723" i="18" s="1"/>
  <c r="B724" i="18" s="1"/>
  <c r="B725" i="18" s="1"/>
  <c r="B726" i="18" s="1"/>
  <c r="B727" i="18" s="1"/>
  <c r="B728" i="18" s="1"/>
  <c r="B729" i="18" s="1"/>
  <c r="B730" i="18" s="1"/>
  <c r="B731" i="18" s="1"/>
  <c r="B732" i="18" s="1"/>
  <c r="B733" i="18" s="1"/>
  <c r="B734" i="18" s="1"/>
  <c r="B735" i="18" s="1"/>
  <c r="B736" i="18" s="1"/>
  <c r="B737" i="18" s="1"/>
  <c r="B738" i="18" s="1"/>
  <c r="B739" i="18" s="1"/>
  <c r="B740" i="18" s="1"/>
  <c r="B741" i="18" s="1"/>
  <c r="B742" i="18" s="1"/>
  <c r="B743" i="18" s="1"/>
  <c r="B744" i="18" s="1"/>
  <c r="B745" i="18" s="1"/>
  <c r="B746" i="18" s="1"/>
  <c r="B747" i="18" s="1"/>
  <c r="B748" i="18" s="1"/>
  <c r="B749" i="18" s="1"/>
  <c r="B750" i="18" s="1"/>
  <c r="B751" i="18" s="1"/>
  <c r="B752" i="18" s="1"/>
  <c r="B753" i="18" s="1"/>
  <c r="B754" i="18" s="1"/>
  <c r="B755" i="18" s="1"/>
  <c r="B756" i="18" s="1"/>
  <c r="B757" i="18" s="1"/>
  <c r="B758" i="18" s="1"/>
  <c r="B759" i="18" s="1"/>
  <c r="B760" i="18" s="1"/>
  <c r="B761" i="18" s="1"/>
  <c r="B762" i="18" s="1"/>
  <c r="B763" i="18" s="1"/>
  <c r="B764" i="18" s="1"/>
  <c r="B765" i="18" s="1"/>
  <c r="B766" i="18" s="1"/>
  <c r="B767" i="18" s="1"/>
  <c r="B768" i="18" s="1"/>
  <c r="B769" i="18" s="1"/>
  <c r="B770" i="18" s="1"/>
  <c r="B771" i="18" s="1"/>
  <c r="B772" i="18" s="1"/>
  <c r="B773" i="18" s="1"/>
  <c r="B774" i="18" s="1"/>
  <c r="B775" i="18" s="1"/>
  <c r="B776" i="18" s="1"/>
  <c r="B777" i="18" s="1"/>
  <c r="B778" i="18" s="1"/>
  <c r="B779" i="18" s="1"/>
  <c r="B780" i="18" s="1"/>
  <c r="B781" i="18" s="1"/>
  <c r="B782" i="18" s="1"/>
  <c r="B783" i="18" s="1"/>
  <c r="B784" i="18" s="1"/>
  <c r="B785" i="18" s="1"/>
  <c r="B786" i="18" s="1"/>
  <c r="B787" i="18" s="1"/>
  <c r="B788" i="18" s="1"/>
  <c r="B789" i="18" s="1"/>
  <c r="B790" i="18" s="1"/>
  <c r="B791" i="18" s="1"/>
  <c r="B792" i="18" s="1"/>
  <c r="B793" i="18" s="1"/>
  <c r="B794" i="18" s="1"/>
  <c r="B795" i="18" s="1"/>
  <c r="B796" i="18" s="1"/>
  <c r="B797" i="18" s="1"/>
  <c r="B798" i="18" s="1"/>
  <c r="B799" i="18" s="1"/>
  <c r="B800" i="18" s="1"/>
  <c r="B801" i="18" s="1"/>
  <c r="B802" i="18" s="1"/>
  <c r="B803" i="18" s="1"/>
  <c r="B804" i="18" s="1"/>
  <c r="B805" i="18" s="1"/>
  <c r="B806" i="18" s="1"/>
  <c r="B807" i="18" s="1"/>
  <c r="B808" i="18" s="1"/>
  <c r="B809" i="18" s="1"/>
  <c r="B810" i="18" s="1"/>
  <c r="B811" i="18" s="1"/>
  <c r="B812" i="18" s="1"/>
  <c r="B813" i="18" s="1"/>
  <c r="B814" i="18" s="1"/>
  <c r="B815" i="18" s="1"/>
  <c r="B816" i="18" s="1"/>
  <c r="B817" i="18" s="1"/>
  <c r="B818" i="18" s="1"/>
  <c r="B819" i="18" s="1"/>
  <c r="B820" i="18" s="1"/>
  <c r="B821" i="18" s="1"/>
  <c r="B822" i="18" s="1"/>
  <c r="B823" i="18" s="1"/>
  <c r="B824" i="18" s="1"/>
  <c r="B825" i="18" s="1"/>
  <c r="B826" i="18" s="1"/>
  <c r="B827" i="18" s="1"/>
  <c r="B828" i="18" s="1"/>
  <c r="B829" i="18" s="1"/>
  <c r="B830" i="18" s="1"/>
  <c r="B831" i="18" s="1"/>
  <c r="B832" i="18" s="1"/>
  <c r="B833" i="18" s="1"/>
  <c r="B834" i="18" s="1"/>
  <c r="B835" i="18" s="1"/>
  <c r="B695" i="22" s="1"/>
  <c r="B733" i="22" l="1"/>
  <c r="B688" i="22"/>
  <c r="B775" i="22"/>
  <c r="B543" i="22"/>
  <c r="B816" i="22"/>
  <c r="B789" i="22"/>
  <c r="B792" i="22"/>
  <c r="B661" i="22"/>
  <c r="B663" i="22"/>
  <c r="B573" i="22"/>
  <c r="B583" i="22"/>
  <c r="B819" i="22"/>
  <c r="B535" i="22"/>
  <c r="B718" i="22"/>
  <c r="B546" i="22"/>
  <c r="B692" i="22"/>
  <c r="B557" i="22"/>
  <c r="B773" i="22"/>
  <c r="B569" i="22"/>
  <c r="B799" i="22"/>
  <c r="B766" i="22"/>
  <c r="B585" i="22"/>
  <c r="B674" i="22"/>
  <c r="B811" i="22"/>
  <c r="B576" i="22"/>
  <c r="B678" i="22"/>
  <c r="B769" i="22"/>
  <c r="B698" i="22"/>
  <c r="B594" i="22"/>
  <c r="B638" i="22"/>
  <c r="B796" i="22"/>
  <c r="B565" i="22"/>
  <c r="B807" i="22"/>
  <c r="B821" i="22"/>
  <c r="B672" i="22"/>
  <c r="B586" i="22"/>
  <c r="B531" i="22"/>
  <c r="B694" i="22"/>
  <c r="B538" i="22"/>
  <c r="B668" i="22"/>
  <c r="B589" i="22"/>
  <c r="B720" i="22"/>
  <c r="B726" i="22"/>
  <c r="B555" i="22"/>
  <c r="B723" i="22"/>
  <c r="B749" i="22"/>
  <c r="B744" i="22"/>
  <c r="B624" i="22"/>
  <c r="B610" i="22"/>
  <c r="B755" i="22"/>
  <c r="B721" i="22"/>
  <c r="B790" i="22"/>
  <c r="B591" i="22"/>
  <c r="B646" i="22"/>
  <c r="B806" i="22"/>
  <c r="B794" i="22"/>
  <c r="B702" i="22"/>
  <c r="B584" i="22"/>
  <c r="B620" i="22"/>
  <c r="B534" i="22"/>
  <c r="B770" i="22"/>
  <c r="B684" i="22"/>
  <c r="B768" i="22"/>
  <c r="B696" i="22"/>
  <c r="B623" i="22"/>
  <c r="B579" i="22"/>
  <c r="B616" i="22"/>
  <c r="B658" i="22"/>
  <c r="B645" i="22"/>
  <c r="B762" i="22"/>
  <c r="B548" i="22"/>
  <c r="B745" i="22"/>
  <c r="B566" i="22"/>
  <c r="B597" i="22"/>
  <c r="B551" i="22"/>
  <c r="B767" i="22"/>
  <c r="B734" i="22"/>
  <c r="B657" i="22"/>
  <c r="B603" i="22"/>
  <c r="B729" i="22"/>
  <c r="B545" i="22"/>
  <c r="B753" i="22"/>
  <c r="B817" i="22"/>
  <c r="B693" i="22"/>
  <c r="B727" i="22"/>
  <c r="B793" i="22"/>
  <c r="B777" i="22"/>
  <c r="B607" i="22"/>
  <c r="B700" i="22"/>
  <c r="B601" i="22"/>
  <c r="B609" i="22"/>
  <c r="B622" i="22"/>
  <c r="B633" i="22"/>
  <c r="B735" i="22"/>
  <c r="B592" i="22"/>
  <c r="B664" i="22"/>
  <c r="B578" i="22"/>
  <c r="B758" i="22"/>
  <c r="B801" i="22"/>
  <c r="B763" i="22"/>
  <c r="B740" i="22"/>
  <c r="B708" i="22"/>
  <c r="B776" i="22"/>
  <c r="B655" i="22"/>
  <c r="B581" i="22"/>
  <c r="B754" i="22"/>
  <c r="B781" i="22"/>
  <c r="B642" i="22"/>
  <c r="B786" i="22"/>
  <c r="B588" i="22"/>
  <c r="B709" i="22"/>
  <c r="B667" i="22"/>
  <c r="B690" i="22"/>
  <c r="B650" i="22"/>
  <c r="B627" i="22"/>
  <c r="B800" i="22"/>
  <c r="B710" i="22"/>
  <c r="B774" i="22"/>
  <c r="B630" i="22"/>
  <c r="B738" i="22"/>
  <c r="B759" i="22"/>
  <c r="B772" i="22"/>
  <c r="B549" i="22"/>
  <c r="B617" i="22"/>
  <c r="B572" i="22"/>
  <c r="B712" i="22"/>
  <c r="B803" i="22"/>
  <c r="B704" i="22"/>
  <c r="B751" i="22"/>
  <c r="B705" i="22"/>
  <c r="B577" i="22"/>
  <c r="B652" i="22"/>
  <c r="B785" i="22"/>
  <c r="B783" i="22"/>
  <c r="B671" i="22"/>
  <c r="B621" i="22"/>
  <c r="B780" i="22"/>
  <c r="B539" i="22"/>
  <c r="B703" i="22"/>
  <c r="B554" i="22"/>
  <c r="B593" i="22"/>
  <c r="B779" i="22"/>
  <c r="B536" i="22"/>
  <c r="B647" i="22"/>
  <c r="B782" i="22"/>
  <c r="B618" i="22"/>
  <c r="B596" i="22"/>
  <c r="B632" i="22"/>
  <c r="B724" i="22"/>
  <c r="B619" i="22"/>
  <c r="B685" i="22"/>
  <c r="B748" i="22"/>
  <c r="B677" i="22"/>
  <c r="B544" i="22"/>
  <c r="B761" i="22"/>
  <c r="B707" i="22"/>
  <c r="B805" i="22"/>
  <c r="B711" i="22"/>
  <c r="B648" i="22"/>
  <c r="B599" i="22"/>
  <c r="B654" i="22"/>
  <c r="B701" i="22"/>
  <c r="B532" i="22"/>
  <c r="B798" i="22"/>
  <c r="B728" i="22"/>
  <c r="B541" i="22"/>
  <c r="B568" i="22"/>
  <c r="B660" i="22"/>
  <c r="B587" i="22"/>
  <c r="B670" i="22"/>
  <c r="B533" i="22"/>
  <c r="B612" i="22"/>
  <c r="B542" i="22"/>
  <c r="B815" i="22"/>
  <c r="B746" i="22"/>
  <c r="B639" i="22"/>
  <c r="B697" i="22"/>
  <c r="B747" i="22"/>
  <c r="B742" i="22"/>
  <c r="B640" i="22"/>
  <c r="B681" i="22"/>
  <c r="B687" i="22"/>
  <c r="B614" i="22"/>
  <c r="B606" i="22"/>
  <c r="B540" i="22"/>
  <c r="B666" i="22"/>
  <c r="B765" i="22"/>
  <c r="B714" i="22"/>
  <c r="B676" i="22"/>
  <c r="B812" i="22"/>
  <c r="B683" i="22"/>
  <c r="B809" i="22"/>
  <c r="B814" i="22"/>
  <c r="B717" i="22"/>
  <c r="B662" i="22"/>
  <c r="B558" i="22"/>
  <c r="B778" i="22"/>
  <c r="B797" i="22"/>
  <c r="B673" i="22"/>
  <c r="B537" i="22"/>
  <c r="B713" i="22"/>
  <c r="B813" i="22"/>
  <c r="B699" i="22"/>
  <c r="B562" i="22"/>
  <c r="B561" i="22"/>
  <c r="B602" i="22"/>
  <c r="B615" i="22"/>
  <c r="B574" i="22"/>
  <c r="B644" i="22"/>
  <c r="B795" i="22"/>
  <c r="B732" i="22"/>
  <c r="B679" i="22"/>
  <c r="B582" i="22"/>
  <c r="B634" i="22"/>
  <c r="B643" i="22"/>
  <c r="B665" i="22"/>
  <c r="B737" i="22"/>
  <c r="B741" i="22"/>
  <c r="B595" i="22"/>
  <c r="B611" i="22"/>
  <c r="B689" i="22"/>
  <c r="B553" i="22"/>
  <c r="B649" i="22"/>
  <c r="B636" i="22"/>
  <c r="B659" i="22"/>
  <c r="B764" i="22"/>
  <c r="B682" i="22"/>
  <c r="B635" i="22"/>
  <c r="B731" i="22"/>
  <c r="B631" i="22"/>
  <c r="B757" i="22"/>
  <c r="B560" i="22"/>
  <c r="B651" i="22"/>
  <c r="B626" i="22"/>
  <c r="B628" i="22"/>
  <c r="B550" i="22"/>
  <c r="B802" i="22"/>
  <c r="B653" i="22"/>
  <c r="B739" i="22"/>
  <c r="B716" i="22"/>
  <c r="B559" i="22"/>
  <c r="B706" i="22"/>
  <c r="B730" i="22"/>
  <c r="B625" i="22"/>
  <c r="B669" i="22"/>
  <c r="B675" i="22"/>
  <c r="B567" i="22"/>
  <c r="B791" i="22"/>
  <c r="B691" i="22"/>
  <c r="B656" i="22"/>
  <c r="B810" i="22"/>
  <c r="B575" i="22"/>
  <c r="B743" i="22"/>
  <c r="B564" i="22"/>
  <c r="B608" i="22"/>
  <c r="B722" i="22"/>
  <c r="B680" i="22"/>
  <c r="B547" i="22"/>
  <c r="B600" i="22"/>
  <c r="B552" i="22"/>
  <c r="B598" i="22"/>
  <c r="B756" i="22"/>
  <c r="B804" i="22"/>
  <c r="B787" i="22"/>
  <c r="B563" i="22"/>
  <c r="B556" i="22"/>
  <c r="B605" i="22"/>
  <c r="B808" i="22"/>
  <c r="B613" i="22"/>
  <c r="B686" i="22"/>
  <c r="B629" i="22"/>
  <c r="B604" i="22"/>
  <c r="B571" i="22"/>
  <c r="B641" i="22"/>
  <c r="B760" i="22"/>
  <c r="B820" i="22"/>
  <c r="B736" i="22"/>
  <c r="B771" i="22"/>
  <c r="B590" i="22"/>
  <c r="B750" i="22"/>
  <c r="B580" i="22"/>
  <c r="B818" i="22"/>
  <c r="B715" i="22"/>
  <c r="B570" i="22"/>
  <c r="B637" i="22"/>
  <c r="B788" i="22"/>
  <c r="B784" i="22"/>
  <c r="B719" i="22"/>
  <c r="B725" i="22"/>
  <c r="B752" i="22"/>
</calcChain>
</file>

<file path=xl/sharedStrings.xml><?xml version="1.0" encoding="utf-8"?>
<sst xmlns="http://schemas.openxmlformats.org/spreadsheetml/2006/main" count="38931" uniqueCount="23033">
  <si>
    <t>発注部局名／発注所属名</t>
    <rPh sb="0" eb="2">
      <t>ハッチュウ</t>
    </rPh>
    <rPh sb="2" eb="5">
      <t>ブキョクメイ</t>
    </rPh>
    <rPh sb="6" eb="8">
      <t>ハッチュウ</t>
    </rPh>
    <rPh sb="8" eb="10">
      <t>ショゾク</t>
    </rPh>
    <rPh sb="10" eb="11">
      <t>メイ</t>
    </rPh>
    <phoneticPr fontId="2"/>
  </si>
  <si>
    <t>業種</t>
    <rPh sb="0" eb="2">
      <t>ギョウシュ</t>
    </rPh>
    <phoneticPr fontId="2"/>
  </si>
  <si>
    <t>工事名</t>
    <rPh sb="0" eb="3">
      <t>コウジメイ</t>
    </rPh>
    <phoneticPr fontId="2"/>
  </si>
  <si>
    <t>工事場所</t>
    <rPh sb="0" eb="2">
      <t>コウジ</t>
    </rPh>
    <rPh sb="2" eb="4">
      <t>バショ</t>
    </rPh>
    <phoneticPr fontId="2"/>
  </si>
  <si>
    <t>工期</t>
    <rPh sb="0" eb="2">
      <t>コウキ</t>
    </rPh>
    <phoneticPr fontId="2"/>
  </si>
  <si>
    <t>その他</t>
    <rPh sb="2" eb="3">
      <t>タ</t>
    </rPh>
    <phoneticPr fontId="2"/>
  </si>
  <si>
    <t>土木建築部　日田土木事務所</t>
  </si>
  <si>
    <t>測量</t>
    <rPh sb="0" eb="2">
      <t>ソクリョウ</t>
    </rPh>
    <phoneticPr fontId="2"/>
  </si>
  <si>
    <t>建築関係コンサルタント業務</t>
    <rPh sb="0" eb="2">
      <t>ケンチク</t>
    </rPh>
    <rPh sb="2" eb="4">
      <t>カンケイ</t>
    </rPh>
    <rPh sb="11" eb="13">
      <t>ギョウム</t>
    </rPh>
    <phoneticPr fontId="2"/>
  </si>
  <si>
    <t>土木関係コンサルタント業務</t>
    <rPh sb="0" eb="2">
      <t>ドボク</t>
    </rPh>
    <rPh sb="2" eb="4">
      <t>カンケイ</t>
    </rPh>
    <rPh sb="11" eb="13">
      <t>ギョウム</t>
    </rPh>
    <phoneticPr fontId="2"/>
  </si>
  <si>
    <t>地質調査業務</t>
    <rPh sb="0" eb="2">
      <t>チシツ</t>
    </rPh>
    <rPh sb="2" eb="4">
      <t>チョウサ</t>
    </rPh>
    <rPh sb="4" eb="6">
      <t>ギョウム</t>
    </rPh>
    <phoneticPr fontId="2"/>
  </si>
  <si>
    <t>補償関係コンサルタント業務</t>
    <rPh sb="0" eb="2">
      <t>ホショウ</t>
    </rPh>
    <rPh sb="2" eb="4">
      <t>カンケイ</t>
    </rPh>
    <rPh sb="11" eb="13">
      <t>ギョウム</t>
    </rPh>
    <phoneticPr fontId="2"/>
  </si>
  <si>
    <t>土木一式工事</t>
    <rPh sb="0" eb="2">
      <t>ドボク</t>
    </rPh>
    <rPh sb="2" eb="4">
      <t>イッシキ</t>
    </rPh>
    <rPh sb="4" eb="6">
      <t>コウジ</t>
    </rPh>
    <phoneticPr fontId="2"/>
  </si>
  <si>
    <t>建築一式工事</t>
    <rPh sb="0" eb="2">
      <t>ケンチク</t>
    </rPh>
    <rPh sb="2" eb="4">
      <t>イッシキ</t>
    </rPh>
    <rPh sb="4" eb="6">
      <t>コウジ</t>
    </rPh>
    <phoneticPr fontId="2"/>
  </si>
  <si>
    <t>大工工事</t>
  </si>
  <si>
    <t>左官工事</t>
  </si>
  <si>
    <t>とび・土工・コンクリート工事</t>
  </si>
  <si>
    <t>石工事</t>
  </si>
  <si>
    <t>屋根工事</t>
  </si>
  <si>
    <t>電気工事</t>
  </si>
  <si>
    <t>管工事</t>
  </si>
  <si>
    <t>タイル・れんが・ブロック工事</t>
  </si>
  <si>
    <t>鋼構造物工事</t>
  </si>
  <si>
    <t>鉄筋工事</t>
  </si>
  <si>
    <t>舗装工事</t>
  </si>
  <si>
    <t>しゅんせつ工事</t>
  </si>
  <si>
    <t>板金工事</t>
  </si>
  <si>
    <t>ガラス工事</t>
  </si>
  <si>
    <t>塗装工事</t>
  </si>
  <si>
    <t>防水工事</t>
  </si>
  <si>
    <t>内装仕上工事</t>
  </si>
  <si>
    <t>機械器具設置工事</t>
  </si>
  <si>
    <t>熱絶縁工事</t>
  </si>
  <si>
    <t>電気通信工事</t>
  </si>
  <si>
    <t>造園工事</t>
  </si>
  <si>
    <t>さく井工事</t>
  </si>
  <si>
    <t>建具工事</t>
  </si>
  <si>
    <t>水道施設工事</t>
  </si>
  <si>
    <t>消防施設工事</t>
  </si>
  <si>
    <t>清掃施設工事</t>
  </si>
  <si>
    <t>解体工事</t>
  </si>
  <si>
    <t>区分</t>
    <rPh sb="0" eb="2">
      <t>クブン</t>
    </rPh>
    <phoneticPr fontId="2"/>
  </si>
  <si>
    <t>建設工事</t>
    <rPh sb="0" eb="2">
      <t>ケンセツ</t>
    </rPh>
    <rPh sb="2" eb="4">
      <t>コウジ</t>
    </rPh>
    <phoneticPr fontId="2"/>
  </si>
  <si>
    <t>建築設計業務等委託</t>
    <rPh sb="0" eb="2">
      <t>ケンチク</t>
    </rPh>
    <rPh sb="2" eb="4">
      <t>セッケイ</t>
    </rPh>
    <rPh sb="4" eb="6">
      <t>ギョウム</t>
    </rPh>
    <rPh sb="6" eb="7">
      <t>トウ</t>
    </rPh>
    <rPh sb="7" eb="9">
      <t>イタク</t>
    </rPh>
    <phoneticPr fontId="2"/>
  </si>
  <si>
    <t>土木設計業務等委託</t>
    <rPh sb="0" eb="2">
      <t>ドボク</t>
    </rPh>
    <rPh sb="2" eb="4">
      <t>セッケイ</t>
    </rPh>
    <rPh sb="4" eb="6">
      <t>ギョウム</t>
    </rPh>
    <rPh sb="6" eb="7">
      <t>トウ</t>
    </rPh>
    <rPh sb="7" eb="9">
      <t>イタク</t>
    </rPh>
    <phoneticPr fontId="2"/>
  </si>
  <si>
    <t>土木建築部　土木建築企画課</t>
  </si>
  <si>
    <t>土木建築部　国東土木事務所</t>
  </si>
  <si>
    <t>土木建築部　別府土木事務所</t>
  </si>
  <si>
    <t>土木建築部　大分土木事務所</t>
  </si>
  <si>
    <t>土木建築部　臼杵土木事務所</t>
  </si>
  <si>
    <t>土木建築部　佐伯土木事務所</t>
  </si>
  <si>
    <t>土木建築部　豊後大野土木事務所</t>
  </si>
  <si>
    <t>土木建築部　竹田土木事務所</t>
  </si>
  <si>
    <t>土木建築部　玖珠土木事務所</t>
  </si>
  <si>
    <t>土木建築部　中津土木事務所</t>
  </si>
  <si>
    <t>土木建築部　宇佐土木事務所</t>
  </si>
  <si>
    <t>土木建築部　豊後高田土木事務所</t>
  </si>
  <si>
    <t>国東土木事務所長</t>
  </si>
  <si>
    <t>別府土木事務所長</t>
  </si>
  <si>
    <t>大分土木事務所長</t>
  </si>
  <si>
    <t>臼杵土木事務所長</t>
  </si>
  <si>
    <t>佐伯土木事務所長</t>
  </si>
  <si>
    <t>豊後大野土木事務所長</t>
  </si>
  <si>
    <t>竹田土木事務所長</t>
  </si>
  <si>
    <t>玖珠土木事務所長</t>
  </si>
  <si>
    <t>日田土木事務所長</t>
  </si>
  <si>
    <t>中津土木事務所長</t>
  </si>
  <si>
    <t>宇佐土木事務所長</t>
  </si>
  <si>
    <t>豊後高田土木事務所長</t>
  </si>
  <si>
    <t>大分県知事</t>
    <rPh sb="0" eb="3">
      <t>オオイタケン</t>
    </rPh>
    <rPh sb="3" eb="5">
      <t>チジ</t>
    </rPh>
    <phoneticPr fontId="2"/>
  </si>
  <si>
    <t>職員氏名</t>
    <rPh sb="0" eb="2">
      <t>ショクイン</t>
    </rPh>
    <rPh sb="2" eb="4">
      <t>シメイ</t>
    </rPh>
    <phoneticPr fontId="2"/>
  </si>
  <si>
    <t>発注者</t>
    <rPh sb="0" eb="3">
      <t>ハッチュウシャ</t>
    </rPh>
    <phoneticPr fontId="2"/>
  </si>
  <si>
    <t>発注者名</t>
    <rPh sb="0" eb="3">
      <t>ハッチュウシャ</t>
    </rPh>
    <rPh sb="3" eb="4">
      <t>メイ</t>
    </rPh>
    <phoneticPr fontId="2"/>
  </si>
  <si>
    <t>様式区分</t>
    <rPh sb="0" eb="2">
      <t>ヨウシキ</t>
    </rPh>
    <rPh sb="2" eb="4">
      <t>クブン</t>
    </rPh>
    <phoneticPr fontId="2"/>
  </si>
  <si>
    <t>工期</t>
    <rPh sb="0" eb="2">
      <t>コウキ</t>
    </rPh>
    <phoneticPr fontId="2"/>
  </si>
  <si>
    <t>予定価格</t>
    <rPh sb="0" eb="2">
      <t>ヨテイ</t>
    </rPh>
    <rPh sb="2" eb="4">
      <t>カカク</t>
    </rPh>
    <phoneticPr fontId="2"/>
  </si>
  <si>
    <t>請負額</t>
    <rPh sb="0" eb="3">
      <t>ウケオイガク</t>
    </rPh>
    <phoneticPr fontId="2"/>
  </si>
  <si>
    <t>利用データ</t>
    <rPh sb="0" eb="2">
      <t>リヨウ</t>
    </rPh>
    <phoneticPr fontId="2"/>
  </si>
  <si>
    <t>建設工事請負契約書</t>
    <rPh sb="0" eb="2">
      <t>ケンセツ</t>
    </rPh>
    <rPh sb="2" eb="4">
      <t>コウジ</t>
    </rPh>
    <rPh sb="4" eb="6">
      <t>ウケオイ</t>
    </rPh>
    <rPh sb="6" eb="9">
      <t>ケイヤクショ</t>
    </rPh>
    <phoneticPr fontId="2"/>
  </si>
  <si>
    <t>自</t>
    <rPh sb="0" eb="1">
      <t>ジ</t>
    </rPh>
    <phoneticPr fontId="2"/>
  </si>
  <si>
    <t>至</t>
    <rPh sb="0" eb="1">
      <t>イタ</t>
    </rPh>
    <phoneticPr fontId="2"/>
  </si>
  <si>
    <t>工事を施工しない日</t>
    <rPh sb="0" eb="2">
      <t>コウジ</t>
    </rPh>
    <rPh sb="3" eb="5">
      <t>セコウ</t>
    </rPh>
    <rPh sb="8" eb="9">
      <t>ニチ</t>
    </rPh>
    <phoneticPr fontId="2"/>
  </si>
  <si>
    <t>工事を施工しない時間帯</t>
    <rPh sb="0" eb="2">
      <t>コウジ</t>
    </rPh>
    <rPh sb="3" eb="5">
      <t>セコウ</t>
    </rPh>
    <rPh sb="8" eb="11">
      <t>ジカンタイ</t>
    </rPh>
    <phoneticPr fontId="2"/>
  </si>
  <si>
    <t>請負代金</t>
    <rPh sb="0" eb="2">
      <t>ウケオイ</t>
    </rPh>
    <rPh sb="2" eb="4">
      <t>ダイキン</t>
    </rPh>
    <phoneticPr fontId="2"/>
  </si>
  <si>
    <t>うち消費税額</t>
    <rPh sb="2" eb="5">
      <t>ショウヒゼイ</t>
    </rPh>
    <rPh sb="5" eb="6">
      <t>ガク</t>
    </rPh>
    <phoneticPr fontId="2"/>
  </si>
  <si>
    <t>契約保証金</t>
    <rPh sb="0" eb="2">
      <t>ケイヤク</t>
    </rPh>
    <rPh sb="2" eb="5">
      <t>ホショウキン</t>
    </rPh>
    <phoneticPr fontId="2"/>
  </si>
  <si>
    <t>契約日</t>
    <rPh sb="0" eb="3">
      <t>ケイヤクビ</t>
    </rPh>
    <phoneticPr fontId="2"/>
  </si>
  <si>
    <t>受注者</t>
    <rPh sb="0" eb="3">
      <t>ジュチュウシャ</t>
    </rPh>
    <phoneticPr fontId="2"/>
  </si>
  <si>
    <t>工事請負約款</t>
    <rPh sb="0" eb="2">
      <t>コウジ</t>
    </rPh>
    <rPh sb="2" eb="4">
      <t>ウケオイ</t>
    </rPh>
    <rPh sb="4" eb="6">
      <t>ヤッカン</t>
    </rPh>
    <phoneticPr fontId="2"/>
  </si>
  <si>
    <t>（部分払）</t>
    <rPh sb="1" eb="3">
      <t>ブブン</t>
    </rPh>
    <rPh sb="3" eb="4">
      <t>バラ</t>
    </rPh>
    <phoneticPr fontId="2"/>
  </si>
  <si>
    <t>回数</t>
    <rPh sb="0" eb="2">
      <t>カイスウ</t>
    </rPh>
    <phoneticPr fontId="2"/>
  </si>
  <si>
    <t>（債務に係る特則）</t>
    <rPh sb="1" eb="3">
      <t>サイム</t>
    </rPh>
    <rPh sb="4" eb="5">
      <t>カカ</t>
    </rPh>
    <rPh sb="6" eb="8">
      <t>トクソク</t>
    </rPh>
    <phoneticPr fontId="2"/>
  </si>
  <si>
    <t>（契約の保証）</t>
    <rPh sb="1" eb="3">
      <t>ケイヤク</t>
    </rPh>
    <rPh sb="4" eb="6">
      <t>ホショウ</t>
    </rPh>
    <phoneticPr fontId="2"/>
  </si>
  <si>
    <t>第4条</t>
    <rPh sb="0" eb="1">
      <t>ダイ</t>
    </rPh>
    <rPh sb="2" eb="3">
      <t>ジョウ</t>
    </rPh>
    <phoneticPr fontId="2"/>
  </si>
  <si>
    <t>第10条第1項第2号</t>
    <rPh sb="0" eb="1">
      <t>ダイ</t>
    </rPh>
    <rPh sb="3" eb="4">
      <t>ジョウ</t>
    </rPh>
    <rPh sb="4" eb="5">
      <t>ダイ</t>
    </rPh>
    <rPh sb="6" eb="7">
      <t>コウ</t>
    </rPh>
    <rPh sb="7" eb="8">
      <t>ダイ</t>
    </rPh>
    <rPh sb="9" eb="10">
      <t>ゴウ</t>
    </rPh>
    <phoneticPr fontId="2"/>
  </si>
  <si>
    <t>（利率）</t>
    <rPh sb="1" eb="3">
      <t>リリツ</t>
    </rPh>
    <phoneticPr fontId="2"/>
  </si>
  <si>
    <t>第34条第6項</t>
    <rPh sb="0" eb="1">
      <t>ダイ</t>
    </rPh>
    <rPh sb="3" eb="4">
      <t>ジョウ</t>
    </rPh>
    <rPh sb="4" eb="5">
      <t>ダイ</t>
    </rPh>
    <rPh sb="6" eb="7">
      <t>コウ</t>
    </rPh>
    <phoneticPr fontId="2"/>
  </si>
  <si>
    <t>第55条第3項</t>
    <rPh sb="0" eb="1">
      <t>ダイ</t>
    </rPh>
    <rPh sb="3" eb="4">
      <t>ジョウ</t>
    </rPh>
    <rPh sb="4" eb="5">
      <t>ダイ</t>
    </rPh>
    <rPh sb="6" eb="7">
      <t>コウ</t>
    </rPh>
    <phoneticPr fontId="2"/>
  </si>
  <si>
    <t>第56条第5項</t>
    <rPh sb="0" eb="1">
      <t>ダイ</t>
    </rPh>
    <rPh sb="3" eb="4">
      <t>ジョウ</t>
    </rPh>
    <rPh sb="4" eb="5">
      <t>ダイ</t>
    </rPh>
    <rPh sb="6" eb="7">
      <t>コウ</t>
    </rPh>
    <phoneticPr fontId="2"/>
  </si>
  <si>
    <t>第58条第2項</t>
    <rPh sb="0" eb="1">
      <t>ダイ</t>
    </rPh>
    <rPh sb="3" eb="4">
      <t>ジョウ</t>
    </rPh>
    <rPh sb="4" eb="5">
      <t>ダイ</t>
    </rPh>
    <rPh sb="6" eb="7">
      <t>コウ</t>
    </rPh>
    <phoneticPr fontId="2"/>
  </si>
  <si>
    <t>第38条第1項</t>
    <rPh sb="0" eb="1">
      <t>ダイ</t>
    </rPh>
    <rPh sb="3" eb="4">
      <t>ジョウ</t>
    </rPh>
    <rPh sb="4" eb="5">
      <t>ダイ</t>
    </rPh>
    <rPh sb="6" eb="7">
      <t>コウ</t>
    </rPh>
    <phoneticPr fontId="2"/>
  </si>
  <si>
    <t>（主任技術者等）</t>
    <rPh sb="1" eb="3">
      <t>シュニン</t>
    </rPh>
    <rPh sb="3" eb="6">
      <t>ギジュツシャ</t>
    </rPh>
    <rPh sb="6" eb="7">
      <t>トウ</t>
    </rPh>
    <phoneticPr fontId="2"/>
  </si>
  <si>
    <t>※発注者側で制御</t>
    <rPh sb="1" eb="4">
      <t>ハッチュウシャ</t>
    </rPh>
    <rPh sb="4" eb="5">
      <t>ガワ</t>
    </rPh>
    <rPh sb="6" eb="8">
      <t>セイギョ</t>
    </rPh>
    <phoneticPr fontId="2"/>
  </si>
  <si>
    <t>仲裁合意書</t>
    <rPh sb="0" eb="2">
      <t>チュウサイ</t>
    </rPh>
    <rPh sb="2" eb="5">
      <t>ゴウイショ</t>
    </rPh>
    <phoneticPr fontId="2"/>
  </si>
  <si>
    <t>契約締結日</t>
    <rPh sb="0" eb="2">
      <t>ケイヤク</t>
    </rPh>
    <rPh sb="2" eb="4">
      <t>テイケツ</t>
    </rPh>
    <rPh sb="4" eb="5">
      <t>ビ</t>
    </rPh>
    <phoneticPr fontId="2"/>
  </si>
  <si>
    <t>日付</t>
    <rPh sb="0" eb="2">
      <t>ヒヅケ</t>
    </rPh>
    <phoneticPr fontId="2"/>
  </si>
  <si>
    <t>課税事業者届出書</t>
    <rPh sb="0" eb="2">
      <t>カゼイ</t>
    </rPh>
    <rPh sb="2" eb="5">
      <t>ジギョウシャ</t>
    </rPh>
    <rPh sb="5" eb="8">
      <t>トドケデショ</t>
    </rPh>
    <phoneticPr fontId="2"/>
  </si>
  <si>
    <t>提出日</t>
    <rPh sb="0" eb="3">
      <t>テイシュツビ</t>
    </rPh>
    <phoneticPr fontId="2"/>
  </si>
  <si>
    <t>住所</t>
    <rPh sb="0" eb="2">
      <t>ジュウショ</t>
    </rPh>
    <phoneticPr fontId="2"/>
  </si>
  <si>
    <t>商号等</t>
    <rPh sb="0" eb="2">
      <t>ショウゴウ</t>
    </rPh>
    <rPh sb="2" eb="3">
      <t>トウ</t>
    </rPh>
    <phoneticPr fontId="2"/>
  </si>
  <si>
    <t>代表者名</t>
    <rPh sb="0" eb="3">
      <t>ダイヒョウシャ</t>
    </rPh>
    <rPh sb="3" eb="4">
      <t>メイ</t>
    </rPh>
    <phoneticPr fontId="2"/>
  </si>
  <si>
    <t>課税期間</t>
    <rPh sb="0" eb="2">
      <t>カゼイ</t>
    </rPh>
    <rPh sb="2" eb="4">
      <t>キカン</t>
    </rPh>
    <phoneticPr fontId="2"/>
  </si>
  <si>
    <t>から</t>
    <phoneticPr fontId="2"/>
  </si>
  <si>
    <t>まで</t>
    <phoneticPr fontId="2"/>
  </si>
  <si>
    <t>入札結果から</t>
    <rPh sb="0" eb="2">
      <t>ニュウサツ</t>
    </rPh>
    <rPh sb="2" eb="4">
      <t>ケッカ</t>
    </rPh>
    <phoneticPr fontId="2"/>
  </si>
  <si>
    <t>工事開始通知書</t>
    <rPh sb="0" eb="2">
      <t>コウジ</t>
    </rPh>
    <rPh sb="2" eb="4">
      <t>カイシ</t>
    </rPh>
    <rPh sb="4" eb="7">
      <t>ツウチショ</t>
    </rPh>
    <phoneticPr fontId="2"/>
  </si>
  <si>
    <t>工事開始日</t>
    <rPh sb="0" eb="2">
      <t>コウジ</t>
    </rPh>
    <rPh sb="2" eb="5">
      <t>カイシビ</t>
    </rPh>
    <phoneticPr fontId="2"/>
  </si>
  <si>
    <t>完成工期</t>
    <rPh sb="0" eb="2">
      <t>カンセイ</t>
    </rPh>
    <rPh sb="2" eb="4">
      <t>コウキ</t>
    </rPh>
    <phoneticPr fontId="2"/>
  </si>
  <si>
    <t>現場代理人・主任技術者等選任（変更）通知書</t>
    <phoneticPr fontId="2"/>
  </si>
  <si>
    <t>請負代金額</t>
    <rPh sb="0" eb="2">
      <t>ウケオイ</t>
    </rPh>
    <rPh sb="2" eb="4">
      <t>ダイキン</t>
    </rPh>
    <rPh sb="4" eb="5">
      <t>ガク</t>
    </rPh>
    <phoneticPr fontId="2"/>
  </si>
  <si>
    <t>下請計画書</t>
    <rPh sb="0" eb="2">
      <t>シタウ</t>
    </rPh>
    <rPh sb="2" eb="5">
      <t>ケイカクショ</t>
    </rPh>
    <phoneticPr fontId="2"/>
  </si>
  <si>
    <t>契約金</t>
    <rPh sb="0" eb="3">
      <t>ケイヤクキン</t>
    </rPh>
    <phoneticPr fontId="2"/>
  </si>
  <si>
    <t>資格業種</t>
    <rPh sb="0" eb="2">
      <t>シカク</t>
    </rPh>
    <rPh sb="2" eb="4">
      <t>ギョウシュ</t>
    </rPh>
    <phoneticPr fontId="2"/>
  </si>
  <si>
    <t>業種</t>
    <rPh sb="0" eb="2">
      <t>ギョウシュ</t>
    </rPh>
    <phoneticPr fontId="2"/>
  </si>
  <si>
    <t>工程表</t>
    <rPh sb="0" eb="3">
      <t>コウテイヒョウ</t>
    </rPh>
    <phoneticPr fontId="2"/>
  </si>
  <si>
    <t>契約書から</t>
    <rPh sb="0" eb="3">
      <t>ケイヤクショ</t>
    </rPh>
    <phoneticPr fontId="2"/>
  </si>
  <si>
    <t>※1年後の前日</t>
    <rPh sb="2" eb="4">
      <t>ネンゴ</t>
    </rPh>
    <rPh sb="5" eb="7">
      <t>ゼンジツ</t>
    </rPh>
    <phoneticPr fontId="2"/>
  </si>
  <si>
    <t>※契約金額から判断</t>
    <rPh sb="1" eb="4">
      <t>ケイヤクキン</t>
    </rPh>
    <rPh sb="4" eb="5">
      <t>ガク</t>
    </rPh>
    <rPh sb="7" eb="9">
      <t>ハンダン</t>
    </rPh>
    <phoneticPr fontId="2"/>
  </si>
  <si>
    <t>※債務の有無で判断</t>
    <rPh sb="1" eb="3">
      <t>サイム</t>
    </rPh>
    <rPh sb="4" eb="6">
      <t>ウム</t>
    </rPh>
    <rPh sb="7" eb="9">
      <t>ハンダン</t>
    </rPh>
    <phoneticPr fontId="2"/>
  </si>
  <si>
    <r>
      <t>※契約締結日の翌日から</t>
    </r>
    <r>
      <rPr>
        <b/>
        <sz val="11"/>
        <color rgb="FFFF0000"/>
        <rFont val="ＭＳ Ｐゴシック"/>
        <family val="3"/>
        <charset val="128"/>
      </rPr>
      <t>任意の余裕期間</t>
    </r>
    <r>
      <rPr>
        <sz val="11"/>
        <color rgb="FFFF0000"/>
        <rFont val="ＭＳ Ｐゴシック"/>
        <family val="2"/>
        <charset val="128"/>
      </rPr>
      <t>を加えた日</t>
    </r>
    <rPh sb="1" eb="3">
      <t>ケイヤク</t>
    </rPh>
    <rPh sb="3" eb="5">
      <t>テイケツ</t>
    </rPh>
    <rPh sb="5" eb="6">
      <t>ビ</t>
    </rPh>
    <rPh sb="7" eb="9">
      <t>ヨクジツ</t>
    </rPh>
    <rPh sb="11" eb="13">
      <t>ニンイ</t>
    </rPh>
    <rPh sb="14" eb="16">
      <t>ヨユウ</t>
    </rPh>
    <rPh sb="16" eb="18">
      <t>キカン</t>
    </rPh>
    <rPh sb="19" eb="20">
      <t>クワ</t>
    </rPh>
    <rPh sb="22" eb="23">
      <t>ニチ</t>
    </rPh>
    <phoneticPr fontId="2"/>
  </si>
  <si>
    <t>（レアケース？）</t>
    <phoneticPr fontId="2"/>
  </si>
  <si>
    <t>※任意の余裕期間が設定されているときに限る</t>
    <rPh sb="1" eb="3">
      <t>ニンイ</t>
    </rPh>
    <rPh sb="4" eb="8">
      <t>ヨユウキカン</t>
    </rPh>
    <rPh sb="9" eb="11">
      <t>セッテイ</t>
    </rPh>
    <rPh sb="19" eb="20">
      <t>カギ</t>
    </rPh>
    <phoneticPr fontId="2"/>
  </si>
  <si>
    <t>※請負代金の10/100以上</t>
    <rPh sb="1" eb="3">
      <t>ウケオイ</t>
    </rPh>
    <rPh sb="3" eb="5">
      <t>ダイキン</t>
    </rPh>
    <rPh sb="12" eb="14">
      <t>イジョウ</t>
    </rPh>
    <phoneticPr fontId="2"/>
  </si>
  <si>
    <t>※契約日までの日付</t>
    <rPh sb="1" eb="4">
      <t>ケイヤクビ</t>
    </rPh>
    <rPh sb="7" eb="9">
      <t>ヒヅケ</t>
    </rPh>
    <phoneticPr fontId="2"/>
  </si>
  <si>
    <t>※余裕期間の上限：特記仕様書に記載</t>
    <rPh sb="1" eb="3">
      <t>ヨユウ</t>
    </rPh>
    <rPh sb="3" eb="5">
      <t>キカン</t>
    </rPh>
    <rPh sb="6" eb="8">
      <t>ジョウゲン</t>
    </rPh>
    <rPh sb="9" eb="11">
      <t>トッキ</t>
    </rPh>
    <rPh sb="11" eb="14">
      <t>シヨウショ</t>
    </rPh>
    <rPh sb="15" eb="17">
      <t>キサイ</t>
    </rPh>
    <phoneticPr fontId="2"/>
  </si>
  <si>
    <t>※以下の項目から判断</t>
    <rPh sb="1" eb="3">
      <t>イカ</t>
    </rPh>
    <rPh sb="4" eb="6">
      <t>コウモク</t>
    </rPh>
    <rPh sb="8" eb="10">
      <t>ハンダン</t>
    </rPh>
    <phoneticPr fontId="2"/>
  </si>
  <si>
    <t>※契約日の翌日</t>
    <rPh sb="1" eb="4">
      <t>ケイヤクビ</t>
    </rPh>
    <rPh sb="5" eb="7">
      <t>ヨクジツ</t>
    </rPh>
    <phoneticPr fontId="2"/>
  </si>
  <si>
    <t>※自に余裕期間と実工事期間を加えた日</t>
    <rPh sb="1" eb="2">
      <t>ジ</t>
    </rPh>
    <rPh sb="3" eb="5">
      <t>ヨユウ</t>
    </rPh>
    <rPh sb="5" eb="7">
      <t>キカン</t>
    </rPh>
    <rPh sb="8" eb="9">
      <t>ジツ</t>
    </rPh>
    <rPh sb="9" eb="11">
      <t>コウジ</t>
    </rPh>
    <rPh sb="11" eb="13">
      <t>キカン</t>
    </rPh>
    <rPh sb="14" eb="15">
      <t>クワ</t>
    </rPh>
    <rPh sb="17" eb="18">
      <t>ニチ</t>
    </rPh>
    <phoneticPr fontId="2"/>
  </si>
  <si>
    <t>余裕期間</t>
    <rPh sb="0" eb="2">
      <t>ヨユウ</t>
    </rPh>
    <rPh sb="2" eb="4">
      <t>キカン</t>
    </rPh>
    <phoneticPr fontId="2"/>
  </si>
  <si>
    <t>下請計画書から</t>
    <rPh sb="0" eb="2">
      <t>シタウ</t>
    </rPh>
    <rPh sb="2" eb="4">
      <t>ケイカク</t>
    </rPh>
    <rPh sb="4" eb="5">
      <t>ショ</t>
    </rPh>
    <phoneticPr fontId="2"/>
  </si>
  <si>
    <t>入札結果から</t>
    <rPh sb="0" eb="2">
      <t>ニュウサツ</t>
    </rPh>
    <rPh sb="2" eb="4">
      <t>ケッカ</t>
    </rPh>
    <phoneticPr fontId="2"/>
  </si>
  <si>
    <t>業種：</t>
    <phoneticPr fontId="2"/>
  </si>
  <si>
    <t>下請発注総額：</t>
    <phoneticPr fontId="2"/>
  </si>
  <si>
    <t>請負額：</t>
    <rPh sb="0" eb="2">
      <t>ウケオイ</t>
    </rPh>
    <phoneticPr fontId="2"/>
  </si>
  <si>
    <t>契約金額：</t>
    <rPh sb="0" eb="3">
      <t>ケイヤクキン</t>
    </rPh>
    <rPh sb="3" eb="4">
      <t>ガク</t>
    </rPh>
    <phoneticPr fontId="2"/>
  </si>
  <si>
    <t>予定価格：</t>
    <rPh sb="0" eb="2">
      <t>ヨテイ</t>
    </rPh>
    <rPh sb="2" eb="4">
      <t>カカク</t>
    </rPh>
    <phoneticPr fontId="2"/>
  </si>
  <si>
    <t>契約形態：</t>
    <rPh sb="0" eb="2">
      <t>ケイヤク</t>
    </rPh>
    <rPh sb="2" eb="4">
      <t>ケイタイ</t>
    </rPh>
    <phoneticPr fontId="2"/>
  </si>
  <si>
    <t>※随契か否か</t>
    <rPh sb="1" eb="3">
      <t>ズイケイ</t>
    </rPh>
    <rPh sb="4" eb="5">
      <t>イナ</t>
    </rPh>
    <phoneticPr fontId="2"/>
  </si>
  <si>
    <t>※支払限度額等通知書から</t>
    <rPh sb="1" eb="3">
      <t>シハライ</t>
    </rPh>
    <rPh sb="3" eb="6">
      <t>ゲンドガク</t>
    </rPh>
    <rPh sb="6" eb="7">
      <t>トウ</t>
    </rPh>
    <rPh sb="7" eb="9">
      <t>ツウチ</t>
    </rPh>
    <rPh sb="9" eb="10">
      <t>ショ</t>
    </rPh>
    <phoneticPr fontId="2"/>
  </si>
  <si>
    <t>第41条第3項</t>
    <rPh sb="0" eb="1">
      <t>ダイ</t>
    </rPh>
    <rPh sb="3" eb="4">
      <t>ジョウ</t>
    </rPh>
    <rPh sb="4" eb="5">
      <t>ダイ</t>
    </rPh>
    <rPh sb="6" eb="7">
      <t>コウ</t>
    </rPh>
    <phoneticPr fontId="2"/>
  </si>
  <si>
    <t>第40条第1項、第2項</t>
    <rPh sb="0" eb="1">
      <t>ダイ</t>
    </rPh>
    <rPh sb="3" eb="4">
      <t>ジョウ</t>
    </rPh>
    <rPh sb="4" eb="5">
      <t>ダイ</t>
    </rPh>
    <rPh sb="6" eb="7">
      <t>コウ</t>
    </rPh>
    <rPh sb="8" eb="9">
      <t>ダイ</t>
    </rPh>
    <rPh sb="10" eb="11">
      <t>コウ</t>
    </rPh>
    <phoneticPr fontId="2"/>
  </si>
  <si>
    <t>第42条第3項</t>
    <rPh sb="0" eb="1">
      <t>ダイ</t>
    </rPh>
    <rPh sb="3" eb="4">
      <t>ジョウ</t>
    </rPh>
    <rPh sb="4" eb="5">
      <t>ダイ</t>
    </rPh>
    <rPh sb="6" eb="7">
      <t>コウ</t>
    </rPh>
    <phoneticPr fontId="2"/>
  </si>
  <si>
    <t>あり</t>
  </si>
  <si>
    <t>前払請求</t>
    <rPh sb="0" eb="2">
      <t>マエバラ</t>
    </rPh>
    <rPh sb="2" eb="4">
      <t>セイキュウ</t>
    </rPh>
    <phoneticPr fontId="2"/>
  </si>
  <si>
    <t>土木</t>
    <rPh sb="0" eb="2">
      <t>ドボク</t>
    </rPh>
    <phoneticPr fontId="2"/>
  </si>
  <si>
    <t>９－１　現場代理人・主任技術者等選任（変更）通知書</t>
    <phoneticPr fontId="2"/>
  </si>
  <si>
    <t>７　課税（免税）事業者届出書</t>
    <phoneticPr fontId="2"/>
  </si>
  <si>
    <t>工事区分</t>
    <rPh sb="0" eb="2">
      <t>コウジ</t>
    </rPh>
    <rPh sb="2" eb="4">
      <t>クブン</t>
    </rPh>
    <phoneticPr fontId="2"/>
  </si>
  <si>
    <t>低入札調査</t>
    <rPh sb="0" eb="1">
      <t>テイ</t>
    </rPh>
    <rPh sb="1" eb="3">
      <t>ニュウサツ</t>
    </rPh>
    <rPh sb="3" eb="5">
      <t>チョウサ</t>
    </rPh>
    <phoneticPr fontId="2"/>
  </si>
  <si>
    <t>債務</t>
    <rPh sb="0" eb="2">
      <t>サイム</t>
    </rPh>
    <phoneticPr fontId="2"/>
  </si>
  <si>
    <t>公共工事履行保証証券</t>
    <rPh sb="0" eb="2">
      <t>コウキョウ</t>
    </rPh>
    <rPh sb="2" eb="4">
      <t>コウジ</t>
    </rPh>
    <rPh sb="4" eb="6">
      <t>リコウ</t>
    </rPh>
    <rPh sb="6" eb="8">
      <t>ホショウ</t>
    </rPh>
    <rPh sb="8" eb="10">
      <t>ショウケン</t>
    </rPh>
    <phoneticPr fontId="2"/>
  </si>
  <si>
    <t>現場説明書　　工事を施工しない日又は時間帯</t>
    <rPh sb="0" eb="2">
      <t>ゲンバ</t>
    </rPh>
    <rPh sb="2" eb="5">
      <t>セツメイショ</t>
    </rPh>
    <rPh sb="7" eb="9">
      <t>コウジ</t>
    </rPh>
    <rPh sb="10" eb="12">
      <t>シコウ</t>
    </rPh>
    <rPh sb="15" eb="16">
      <t>ニチ</t>
    </rPh>
    <rPh sb="16" eb="17">
      <t>マタ</t>
    </rPh>
    <rPh sb="18" eb="21">
      <t>ジカンタイ</t>
    </rPh>
    <phoneticPr fontId="2"/>
  </si>
  <si>
    <t>特記仕様書　　路上工事縮減対策</t>
    <rPh sb="0" eb="2">
      <t>トッキ</t>
    </rPh>
    <rPh sb="2" eb="5">
      <t>シヨウショ</t>
    </rPh>
    <rPh sb="7" eb="15">
      <t>ロジョウコウジシュクゲンタイサク</t>
    </rPh>
    <phoneticPr fontId="2"/>
  </si>
  <si>
    <t>単体</t>
    <rPh sb="0" eb="2">
      <t>タンタイ</t>
    </rPh>
    <phoneticPr fontId="2"/>
  </si>
  <si>
    <t>企業形態</t>
    <rPh sb="0" eb="2">
      <t>キギョウ</t>
    </rPh>
    <rPh sb="2" eb="4">
      <t>ケイタイ</t>
    </rPh>
    <phoneticPr fontId="2"/>
  </si>
  <si>
    <t>なし</t>
    <phoneticPr fontId="2"/>
  </si>
  <si>
    <t>２行を ｝（波括弧）でまとめて「設計図書のとおり」と記述</t>
    <rPh sb="1" eb="2">
      <t>ギョウ</t>
    </rPh>
    <rPh sb="16" eb="18">
      <t>セッケイ</t>
    </rPh>
    <rPh sb="18" eb="20">
      <t>トショ</t>
    </rPh>
    <rPh sb="26" eb="28">
      <t>キジュツ</t>
    </rPh>
    <phoneticPr fontId="2"/>
  </si>
  <si>
    <t>あり</t>
    <phoneticPr fontId="2"/>
  </si>
  <si>
    <t>路上工事縮減対策</t>
    <rPh sb="0" eb="8">
      <t>ロジョウコウジシュクゲンタイサク</t>
    </rPh>
    <phoneticPr fontId="2"/>
  </si>
  <si>
    <t>－</t>
    <phoneticPr fontId="2"/>
  </si>
  <si>
    <t>２７　請求書</t>
    <rPh sb="3" eb="6">
      <t>セイキュウショ</t>
    </rPh>
    <phoneticPr fontId="2"/>
  </si>
  <si>
    <t>１０－３　請負代金内訳書（建築関係工事）</t>
    <rPh sb="13" eb="15">
      <t>ケンチク</t>
    </rPh>
    <phoneticPr fontId="2"/>
  </si>
  <si>
    <t>建築</t>
    <rPh sb="0" eb="2">
      <t>ケンチク</t>
    </rPh>
    <phoneticPr fontId="2"/>
  </si>
  <si>
    <t>１０－２　請負代金内訳書（土木関係工事）</t>
    <phoneticPr fontId="2"/>
  </si>
  <si>
    <t>８　契約保証の額及び前金払の割合に係る特約条項</t>
    <phoneticPr fontId="2"/>
  </si>
  <si>
    <t>免除</t>
    <rPh sb="0" eb="2">
      <t>メンジョ</t>
    </rPh>
    <phoneticPr fontId="2"/>
  </si>
  <si>
    <t>無保証</t>
    <rPh sb="0" eb="3">
      <t>ムホショウ</t>
    </rPh>
    <phoneticPr fontId="2"/>
  </si>
  <si>
    <t>履行保証保険契約</t>
    <rPh sb="0" eb="2">
      <t>リコウ</t>
    </rPh>
    <rPh sb="2" eb="4">
      <t>ホショウ</t>
    </rPh>
    <rPh sb="4" eb="6">
      <t>ホケン</t>
    </rPh>
    <rPh sb="6" eb="8">
      <t>ケイヤク</t>
    </rPh>
    <phoneticPr fontId="2"/>
  </si>
  <si>
    <t>保証金額</t>
    <rPh sb="0" eb="2">
      <t>ホショウ</t>
    </rPh>
    <rPh sb="2" eb="4">
      <t>キンガク</t>
    </rPh>
    <phoneticPr fontId="2"/>
  </si>
  <si>
    <t>額面金額の総額</t>
    <rPh sb="0" eb="2">
      <t>ガクメン</t>
    </rPh>
    <rPh sb="2" eb="4">
      <t>キンガク</t>
    </rPh>
    <rPh sb="5" eb="7">
      <t>ソウガク</t>
    </rPh>
    <phoneticPr fontId="2"/>
  </si>
  <si>
    <t>国債提供</t>
    <rPh sb="0" eb="2">
      <t>コクサイ</t>
    </rPh>
    <rPh sb="2" eb="4">
      <t>テイキョウ</t>
    </rPh>
    <phoneticPr fontId="2"/>
  </si>
  <si>
    <t>納付額</t>
    <rPh sb="0" eb="3">
      <t>ノウフガク</t>
    </rPh>
    <phoneticPr fontId="2"/>
  </si>
  <si>
    <t>現金納付</t>
    <rPh sb="0" eb="2">
      <t>ゲンキン</t>
    </rPh>
    <rPh sb="2" eb="4">
      <t>ノウフ</t>
    </rPh>
    <phoneticPr fontId="2"/>
  </si>
  <si>
    <t>６　法第13条第1項及び省令第4条に基づく書面（公共機関用） 別紙３</t>
    <rPh sb="31" eb="33">
      <t>ベッシ</t>
    </rPh>
    <phoneticPr fontId="2"/>
  </si>
  <si>
    <t>６　法第13条第1項及び省令第4条に基づく書面（公共機関用） 別紙２</t>
    <rPh sb="31" eb="33">
      <t>ベッシ</t>
    </rPh>
    <phoneticPr fontId="2"/>
  </si>
  <si>
    <t>建築物に係る新築工事等（新築・増築・修繕・模様替）</t>
    <rPh sb="0" eb="3">
      <t>ケンチクブツ</t>
    </rPh>
    <rPh sb="4" eb="5">
      <t>カカ</t>
    </rPh>
    <rPh sb="6" eb="8">
      <t>シンチク</t>
    </rPh>
    <rPh sb="8" eb="10">
      <t>コウジ</t>
    </rPh>
    <rPh sb="10" eb="11">
      <t>トウ</t>
    </rPh>
    <rPh sb="12" eb="14">
      <t>シンチク</t>
    </rPh>
    <rPh sb="15" eb="17">
      <t>ゾウチク</t>
    </rPh>
    <rPh sb="18" eb="20">
      <t>シュウゼン</t>
    </rPh>
    <rPh sb="21" eb="24">
      <t>モヨウガ</t>
    </rPh>
    <phoneticPr fontId="2"/>
  </si>
  <si>
    <t>６　法第13条第1項及び省令第4条に基づく書面（公共機関用） 別紙１</t>
    <rPh sb="31" eb="33">
      <t>ベッシ</t>
    </rPh>
    <phoneticPr fontId="2"/>
  </si>
  <si>
    <t>建築物に係る解体工事</t>
    <phoneticPr fontId="2"/>
  </si>
  <si>
    <t>５－１　 大分県公共工事請負契約約款（通常）</t>
    <rPh sb="19" eb="21">
      <t>ツウジョウ</t>
    </rPh>
    <phoneticPr fontId="2"/>
  </si>
  <si>
    <t>５－２　 大分県公共工事請負契約約款（債務）</t>
    <rPh sb="19" eb="21">
      <t>サイム</t>
    </rPh>
    <phoneticPr fontId="2"/>
  </si>
  <si>
    <t>２　建設工事請負契約書 （ 共同企業体用 ）</t>
    <phoneticPr fontId="2"/>
  </si>
  <si>
    <t>共同企業体</t>
    <rPh sb="0" eb="2">
      <t>キョウドウ</t>
    </rPh>
    <rPh sb="2" eb="5">
      <t>キギョウタイ</t>
    </rPh>
    <phoneticPr fontId="2"/>
  </si>
  <si>
    <t>１　建設工事請負契約書 （ 単体用 ）</t>
    <phoneticPr fontId="2"/>
  </si>
  <si>
    <t>様式－１　工事開始日通知書</t>
    <rPh sb="0" eb="2">
      <t>ヨウシキ</t>
    </rPh>
    <rPh sb="5" eb="7">
      <t>コウジ</t>
    </rPh>
    <rPh sb="7" eb="10">
      <t>カイシビ</t>
    </rPh>
    <rPh sb="10" eb="13">
      <t>ツウチショ</t>
    </rPh>
    <phoneticPr fontId="2"/>
  </si>
  <si>
    <t>主任技術者</t>
    <rPh sb="0" eb="2">
      <t>シュニン</t>
    </rPh>
    <rPh sb="2" eb="5">
      <t>ギジュツシャ</t>
    </rPh>
    <phoneticPr fontId="2"/>
  </si>
  <si>
    <t>専任主任技術者</t>
    <rPh sb="0" eb="2">
      <t>センニン</t>
    </rPh>
    <rPh sb="2" eb="4">
      <t>シュニン</t>
    </rPh>
    <rPh sb="4" eb="7">
      <t>ギジュツシャ</t>
    </rPh>
    <phoneticPr fontId="2"/>
  </si>
  <si>
    <t>未満</t>
    <rPh sb="0" eb="2">
      <t>ミマン</t>
    </rPh>
    <phoneticPr fontId="2"/>
  </si>
  <si>
    <t>万円</t>
    <rPh sb="0" eb="2">
      <t>マンエン</t>
    </rPh>
    <phoneticPr fontId="2"/>
  </si>
  <si>
    <t>以上</t>
    <phoneticPr fontId="2"/>
  </si>
  <si>
    <t>下請発注総額</t>
    <rPh sb="0" eb="2">
      <t>シタウ</t>
    </rPh>
    <rPh sb="2" eb="4">
      <t>ハッチュウ</t>
    </rPh>
    <rPh sb="4" eb="6">
      <t>ソウガク</t>
    </rPh>
    <phoneticPr fontId="2"/>
  </si>
  <si>
    <t>管理技術者</t>
    <phoneticPr fontId="2"/>
  </si>
  <si>
    <t>管理技術者補佐</t>
    <rPh sb="0" eb="2">
      <t>カンリ</t>
    </rPh>
    <rPh sb="2" eb="5">
      <t>ギジュツシャ</t>
    </rPh>
    <rPh sb="5" eb="7">
      <t>ホサ</t>
    </rPh>
    <phoneticPr fontId="2"/>
  </si>
  <si>
    <t>金融機関（銀行、前払保証会社等）の保証</t>
    <rPh sb="0" eb="2">
      <t>キンユウ</t>
    </rPh>
    <rPh sb="2" eb="4">
      <t>キカン</t>
    </rPh>
    <rPh sb="5" eb="7">
      <t>ギンコウ</t>
    </rPh>
    <rPh sb="8" eb="10">
      <t>マエバラ</t>
    </rPh>
    <rPh sb="10" eb="12">
      <t>ホショウ</t>
    </rPh>
    <rPh sb="12" eb="14">
      <t>ガイシャ</t>
    </rPh>
    <rPh sb="14" eb="15">
      <t>トウ</t>
    </rPh>
    <rPh sb="17" eb="19">
      <t>ホショウ</t>
    </rPh>
    <phoneticPr fontId="2"/>
  </si>
  <si>
    <t>☑</t>
    <phoneticPr fontId="2"/>
  </si>
  <si>
    <t>工事を落札したら以下の諸条件を入力し、</t>
    <rPh sb="0" eb="2">
      <t>コウジ</t>
    </rPh>
    <rPh sb="3" eb="5">
      <t>ラクサツ</t>
    </rPh>
    <rPh sb="8" eb="10">
      <t>イカ</t>
    </rPh>
    <rPh sb="11" eb="14">
      <t>ショジョウケン</t>
    </rPh>
    <rPh sb="15" eb="17">
      <t>ニュウリョク</t>
    </rPh>
    <phoneticPr fontId="2"/>
  </si>
  <si>
    <t>表示されている書類を作成のうえ発注者に提出してください。</t>
    <rPh sb="0" eb="2">
      <t>ヒョウジ</t>
    </rPh>
    <rPh sb="7" eb="9">
      <t>ショルイ</t>
    </rPh>
    <rPh sb="10" eb="12">
      <t>サクセイ</t>
    </rPh>
    <rPh sb="15" eb="18">
      <t>ハッチュウシャ</t>
    </rPh>
    <rPh sb="19" eb="21">
      <t>テイシュツ</t>
    </rPh>
    <phoneticPr fontId="2"/>
  </si>
  <si>
    <t>建築物以外（土木工事等）</t>
    <phoneticPr fontId="2"/>
  </si>
  <si>
    <t>特記仕様書</t>
    <rPh sb="0" eb="2">
      <t>トッキ</t>
    </rPh>
    <rPh sb="2" eb="5">
      <t>シヨウショ</t>
    </rPh>
    <phoneticPr fontId="2"/>
  </si>
  <si>
    <t>路上工事縮減対策</t>
    <rPh sb="0" eb="8">
      <t>ロジョウコウジシュクゲンタイサク</t>
    </rPh>
    <phoneticPr fontId="2"/>
  </si>
  <si>
    <t>実工事期間</t>
    <rPh sb="0" eb="1">
      <t>ジツ</t>
    </rPh>
    <rPh sb="1" eb="3">
      <t>コウジ</t>
    </rPh>
    <rPh sb="3" eb="5">
      <t>キカン</t>
    </rPh>
    <phoneticPr fontId="2"/>
  </si>
  <si>
    <t>工事着手期限</t>
    <rPh sb="0" eb="2">
      <t>コウジ</t>
    </rPh>
    <rPh sb="2" eb="4">
      <t>チャクシュ</t>
    </rPh>
    <rPh sb="4" eb="6">
      <t>キゲン</t>
    </rPh>
    <phoneticPr fontId="2"/>
  </si>
  <si>
    <t>現場説明書</t>
    <rPh sb="0" eb="2">
      <t>ゲンバ</t>
    </rPh>
    <rPh sb="2" eb="5">
      <t>セツメイショ</t>
    </rPh>
    <phoneticPr fontId="2"/>
  </si>
  <si>
    <t>備考　　低入札失格基準</t>
    <rPh sb="0" eb="2">
      <t>ビコウ</t>
    </rPh>
    <rPh sb="4" eb="5">
      <t>テイ</t>
    </rPh>
    <rPh sb="5" eb="7">
      <t>ニュウサツ</t>
    </rPh>
    <rPh sb="7" eb="9">
      <t>シッカク</t>
    </rPh>
    <rPh sb="9" eb="11">
      <t>キジュン</t>
    </rPh>
    <phoneticPr fontId="2"/>
  </si>
  <si>
    <t>※閲覧図書から判定</t>
    <rPh sb="1" eb="3">
      <t>エツラン</t>
    </rPh>
    <rPh sb="3" eb="5">
      <t>トショ</t>
    </rPh>
    <rPh sb="7" eb="9">
      <t>ハンテイ</t>
    </rPh>
    <phoneticPr fontId="2"/>
  </si>
  <si>
    <t>落札者決定通知書</t>
    <rPh sb="0" eb="3">
      <t>ラクサツシャ</t>
    </rPh>
    <rPh sb="3" eb="5">
      <t>ケッテイ</t>
    </rPh>
    <rPh sb="5" eb="8">
      <t>ツウチショ</t>
    </rPh>
    <phoneticPr fontId="2"/>
  </si>
  <si>
    <t>通知日（右上の日付）</t>
    <rPh sb="0" eb="3">
      <t>ツウチビ</t>
    </rPh>
    <rPh sb="4" eb="6">
      <t>ミギウエ</t>
    </rPh>
    <rPh sb="7" eb="9">
      <t>ヒヅケ</t>
    </rPh>
    <phoneticPr fontId="2"/>
  </si>
  <si>
    <t>※日付を入力してください</t>
    <rPh sb="1" eb="3">
      <t>ヒヅケ</t>
    </rPh>
    <rPh sb="4" eb="6">
      <t>ニュウリョク</t>
    </rPh>
    <phoneticPr fontId="2"/>
  </si>
  <si>
    <t>※シート「閲覧図書」参照</t>
    <rPh sb="5" eb="7">
      <t>エツラン</t>
    </rPh>
    <rPh sb="7" eb="9">
      <t>トショ</t>
    </rPh>
    <rPh sb="10" eb="12">
      <t>サンショウ</t>
    </rPh>
    <phoneticPr fontId="2"/>
  </si>
  <si>
    <r>
      <t>工事を施工しない日又は時間帯　　　</t>
    </r>
    <r>
      <rPr>
        <sz val="11"/>
        <color rgb="FFFF0000"/>
        <rFont val="ＭＳ Ｐゴシック"/>
        <family val="3"/>
        <charset val="128"/>
      </rPr>
      <t>※シート「閲覧図書」参照</t>
    </r>
    <phoneticPr fontId="2"/>
  </si>
  <si>
    <t>※シート「入札結果」参照</t>
    <rPh sb="5" eb="7">
      <t>ニュウサツ</t>
    </rPh>
    <rPh sb="7" eb="9">
      <t>ケッカ</t>
    </rPh>
    <rPh sb="10" eb="12">
      <t>サンショウ</t>
    </rPh>
    <phoneticPr fontId="2"/>
  </si>
  <si>
    <t>※落札通知日から７日以内</t>
    <rPh sb="1" eb="3">
      <t>ラクサツ</t>
    </rPh>
    <rPh sb="3" eb="5">
      <t>ツウチ</t>
    </rPh>
    <rPh sb="5" eb="6">
      <t>ビ</t>
    </rPh>
    <rPh sb="9" eb="10">
      <t>ニチ</t>
    </rPh>
    <rPh sb="10" eb="12">
      <t>イナイ</t>
    </rPh>
    <phoneticPr fontId="2"/>
  </si>
  <si>
    <t>第40条第1項</t>
    <rPh sb="0" eb="1">
      <t>ダイ</t>
    </rPh>
    <rPh sb="3" eb="4">
      <t>ジョウ</t>
    </rPh>
    <rPh sb="4" eb="5">
      <t>ダイ</t>
    </rPh>
    <rPh sb="6" eb="7">
      <t>コウ</t>
    </rPh>
    <phoneticPr fontId="2"/>
  </si>
  <si>
    <t>年度</t>
    <rPh sb="0" eb="2">
      <t>ネンド</t>
    </rPh>
    <phoneticPr fontId="2"/>
  </si>
  <si>
    <t>令和</t>
    <rPh sb="0" eb="2">
      <t>レイワ</t>
    </rPh>
    <phoneticPr fontId="2"/>
  </si>
  <si>
    <t>円</t>
    <rPh sb="0" eb="1">
      <t>エン</t>
    </rPh>
    <phoneticPr fontId="2"/>
  </si>
  <si>
    <t>第40条第2項</t>
    <rPh sb="0" eb="1">
      <t>ダイ</t>
    </rPh>
    <rPh sb="3" eb="4">
      <t>ジョウ</t>
    </rPh>
    <rPh sb="4" eb="5">
      <t>ダイ</t>
    </rPh>
    <rPh sb="6" eb="7">
      <t>コウ</t>
    </rPh>
    <phoneticPr fontId="2"/>
  </si>
  <si>
    <t>閲覧図書</t>
    <rPh sb="0" eb="2">
      <t>エツラン</t>
    </rPh>
    <rPh sb="2" eb="4">
      <t>トショ</t>
    </rPh>
    <phoneticPr fontId="2"/>
  </si>
  <si>
    <t>入札結果</t>
    <rPh sb="0" eb="2">
      <t>ニュウサツ</t>
    </rPh>
    <rPh sb="2" eb="4">
      <t>ケッカ</t>
    </rPh>
    <phoneticPr fontId="2"/>
  </si>
  <si>
    <t>各種情報入力</t>
    <rPh sb="0" eb="2">
      <t>カクシュ</t>
    </rPh>
    <rPh sb="2" eb="4">
      <t>ジョウホウ</t>
    </rPh>
    <rPh sb="4" eb="6">
      <t>ニュウリョク</t>
    </rPh>
    <phoneticPr fontId="2"/>
  </si>
  <si>
    <t>支払限度額及び出来高予定額通知書</t>
    <rPh sb="5" eb="6">
      <t>オヨ</t>
    </rPh>
    <rPh sb="7" eb="10">
      <t>デキダカ</t>
    </rPh>
    <rPh sb="10" eb="13">
      <t>ヨテイガク</t>
    </rPh>
    <phoneticPr fontId="2"/>
  </si>
  <si>
    <t>支払限度額</t>
    <rPh sb="0" eb="2">
      <t>シハライ</t>
    </rPh>
    <rPh sb="2" eb="5">
      <t>ゲンドガク</t>
    </rPh>
    <phoneticPr fontId="2"/>
  </si>
  <si>
    <t>目次へ戻る</t>
    <rPh sb="0" eb="2">
      <t>モクジ</t>
    </rPh>
    <rPh sb="3" eb="4">
      <t>モド</t>
    </rPh>
    <phoneticPr fontId="2"/>
  </si>
  <si>
    <t>目次へ戻る</t>
    <rPh sb="0" eb="2">
      <t>モクジ</t>
    </rPh>
    <rPh sb="3" eb="4">
      <t>モド</t>
    </rPh>
    <phoneticPr fontId="2"/>
  </si>
  <si>
    <t>※丸め桁数</t>
    <rPh sb="1" eb="2">
      <t>マル</t>
    </rPh>
    <rPh sb="3" eb="5">
      <t>ケタスウ</t>
    </rPh>
    <phoneticPr fontId="2"/>
  </si>
  <si>
    <t>捨印時の表記</t>
    <rPh sb="0" eb="1">
      <t>ス</t>
    </rPh>
    <rPh sb="1" eb="2">
      <t>イン</t>
    </rPh>
    <rPh sb="2" eb="3">
      <t>ジ</t>
    </rPh>
    <rPh sb="4" eb="6">
      <t>ヒョウキ</t>
    </rPh>
    <phoneticPr fontId="2"/>
  </si>
  <si>
    <t>抹消</t>
    <rPh sb="0" eb="2">
      <t>マッショウ</t>
    </rPh>
    <phoneticPr fontId="2"/>
  </si>
  <si>
    <t>挿入</t>
    <rPh sb="0" eb="2">
      <t>ソウニュウ</t>
    </rPh>
    <phoneticPr fontId="2"/>
  </si>
  <si>
    <t>専任監理技術者</t>
    <rPh sb="0" eb="2">
      <t>センニン</t>
    </rPh>
    <rPh sb="4" eb="7">
      <t>ギジュツシャ</t>
    </rPh>
    <phoneticPr fontId="2"/>
  </si>
  <si>
    <t>監理技術者</t>
  </si>
  <si>
    <t>１１　工程表</t>
    <phoneticPr fontId="2"/>
  </si>
  <si>
    <t>１２　建退共証紙購入（当初・変更）申告書</t>
    <phoneticPr fontId="2"/>
  </si>
  <si>
    <t>簡易版</t>
    <rPh sb="0" eb="2">
      <t>カンイ</t>
    </rPh>
    <rPh sb="2" eb="3">
      <t>バン</t>
    </rPh>
    <phoneticPr fontId="2"/>
  </si>
  <si>
    <t>履行期間</t>
    <rPh sb="0" eb="2">
      <t>リコウ</t>
    </rPh>
    <rPh sb="2" eb="4">
      <t>キカン</t>
    </rPh>
    <phoneticPr fontId="2"/>
  </si>
  <si>
    <t>曜日</t>
    <rPh sb="0" eb="2">
      <t>ヨウビ</t>
    </rPh>
    <phoneticPr fontId="2"/>
  </si>
  <si>
    <t>年</t>
    <rPh sb="0" eb="1">
      <t>ネン</t>
    </rPh>
    <phoneticPr fontId="2"/>
  </si>
  <si>
    <t>月</t>
    <rPh sb="0" eb="1">
      <t>ツキ</t>
    </rPh>
    <phoneticPr fontId="2"/>
  </si>
  <si>
    <t>日</t>
    <rPh sb="0" eb="1">
      <t>ニチ</t>
    </rPh>
    <phoneticPr fontId="2"/>
  </si>
  <si>
    <t>令和</t>
  </si>
  <si>
    <t>年</t>
  </si>
  <si>
    <t>日</t>
  </si>
  <si>
    <t>日間</t>
    <rPh sb="0" eb="2">
      <t>ニチカン</t>
    </rPh>
    <phoneticPr fontId="2"/>
  </si>
  <si>
    <t>フル版</t>
    <rPh sb="2" eb="3">
      <t>バン</t>
    </rPh>
    <phoneticPr fontId="2"/>
  </si>
  <si>
    <t>実工事期間：工事の始期（工事開始日）から</t>
    <rPh sb="0" eb="1">
      <t>ジツ</t>
    </rPh>
    <rPh sb="1" eb="3">
      <t>コウジ</t>
    </rPh>
    <rPh sb="3" eb="5">
      <t>キカン</t>
    </rPh>
    <phoneticPr fontId="2"/>
  </si>
  <si>
    <t>実工事期間：</t>
    <rPh sb="0" eb="1">
      <t>ジツ</t>
    </rPh>
    <rPh sb="1" eb="3">
      <t>コウジ</t>
    </rPh>
    <rPh sb="3" eb="5">
      <t>キカン</t>
    </rPh>
    <phoneticPr fontId="2"/>
  </si>
  <si>
    <t>工事着手期限：契約締結日の翌日から起算して</t>
    <rPh sb="0" eb="2">
      <t>コウジ</t>
    </rPh>
    <rPh sb="2" eb="4">
      <t>チャクシュ</t>
    </rPh>
    <rPh sb="4" eb="6">
      <t>キゲン</t>
    </rPh>
    <phoneticPr fontId="2"/>
  </si>
  <si>
    <t>の翌日</t>
    <rPh sb="1" eb="3">
      <t>ヨクジツ</t>
    </rPh>
    <phoneticPr fontId="2"/>
  </si>
  <si>
    <t>（余裕期間：</t>
    <rPh sb="1" eb="3">
      <t>ヨユウ</t>
    </rPh>
    <rPh sb="3" eb="5">
      <t>キカン</t>
    </rPh>
    <phoneticPr fontId="2"/>
  </si>
  <si>
    <t>実際の余裕期間</t>
    <rPh sb="0" eb="2">
      <t>ジッサイ</t>
    </rPh>
    <rPh sb="3" eb="5">
      <t>ヨユウ</t>
    </rPh>
    <rPh sb="5" eb="7">
      <t>キカン</t>
    </rPh>
    <phoneticPr fontId="2"/>
  </si>
  <si>
    <t>月</t>
  </si>
  <si>
    <t>※仕様書の期限以内の日数</t>
    <rPh sb="1" eb="4">
      <t>シヨウショ</t>
    </rPh>
    <rPh sb="5" eb="7">
      <t>キゲン</t>
    </rPh>
    <rPh sb="7" eb="9">
      <t>イナイ</t>
    </rPh>
    <rPh sb="10" eb="12">
      <t>ニッスウ</t>
    </rPh>
    <phoneticPr fontId="2"/>
  </si>
  <si>
    <t>契約書</t>
    <rPh sb="0" eb="3">
      <t>ケイヤクショ</t>
    </rPh>
    <phoneticPr fontId="2"/>
  </si>
  <si>
    <t>工事開始日通知書　（様式－１）</t>
    <rPh sb="0" eb="2">
      <t>コウジ</t>
    </rPh>
    <rPh sb="2" eb="4">
      <t>カイシ</t>
    </rPh>
    <rPh sb="4" eb="5">
      <t>ニチ</t>
    </rPh>
    <rPh sb="5" eb="8">
      <t>ツウチショ</t>
    </rPh>
    <rPh sb="10" eb="12">
      <t>ヨウシキ</t>
    </rPh>
    <phoneticPr fontId="2"/>
  </si>
  <si>
    <t>工事の始期（工事開始日）</t>
    <rPh sb="0" eb="2">
      <t>コウジ</t>
    </rPh>
    <rPh sb="3" eb="5">
      <t>シキ</t>
    </rPh>
    <rPh sb="6" eb="8">
      <t>コウジ</t>
    </rPh>
    <rPh sb="8" eb="11">
      <t>カイシビ</t>
    </rPh>
    <phoneticPr fontId="2"/>
  </si>
  <si>
    <t>工事の終期（完成工期）</t>
    <rPh sb="0" eb="2">
      <t>コウジ</t>
    </rPh>
    <rPh sb="3" eb="5">
      <t>シュウキ</t>
    </rPh>
    <rPh sb="6" eb="8">
      <t>カンセイ</t>
    </rPh>
    <rPh sb="8" eb="10">
      <t>コウキ</t>
    </rPh>
    <phoneticPr fontId="2"/>
  </si>
  <si>
    <t>受注者情報</t>
    <rPh sb="0" eb="3">
      <t>ジュチュウシャ</t>
    </rPh>
    <rPh sb="3" eb="5">
      <t>ジョウホウ</t>
    </rPh>
    <phoneticPr fontId="2"/>
  </si>
  <si>
    <t>商号又は名称</t>
    <rPh sb="0" eb="2">
      <t>ショウゴウ</t>
    </rPh>
    <rPh sb="2" eb="3">
      <t>マタ</t>
    </rPh>
    <rPh sb="4" eb="6">
      <t>メイショウ</t>
    </rPh>
    <phoneticPr fontId="2"/>
  </si>
  <si>
    <t>代表者役職</t>
    <rPh sb="0" eb="3">
      <t>ダイヒョウシャ</t>
    </rPh>
    <rPh sb="3" eb="5">
      <t>ヤクショク</t>
    </rPh>
    <phoneticPr fontId="2"/>
  </si>
  <si>
    <t>住所（都道府県名から）</t>
    <rPh sb="0" eb="2">
      <t>ジュウショ</t>
    </rPh>
    <rPh sb="3" eb="7">
      <t>トドウフケン</t>
    </rPh>
    <rPh sb="7" eb="8">
      <t>メイ</t>
    </rPh>
    <phoneticPr fontId="2"/>
  </si>
  <si>
    <t>※仲裁合意書</t>
    <rPh sb="1" eb="3">
      <t>チュウサイ</t>
    </rPh>
    <rPh sb="3" eb="6">
      <t>ゴウイショ</t>
    </rPh>
    <phoneticPr fontId="2"/>
  </si>
  <si>
    <t>（部分払）第38条第1項</t>
    <rPh sb="1" eb="3">
      <t>ブブン</t>
    </rPh>
    <rPh sb="3" eb="4">
      <t>バラ</t>
    </rPh>
    <rPh sb="5" eb="6">
      <t>ダイ</t>
    </rPh>
    <rPh sb="8" eb="9">
      <t>ジョウ</t>
    </rPh>
    <rPh sb="9" eb="10">
      <t>ダイ</t>
    </rPh>
    <rPh sb="11" eb="12">
      <t>コウ</t>
    </rPh>
    <phoneticPr fontId="2"/>
  </si>
  <si>
    <t>（現場代理人及び主任技術者等）第10条第1項第二号</t>
    <rPh sb="1" eb="3">
      <t>ゲンバ</t>
    </rPh>
    <rPh sb="3" eb="6">
      <t>ダイリニン</t>
    </rPh>
    <rPh sb="6" eb="7">
      <t>オヨ</t>
    </rPh>
    <rPh sb="8" eb="10">
      <t>シュニン</t>
    </rPh>
    <rPh sb="10" eb="13">
      <t>ギジュツシャ</t>
    </rPh>
    <rPh sb="13" eb="14">
      <t>トウ</t>
    </rPh>
    <rPh sb="15" eb="16">
      <t>ダイ</t>
    </rPh>
    <rPh sb="18" eb="19">
      <t>ジョウ</t>
    </rPh>
    <rPh sb="19" eb="20">
      <t>ダイ</t>
    </rPh>
    <rPh sb="21" eb="22">
      <t>コウ</t>
    </rPh>
    <rPh sb="22" eb="23">
      <t>ダイ</t>
    </rPh>
    <rPh sb="23" eb="24">
      <t>2</t>
    </rPh>
    <rPh sb="24" eb="25">
      <t>ゴウ</t>
    </rPh>
    <phoneticPr fontId="2"/>
  </si>
  <si>
    <t>万円</t>
    <rPh sb="0" eb="2">
      <t>マンエン</t>
    </rPh>
    <phoneticPr fontId="2"/>
  </si>
  <si>
    <t>億円</t>
    <rPh sb="0" eb="2">
      <t>オクエン</t>
    </rPh>
    <phoneticPr fontId="2"/>
  </si>
  <si>
    <t>部分払回数</t>
    <rPh sb="0" eb="2">
      <t>ブブン</t>
    </rPh>
    <rPh sb="2" eb="3">
      <t>バラ</t>
    </rPh>
    <rPh sb="3" eb="5">
      <t>カイスウ</t>
    </rPh>
    <phoneticPr fontId="2"/>
  </si>
  <si>
    <t>未満</t>
    <rPh sb="0" eb="2">
      <t>ミマン</t>
    </rPh>
    <phoneticPr fontId="2"/>
  </si>
  <si>
    <t>以上</t>
    <rPh sb="0" eb="2">
      <t>イジョウ</t>
    </rPh>
    <phoneticPr fontId="2"/>
  </si>
  <si>
    <t>請負額</t>
    <rPh sb="0" eb="3">
      <t>ウケオイガク</t>
    </rPh>
    <phoneticPr fontId="2"/>
  </si>
  <si>
    <t>また、必要に応じて「１０－１　実務経験証明書」を添付する</t>
    <rPh sb="3" eb="5">
      <t>ヒツヨウ</t>
    </rPh>
    <rPh sb="6" eb="7">
      <t>オウ</t>
    </rPh>
    <rPh sb="24" eb="26">
      <t>テンプ</t>
    </rPh>
    <phoneticPr fontId="2"/>
  </si>
  <si>
    <t>　技術者の保険証の写し及び資格証明書等</t>
    <rPh sb="1" eb="4">
      <t>ギジュツシャ</t>
    </rPh>
    <rPh sb="5" eb="8">
      <t>ホケンショウ</t>
    </rPh>
    <rPh sb="9" eb="10">
      <t>ウツ</t>
    </rPh>
    <rPh sb="11" eb="12">
      <t>オヨ</t>
    </rPh>
    <rPh sb="13" eb="15">
      <t>シカク</t>
    </rPh>
    <rPh sb="15" eb="18">
      <t>ショウメイショ</t>
    </rPh>
    <rPh sb="18" eb="19">
      <t>トウ</t>
    </rPh>
    <phoneticPr fontId="2"/>
  </si>
  <si>
    <t>建退共証紙購入</t>
    <phoneticPr fontId="2"/>
  </si>
  <si>
    <t>令和</t>
    <rPh sb="0" eb="2">
      <t>レイワ</t>
    </rPh>
    <phoneticPr fontId="24"/>
  </si>
  <si>
    <t>年度</t>
    <rPh sb="0" eb="1">
      <t>ネン</t>
    </rPh>
    <rPh sb="1" eb="2">
      <t>ド</t>
    </rPh>
    <phoneticPr fontId="24"/>
  </si>
  <si>
    <t>西暦</t>
    <rPh sb="0" eb="2">
      <t>セイレキ</t>
    </rPh>
    <phoneticPr fontId="24"/>
  </si>
  <si>
    <t>追加日数</t>
    <rPh sb="0" eb="2">
      <t>ツイカ</t>
    </rPh>
    <rPh sb="2" eb="4">
      <t>ニッスウ</t>
    </rPh>
    <phoneticPr fontId="24"/>
  </si>
  <si>
    <t>曜日</t>
    <rPh sb="0" eb="2">
      <t>ヨウビ</t>
    </rPh>
    <phoneticPr fontId="24"/>
  </si>
  <si>
    <t>備考</t>
    <rPh sb="0" eb="2">
      <t>ビコウ</t>
    </rPh>
    <phoneticPr fontId="24"/>
  </si>
  <si>
    <t>昭和の日</t>
    <rPh sb="0" eb="2">
      <t>ショウワ</t>
    </rPh>
    <rPh sb="3" eb="4">
      <t>ヒ</t>
    </rPh>
    <phoneticPr fontId="24"/>
  </si>
  <si>
    <t>月</t>
    <rPh sb="0" eb="1">
      <t>ガツ</t>
    </rPh>
    <phoneticPr fontId="24"/>
  </si>
  <si>
    <t>日</t>
    <rPh sb="0" eb="1">
      <t>ニチ</t>
    </rPh>
    <phoneticPr fontId="24"/>
  </si>
  <si>
    <t>確定</t>
    <rPh sb="0" eb="2">
      <t>カクテイ</t>
    </rPh>
    <phoneticPr fontId="24"/>
  </si>
  <si>
    <t>振替休日</t>
    <rPh sb="0" eb="1">
      <t>フ</t>
    </rPh>
    <rPh sb="1" eb="2">
      <t>カ</t>
    </rPh>
    <rPh sb="2" eb="4">
      <t>キュウジツ</t>
    </rPh>
    <phoneticPr fontId="24"/>
  </si>
  <si>
    <t>月</t>
    <rPh sb="0" eb="1">
      <t>ゲツ</t>
    </rPh>
    <phoneticPr fontId="24"/>
  </si>
  <si>
    <t>憲法記念日</t>
    <rPh sb="0" eb="2">
      <t>ケンポウ</t>
    </rPh>
    <rPh sb="2" eb="5">
      <t>キネンビ</t>
    </rPh>
    <phoneticPr fontId="24"/>
  </si>
  <si>
    <t>火</t>
    <rPh sb="0" eb="1">
      <t>ヒ</t>
    </rPh>
    <phoneticPr fontId="24"/>
  </si>
  <si>
    <t>みどりの日</t>
    <rPh sb="4" eb="5">
      <t>ヒ</t>
    </rPh>
    <phoneticPr fontId="24"/>
  </si>
  <si>
    <t>水</t>
    <rPh sb="0" eb="1">
      <t>スイ</t>
    </rPh>
    <phoneticPr fontId="24"/>
  </si>
  <si>
    <t>こどもの日</t>
    <rPh sb="4" eb="5">
      <t>ヒ</t>
    </rPh>
    <phoneticPr fontId="24"/>
  </si>
  <si>
    <t>木</t>
    <rPh sb="0" eb="1">
      <t>モク</t>
    </rPh>
    <phoneticPr fontId="24"/>
  </si>
  <si>
    <t>金</t>
    <rPh sb="0" eb="1">
      <t>キン</t>
    </rPh>
    <phoneticPr fontId="24"/>
  </si>
  <si>
    <t>海の日</t>
    <rPh sb="0" eb="1">
      <t>ウミ</t>
    </rPh>
    <rPh sb="2" eb="3">
      <t>ヒ</t>
    </rPh>
    <phoneticPr fontId="24"/>
  </si>
  <si>
    <t>変動</t>
    <rPh sb="0" eb="2">
      <t>ヘンドウ</t>
    </rPh>
    <phoneticPr fontId="24"/>
  </si>
  <si>
    <t>第</t>
    <rPh sb="0" eb="1">
      <t>ダイ</t>
    </rPh>
    <phoneticPr fontId="24"/>
  </si>
  <si>
    <t>月曜</t>
    <rPh sb="0" eb="2">
      <t>ゲツヨウ</t>
    </rPh>
    <phoneticPr fontId="24"/>
  </si>
  <si>
    <t>土</t>
    <rPh sb="0" eb="1">
      <t>ツチ</t>
    </rPh>
    <phoneticPr fontId="24"/>
  </si>
  <si>
    <t>山の日</t>
    <rPh sb="0" eb="1">
      <t>ヤマ</t>
    </rPh>
    <rPh sb="2" eb="3">
      <t>ヒ</t>
    </rPh>
    <phoneticPr fontId="24"/>
  </si>
  <si>
    <t>敬老の日</t>
    <rPh sb="0" eb="2">
      <t>ケイロウ</t>
    </rPh>
    <rPh sb="3" eb="4">
      <t>ヒ</t>
    </rPh>
    <phoneticPr fontId="24"/>
  </si>
  <si>
    <t>秋分の日</t>
    <rPh sb="0" eb="2">
      <t>シュウブン</t>
    </rPh>
    <rPh sb="3" eb="4">
      <t>ヒ</t>
    </rPh>
    <phoneticPr fontId="24"/>
  </si>
  <si>
    <t>スポーツの日</t>
    <rPh sb="5" eb="6">
      <t>ヒ</t>
    </rPh>
    <phoneticPr fontId="24"/>
  </si>
  <si>
    <t>文化の日</t>
    <rPh sb="0" eb="2">
      <t>ブンカ</t>
    </rPh>
    <rPh sb="3" eb="4">
      <t>ヒ</t>
    </rPh>
    <phoneticPr fontId="24"/>
  </si>
  <si>
    <t>勤労感謝の日</t>
    <rPh sb="0" eb="2">
      <t>キンロウ</t>
    </rPh>
    <rPh sb="2" eb="4">
      <t>カンシャ</t>
    </rPh>
    <rPh sb="5" eb="6">
      <t>ヒ</t>
    </rPh>
    <phoneticPr fontId="24"/>
  </si>
  <si>
    <t>年末</t>
    <rPh sb="0" eb="2">
      <t>ネンマツ</t>
    </rPh>
    <phoneticPr fontId="24"/>
  </si>
  <si>
    <t>元日</t>
    <rPh sb="0" eb="2">
      <t>ガンジツ</t>
    </rPh>
    <phoneticPr fontId="24"/>
  </si>
  <si>
    <t>年始</t>
    <rPh sb="0" eb="2">
      <t>ネンシ</t>
    </rPh>
    <phoneticPr fontId="24"/>
  </si>
  <si>
    <t>成人の日</t>
    <rPh sb="0" eb="2">
      <t>セイジン</t>
    </rPh>
    <rPh sb="3" eb="4">
      <t>ヒ</t>
    </rPh>
    <phoneticPr fontId="24"/>
  </si>
  <si>
    <t>建国記念の日</t>
    <rPh sb="0" eb="2">
      <t>ケンコク</t>
    </rPh>
    <rPh sb="2" eb="4">
      <t>キネン</t>
    </rPh>
    <rPh sb="5" eb="6">
      <t>ヒ</t>
    </rPh>
    <phoneticPr fontId="24"/>
  </si>
  <si>
    <t>天皇誕生日</t>
    <rPh sb="0" eb="2">
      <t>テンノウ</t>
    </rPh>
    <rPh sb="2" eb="5">
      <t>タンジョウビ</t>
    </rPh>
    <phoneticPr fontId="24"/>
  </si>
  <si>
    <t>春分の日</t>
    <rPh sb="0" eb="2">
      <t>シュンブン</t>
    </rPh>
    <rPh sb="3" eb="4">
      <t>ヒ</t>
    </rPh>
    <phoneticPr fontId="24"/>
  </si>
  <si>
    <t>支店名等</t>
    <rPh sb="0" eb="2">
      <t>シテン</t>
    </rPh>
    <rPh sb="2" eb="3">
      <t>メイ</t>
    </rPh>
    <rPh sb="3" eb="4">
      <t>トウ</t>
    </rPh>
    <phoneticPr fontId="2"/>
  </si>
  <si>
    <t>摘要日付</t>
    <rPh sb="0" eb="2">
      <t>テキヨウ</t>
    </rPh>
    <rPh sb="2" eb="4">
      <t>ヒヅケ</t>
    </rPh>
    <phoneticPr fontId="2"/>
  </si>
  <si>
    <t>開始</t>
    <rPh sb="0" eb="2">
      <t>カイシ</t>
    </rPh>
    <phoneticPr fontId="2"/>
  </si>
  <si>
    <t>終了</t>
    <rPh sb="0" eb="2">
      <t>シュウリョウ</t>
    </rPh>
    <phoneticPr fontId="2"/>
  </si>
  <si>
    <t>収入印紙額</t>
    <rPh sb="0" eb="2">
      <t>シュウニュウ</t>
    </rPh>
    <rPh sb="2" eb="4">
      <t>インシ</t>
    </rPh>
    <rPh sb="4" eb="5">
      <t>ガク</t>
    </rPh>
    <phoneticPr fontId="2"/>
  </si>
  <si>
    <t>超</t>
    <rPh sb="0" eb="1">
      <t>チョウ</t>
    </rPh>
    <phoneticPr fontId="2"/>
  </si>
  <si>
    <t>以下</t>
    <rPh sb="0" eb="2">
      <t>イカ</t>
    </rPh>
    <phoneticPr fontId="2"/>
  </si>
  <si>
    <t>２行とも抹消のうえ訂正印を押印（２箇所または上に捨印）</t>
    <rPh sb="1" eb="2">
      <t>ギョウ</t>
    </rPh>
    <rPh sb="4" eb="6">
      <t>マッショウ</t>
    </rPh>
    <rPh sb="9" eb="12">
      <t>テイセイイン</t>
    </rPh>
    <rPh sb="13" eb="15">
      <t>オウイン</t>
    </rPh>
    <rPh sb="17" eb="19">
      <t>カショ</t>
    </rPh>
    <rPh sb="22" eb="23">
      <t>ウエ</t>
    </rPh>
    <rPh sb="24" eb="25">
      <t>ス</t>
    </rPh>
    <rPh sb="25" eb="26">
      <t>イン</t>
    </rPh>
    <phoneticPr fontId="2"/>
  </si>
  <si>
    <t>（https://www.pref.oita.jp/soshiki/17050/kensetsu-yoshiki.html）</t>
    <phoneticPr fontId="2"/>
  </si>
  <si>
    <t>作成及び添付書類一式（記入内容及び押印を確認のこと）
なお様式は、大分県土木建築部公共工事入札管理室のページにあります</t>
    <rPh sb="0" eb="2">
      <t>サクセイ</t>
    </rPh>
    <rPh sb="2" eb="3">
      <t>オヨ</t>
    </rPh>
    <rPh sb="4" eb="6">
      <t>テンプ</t>
    </rPh>
    <rPh sb="6" eb="8">
      <t>ショルイ</t>
    </rPh>
    <rPh sb="8" eb="10">
      <t>イッシキ</t>
    </rPh>
    <rPh sb="11" eb="13">
      <t>キニュウ</t>
    </rPh>
    <rPh sb="13" eb="15">
      <t>ナイヨウ</t>
    </rPh>
    <rPh sb="15" eb="16">
      <t>オヨ</t>
    </rPh>
    <rPh sb="17" eb="19">
      <t>オウイン</t>
    </rPh>
    <rPh sb="20" eb="22">
      <t>カクニン</t>
    </rPh>
    <rPh sb="29" eb="31">
      <t>ヨウシキ</t>
    </rPh>
    <rPh sb="33" eb="36">
      <t>オオイタケン</t>
    </rPh>
    <rPh sb="36" eb="38">
      <t>ドボク</t>
    </rPh>
    <rPh sb="38" eb="41">
      <t>ケンチクブ</t>
    </rPh>
    <rPh sb="41" eb="43">
      <t>コウキョウ</t>
    </rPh>
    <rPh sb="43" eb="45">
      <t>コウジ</t>
    </rPh>
    <rPh sb="45" eb="47">
      <t>ニュウサツ</t>
    </rPh>
    <rPh sb="47" eb="50">
      <t>カンリシツ</t>
    </rPh>
    <phoneticPr fontId="2"/>
  </si>
  <si>
    <t>作成書類及び記入内容</t>
    <rPh sb="0" eb="2">
      <t>サクセイ</t>
    </rPh>
    <rPh sb="2" eb="4">
      <t>ショルイ</t>
    </rPh>
    <rPh sb="4" eb="5">
      <t>オヨ</t>
    </rPh>
    <rPh sb="6" eb="8">
      <t>キニュウ</t>
    </rPh>
    <rPh sb="8" eb="10">
      <t>ナイヨウ</t>
    </rPh>
    <phoneticPr fontId="2"/>
  </si>
  <si>
    <t>実際の工事期間</t>
    <rPh sb="0" eb="2">
      <t>ジッサイ</t>
    </rPh>
    <rPh sb="3" eb="5">
      <t>コウジ</t>
    </rPh>
    <rPh sb="5" eb="7">
      <t>キカン</t>
    </rPh>
    <phoneticPr fontId="2"/>
  </si>
  <si>
    <t>　契約保証金にかかる書類等</t>
    <rPh sb="1" eb="3">
      <t>ケイヤク</t>
    </rPh>
    <rPh sb="3" eb="6">
      <t>ホショウキン</t>
    </rPh>
    <rPh sb="10" eb="12">
      <t>ショルイ</t>
    </rPh>
    <rPh sb="12" eb="13">
      <t>トウ</t>
    </rPh>
    <phoneticPr fontId="2"/>
  </si>
  <si>
    <t>以下の書類がそろっているかチェックしてください。</t>
    <rPh sb="0" eb="2">
      <t>イカ</t>
    </rPh>
    <rPh sb="3" eb="5">
      <t>ショルイ</t>
    </rPh>
    <phoneticPr fontId="2"/>
  </si>
  <si>
    <t>受注者情報</t>
    <rPh sb="0" eb="3">
      <t>ジュチュウシャ</t>
    </rPh>
    <rPh sb="3" eb="5">
      <t>ジョウホウ</t>
    </rPh>
    <phoneticPr fontId="2"/>
  </si>
  <si>
    <t>任意着手</t>
    <rPh sb="0" eb="2">
      <t>ニンイ</t>
    </rPh>
    <rPh sb="2" eb="4">
      <t>チャクシュ</t>
    </rPh>
    <phoneticPr fontId="2"/>
  </si>
  <si>
    <t>発注者指定</t>
    <rPh sb="0" eb="3">
      <t>ハッチュウシャ</t>
    </rPh>
    <rPh sb="3" eb="5">
      <t>シテイ</t>
    </rPh>
    <phoneticPr fontId="2"/>
  </si>
  <si>
    <t>特記仕様書
　　　余裕期間</t>
    <rPh sb="9" eb="11">
      <t>ヨユウ</t>
    </rPh>
    <rPh sb="11" eb="13">
      <t>キカン</t>
    </rPh>
    <phoneticPr fontId="2"/>
  </si>
  <si>
    <t>実工事期間:自</t>
    <rPh sb="0" eb="1">
      <t>ジツ</t>
    </rPh>
    <rPh sb="1" eb="3">
      <t>コウジ</t>
    </rPh>
    <rPh sb="3" eb="5">
      <t>キカン</t>
    </rPh>
    <rPh sb="6" eb="7">
      <t>ジ</t>
    </rPh>
    <phoneticPr fontId="2"/>
  </si>
  <si>
    <t>実工事期間:至</t>
    <rPh sb="0" eb="1">
      <t>ジツ</t>
    </rPh>
    <rPh sb="1" eb="3">
      <t>コウジ</t>
    </rPh>
    <rPh sb="3" eb="5">
      <t>キカン</t>
    </rPh>
    <rPh sb="6" eb="7">
      <t>イタ</t>
    </rPh>
    <phoneticPr fontId="2"/>
  </si>
  <si>
    <t>特記仕様書　　余裕期間（任意着手方式）</t>
    <rPh sb="0" eb="2">
      <t>トッキ</t>
    </rPh>
    <rPh sb="2" eb="5">
      <t>シヨウショ</t>
    </rPh>
    <rPh sb="7" eb="9">
      <t>ヨユウ</t>
    </rPh>
    <rPh sb="9" eb="11">
      <t>キカン</t>
    </rPh>
    <rPh sb="12" eb="14">
      <t>ニンイ</t>
    </rPh>
    <rPh sb="14" eb="16">
      <t>チャクシュ</t>
    </rPh>
    <rPh sb="16" eb="18">
      <t>ホウシキ</t>
    </rPh>
    <phoneticPr fontId="2"/>
  </si>
  <si>
    <t>特記仕様書　　余裕期間（発注者指定方式）</t>
    <rPh sb="0" eb="2">
      <t>トッキ</t>
    </rPh>
    <rPh sb="2" eb="5">
      <t>シヨウショ</t>
    </rPh>
    <rPh sb="7" eb="9">
      <t>ヨユウ</t>
    </rPh>
    <rPh sb="9" eb="11">
      <t>キカン</t>
    </rPh>
    <rPh sb="12" eb="15">
      <t>ハッチュウシャ</t>
    </rPh>
    <rPh sb="15" eb="17">
      <t>シテイ</t>
    </rPh>
    <rPh sb="17" eb="19">
      <t>ホウシキ</t>
    </rPh>
    <phoneticPr fontId="2"/>
  </si>
  <si>
    <t>当該年度から3年以内の祝祭日一覧</t>
    <rPh sb="0" eb="2">
      <t>トウガイ</t>
    </rPh>
    <rPh sb="2" eb="4">
      <t>ネンド</t>
    </rPh>
    <rPh sb="7" eb="8">
      <t>ネン</t>
    </rPh>
    <rPh sb="8" eb="10">
      <t>イナイ</t>
    </rPh>
    <rPh sb="11" eb="12">
      <t>シュク</t>
    </rPh>
    <rPh sb="12" eb="14">
      <t>サイジツ</t>
    </rPh>
    <phoneticPr fontId="24"/>
  </si>
  <si>
    <t>参考：請負代金</t>
    <rPh sb="0" eb="2">
      <t>サンコウ</t>
    </rPh>
    <rPh sb="3" eb="5">
      <t>ウケオイ</t>
    </rPh>
    <rPh sb="5" eb="7">
      <t>ダイキン</t>
    </rPh>
    <phoneticPr fontId="2"/>
  </si>
  <si>
    <t>配置技術者</t>
    <rPh sb="0" eb="2">
      <t>ハイチ</t>
    </rPh>
    <rPh sb="2" eb="5">
      <t>ギジュツシャ</t>
    </rPh>
    <phoneticPr fontId="2"/>
  </si>
  <si>
    <t>↓</t>
    <phoneticPr fontId="2"/>
  </si>
  <si>
    <t>当初書類</t>
    <rPh sb="0" eb="2">
      <t>トウショ</t>
    </rPh>
    <rPh sb="2" eb="4">
      <t>ショルイ</t>
    </rPh>
    <phoneticPr fontId="2"/>
  </si>
  <si>
    <t>その他：４千万円（40,000,000)</t>
    <rPh sb="2" eb="3">
      <t>タ</t>
    </rPh>
    <rPh sb="5" eb="8">
      <t>センマンエン</t>
    </rPh>
    <phoneticPr fontId="2"/>
  </si>
  <si>
    <t>建　築：６千万円（60,000,000)</t>
    <rPh sb="0" eb="1">
      <t>タツル</t>
    </rPh>
    <rPh sb="2" eb="3">
      <t>チク</t>
    </rPh>
    <rPh sb="5" eb="8">
      <t>センマンエン</t>
    </rPh>
    <phoneticPr fontId="2"/>
  </si>
  <si>
    <t>※左記より上位の技術者を配置するときは、以下の額を下請発注総額に入力してください</t>
    <rPh sb="1" eb="2">
      <t>ヒダリ</t>
    </rPh>
    <rPh sb="2" eb="3">
      <t>シル</t>
    </rPh>
    <rPh sb="5" eb="7">
      <t>ジョウイ</t>
    </rPh>
    <rPh sb="8" eb="11">
      <t>ギジュツシャ</t>
    </rPh>
    <rPh sb="12" eb="14">
      <t>ハイチ</t>
    </rPh>
    <rPh sb="25" eb="27">
      <t>シタウ</t>
    </rPh>
    <rPh sb="27" eb="31">
      <t>ハッチュウソウガク</t>
    </rPh>
    <rPh sb="32" eb="34">
      <t>ニュウリョク</t>
    </rPh>
    <phoneticPr fontId="2"/>
  </si>
  <si>
    <t>※閲覧図書を確認のうえ入力してください</t>
    <rPh sb="1" eb="3">
      <t>エツラン</t>
    </rPh>
    <rPh sb="3" eb="5">
      <t>トショ</t>
    </rPh>
    <rPh sb="6" eb="8">
      <t>カクニン</t>
    </rPh>
    <rPh sb="11" eb="13">
      <t>ニュウリョク</t>
    </rPh>
    <phoneticPr fontId="2"/>
  </si>
  <si>
    <t>OK</t>
    <phoneticPr fontId="2"/>
  </si>
  <si>
    <t>NG</t>
    <phoneticPr fontId="2"/>
  </si>
  <si>
    <t>　建退共証紙不提出の理由書</t>
    <rPh sb="6" eb="7">
      <t>フ</t>
    </rPh>
    <rPh sb="7" eb="9">
      <t>テイシュツ</t>
    </rPh>
    <rPh sb="10" eb="13">
      <t>リユウショ</t>
    </rPh>
    <phoneticPr fontId="2"/>
  </si>
  <si>
    <t>※シート「受注者情報」参照</t>
    <rPh sb="5" eb="8">
      <t>ジュチュウシャ</t>
    </rPh>
    <rPh sb="8" eb="10">
      <t>ジョウホウ</t>
    </rPh>
    <rPh sb="11" eb="13">
      <t>サンショウ</t>
    </rPh>
    <phoneticPr fontId="2"/>
  </si>
  <si>
    <t>押印</t>
    <rPh sb="0" eb="2">
      <t>オウイン</t>
    </rPh>
    <phoneticPr fontId="2"/>
  </si>
  <si>
    <t>必要</t>
    <rPh sb="0" eb="2">
      <t>ヒツヨウ</t>
    </rPh>
    <phoneticPr fontId="2"/>
  </si>
  <si>
    <t>受注者欄及び訂正箇所</t>
    <rPh sb="0" eb="3">
      <t>ジュチュウシャ</t>
    </rPh>
    <rPh sb="3" eb="4">
      <t>ラン</t>
    </rPh>
    <rPh sb="4" eb="5">
      <t>オヨ</t>
    </rPh>
    <rPh sb="6" eb="8">
      <t>テイセイ</t>
    </rPh>
    <rPh sb="8" eb="10">
      <t>カショ</t>
    </rPh>
    <phoneticPr fontId="2"/>
  </si>
  <si>
    <t>10条関係、仲裁合意書ほか訂正箇所</t>
    <rPh sb="2" eb="3">
      <t>ジョウ</t>
    </rPh>
    <rPh sb="3" eb="5">
      <t>カンケイ</t>
    </rPh>
    <rPh sb="6" eb="8">
      <t>チュウサイ</t>
    </rPh>
    <rPh sb="8" eb="11">
      <t>ゴウイショ</t>
    </rPh>
    <rPh sb="13" eb="15">
      <t>テイセイ</t>
    </rPh>
    <rPh sb="15" eb="17">
      <t>カショ</t>
    </rPh>
    <phoneticPr fontId="2"/>
  </si>
  <si>
    <t>対象工事でない場合：非該当</t>
    <rPh sb="0" eb="2">
      <t>タイショウ</t>
    </rPh>
    <rPh sb="2" eb="4">
      <t>コウジ</t>
    </rPh>
    <rPh sb="7" eb="9">
      <t>バアイ</t>
    </rPh>
    <rPh sb="10" eb="13">
      <t>ヒガイトウ</t>
    </rPh>
    <phoneticPr fontId="2"/>
  </si>
  <si>
    <t>分別解体等がない場合：該当なし</t>
    <rPh sb="0" eb="2">
      <t>ブンベツ</t>
    </rPh>
    <rPh sb="2" eb="4">
      <t>カイタイ</t>
    </rPh>
    <rPh sb="4" eb="5">
      <t>トウ</t>
    </rPh>
    <rPh sb="8" eb="10">
      <t>バアイ</t>
    </rPh>
    <rPh sb="11" eb="13">
      <t>ガイトウ</t>
    </rPh>
    <phoneticPr fontId="2"/>
  </si>
  <si>
    <t>上記以外：各項目に記入する</t>
    <rPh sb="0" eb="2">
      <t>ジョウキ</t>
    </rPh>
    <rPh sb="2" eb="4">
      <t>イガイ</t>
    </rPh>
    <rPh sb="5" eb="6">
      <t>カク</t>
    </rPh>
    <rPh sb="6" eb="8">
      <t>コウモク</t>
    </rPh>
    <rPh sb="9" eb="11">
      <t>キニュウ</t>
    </rPh>
    <phoneticPr fontId="2"/>
  </si>
  <si>
    <t>受注者欄</t>
    <rPh sb="0" eb="3">
      <t>ジュチュウシャ</t>
    </rPh>
    <rPh sb="3" eb="4">
      <t>ラン</t>
    </rPh>
    <phoneticPr fontId="2"/>
  </si>
  <si>
    <t>受注者用様式には押印が必要</t>
    <rPh sb="0" eb="3">
      <t>ジュチュウシャ</t>
    </rPh>
    <rPh sb="3" eb="4">
      <t>ヨウ</t>
    </rPh>
    <rPh sb="4" eb="6">
      <t>ヨウシキ</t>
    </rPh>
    <rPh sb="8" eb="10">
      <t>オウイン</t>
    </rPh>
    <rPh sb="11" eb="13">
      <t>ヒツヨウ</t>
    </rPh>
    <phoneticPr fontId="2"/>
  </si>
  <si>
    <t>－</t>
    <phoneticPr fontId="2"/>
  </si>
  <si>
    <t>不要</t>
    <rPh sb="0" eb="2">
      <t>フヨウ</t>
    </rPh>
    <phoneticPr fontId="2"/>
  </si>
  <si>
    <t>請求者欄に必要</t>
    <rPh sb="0" eb="3">
      <t>セイキュウシャ</t>
    </rPh>
    <rPh sb="3" eb="4">
      <t>ラン</t>
    </rPh>
    <rPh sb="5" eb="7">
      <t>ヒツヨウ</t>
    </rPh>
    <phoneticPr fontId="2"/>
  </si>
  <si>
    <t>入札結果／詳細表示</t>
    <rPh sb="0" eb="2">
      <t>ニュウサツ</t>
    </rPh>
    <rPh sb="2" eb="4">
      <t>ケッカ</t>
    </rPh>
    <rPh sb="5" eb="7">
      <t>ショウサイ</t>
    </rPh>
    <rPh sb="7" eb="9">
      <t>ヒョウジ</t>
    </rPh>
    <phoneticPr fontId="2"/>
  </si>
  <si>
    <t>落札決定通知日　　※シート「入札結果」から</t>
    <rPh sb="0" eb="2">
      <t>ラクサツ</t>
    </rPh>
    <rPh sb="2" eb="4">
      <t>ケッテイ</t>
    </rPh>
    <rPh sb="4" eb="7">
      <t>ツウチビ</t>
    </rPh>
    <rPh sb="14" eb="16">
      <t>ニュウサツ</t>
    </rPh>
    <rPh sb="16" eb="18">
      <t>ケッカ</t>
    </rPh>
    <phoneticPr fontId="2"/>
  </si>
  <si>
    <t>工期　　※シート「入札結果」から</t>
    <rPh sb="0" eb="2">
      <t>コウキ</t>
    </rPh>
    <rPh sb="9" eb="11">
      <t>ニュウサツ</t>
    </rPh>
    <rPh sb="11" eb="13">
      <t>ケッカ</t>
    </rPh>
    <phoneticPr fontId="2"/>
  </si>
  <si>
    <t>千円</t>
    <rPh sb="0" eb="2">
      <t>センエン</t>
    </rPh>
    <phoneticPr fontId="2"/>
  </si>
  <si>
    <t>千円以上</t>
    <rPh sb="0" eb="2">
      <t>センエン</t>
    </rPh>
    <rPh sb="2" eb="4">
      <t>イジョウ</t>
    </rPh>
    <phoneticPr fontId="2"/>
  </si>
  <si>
    <t>舗装</t>
    <rPh sb="0" eb="2">
      <t>ホソウ</t>
    </rPh>
    <phoneticPr fontId="2"/>
  </si>
  <si>
    <t>橋梁等</t>
    <rPh sb="0" eb="3">
      <t>キョウリョウトウ</t>
    </rPh>
    <phoneticPr fontId="2"/>
  </si>
  <si>
    <t>隧道</t>
    <rPh sb="0" eb="2">
      <t>ズイドウ</t>
    </rPh>
    <phoneticPr fontId="2"/>
  </si>
  <si>
    <t>堰堤</t>
    <rPh sb="0" eb="2">
      <t>エンテイ</t>
    </rPh>
    <phoneticPr fontId="2"/>
  </si>
  <si>
    <t>浚渫・埋立</t>
    <rPh sb="0" eb="2">
      <t>シュンセツ</t>
    </rPh>
    <rPh sb="3" eb="4">
      <t>ウ</t>
    </rPh>
    <rPh sb="4" eb="5">
      <t>タ</t>
    </rPh>
    <phoneticPr fontId="2"/>
  </si>
  <si>
    <t>その他の土木</t>
    <rPh sb="2" eb="3">
      <t>タ</t>
    </rPh>
    <rPh sb="4" eb="6">
      <t>ドボク</t>
    </rPh>
    <phoneticPr fontId="2"/>
  </si>
  <si>
    <t>住宅・同設備</t>
    <rPh sb="0" eb="2">
      <t>ジュウタク</t>
    </rPh>
    <rPh sb="3" eb="4">
      <t>ドウ</t>
    </rPh>
    <rPh sb="4" eb="6">
      <t>セツビ</t>
    </rPh>
    <phoneticPr fontId="2"/>
  </si>
  <si>
    <t>非住宅・同設備</t>
    <rPh sb="0" eb="1">
      <t>ヒ</t>
    </rPh>
    <rPh sb="1" eb="3">
      <t>ジュウタク</t>
    </rPh>
    <rPh sb="4" eb="5">
      <t>ドウ</t>
    </rPh>
    <rPh sb="5" eb="7">
      <t>セツビ</t>
    </rPh>
    <phoneticPr fontId="2"/>
  </si>
  <si>
    <t>屋外の電気等</t>
    <rPh sb="0" eb="2">
      <t>オクガイ</t>
    </rPh>
    <rPh sb="3" eb="5">
      <t>デンキ</t>
    </rPh>
    <rPh sb="5" eb="6">
      <t>トウ</t>
    </rPh>
    <phoneticPr fontId="2"/>
  </si>
  <si>
    <t>機械器具設置</t>
    <rPh sb="0" eb="2">
      <t>キカイ</t>
    </rPh>
    <rPh sb="2" eb="4">
      <t>キグ</t>
    </rPh>
    <rPh sb="4" eb="6">
      <t>セッチ</t>
    </rPh>
    <phoneticPr fontId="2"/>
  </si>
  <si>
    <t>設備</t>
    <rPh sb="0" eb="2">
      <t>セツビ</t>
    </rPh>
    <phoneticPr fontId="2"/>
  </si>
  <si>
    <t>～</t>
    <phoneticPr fontId="2"/>
  </si>
  <si>
    <t>　　　　　　　　　　工事種別
総工事費</t>
    <rPh sb="10" eb="12">
      <t>コウジ</t>
    </rPh>
    <rPh sb="12" eb="14">
      <t>シュベツ</t>
    </rPh>
    <rPh sb="16" eb="17">
      <t>ソウ</t>
    </rPh>
    <rPh sb="17" eb="20">
      <t>コウジヒ</t>
    </rPh>
    <phoneticPr fontId="2"/>
  </si>
  <si>
    <t>建退共　「掛金納付の考え方」の表</t>
    <rPh sb="0" eb="3">
      <t>ケンタイキョウ</t>
    </rPh>
    <phoneticPr fontId="2"/>
  </si>
  <si>
    <t>事業年度期間</t>
    <rPh sb="0" eb="2">
      <t>ジギョウ</t>
    </rPh>
    <rPh sb="2" eb="4">
      <t>ネンド</t>
    </rPh>
    <rPh sb="4" eb="6">
      <t>キカン</t>
    </rPh>
    <phoneticPr fontId="2"/>
  </si>
  <si>
    <t>月</t>
    <rPh sb="0" eb="1">
      <t>ガツ</t>
    </rPh>
    <phoneticPr fontId="2"/>
  </si>
  <si>
    <t>日</t>
    <rPh sb="0" eb="1">
      <t>ニチ</t>
    </rPh>
    <phoneticPr fontId="2"/>
  </si>
  <si>
    <t>から</t>
    <phoneticPr fontId="2"/>
  </si>
  <si>
    <t>まで</t>
    <phoneticPr fontId="2"/>
  </si>
  <si>
    <t>年</t>
    <rPh sb="0" eb="1">
      <t>ネン</t>
    </rPh>
    <phoneticPr fontId="2"/>
  </si>
  <si>
    <t>現在</t>
    <rPh sb="0" eb="2">
      <t>ゲンザイ</t>
    </rPh>
    <phoneticPr fontId="2"/>
  </si>
  <si>
    <t>処理方法：</t>
    <rPh sb="0" eb="2">
      <t>ショリ</t>
    </rPh>
    <rPh sb="2" eb="4">
      <t>ホウホウ</t>
    </rPh>
    <phoneticPr fontId="2"/>
  </si>
  <si>
    <t>摘要日</t>
    <rPh sb="0" eb="2">
      <t>テキヨウ</t>
    </rPh>
    <rPh sb="2" eb="3">
      <t>ニチ</t>
    </rPh>
    <phoneticPr fontId="2"/>
  </si>
  <si>
    <t>修正日</t>
    <rPh sb="0" eb="3">
      <t>シュウセイビ</t>
    </rPh>
    <phoneticPr fontId="2"/>
  </si>
  <si>
    <t>押印</t>
    <rPh sb="0" eb="2">
      <t>オウイン</t>
    </rPh>
    <phoneticPr fontId="2"/>
  </si>
  <si>
    <r>
      <t>建設発生土の搬出先等　　　</t>
    </r>
    <r>
      <rPr>
        <sz val="11"/>
        <color rgb="FFFF0000"/>
        <rFont val="ＭＳ Ｐゴシック"/>
        <family val="3"/>
        <charset val="128"/>
      </rPr>
      <t>※シート「閲覧図書」参照</t>
    </r>
    <rPh sb="0" eb="2">
      <t>ケンセツ</t>
    </rPh>
    <rPh sb="2" eb="5">
      <t>ハッセイド</t>
    </rPh>
    <rPh sb="6" eb="8">
      <t>ハンシュツ</t>
    </rPh>
    <rPh sb="8" eb="9">
      <t>サキ</t>
    </rPh>
    <rPh sb="9" eb="10">
      <t>トウ</t>
    </rPh>
    <phoneticPr fontId="2"/>
  </si>
  <si>
    <t>特記仕様書　　建設副産物の処理</t>
    <rPh sb="0" eb="2">
      <t>トッキ</t>
    </rPh>
    <rPh sb="2" eb="5">
      <t>シヨウショ</t>
    </rPh>
    <rPh sb="7" eb="9">
      <t>ケンセツ</t>
    </rPh>
    <rPh sb="9" eb="10">
      <t>フク</t>
    </rPh>
    <rPh sb="10" eb="12">
      <t>サンブツ</t>
    </rPh>
    <rPh sb="13" eb="15">
      <t>ショリ</t>
    </rPh>
    <phoneticPr fontId="2"/>
  </si>
  <si>
    <t>現場説明書　　建設副産物・再生資源関係</t>
    <rPh sb="0" eb="2">
      <t>ゲンバ</t>
    </rPh>
    <rPh sb="2" eb="5">
      <t>セツメイショ</t>
    </rPh>
    <rPh sb="7" eb="9">
      <t>ケンセツ</t>
    </rPh>
    <rPh sb="9" eb="10">
      <t>フク</t>
    </rPh>
    <rPh sb="10" eb="12">
      <t>サンブツ</t>
    </rPh>
    <rPh sb="13" eb="15">
      <t>サイセイ</t>
    </rPh>
    <rPh sb="15" eb="17">
      <t>シゲン</t>
    </rPh>
    <rPh sb="17" eb="19">
      <t>カンケイ</t>
    </rPh>
    <phoneticPr fontId="2"/>
  </si>
  <si>
    <t>建設副産物</t>
    <rPh sb="0" eb="2">
      <t>ケンセツ</t>
    </rPh>
    <rPh sb="2" eb="5">
      <t>フクサンブツ</t>
    </rPh>
    <phoneticPr fontId="2"/>
  </si>
  <si>
    <t>「設計図書のとおり」と記述</t>
    <rPh sb="1" eb="3">
      <t>セッケイ</t>
    </rPh>
    <rPh sb="3" eb="5">
      <t>トショ</t>
    </rPh>
    <rPh sb="11" eb="13">
      <t>キジュツ</t>
    </rPh>
    <phoneticPr fontId="2"/>
  </si>
  <si>
    <t>抹消のうえ訂正印を押印（または上に捨印）</t>
    <rPh sb="0" eb="2">
      <t>マッショウ</t>
    </rPh>
    <rPh sb="5" eb="8">
      <t>テイセイイン</t>
    </rPh>
    <rPh sb="9" eb="11">
      <t>オウイン</t>
    </rPh>
    <rPh sb="15" eb="16">
      <t>ウエ</t>
    </rPh>
    <rPh sb="17" eb="18">
      <t>ス</t>
    </rPh>
    <rPh sb="18" eb="19">
      <t>イン</t>
    </rPh>
    <phoneticPr fontId="2"/>
  </si>
  <si>
    <t>各種保険の事業主負担額を記入すること。なお入札時の内訳書を添付してもよいです</t>
    <rPh sb="0" eb="2">
      <t>カクシュ</t>
    </rPh>
    <rPh sb="2" eb="4">
      <t>ホケン</t>
    </rPh>
    <rPh sb="5" eb="8">
      <t>ジギョウヌシ</t>
    </rPh>
    <rPh sb="8" eb="11">
      <t>フタンガク</t>
    </rPh>
    <rPh sb="12" eb="14">
      <t>キニュウ</t>
    </rPh>
    <phoneticPr fontId="2"/>
  </si>
  <si>
    <t>（様式－１）</t>
    <rPh sb="1" eb="3">
      <t>ヨウシキ</t>
    </rPh>
    <phoneticPr fontId="2"/>
  </si>
  <si>
    <t>（発注者）</t>
    <rPh sb="1" eb="4">
      <t>ハッチュウシャ</t>
    </rPh>
    <phoneticPr fontId="2"/>
  </si>
  <si>
    <t>（受注者）</t>
    <rPh sb="1" eb="4">
      <t>ジュチュウシャ</t>
    </rPh>
    <phoneticPr fontId="2"/>
  </si>
  <si>
    <t>代表者氏名</t>
    <rPh sb="0" eb="3">
      <t>ダイヒョウシャ</t>
    </rPh>
    <rPh sb="3" eb="5">
      <t>シメイ</t>
    </rPh>
    <phoneticPr fontId="2"/>
  </si>
  <si>
    <t>工事開始日通知書</t>
    <rPh sb="0" eb="2">
      <t>コウジ</t>
    </rPh>
    <rPh sb="2" eb="5">
      <t>カイシビ</t>
    </rPh>
    <rPh sb="5" eb="8">
      <t>ツウチショ</t>
    </rPh>
    <phoneticPr fontId="2"/>
  </si>
  <si>
    <t>次の工事について、工事開始日を定めましたので通知します。</t>
    <rPh sb="0" eb="1">
      <t>ツギ</t>
    </rPh>
    <rPh sb="2" eb="4">
      <t>コウジ</t>
    </rPh>
    <rPh sb="9" eb="11">
      <t>コウジ</t>
    </rPh>
    <rPh sb="11" eb="14">
      <t>カイシビ</t>
    </rPh>
    <rPh sb="15" eb="16">
      <t>サダ</t>
    </rPh>
    <rPh sb="22" eb="24">
      <t>ツウチ</t>
    </rPh>
    <phoneticPr fontId="2"/>
  </si>
  <si>
    <t>工事の始期
（工事開始日）</t>
    <rPh sb="0" eb="2">
      <t>コウジ</t>
    </rPh>
    <rPh sb="3" eb="5">
      <t>シキ</t>
    </rPh>
    <rPh sb="7" eb="9">
      <t>コウジ</t>
    </rPh>
    <rPh sb="9" eb="12">
      <t>カイシビ</t>
    </rPh>
    <phoneticPr fontId="2"/>
  </si>
  <si>
    <t>工事の終期
（完成工期）</t>
    <rPh sb="0" eb="2">
      <t>コウジ</t>
    </rPh>
    <rPh sb="3" eb="5">
      <t>シュウキ</t>
    </rPh>
    <rPh sb="7" eb="9">
      <t>カンセイ</t>
    </rPh>
    <rPh sb="9" eb="11">
      <t>コウキ</t>
    </rPh>
    <phoneticPr fontId="2"/>
  </si>
  <si>
    <t>佐藤　樹一郎</t>
    <rPh sb="0" eb="2">
      <t>サトウ</t>
    </rPh>
    <rPh sb="3" eb="6">
      <t>キイチロウ</t>
    </rPh>
    <phoneticPr fontId="2"/>
  </si>
  <si>
    <t>※</t>
    <phoneticPr fontId="2"/>
  </si>
  <si>
    <t>１</t>
    <phoneticPr fontId="2"/>
  </si>
  <si>
    <t>２</t>
    <phoneticPr fontId="2"/>
  </si>
  <si>
    <t>３</t>
    <phoneticPr fontId="2"/>
  </si>
  <si>
    <t>工事の終期は、本通知書に記載した工事の始期に、特記仕様書に明示している実工事</t>
    <phoneticPr fontId="2"/>
  </si>
  <si>
    <t>期間を加えた期日を記載すること。</t>
    <phoneticPr fontId="2"/>
  </si>
  <si>
    <t>　</t>
    <phoneticPr fontId="2"/>
  </si>
  <si>
    <t>受付印</t>
    <rPh sb="0" eb="3">
      <t>ウケツケイン</t>
    </rPh>
    <phoneticPr fontId="2"/>
  </si>
  <si>
    <t>　ればならない。</t>
    <phoneticPr fontId="2"/>
  </si>
  <si>
    <t>　いて、必要があるときは、その施工につき、調整を行うものとする。この場合においては、受注者は、発注者の調整に従い、</t>
  </si>
  <si>
    <t>　当該第三者の行う工事の円滑な施工に協力しなければならない。</t>
  </si>
  <si>
    <t>４　受注者は、この契約の履行に関して知り得た秘密を漏らしてはならない。</t>
  </si>
  <si>
    <t>５　この約款に定める催告、請求、通知、報告、申出、承諾及び解除は、書面により行わなければならない。</t>
  </si>
  <si>
    <t>６　この契約の履行に関して発注者と受注者との間で用いる言語は、日本語とする。</t>
  </si>
  <si>
    <t>７　この約款に定める金銭の支払に用いる通貨は、日本円とする。</t>
  </si>
  <si>
    <t>10　この契約は、日本国の法令に準拠するものとする。</t>
  </si>
  <si>
    <t>11　この契約に係る訴訟については、日本国の裁判所をもって合意による専属的管轄裁判所とする。</t>
  </si>
  <si>
    <t>第２条　発注者は、受注者の施工する工事及び発注者の発注に係る第三者の施工する他の工事が施工上密接に関連する場合にお</t>
  </si>
  <si>
    <t>第３条　受注者は、この契約締結後14日以内に設計図書に基づいて、請負代金内訳書（以下「内訳書」という。）及び工程表を</t>
  </si>
  <si>
    <t>３　内訳書及び工程表は、発注者及び受注者を拘束するものではない。</t>
  </si>
  <si>
    <t>第４条（Ａ）　受注者は、この契約の締結と同時に、次の各号のいずれかに掲げる保証を付さなければならない。ただし、第５</t>
  </si>
  <si>
    <t>第５条　受注者は、この契約により生ずる権利又は義務を第三者に譲渡し、又は承継させてはならない。ただし、あらかじめ、</t>
  </si>
  <si>
    <t>２　受注者は、工事目的物並びに工事材料（工場製品を含む。以下同じ。）のうち第13条第２項の規定による検査に合格したも</t>
  </si>
  <si>
    <t>３　受注者が前払金の使用や部分払等によってもなおこの契約の目的物に係る工事の施工に必要な資金が不足することを疎明し</t>
  </si>
  <si>
    <t>４　受注者は、前項の規定により、第１項ただし書の承諾を受けた場合は、請負代金債権の譲渡により得た資金をこの契約の目</t>
  </si>
  <si>
    <t>第６条　受注者は、工事の全部若しくはその主たる部分又は他の部分から独立してその機能を発揮する工作物の工事を一括して</t>
  </si>
  <si>
    <t>２　受注者は、第48条第11号イからホまでのいずれかに該当する者を、下請契約又は資材、原材料の購入契約その他の契約の相</t>
  </si>
  <si>
    <t>第７条　発注者は、受注者に対して、下請負人の商号又は名称その他必要な事項の通知を請求することができる。</t>
  </si>
  <si>
    <t>第７条の２　受注者は、次の各号に掲げる届出をしていない建設業者（建設業法（昭和24年法律第100号）第２条第３項に定め</t>
  </si>
  <si>
    <t>第８条　受注者は、特許権、実用新案権、意匠権、商標権その他日本国の法令に基づき保護される第三者の権利（以下「特許権</t>
  </si>
  <si>
    <t>第９条　発注者は、監督員を置いたときは、その氏名を受注者に通知しなければならない。監督員を変更したときも同様とする。</t>
  </si>
  <si>
    <t>２　監督員は、この約款の他の条項に定めるもの及びこの約款に基づく発注者の権限とされる事項のうち発注者が必要と認めて</t>
  </si>
  <si>
    <t>３　発注者は、２名以上の監督員を置き、前項の権限を分担させたときにあってはそれぞれの監督員の有する権限の内容を、監</t>
  </si>
  <si>
    <t>４　第２項の規定に基づく監督員の指示又は承諾は、原則として、書面により行わなければならない。</t>
  </si>
  <si>
    <t>５　発注者が監督員を置いたときは、この約款に定める催告、請求、通知、報告、申出、承諾及び解除については、設計図書に</t>
  </si>
  <si>
    <t>６　発注者が監督員を置かないときは、この約款に定める監督員の権限は、発注者に帰属する。</t>
  </si>
  <si>
    <t>第10条　受注者は、次の各号に掲げる者を定めて工事現場に設置し、設計図書に定めるところにより、その氏名その他必要な事</t>
  </si>
  <si>
    <t>２　現場代理人は、この契約の履行に関し、工事現場に常駐し、その運営、取締りを行うほか、請負代金額の変更、請負代金の</t>
  </si>
  <si>
    <t>３　発注者は、前項の規定にかかわらず、現場代理人の工事現場における運営、取締り及び権限の行使に支障がなく、かつ、発</t>
  </si>
  <si>
    <t>４　受注者は、第２項の規定にかかわらず、自己の有する権限のうち現場代理人に委任せず自ら行使しようとするものがあると</t>
  </si>
  <si>
    <t>５　現場代理人、監理技術者等（監理技術者、監理技術者補佐又は主任技術者をいう。以下同じ。）及び専門技術者は、これを</t>
  </si>
  <si>
    <t>第11条　受注者は、設計図書に定めるところにより、この契約の履行について発注者に報告しなければならない。</t>
  </si>
  <si>
    <t>３　受注者は、前２項の規定による請求があったときは、当該請求に係る事項について決定し、その結果を請求を受けた日から</t>
  </si>
  <si>
    <t>４　受注者は、監督員がその職務の執行につき著しく不適当と認められるときは、発注者に対して、その理由を明示した書面に</t>
  </si>
  <si>
    <t>５　発注者は、前項の規定による請求があったときは、当該請求に係る事項について決定し、その結果を請求を受けた日から10</t>
  </si>
  <si>
    <t>第13条　工事材料の品質については、設計図書に定めるところによる。設計図書にその品質が明示されていない場合にあっては、</t>
  </si>
  <si>
    <t>２　受注者は、設計図書において監督員の検査（確認を含む。以下この条において同じ。）を受けて使用すべきものと指定され</t>
  </si>
  <si>
    <t>３　監督員は、受注者から前項の検査を請求されたときは、請求を受けた日から７日以内に応じなければならない。</t>
  </si>
  <si>
    <t>４　受注者は、工事現場内に搬入した工事材料を監督員の承諾を受けないで工事現場外に搬出してはならない。</t>
  </si>
  <si>
    <t>５　受注者は、前項の規定にかかわらず、第２項の検査の結果不合格と決定された工事材料については、当該決定を受けた日か</t>
  </si>
  <si>
    <t>第14条　受注者は、設計図書において監督員の立会いの上調合し、又は調合について見本検査を受けるものと指定された工事材</t>
  </si>
  <si>
    <t>２　受注者は、設計図書において監督員の立会いの上施工するものと指定された工事については、当該立会いを受けて施工しな</t>
  </si>
  <si>
    <t>３　受注者は、前２項に規定するほか、発注者が特に必要があると認めて設計図書において見本又は工事写真等の記録を整備す</t>
  </si>
  <si>
    <t>４　監督員は、受注者から第１項又は第２項の立会い又は見本検査を請求されたときは、当該請求を受けた日から７日以内に応</t>
  </si>
  <si>
    <t>５　前項の場合において、監督員が正当な理由なく受注者の請求に７日以内に応じないため、その後の工程に支障をきたすとき</t>
  </si>
  <si>
    <t>６　第１項、第３項又は前項の場合において、見本検査又は見本若しくは工事写真等の記録の整備に直接要する費用は、受注者</t>
  </si>
  <si>
    <t>第15条　発注者が受注者に支給する工事材料（以下「支給材料」という。）及び貸与する建設機械器具（以下「貸与品」とい</t>
  </si>
  <si>
    <t>２　監督員は、支給材料又は貸与品の引渡しに当たっては、受注者の立会いの上、発注者の負担において、当該支給材料又は貸</t>
  </si>
  <si>
    <t>３　受注者は、支給材料又は貸与品の引渡しを受けたときは、引渡しの日から７日以内に、発注者に受領書又は借用書を提出し</t>
  </si>
  <si>
    <t>４　受注者は、支給材料又は貸与品の引渡しを受けた後、当該支給材料又は貸与品に種類、品質又は数量に関しこの契約の内容</t>
  </si>
  <si>
    <t>５　発注者は、受注者から第２項後段又は前項の規定による通知を受けた場合において、必要があると認められるときは、当該</t>
  </si>
  <si>
    <t>６　発注者は、前項に規定するほか、必要があると認めるときは、支給材料又は貸与品の品名、数量、品質、規格若しくは性能、</t>
  </si>
  <si>
    <t>７　発注者は、前２項の場合において、必要があると認められるときは工期若しくは請負代金額を変更し、又は受注者に損害を</t>
  </si>
  <si>
    <t>８　受注者は、支給材料及び貸与品を善良な管理者の注意をもって管理しなければならない。</t>
  </si>
  <si>
    <t>９　受注者は、設計図書に定めるところにより、工事の完成、設計図書の変更等によって不用となった支給材料又は貸与品を発</t>
  </si>
  <si>
    <t>10　受注者は、故意又は過失により支給材料又は貸与品が滅失若しくはき損し、又はその返還が不可能となったときは、発注者</t>
  </si>
  <si>
    <t>11　受注者は、支給材料又は貸与品の使用方法が設計図書に明示されていないときは、監督員の指示に従わなければならない。</t>
  </si>
  <si>
    <t>第16条　発注者は、工事用地その他設計図書において定められた工事の施工上必要な用地（以下「工事用地等」という。）を受</t>
  </si>
  <si>
    <t>２　受注者は、確保された工事用地等を善良な管理者の注意をもって管理しなければならない。</t>
  </si>
  <si>
    <t>３　工事の完成、設計図書の変更等によって工事用地等が不用となった場合において、当該工事用地等に受注者が所有又は管理</t>
  </si>
  <si>
    <t>４　前項の場合において、受注者が正当な理由なく、相当の期間内に当該物件を撤去せず、又は工事用地等の修復若しくは取片</t>
  </si>
  <si>
    <t>５　第３項に規定する受注者のとるべき措置の期限、方法等については、発注者が受注者の意見を聴いて定める。</t>
  </si>
  <si>
    <t>第17条　受注者は、工事の施工部分が設計図書に適合しない場合において、監督員がその改造を請求したときは、当該請求に従</t>
  </si>
  <si>
    <t>２　監督員は、受注者が第13条第２項又は第14条第１項から第３項までの規定に違反した場合において、必要があると認められ</t>
  </si>
  <si>
    <t>３　前項に規定するほか、監督員は、工事の施工部分が設計図書に適合しないと認められる相当の理由がある場合において、必</t>
  </si>
  <si>
    <t>４　前２項の場合において、検査及び復旧に直接要する費用は受注者の負担とする。</t>
  </si>
  <si>
    <t>第18条　受注者は、工事の施工に当たり、次の各号のいずれかに該当する事実を発見したときは、その旨を直ちに監督員に通知</t>
  </si>
  <si>
    <t>２　監督員は、前項の規定による確認を請求されたとき又は自ら同項各号に掲げる事実を発見したときは、受注者の立会いの上、</t>
  </si>
  <si>
    <t>３　発注者は、受注者の意見を聴いて、調査の結果（これに対してとるべき措置を指示する必要があるときは、当該指示を含</t>
  </si>
  <si>
    <t>４　前項の調査の結果において第１項の事実が確認された場合において、必要があると認められるときは、次に掲げるところに</t>
  </si>
  <si>
    <t>５　前項の規定により設計図書の訂正又は変更が行われた場合において、発注者は、必要があると認められるときは工期若しく</t>
  </si>
  <si>
    <t>第19条　発注者は、必要があると認めるときは、設計図書の変更内容を受注者に通知して、設計図書を変更することができる。</t>
  </si>
  <si>
    <t>第20条　工事用地等の確保ができない等のため又は暴風、豪雨、洪水、高潮、地震、地すべり、落盤、火災、騒乱、暴動その他</t>
  </si>
  <si>
    <t>２　発注者は、前項の規定によるほか、必要があると認めるときは、工事の中止内容を受注者に通知して、工事の全部又は一部</t>
  </si>
  <si>
    <t>３　発注者は、前２項の規定により工事の施工を一時中止させた場合において、必要があると認められるときは工期若しくは請</t>
  </si>
  <si>
    <t>第21条　受注者は、天候の不良、第２条の規定に基づく関連工事の調整への協力その他受注者の責めに帰すことができない事由</t>
  </si>
  <si>
    <t>２　発注者は、前項の規定による請求があった場合において、必要があると認められるときは、工期を延長しなければならない。</t>
  </si>
  <si>
    <t>第22条　発注者は、特別の理由により工期を短縮する必要があるときは、工期の短縮変更を受注者に請求することができる。</t>
  </si>
  <si>
    <t>２　発注者は、前項の場合において、必要があると認められるときは請負代金額を変更し、又は受注者に損害を及ぼしたときは</t>
  </si>
  <si>
    <t>第23条　工期の変更については、発注者と受注者とが協議して定める。ただし、協議開始の日から14日以内に協議が整わない場</t>
  </si>
  <si>
    <t>２　前項の協議開始の日については、発注者が受注者の意見を聴いて定め、受注者に通知するものとする。ただし、発注者が工</t>
  </si>
  <si>
    <t>第24条　請負代金額の変更については、発注者と受注者とが協議して定める。ただし、協議開始の日から14日以内に協議が整わ</t>
  </si>
  <si>
    <t>２　前項の協議開始の日については、発注者が受注者の意見を聴いて定め、受注者に通知するものとする。ただし、請負代金額</t>
  </si>
  <si>
    <t>第25条　発注者又は受注者は、工期内で請負契約締結の日から12月を経過した後に日本国内における賃金水準又は物価水準の変</t>
  </si>
  <si>
    <t>２　発注者又は受注者は、前項の規定による請求があったときは、変動前残工事代金額（請負代金額から当該請求時の出来形部</t>
  </si>
  <si>
    <t>３　変動前残工事代金額及び変動後残工事代金額は、請求のあった日を基準とし、物価指数等に基づき発注者と受注者とが協議</t>
  </si>
  <si>
    <t>４　第１項の規定による請求は、この条の規定により請負代金額の変更を行った後再度行うことができる。この場合においては、</t>
  </si>
  <si>
    <t>５　特別な要因により工期内に主要な工事材料の日本国内における価格に著しい変動を生じ、請負代金額が不適当となったとき</t>
  </si>
  <si>
    <t>６　予期することのできない特別の事情により、工期内に日本国内において急激なインフレーション又はデフレーションを生じ、</t>
  </si>
  <si>
    <t>７　前２項の場合において、請負代金額の変更額については、発注者と受注者とが協議して定める。ただし、協議開始の日から</t>
  </si>
  <si>
    <t>８　第３項及び前項の協議開始の日については、発注者が受注者の意見を聴いて定め、受注者に通知しなければならない。ただ</t>
  </si>
  <si>
    <t>第26条　受注者は、災害防止等のため必要があると認めるときは、臨機の措置をとらなければならない。この場合において、必</t>
  </si>
  <si>
    <t>２　前項の場合においては、受注者は、そのとった措置の内容を監督員に直ちに通知しなければならない。</t>
  </si>
  <si>
    <t>３　監督員は、災害防止その他工事の施工上特に必要があると認めるときは、受注者に対して臨機の措置をとることを請求する</t>
  </si>
  <si>
    <t>４　受注者が第１項又は前項の規定により臨機の措置をとった場合において、当該措置に要した費用のうち、受注者が請負代金</t>
  </si>
  <si>
    <t>第27条　工事目的物の引渡し前に、工事目的物又は工事材料について生じた損害その他工事の施工に関して生じた損害（次条第</t>
  </si>
  <si>
    <t>第28条　工事の施工について第三者に損害を及ぼしたときは、受注者がその損害を賠償しなければならない。ただし、その損害</t>
  </si>
  <si>
    <t>２　前項の規定にかかわらず、工事の施工に伴い通常避けることができない騒音、振動、地盤沈下、地下水の断絶等の理由によ</t>
  </si>
  <si>
    <t>３　前２項の場合その他工事の施工について第三者との間に紛争を生じた場合においては、発注者及び受注者は協力してその処</t>
  </si>
  <si>
    <t>第29条　工事目的物の引渡し前に、天災等（設計図書で基準を定めたものにあっては、当該基準を超えるものに限る。）で発注</t>
  </si>
  <si>
    <t>２　発注者は、前項の規定による通知を受けたときは、直ちに調査を行い、同項の損害（受注者が善良な管理者の注意義務を怠</t>
  </si>
  <si>
    <t>３　受注者は、前項の規定により損害の状況が確認されたときは、損害による費用の負担を発注者に請求することができる。</t>
  </si>
  <si>
    <t>４　発注者は、前項の規定により受注者から損害による費用の負担の請求があったときは、当該損害の額（工事目的物等であっ</t>
  </si>
  <si>
    <t>５　損害の額は、次の各号に掲げる損害につき、それぞれ当該各号に定めるところにより、算定する。</t>
  </si>
  <si>
    <t>６　数次にわたる不可抗力により損害合計額が累積した場合における第２次以降の不可抗力による損害合計額の負担については、</t>
  </si>
  <si>
    <t>第30条　発注者は、第８条、第15条、第17条から第22条まで、第25条から第27条まで、前条又は第33条の規定により請負代金額</t>
  </si>
  <si>
    <t>２　前項の協議開始の日については、発注者が受注者の意見を聴いて定め、受注者に通知しなければならない。ただし、発注者</t>
  </si>
  <si>
    <t>第31条　受注者は、工事を完成したときは、その旨を発注者に通知しなければならない。</t>
  </si>
  <si>
    <t>２　発注者は、前項の規定による通知を受けたときは、通知を受けた日から14日以内に受注者の立会いの上、設計図書に定める</t>
  </si>
  <si>
    <t>３　前項の場合において、検査又は復旧に直接要する費用は、受注者の負担とする。</t>
  </si>
  <si>
    <t>４　発注者は、第２項の検査によって工事の完成を確認した後、受注者が工事目的物の引渡しを申し出たときは、直ちに当該工</t>
  </si>
  <si>
    <t>５　発注者は、受注者が前項の申出を行わないときは、当該工事目的物の引渡しを請負代金の支払の完了と同時に行うことを請</t>
  </si>
  <si>
    <t>６　受注者は、工事が第２項の検査に合格しないときは、直ちに修補して発注者の検査を受けなければならない。この場合にお</t>
  </si>
  <si>
    <t>第32条　受注者は、前条第２項の検査に合格したときは、請負代金の支払を請求することができる。</t>
  </si>
  <si>
    <t>２　発注者は、前項の規定による請求があったときは、請求を受けた日から40日以内に請負代金を支払わなければならない。</t>
  </si>
  <si>
    <t>３　発注者がその責めに帰すべき事由により前条第２項の期間内に検査をしないときは、その期限を経過した日から検査をした</t>
  </si>
  <si>
    <t>第33条　発注者は、第31条第４項又は第５項の規定による引渡し前においても、工事目的物の全部又は一部を受注者の承諾を得</t>
  </si>
  <si>
    <t>２　前項の場合においては、発注者は、その使用部分を善良な管理者の注意をもって使用しなければならない。</t>
  </si>
  <si>
    <t>３　発注者は、第１項の規定により工事目的物の全部又は一部を使用したことによって受注者に損害を及ぼしたときは、必要な</t>
  </si>
  <si>
    <t>第34条　受注者は、保証事業会社と、契約書記載の工事完成の時期を保証期限とする公共工事の前払金保証事業に関する法律第</t>
  </si>
  <si>
    <t>２　受注者は、前項に定める場合のほか、請負代金額が減額された場合において、保証契約を変更したときは、変更後の保証証</t>
  </si>
  <si>
    <t>２　受注者は、部分払を請求しようとするときは、あらかじめ、当該請求に係る出来形部分又は工事現場に搬入済みの工事材料</t>
  </si>
  <si>
    <t>３　発注者は、前項の場合において、当該請求を受けた日から14日以内に、受注者の立会いの上、設計図書に定めるところによ</t>
  </si>
  <si>
    <t>４　前項の場合において、検査又は復旧に直接要する費用は、受注者の負担とする。</t>
  </si>
  <si>
    <t>５　受注者は、第３項の規定による確認があったときは、部分払を請求することができる。この場合においては、発注者は、当</t>
  </si>
  <si>
    <t>６　部分払金の額は、次の式により算定する。この場合において第１項の請負代金相当額は、発注者と受注者とが協議して定め</t>
  </si>
  <si>
    <t>７　第５項の規定により部分払金の支払があった後、再度部分払の請求をする場合においては、第１項及び前項中「請負代金相</t>
  </si>
  <si>
    <t>第39条　工事目的物について、発注者が設計図書において工事の完成に先だって引渡しを受けるべきことを指定した部分（以下</t>
  </si>
  <si>
    <t>２　前項の規定により準用される第32条第１項の規定により請求することができる部分引渡しに係る請負代金の額は、次の式に</t>
  </si>
  <si>
    <t>２　支払限度額に対応する各会計年度の出来高予定額は、次のとおりである。</t>
  </si>
  <si>
    <t>３　発注者は、予算上の都合その他の必要があるときは、第１項の支払限度額及び前項の出来高予定額を変更することができる。</t>
  </si>
  <si>
    <t>第41条　債務負担行為に係る契約の前金払については、第34条及び第35条中「契約書記載の工事完成の時期」とあるのは「契約</t>
  </si>
  <si>
    <t>２　前項の場合において、契約会計年度について前払金を支払わない旨が設計図書に定められているときには、同項の規定によ</t>
  </si>
  <si>
    <t>３　第１項の場合において、契約会計年度に翌会計年度分の前払金を含めて支払う旨が設計図書に定められているときには、同</t>
  </si>
  <si>
    <t>４　第１項の場合において、前会計年度末における請負代金相当額が前会計年度までの出来高予定額に達しないときには、同項</t>
  </si>
  <si>
    <t>５　第１項の場合において、前会計年度末における請負代金相当額が前会計年度までの出来高予定額に達しないときには、その</t>
  </si>
  <si>
    <t>第42条　債務負担行為に係る契約において、前会計年度末における請負代金相当額が前会計年度までの出来高予定額を超えた場</t>
  </si>
  <si>
    <t>２　この契約において、前払金の支払を受けている場合の部分払金の額については、第38条第６項及び第７項の規定にかかわら</t>
  </si>
  <si>
    <t>３　各会計年度において、部分払を請求できる回数は、次のとおりとする。</t>
  </si>
  <si>
    <t>第43条　受注者は、発注者の承諾を得て請負代金の全部又は一部の受領につき、第三者を代理人とすることができる。</t>
  </si>
  <si>
    <t>第44条　受注者は、発注者が第34条、第35条、第38条又は第39条において準用される第32条の規定に基づく支払を遅延し、相当</t>
  </si>
  <si>
    <t>２　発注者は、前項の規定により受注者が工事の施工を中止した場合において、必要があると認められるときは工期若しくは請</t>
  </si>
  <si>
    <t>第45条（Ａ）　発注者は、引き渡された工事目的物が種類又は品質に関して契約の内容に適合しないもの（以下「契約不適合」</t>
  </si>
  <si>
    <t>２　前項の場合において、受注者は、発注者に不相当な負担を課するものでないときは、発注者が請求した方法と異なる方法に</t>
  </si>
  <si>
    <t>３　第１項の場合において、発注者が相当の期間を定めて履行の追完の催告をし、その期間内に履行の追完がないときは、発注</t>
  </si>
  <si>
    <t>第46条　発注者は、工事が完成するまでの間は、次条、第48条又は第49条第１項の規定によるほか、必要があるときは、この契</t>
  </si>
  <si>
    <t>２　発注者は、前項の規定によりこの契約を解除した場合において、受注者に損害を及ぼしたときは、その損害を賠償しなけれ</t>
  </si>
  <si>
    <t>第47条　発注者は、受注者が次の各号のいずれかに該当するときは相当の期間を定めてその履行の催告をし、その期間内に履行</t>
  </si>
  <si>
    <t>第48条　発注者は、受注者が次の各号のいずれかに該当するときは、直ちにこの契約を解除することができる。</t>
  </si>
  <si>
    <t>第49条　発注者は、受注者が次の各号のいずれかに該当するときは、この契約を解除することができる。</t>
  </si>
  <si>
    <t>２　前項の規定によりこの契約が解除された場合において、第４条の規定により契約保証金の納付又はこれに代わる担保の提供</t>
  </si>
  <si>
    <t>第50条　第47条各号、第48条各号又は前条第１項各号に定める場合が発注者の責めに帰すべき事由によるものであるときは、発</t>
  </si>
  <si>
    <t>第51条　削除</t>
  </si>
  <si>
    <t>第52条　受注者は、発注者がこの契約に違反したときは、相当の期間を定めてその履行の催告をし、その期間内に履行がないと</t>
  </si>
  <si>
    <t>第53条　受注者は、次の各号のいずれかに該当するときは、直ちにこの契約を解除することができる。</t>
  </si>
  <si>
    <t>第54条　第52条又は前条各号に定める場合が受注者の責めに帰すべき事由によるものであるときは、受注者は、前２条の規定に</t>
  </si>
  <si>
    <t>第55条　発注者は、この契約が工事の完成前に解除された場合においては、出来形部分を検査の上、当該検査に合格した部分及</t>
  </si>
  <si>
    <t>２　前項の場合において、検査又は復旧に直接要する費用は、受注者の負担とする。</t>
  </si>
  <si>
    <t>４　受注者は、この契約が工事の完成前に解除された場合において、支給材料があるときは、第１項の出来形部分の検査に合格</t>
  </si>
  <si>
    <t>６　受注者は、この契約が工事の完成前に解除された場合において、工事用地等に受注者が所有又は管理する工事材料、建設機</t>
  </si>
  <si>
    <t>７　前項の場合において、受注者が正当な理由なく、相当の期間内に当該物件を撤去せず、又は工事用地等の修復若しくは取片</t>
  </si>
  <si>
    <t>８　第４項前段及び第５項前段に規定する受注者のとるべき措置の期限、方法等については、この契約の解除が第47条、第48条、</t>
  </si>
  <si>
    <t>９　工事の完成後にこの契約が解除された場合は、解除に伴い生じる事項の処理については発注者及び受注者が民法の規定に従</t>
  </si>
  <si>
    <t>第56条　発注者は、受注者が次の各号のいずれかに該当するときは、これによって生じた損害の賠償を請求することができる。</t>
  </si>
  <si>
    <t>２　次の各号のいずれかに該当するときは、前項の損害賠償に代えて、受注者は、請負代金額の10分の１に相当する額を違約金</t>
  </si>
  <si>
    <t>３　次に掲げる者がこの契約を解除した場合は、前項第２号に該当する場合とみなす。</t>
  </si>
  <si>
    <t>４　第１項各号又は第２項各号に定める場合（前項の規定により第２項第２号に該当する場合とみなされる場合を除く。）がこ</t>
  </si>
  <si>
    <t>５　第１項第１号に該当し、発注者が損害の賠償を請求する場合の請求額は、請負代金額から部分引渡しを受けた部分に相応す</t>
  </si>
  <si>
    <t>２　発注者は、前項の場合において、受注者が共同企業体で既に解散しているときは、当該共同企業体の構成員であった全ての</t>
  </si>
  <si>
    <t>３　第１項の規定は、発注者に生じた損害額が同項に規定する賠償金の額を超える場合において、その超過分について賠償を請</t>
  </si>
  <si>
    <t>３　第１項の場合において、充当する金銭債権の順序は発注者が指定する。</t>
  </si>
  <si>
    <t>第59条　受注者は、発注者が次の各号のいずれかに該当する場合はこれによって生じた損害の賠償を請求することができる。た</t>
  </si>
  <si>
    <t>第60条　発注者は、引き渡された工事目的物に関し、第31条第４項又は第５項（第39条においてこれらの規定を準用する場合を</t>
  </si>
  <si>
    <t>２　前項の規定にかかわらず、設備機器本体等の契約不適合については、引渡しの時、発注者が検査して直ちにその履行の追完</t>
  </si>
  <si>
    <t>３　請求等は、具体的な契約不適合の内容、請求する損害額の算定の根拠等当該請求等の根拠を示して、受注者の契約不適合責</t>
  </si>
  <si>
    <t>４　発注者が第１項又は第２項に規定する契約不適合に係る請求等が可能な期間（以下この項及び第７項において「契約不適合</t>
  </si>
  <si>
    <t>５　発注者は、請求等を行ったときは、当該請求等の根拠となる契約不適合に関し、民法の消滅時効の範囲で、当該請求等以外</t>
  </si>
  <si>
    <t>６　前各項の規定は、契約不適合が受注者の故意又は重過失により生じたものであるときには適用せず、契約不適合に関する受</t>
  </si>
  <si>
    <t>７　民法第637条第１項の規定は、契約不適合責任期間については適用しない。</t>
  </si>
  <si>
    <t>８　発注者は、工事目的物の引渡しの際に契約不適合があることを知ったときは、第１項の規定にかかわらず、その旨を直ちに</t>
  </si>
  <si>
    <t>９　この契約が、住宅の品質確保の促進等に関する法律（平成11年法律第81号）第94条第１項に規定する住宅新築請負契約であ</t>
  </si>
  <si>
    <t>10　引き渡された工事目的物の契約不適合が支給材料の性質又は発注者若しくは監督員の指図により生じたものであるときは、</t>
  </si>
  <si>
    <t>第61条　受注者は、工事目的物及び工事材料（支給材料を含む。以下この条において同じ。）等を設計図書に定めるところによ</t>
  </si>
  <si>
    <t>２　受注者は、前項の規定により保険契約を締結したときは、その証券又はこれに代わるものを直ちに発注者に提示しなければ</t>
  </si>
  <si>
    <t>３　受注者は、工事目的物及び工事材料等を第１項の規定による保険以外の保険に付したときは、直ちにその旨を発注者に通知</t>
  </si>
  <si>
    <t>第62条　この約款の各条項において発注者と受注者とが協議して定めるものにつき協議が整わなかったときに発注者が定めたも</t>
  </si>
  <si>
    <t>２　前項の規定にかかわらず、現場代理人の職務の執行に関する紛争、監理技術者等、専門技術者その他受注者が工事を施工す</t>
  </si>
  <si>
    <t>第63条　発注者及び受注者は、その一方又は双方が前条の審査会のあっせん又は調停により紛争を解決する見込みがないと認め</t>
  </si>
  <si>
    <t>第64条　この約款に定めのない事項については、必要に応じて発注者と受注者とが協議して定める。</t>
  </si>
  <si>
    <t>　号の場合においては、履行保証保険契約の締結後、直ちにその保険証券を発注者に寄託しなければならない。</t>
    <phoneticPr fontId="2"/>
  </si>
  <si>
    <t>　一　契約保証金の納付</t>
    <phoneticPr fontId="2"/>
  </si>
  <si>
    <t>　二　契約保証金に代わる担保となる有価証券等の提供</t>
    <phoneticPr fontId="2"/>
  </si>
  <si>
    <t>　三　この契約による債務の不履行により生ずる損害金の支払を保証する銀行、発注者が確実と認める金融機関又は保証事業会</t>
    <phoneticPr fontId="2"/>
  </si>
  <si>
    <t>　　社（公共工事の前払金保証事業に関する法律（昭和27年法律第184号）第２条第４項に規定する保証事業会社をいう。以下</t>
    <phoneticPr fontId="2"/>
  </si>
  <si>
    <t>　　同じ。）の保証</t>
    <phoneticPr fontId="2"/>
  </si>
  <si>
    <t>　四　この契約による債務の履行を保証する公共工事履行保証証券による保証</t>
    <phoneticPr fontId="2"/>
  </si>
  <si>
    <t>　よる契約の解除の場合についても保証するものでなければならない。</t>
    <phoneticPr fontId="2"/>
  </si>
  <si>
    <t>　提供として行われたものとし、同項第４号又は第５号に掲げる保証を付したときは、契約保証金の納付を免除する。</t>
    <phoneticPr fontId="2"/>
  </si>
  <si>
    <t>　を請求することができ、受注者は、保証の額の減額を請求することができる。</t>
    <phoneticPr fontId="2"/>
  </si>
  <si>
    <t>　発注者の承諾を得た場合は、この限りでない。</t>
    <phoneticPr fontId="2"/>
  </si>
  <si>
    <t>　の及び第38条第３項の規定による部分払のための確認を受けたものを第三者に譲渡し、貸与し、又は抵当権その他の担保の目</t>
    <phoneticPr fontId="2"/>
  </si>
  <si>
    <t>　的に供してはならない。ただし、あらかじめ、発注者の承諾を得た場合は、この限りでない。</t>
    <phoneticPr fontId="2"/>
  </si>
  <si>
    <t>　たときは、発注者は、特段の理由がある場合を除き、受注者の請負代金債権の譲渡について、第１項ただし書の承諾をしなけ</t>
    <phoneticPr fontId="2"/>
  </si>
  <si>
    <t>　的物に係る工事の施工以外に使用してはならず、またその使途を疎明する書類を発注者に提出しなければならない。</t>
    <phoneticPr fontId="2"/>
  </si>
  <si>
    <t>　第三者に委任し、又は請け負わせてはならない。</t>
    <phoneticPr fontId="2"/>
  </si>
  <si>
    <t>　手方としてはならない。</t>
    <phoneticPr fontId="2"/>
  </si>
  <si>
    <t>　る建設業者をいい、当該届出の義務がない者を除く。以下「社会保険等未加入建設業者」という。）を下請契約（受注者が直</t>
    <phoneticPr fontId="2"/>
  </si>
  <si>
    <t>　接締結する下請契約に限る。以下この条において同じ。）の相手方としてはならない。</t>
    <phoneticPr fontId="2"/>
  </si>
  <si>
    <t>　一　健康保険法（大正11年法律第70号）第48条の規定による届出</t>
    <phoneticPr fontId="2"/>
  </si>
  <si>
    <t>　二　厚生年金保険法（昭和29年法律第115号）第27条の規定による届出</t>
    <phoneticPr fontId="2"/>
  </si>
  <si>
    <t>　三　雇用保険法（昭和49年法律第116号）第７条の規定による届出</t>
    <phoneticPr fontId="2"/>
  </si>
  <si>
    <t>　等」という。）の対象となっている工事材料、施工方法等を使用するときは、その使用に関する一切の責任を負わなければな</t>
    <phoneticPr fontId="2"/>
  </si>
  <si>
    <t>　らない。ただし、発注者がその工事材料、施工方法等を指定した場合において、設計図書に特許権等の対象である旨の明示が</t>
    <phoneticPr fontId="2"/>
  </si>
  <si>
    <t>　なく、かつ、受注者がその存在を知らなかったときは、発注者は、受注者がその使用に関して要した費用を負担しなければな</t>
    <phoneticPr fontId="2"/>
  </si>
  <si>
    <t>　らない。</t>
    <phoneticPr fontId="2"/>
  </si>
  <si>
    <t>　監督員に委任したもののほか、設計図書に定めるところにより、次に掲げる権限を有する。</t>
    <phoneticPr fontId="2"/>
  </si>
  <si>
    <t>　一　この契約の履行についての受注者又は受注者の現場代理人に対する指示、承諾又は協議</t>
    <phoneticPr fontId="2"/>
  </si>
  <si>
    <t>　二　設計図書に基づく工事の施工のための詳細図等の作成及び交付又は受注者が作成した詳細図等の承諾</t>
    <phoneticPr fontId="2"/>
  </si>
  <si>
    <t>　三　設計図書に基づく工程の管理、立会い、工事の施工状況の検査又は工事材料の試験若しくは検査（確認を含む。）</t>
    <phoneticPr fontId="2"/>
  </si>
  <si>
    <t>　督員にこの約款に基づく発注者の権限の一部を委任したときにあっては当該委任した権限の内容を、受注者に通知しなければ</t>
    <phoneticPr fontId="2"/>
  </si>
  <si>
    <t>　ならない。</t>
    <phoneticPr fontId="2"/>
  </si>
  <si>
    <t>　定めるものを除き、監督員を経由して行うものとする。この場合においては、監督員に到達した日をもって発注者に到達した</t>
    <phoneticPr fontId="2"/>
  </si>
  <si>
    <t>　ものとみなす。</t>
    <phoneticPr fontId="2"/>
  </si>
  <si>
    <t>　項を発注者に通知しなければならない。これらの者を変更したときも同様とする。</t>
    <phoneticPr fontId="2"/>
  </si>
  <si>
    <t>　一　現場代理人</t>
    <phoneticPr fontId="2"/>
  </si>
  <si>
    <t>　請求及び受領、第12条第１項の請求の受理、同条第３項の決定及び通知並びにこの契約の解除に係る権限を除き、この契約に</t>
    <phoneticPr fontId="2"/>
  </si>
  <si>
    <t>　基づく受注者の一切の権限を行使することができる。</t>
    <phoneticPr fontId="2"/>
  </si>
  <si>
    <t>　注者との連絡体制が確保されると認めた場合には、現場代理人について工事現場における常駐を要しないこととすることがで</t>
    <phoneticPr fontId="2"/>
  </si>
  <si>
    <t>　きる。</t>
    <phoneticPr fontId="2"/>
  </si>
  <si>
    <t>　きは、あらかじめ、当該権限の内容を発注者に通知しなければならない。</t>
    <phoneticPr fontId="2"/>
  </si>
  <si>
    <t>　兼ねることができる。</t>
    <phoneticPr fontId="2"/>
  </si>
  <si>
    <t>　10日以内に発注者に通知しなければならない。</t>
    <phoneticPr fontId="2"/>
  </si>
  <si>
    <t>　より、必要な措置をとるべきことを請求することができる。</t>
    <phoneticPr fontId="2"/>
  </si>
  <si>
    <t>　日以内に受注者に通知しなければならない。</t>
    <phoneticPr fontId="2"/>
  </si>
  <si>
    <t>　中等の品質を有するものとする。</t>
    <phoneticPr fontId="2"/>
  </si>
  <si>
    <t>　た工事材料については、当該検査に合格したものを使用しなければならない。この場合において、当該検査に直接要する費用</t>
    <phoneticPr fontId="2"/>
  </si>
  <si>
    <t>　は、受注者の負担とする。</t>
    <phoneticPr fontId="2"/>
  </si>
  <si>
    <t>　ら７日以内に工事現場外に搬出しなければならない。</t>
    <phoneticPr fontId="2"/>
  </si>
  <si>
    <t>　料については、当該立会いを受けて調合し、又は当該見本検査に合格したものを使用しなければならない。</t>
    <phoneticPr fontId="2"/>
  </si>
  <si>
    <t>　ければならない。</t>
    <phoneticPr fontId="2"/>
  </si>
  <si>
    <t>　べきものと指定した工事材料の調合又は工事の施工をするときは、設計図書に定めるところにより、当該見本又は工事写真等</t>
    <phoneticPr fontId="2"/>
  </si>
  <si>
    <t>　の記録を整備し、監督員の請求があったときは、当該請求を受けた日から７日以内に提出しなければならない。</t>
    <phoneticPr fontId="2"/>
  </si>
  <si>
    <t>　じなければならない。</t>
    <phoneticPr fontId="2"/>
  </si>
  <si>
    <t>　は、受注者は、監督員に通知した上、当該立会い又は見本検査を受けることなく、工事材料を調合して使用し、又は工事を施</t>
    <phoneticPr fontId="2"/>
  </si>
  <si>
    <t>　工することができる。この場合において、受注者は、当該工事材料の調合又は当該工事の施工を適切に行ったことを証する見</t>
    <phoneticPr fontId="2"/>
  </si>
  <si>
    <t>　本又は工事写真等の記録を整備し、監督員の請求があったときは、当該請求を受けた日から７日以内に提出しなければならな</t>
    <phoneticPr fontId="2"/>
  </si>
  <si>
    <t>　い。</t>
    <phoneticPr fontId="2"/>
  </si>
  <si>
    <t>　の負担とする。</t>
    <phoneticPr fontId="2"/>
  </si>
  <si>
    <t>　う。）の品名、数量、品質、規格又は性能、引渡場所及び引渡時期は、設計図書に定めるところによる。</t>
    <phoneticPr fontId="2"/>
  </si>
  <si>
    <t>　与品を検査しなければならない。この場合において、当該検査の結果、その品名、数量、品質又は規格若しくは性能が設計図</t>
    <phoneticPr fontId="2"/>
  </si>
  <si>
    <t>　書の定めと異なり、又は使用に適当でないと認めたときは、受注者は、その旨を直ちに発注者に通知しなければならない。</t>
    <phoneticPr fontId="2"/>
  </si>
  <si>
    <t>　なければならない。</t>
    <phoneticPr fontId="2"/>
  </si>
  <si>
    <t>　に適合しないこと（第２項の検査により発見することが困難であったものに限る。）などがあり使用に適当でないと認めたと</t>
    <phoneticPr fontId="2"/>
  </si>
  <si>
    <t>　きは、その旨を直ちに発注者に通知しなければならない。</t>
    <phoneticPr fontId="2"/>
  </si>
  <si>
    <t>　支給材料若しくは貸与品に代えて他の支給材料若しくは貸与品を引き渡し、支給材料若しくは貸与品の品名、数量、品質若し</t>
    <phoneticPr fontId="2"/>
  </si>
  <si>
    <t>　くは規格若しくは性能を変更し、又は理由を明示した書面により、当該支給材料若しくは貸与品の使用を受注者に請求しなけ</t>
    <phoneticPr fontId="2"/>
  </si>
  <si>
    <t>　引渡場所又は引渡時期を変更することができる。</t>
    <phoneticPr fontId="2"/>
  </si>
  <si>
    <t>　及ぼしたときは必要な費用を負担しなければならない。</t>
    <phoneticPr fontId="2"/>
  </si>
  <si>
    <t>　注者に返還しなければならない。</t>
    <phoneticPr fontId="2"/>
  </si>
  <si>
    <t>　の指定した期間内に代品を納め、若しくは原状に復して返還し、又は返還に代えて損害を賠償しなければならない。</t>
    <phoneticPr fontId="2"/>
  </si>
  <si>
    <t>　注者が工事の施工上必要とする日（設計図書に特別の定めがあるときは、その定められた日）までに確保しなければならない。</t>
    <phoneticPr fontId="2"/>
  </si>
  <si>
    <t>　する工事材料、建設機械器具、仮設物その他の物件（下請負人の所有又は管理するこれらの物件を含む。）があるときは、受</t>
    <phoneticPr fontId="2"/>
  </si>
  <si>
    <t>　注者は、当該物件を撤去するとともに、当該工事用地等を修復し、取り片付けて、発注者に明け渡さなければならない。</t>
    <phoneticPr fontId="2"/>
  </si>
  <si>
    <t>　付けを行わないときは、発注者は、受注者に代わって当該物件を処分し、工事用地等の修復若しくは取片付けを行うことがで</t>
    <phoneticPr fontId="2"/>
  </si>
  <si>
    <t>　きる。この場合においては、受注者は、発注者の処分又は修復若しくは取片付けについて異議を申し出ることができず、また、</t>
    <phoneticPr fontId="2"/>
  </si>
  <si>
    <t>　発注者の処分又は修復若しくは取片付けに要した費用を負担しなければならない。</t>
    <phoneticPr fontId="2"/>
  </si>
  <si>
    <t>　わなければならない。この場合において、当該不適合が監督員の指示によるときその他発注者の責めに帰すべき事由によると</t>
    <phoneticPr fontId="2"/>
  </si>
  <si>
    <t>　きは、発注者は、必要があると認められるときは工期若しくは請負代金額を変更し、又は受注者に損害を及ぼしたときは必要</t>
    <phoneticPr fontId="2"/>
  </si>
  <si>
    <t>　な費用を負担しなければならない。</t>
    <phoneticPr fontId="2"/>
  </si>
  <si>
    <t>　るときは、工事の施工部分を破壊して検査することができる。</t>
    <phoneticPr fontId="2"/>
  </si>
  <si>
    <t>　要があると認められるときは、当該相当の理由を受注者に通知して、工事の施工部分を最小限度破壊して検査することができ</t>
    <phoneticPr fontId="2"/>
  </si>
  <si>
    <t>　る。</t>
    <phoneticPr fontId="2"/>
  </si>
  <si>
    <t>　し、その確認を請求しなければならない。</t>
    <phoneticPr fontId="2"/>
  </si>
  <si>
    <t>　一　図面、仕様書、現場説明書及び現場説明に対する質問回答書が一致しないこと（これらの優先順位が定められている場合</t>
    <phoneticPr fontId="2"/>
  </si>
  <si>
    <t>　　を除く。）。</t>
    <phoneticPr fontId="2"/>
  </si>
  <si>
    <t>　二　設計図書に誤謬又は脱漏があること。</t>
    <phoneticPr fontId="2"/>
  </si>
  <si>
    <t>　三　設計図書の表示が明確でないこと。</t>
    <phoneticPr fontId="2"/>
  </si>
  <si>
    <t>　四　工事現場の形状、地質、湧水等の状態、施工上の制約等設計図書に示された自然的又は人為的な施工条件と実際の工事現</t>
    <phoneticPr fontId="2"/>
  </si>
  <si>
    <t>　　場が一致しないこと。</t>
    <phoneticPr fontId="2"/>
  </si>
  <si>
    <t>　五　設計図書で明示されていない施工条件について予期することのできない特別な状態が生じたこと。</t>
    <phoneticPr fontId="2"/>
  </si>
  <si>
    <t>　直ちに調査を行わなければならない。ただし、受注者が立会いに応じない場合には、受注者の立会いを得ずに行うことができ</t>
    <phoneticPr fontId="2"/>
  </si>
  <si>
    <t>　む。）をとりまとめ、調査の終了後14日以内に、その結果を受注者に通知しなければならない。ただし、その期間内に通知で</t>
    <phoneticPr fontId="2"/>
  </si>
  <si>
    <t>　きないやむを得ない理由があるときは、あらかじめ受注者の意見を聴いた上、当該期間を延長することができる。</t>
    <phoneticPr fontId="2"/>
  </si>
  <si>
    <t>　より、設計図書の訂正又は変更を行わなければならない。</t>
    <phoneticPr fontId="2"/>
  </si>
  <si>
    <t>　一　第１項第１号から第３号までのいずれかに該当し設計図書を訂正する必要があるもの　発注者が行う。</t>
    <phoneticPr fontId="2"/>
  </si>
  <si>
    <t>　二　第１項第４号又は第５号に該当し設計図書を変更する場合で工事目的物の変更を伴うもの　発注者が行う。</t>
    <phoneticPr fontId="2"/>
  </si>
  <si>
    <t>　三　第１項第４号又は第５号に該当し設計図書を変更する場合で工事目的物の変更を伴わないもの　発注者と受注者とが協議</t>
    <phoneticPr fontId="2"/>
  </si>
  <si>
    <t>　　して発注者が行う。</t>
    <phoneticPr fontId="2"/>
  </si>
  <si>
    <t>　は請負代金額を変更し、又は受注者に損害を及ぼしたときは必要な費用を負担しなければならない。</t>
    <phoneticPr fontId="2"/>
  </si>
  <si>
    <t>　この場合において、発注者は、必要があると認められるときは工期若しくは請負代金額を変更し、又は受注者に損害を及ぼし</t>
    <phoneticPr fontId="2"/>
  </si>
  <si>
    <t>　たときは必要な費用を負担しなければならない。</t>
    <phoneticPr fontId="2"/>
  </si>
  <si>
    <t>　の自然的若しくは人為的な事象（以下「天災等」という。）であって受注者の責めに帰すことができないものにより工事目的</t>
    <phoneticPr fontId="2"/>
  </si>
  <si>
    <t>　物等に損害を生じ若しくは工事現場の状態が変動したため、受注者が工事を施工できないと認められるときは、発注者は、工</t>
    <phoneticPr fontId="2"/>
  </si>
  <si>
    <t>　事の中止内容を直ちに受注者に通知して、工事の全部又は一部の施工を一時中止させなければならない。</t>
    <phoneticPr fontId="2"/>
  </si>
  <si>
    <t>　の施工を一時中止させることができる。</t>
    <phoneticPr fontId="2"/>
  </si>
  <si>
    <t>　負代金額を変更し、又は受注者が工事の続行に備え工事現場を維持し若しくは労働者、建設機械器具等を保持するための費用</t>
    <phoneticPr fontId="2"/>
  </si>
  <si>
    <t>　その他の工事の施工の一時中止に伴う増加費用を必要とし若しくは受注者に損害を及ぼしたときは必要な費用を負担しなけれ</t>
    <phoneticPr fontId="2"/>
  </si>
  <si>
    <t>　ばならない。</t>
    <phoneticPr fontId="2"/>
  </si>
  <si>
    <t>　により工期内に工事を完成することができないときは、その理由を明示した書面により、発注者に工期の延長変更を請求する</t>
    <phoneticPr fontId="2"/>
  </si>
  <si>
    <t>　ことができる。</t>
    <phoneticPr fontId="2"/>
  </si>
  <si>
    <t>　発注者は、その工期の延長が発注者の責めに帰すべき事由による場合においては、請負代金額について必要と認められる変更</t>
    <phoneticPr fontId="2"/>
  </si>
  <si>
    <t>　を行い、又は受注者に損害を及ぼしたときは必要な費用を負担しなければならない。</t>
    <phoneticPr fontId="2"/>
  </si>
  <si>
    <t>　必要な費用を負担しなければならない。</t>
    <phoneticPr fontId="2"/>
  </si>
  <si>
    <t>　合には、発注者が定め、受注者に通知する。</t>
    <phoneticPr fontId="2"/>
  </si>
  <si>
    <t>　期の変更事由が生じた日（第21条の場合にあっては発注者が工期変更の請求を受けた日、前条の場合にあっては受注者が工期</t>
    <phoneticPr fontId="2"/>
  </si>
  <si>
    <t>　変更の請求を受けた日）から７日以内に協議開始の日を通知しない場合には、受注者は、協議開始の日を定め、発注者に通知</t>
    <phoneticPr fontId="2"/>
  </si>
  <si>
    <t>　することができる。</t>
    <phoneticPr fontId="2"/>
  </si>
  <si>
    <t>　ない場合には、発注者が定め、受注者に通知する。</t>
    <phoneticPr fontId="2"/>
  </si>
  <si>
    <t>　の変更事由が生じた日から７日以内に協議開始の日を通知しない場合には、受注者は、協議開始の日を定め、発注者に通知す</t>
    <phoneticPr fontId="2"/>
  </si>
  <si>
    <t>　ることができる。</t>
    <phoneticPr fontId="2"/>
  </si>
  <si>
    <t>　いては、発注者と受注者とが協議して定める。</t>
    <phoneticPr fontId="2"/>
  </si>
  <si>
    <t>　動により請負代金額が不適当となったと認めたときは、相手方に対して請負代金額の変更を請求することができる。</t>
    <phoneticPr fontId="2"/>
  </si>
  <si>
    <t>　分に相応する請負代金額を控除した額をいう。以下同じ。）と変動後残工事代金額（変動後の賃金又は物価を基礎として算出</t>
    <phoneticPr fontId="2"/>
  </si>
  <si>
    <t>　した変動前残工事代金額に相応する額をいう。以下同じ。）との差額のうち変動前残工事代金額の1000分の15を超える額につ</t>
    <phoneticPr fontId="2"/>
  </si>
  <si>
    <t>　き、請負代金額の変更に応じなければならない。</t>
    <phoneticPr fontId="2"/>
  </si>
  <si>
    <t>　して定める。ただし、協議開始の日から14日以内に協議が整わない場合にあっては、発注者が定め、受注者に通知する。</t>
    <phoneticPr fontId="2"/>
  </si>
  <si>
    <t>　同項中「請負契約締結の日」とあるのは、「直前のこの条に基づく請負代金額変更の基準とした日」とするものとする。</t>
    <phoneticPr fontId="2"/>
  </si>
  <si>
    <t>　は、発注者又は受注者は、前各項の規定によるほか、請負代金額の変更を請求することができる。</t>
    <phoneticPr fontId="2"/>
  </si>
  <si>
    <t>　請負代金額が著しく不適当となったときは、発注者又は受注者は、前各項の規定にかかわらず、請負代金額の変更を請求する</t>
    <phoneticPr fontId="2"/>
  </si>
  <si>
    <t>　14日以内に協議が整わない場合にあっては、発注者が定め、受注者に通知する。</t>
    <phoneticPr fontId="2"/>
  </si>
  <si>
    <t>　し、発注者が第１項、第５項又は第６項の請求を行った日又は受けた日から７日以内に協議開始の日を通知しない場合には、</t>
    <phoneticPr fontId="2"/>
  </si>
  <si>
    <t>　受注者は、協議開始の日を定め、発注者に通知することができる。</t>
    <phoneticPr fontId="2"/>
  </si>
  <si>
    <t>　要があると認めるときは、受注者は、あらかじめ監督員の意見を聴かなければならない。ただし、緊急やむを得ない事情があ</t>
    <phoneticPr fontId="2"/>
  </si>
  <si>
    <t>　るときは、この限りでない。</t>
    <phoneticPr fontId="2"/>
  </si>
  <si>
    <t>　額の範囲において負担することが適当でないと認められる部分については、発注者が負担する。</t>
    <phoneticPr fontId="2"/>
  </si>
  <si>
    <t>　１項若しくは第２項又は第29条第１項に規定する損害を除く。）については、受注者がその費用を負担する。ただし、その損</t>
    <phoneticPr fontId="2"/>
  </si>
  <si>
    <t>　じたものについては、発注者が負担する。</t>
    <phoneticPr fontId="2"/>
  </si>
  <si>
    <t>　に帰すべき事由により生じたものについては、発注者が負担する。</t>
    <phoneticPr fontId="2"/>
  </si>
  <si>
    <t>　り第三者に損害を及ぼしたときは、発注者がその損害を負担しなければならない。ただし、その損害のうち工事の施工につき</t>
    <phoneticPr fontId="2"/>
  </si>
  <si>
    <t>　受注者が善良な管理者の注意義務を怠ったことにより生じたものについては、受注者が負担する。</t>
    <phoneticPr fontId="2"/>
  </si>
  <si>
    <t>　理解決に当たるものとする。</t>
    <phoneticPr fontId="2"/>
  </si>
  <si>
    <t>　者と受注者のいずれの責めにも帰すことができないもの（以下この条において「不可抗力」という。）により、工事目的物、</t>
    <phoneticPr fontId="2"/>
  </si>
  <si>
    <t>　仮設物又は工事現場に搬入済みの工事材料若しくは建設機械器具（以下この条において「工事目的物等」という。）に損害が</t>
    <phoneticPr fontId="2"/>
  </si>
  <si>
    <t>　生じたときは、受注者は、その事実の発生後直ちにその状況を発注者に通知しなければならない。</t>
    <phoneticPr fontId="2"/>
  </si>
  <si>
    <t>　害」という。）の状況を確認し、その結果を受注者に通知しなければならない。</t>
    <phoneticPr fontId="2"/>
  </si>
  <si>
    <t>　て第13条第２項、第14条第１項若しくは第２項又は第38条第３項の規定による検査、立会いその他受注者の工事に関する記録</t>
    <phoneticPr fontId="2"/>
  </si>
  <si>
    <t>　等により確認することができるものに係る損害の額に限る。）及び当該損害の取片付けに要する費用の額の合計額（以下この</t>
    <phoneticPr fontId="2"/>
  </si>
  <si>
    <t>　対策又は災害復旧に関する工事における損害については、発注者が損害合計額を負担するものとする。</t>
    <phoneticPr fontId="2"/>
  </si>
  <si>
    <t>　一　工事目的物に関する損害　損害を受けた工事目的物に相応する請負代金額とし、残存価値がある場合にはその評価額を差</t>
    <phoneticPr fontId="2"/>
  </si>
  <si>
    <t>　　し引いた額とする。</t>
    <phoneticPr fontId="2"/>
  </si>
  <si>
    <t>　二　工事材料に関する損害　損害を受けた工事材料で通常妥当と認められるものに相応する請負代金額とし、残存価値がある</t>
    <phoneticPr fontId="2"/>
  </si>
  <si>
    <t>　　場合にはその評価額を差し引いた額とする。</t>
    <phoneticPr fontId="2"/>
  </si>
  <si>
    <t>　三　仮設物又は建設機械器具に関する損害　損害を受けた仮設物又は建設機械器具で通常妥当と認められるものについて、当</t>
    <phoneticPr fontId="2"/>
  </si>
  <si>
    <t>　　該工事で償却することとしている償却費の額から損害を受けた時点における工事目的物に相応する償却費の額を差し引いた</t>
    <phoneticPr fontId="2"/>
  </si>
  <si>
    <t>　　額とする。ただし、修繕によりその機能を回復することができ、かつ、修繕費の額が上記の額より少額であるものについて</t>
    <phoneticPr fontId="2"/>
  </si>
  <si>
    <t>　　は、その修繕費の額とする。</t>
    <phoneticPr fontId="2"/>
  </si>
  <si>
    <t>　第４項中「当該損害の額」とあるのは「損害の額の累計」と、「当該損害の取片付けに要する費用の額」とあるのは「損害の</t>
    <phoneticPr fontId="2"/>
  </si>
  <si>
    <t>　取片付けに要する費用の額の累計」と、「請負代金額の100分の１を超える額」とあるのは「請負代金額の100分の１を超える</t>
    <phoneticPr fontId="2"/>
  </si>
  <si>
    <t>　額から既に負担した額を差し引いた額」と、「損害合計額を」とあるのは「損害合計額から既に負担した額を差し引いた額</t>
    <phoneticPr fontId="2"/>
  </si>
  <si>
    <t>　を」として同項を適用する。</t>
    <phoneticPr fontId="2"/>
  </si>
  <si>
    <t>　を増額すべき場合又は費用を負担すべき場合において、特別の理由があるときは、請負代金額の増額又は負担額の全部若しく</t>
    <phoneticPr fontId="2"/>
  </si>
  <si>
    <t>　は一部に代えて設計図書を変更することができる。この場合において、設計図書の変更内容は、発注者と受注者とが協議して</t>
    <phoneticPr fontId="2"/>
  </si>
  <si>
    <t>　定める。ただし、協議開始の日から14日以内に協議が整わない場合には、発注者が定め、受注者に通知する。</t>
    <phoneticPr fontId="2"/>
  </si>
  <si>
    <t>　が請負代金額を増額すべき事由又は費用を負担すべき事由が生じた日から７日以内に協議開始の日を通知しない場合には、受</t>
    <phoneticPr fontId="2"/>
  </si>
  <si>
    <t>　注者は、協議開始の日を定め、発注者に通知することができる。</t>
    <phoneticPr fontId="2"/>
  </si>
  <si>
    <t>　ところにより、工事の完成を確認するための検査を完了し、当該検査の結果を受注者に通知しなければならない。この場合に</t>
    <phoneticPr fontId="2"/>
  </si>
  <si>
    <t>　おいて、発注者は、必要があると認められるときは、その理由を受注者に通知して、工事目的物を最小限度破壊して検査する</t>
    <phoneticPr fontId="2"/>
  </si>
  <si>
    <t>　事目的物の引渡しを受けなければならない。</t>
    <phoneticPr fontId="2"/>
  </si>
  <si>
    <t>　求することができる。この場合においては、受注者は、当該請求に直ちに応じなければならない。</t>
    <phoneticPr fontId="2"/>
  </si>
  <si>
    <t>　いては、修補の完了を工事の完成とみなして前各項の規定を適用する。</t>
    <phoneticPr fontId="2"/>
  </si>
  <si>
    <t>　日までの期間の日数は、前項の期間（以下この項において「約定期間」という。）の日数から差し引くものとする。この場合</t>
    <phoneticPr fontId="2"/>
  </si>
  <si>
    <t>　において、その遅延日数が約定期間の日数を超えるときは、約定期間は、遅延日数が約定期間の日数を超えた日において満了</t>
    <phoneticPr fontId="2"/>
  </si>
  <si>
    <t>　したものとみなす。</t>
    <phoneticPr fontId="2"/>
  </si>
  <si>
    <t>　て使用することができる。</t>
    <phoneticPr fontId="2"/>
  </si>
  <si>
    <t>　費用を負担しなければならない。</t>
    <phoneticPr fontId="2"/>
  </si>
  <si>
    <t>　２条第５項に規定する保証契約（以下「保証契約」という。）を締結し、その保証証書を発注者に寄託して、請負代金額の10</t>
    <phoneticPr fontId="2"/>
  </si>
  <si>
    <t>　分の４以内の前払金の支払をこの契約締結の日から30日以内に発注者に請求することができる。</t>
    <phoneticPr fontId="2"/>
  </si>
  <si>
    <t>　差し引いた額に相当する額の範囲内で前払金の支払を請求することができる。この場合においては、前項の規定を準用する。</t>
    <phoneticPr fontId="2"/>
  </si>
  <si>
    <t>　きは、請負代金額が減額された日から30日以内にその超過額を返還しなければならない。</t>
    <phoneticPr fontId="2"/>
  </si>
  <si>
    <t>　者と受注者とが協議して返還すべき超過額を定める。ただし、請負代金額が減額された日から14日以内に協議が整わない場合</t>
    <phoneticPr fontId="2"/>
  </si>
  <si>
    <t>　には、発注者が定め、受注者に通知する。</t>
    <phoneticPr fontId="2"/>
  </si>
  <si>
    <t>　直ちに認定を行い、当該認定の結果を受注者に通知しなければならない。</t>
    <phoneticPr fontId="2"/>
  </si>
  <si>
    <t>　と読み替えるものとする。</t>
    <phoneticPr fontId="2"/>
  </si>
  <si>
    <t>　金を含む。以下同じ。）に追加してさらに前払金の支払を請求する場合には、あらかじめ、保証契約を変更し、変更後の保証</t>
    <phoneticPr fontId="2"/>
  </si>
  <si>
    <t>　証書を発注者に寄託しなければならない。</t>
    <phoneticPr fontId="2"/>
  </si>
  <si>
    <t>　書を直ちに発注者に寄託しなければならない。</t>
    <phoneticPr fontId="2"/>
  </si>
  <si>
    <t>　りその旨を保証事業会社に直ちに通知するものとする。</t>
    <phoneticPr fontId="2"/>
  </si>
  <si>
    <t>　若しくは製造工場等にある工場製品の確認を発注者に請求しなければならない。</t>
    <phoneticPr fontId="2"/>
  </si>
  <si>
    <t>　り、同項の確認をするための検査を行い、当該確認の結果を受注者に通知しなければならない。この場合において、発注者は、</t>
    <phoneticPr fontId="2"/>
  </si>
  <si>
    <t>　必要があると認められるときは、その理由を受注者に通知して、出来形部分を最小限度破壊して検査することができる。</t>
    <phoneticPr fontId="2"/>
  </si>
  <si>
    <t>　該請求を受けた日から20日以内に部分払金を支払わなければならない。</t>
    <phoneticPr fontId="2"/>
  </si>
  <si>
    <t>　る。ただし、発注者が第３項前段の通知をした日から10日以内に協議が整わない場合には、発注者が定め、受注者に通知する。</t>
    <phoneticPr fontId="2"/>
  </si>
  <si>
    <t>　当額」とあるのは「請負代金相当額から既に部分払の対象となった請負代金相当額を控除した額」とするものとする。</t>
    <phoneticPr fontId="2"/>
  </si>
  <si>
    <t>　「指定部分」という。）がある場合において、当該指定部分の工事が完了したときについては、第31条中「工事」とあるのは</t>
    <phoneticPr fontId="2"/>
  </si>
  <si>
    <t>　「指定部分に係る工事」と、「工事目的物」とあるのは「指定部分に係る工事目的物」と、同条第５項及び第32条中「請負代</t>
    <phoneticPr fontId="2"/>
  </si>
  <si>
    <t>　金」とあるのは「部分引渡しに係る請負代金」と読み替えて、これらの規定を準用する。</t>
    <phoneticPr fontId="2"/>
  </si>
  <si>
    <t>　より算定する。この場合において、指定部分に相応する請負代金の額は、発注者と受注者とが協議して定める。ただし、発注</t>
    <phoneticPr fontId="2"/>
  </si>
  <si>
    <t>　者が前項の規定により準用される第31条第２項前段の通知をした日から14日以内に協議が整わない場合には、発注者が定め、</t>
    <phoneticPr fontId="2"/>
  </si>
  <si>
    <t>　受注者に通知する。</t>
    <phoneticPr fontId="2"/>
  </si>
  <si>
    <t>　次のとおりとする。</t>
    <phoneticPr fontId="2"/>
  </si>
  <si>
    <t>　「この契約締結の日（この契約を締結した会計年度（以下「契約会計年度」という。）以外の会計年度においては、予算の執</t>
    <phoneticPr fontId="2"/>
  </si>
  <si>
    <t>　行が可能となる日）」と、第34条、第35条及び第36条中「請負代金額」とあるのは「当該会計年度の出来高予定額（前会計年</t>
    <phoneticPr fontId="2"/>
  </si>
  <si>
    <t>　度末における第38条第１項の請負代金相当額（以下この条及び次条において「請負代金相当額」という。）が前会計年度まで</t>
    <phoneticPr fontId="2"/>
  </si>
  <si>
    <t>　の出来高予定額を超えた場合において、当該会計年度の当初に部分払をしたときは、当該超過額を控除した額）」と読み替え</t>
    <phoneticPr fontId="2"/>
  </si>
  <si>
    <t>　て、これらの規定を準用する。</t>
    <phoneticPr fontId="2"/>
  </si>
  <si>
    <t>　り準用される第34条第１項及び第35条第１項の規定にかかわらず、受注者は、契約会計年度について前払金の支払を請求する</t>
    <phoneticPr fontId="2"/>
  </si>
  <si>
    <t>　ことができない。</t>
    <phoneticPr fontId="2"/>
  </si>
  <si>
    <t>　項の規定により準用される第34条第１項及び第35条第１項の規定にかかわらず、受注者は、契約会計年度に翌会計年度に支払</t>
    <phoneticPr fontId="2"/>
  </si>
  <si>
    <t>　の規定により準用される第34条第１項及び第35条第１項の規定にかかわらず、受注者は、請負代金相当額が前会計年度までの</t>
    <phoneticPr fontId="2"/>
  </si>
  <si>
    <t>　出来高予定額に達するまで当該会計年度の前払金の支払を請求することができない。</t>
    <phoneticPr fontId="2"/>
  </si>
  <si>
    <t>　用する。</t>
    <phoneticPr fontId="2"/>
  </si>
  <si>
    <t>　合においては、受注者は、当該会計年度の当初に、前会計年度末における請負代金相当額が前会計年度までの出来高予定額を</t>
    <phoneticPr fontId="2"/>
  </si>
  <si>
    <t>　超えた額（以下「出来高超過額」という。）について部分払を請求することができる。ただし、契約会計年度以外の会計年度</t>
    <phoneticPr fontId="2"/>
  </si>
  <si>
    <t>　においては、受注者は、予算の執行が可能となる時期以前に部分払の支払を請求することはできない。</t>
    <phoneticPr fontId="2"/>
  </si>
  <si>
    <t>　ず、次の式により算定する。</t>
    <phoneticPr fontId="2"/>
  </si>
  <si>
    <t>２　発注者は、前項の規定により受注者が第三者を代理人とした場合において、受注者の提出する支払請求書に当該第三者が受</t>
    <phoneticPr fontId="2"/>
  </si>
  <si>
    <t>　注者の代理人である旨の明記がなされているときは、当該第三者に対して第32条（第39条において準用する場合を含む。）又</t>
    <phoneticPr fontId="2"/>
  </si>
  <si>
    <t>　は第38条の規定に基づく支払をしなければならない。</t>
    <phoneticPr fontId="2"/>
  </si>
  <si>
    <t>　の期間を定めてその支払を請求したにもかかわらず支払をしないときは、工事の全部又は一部の施工を一時中止することがで</t>
    <phoneticPr fontId="2"/>
  </si>
  <si>
    <t>　きる。この場合においては、受注者は、その理由を明示した書面により、直ちにその旨を発注者に通知しなければならない。</t>
    <phoneticPr fontId="2"/>
  </si>
  <si>
    <t>　という。）であるときは、受注者に対し、目的物の修補又は代替物の引渡しによる履行の追完を請求することができる。ただ</t>
    <phoneticPr fontId="2"/>
  </si>
  <si>
    <t>　し、その履行の追完に過分の費用を要するときは、発注者は履行の追完を請求することができない。</t>
    <phoneticPr fontId="2"/>
  </si>
  <si>
    <t>　よる履行の追完をすることができる。</t>
    <phoneticPr fontId="2"/>
  </si>
  <si>
    <t>　者は、その不適合の程度に応じて代金の減額を請求することができる。ただし、次の各号のいずれかに該当する場合は、催告</t>
    <phoneticPr fontId="2"/>
  </si>
  <si>
    <t>　をすることなく、直ちに代金の減額を請求することができる。</t>
    <phoneticPr fontId="2"/>
  </si>
  <si>
    <t>　一　履行の追完が不能であるとき。</t>
    <phoneticPr fontId="2"/>
  </si>
  <si>
    <t>　二　受注者が履行の追完を拒絶する意思を明確に表示したとき。</t>
    <phoneticPr fontId="2"/>
  </si>
  <si>
    <t>　三　工事目的物の性質又は当事者の意思表示により、特定の日時又は一定の期間内に履行しなければ契約をした目的を達する</t>
    <phoneticPr fontId="2"/>
  </si>
  <si>
    <t>　　ことができない場合において、受注者が履行の追完をしないでその時期を経過したとき。</t>
    <phoneticPr fontId="2"/>
  </si>
  <si>
    <t>　四　前３号に掲げる場合のほか、発注者がこの項の催告をしても履行の追完を受ける見込みがないことが明らかであるとき。</t>
    <phoneticPr fontId="2"/>
  </si>
  <si>
    <t>　約を解除することができる。</t>
    <phoneticPr fontId="2"/>
  </si>
  <si>
    <t>　がないときはこの契約を解除することができる。ただし、その期間を経過した時における債務の不履行がこの契約及び取引上</t>
    <phoneticPr fontId="2"/>
  </si>
  <si>
    <t>　の社会通念に照らして軽微であるときは、この限りでない。</t>
    <phoneticPr fontId="2"/>
  </si>
  <si>
    <t>　一　第５条第４項に規定する書類を提出せず、又は虚偽の記載をしてこれを提出したとき。</t>
    <phoneticPr fontId="2"/>
  </si>
  <si>
    <t>　二　正当な理由なく、工事に着手すべき期日を過ぎても工事に着手しないとき。</t>
    <phoneticPr fontId="2"/>
  </si>
  <si>
    <t>　三　工期内に完成しないとき又は工期経過後相当の期間内に工事を完成する見込みがないと認められるとき。</t>
    <phoneticPr fontId="2"/>
  </si>
  <si>
    <t>　四　第10条第１項第２号に掲げる者を設置しなかったとき。</t>
    <phoneticPr fontId="2"/>
  </si>
  <si>
    <t>　五　正当な理由なく、第45条第１項の履行の追完がなされないとき。</t>
    <phoneticPr fontId="2"/>
  </si>
  <si>
    <t>　六　前各号に掲げる場合のほか、この契約に違反したとき。</t>
    <phoneticPr fontId="2"/>
  </si>
  <si>
    <t>　一　第５条第１項の規定に違反して請負代金債権を譲渡したとき。</t>
    <phoneticPr fontId="2"/>
  </si>
  <si>
    <t>　二　第５条第４項の規定に違反して譲渡により得た資金を当該工事の施工以外に使用したとき。</t>
    <phoneticPr fontId="2"/>
  </si>
  <si>
    <t>　三　この契約の目的物を完成させることができないことが明らかであるとき。</t>
    <phoneticPr fontId="2"/>
  </si>
  <si>
    <t>　四　引き渡された工事目的物に契約不適合がある場合において、その不適合が目的物を除却した上で再び建設しなければ、契</t>
    <phoneticPr fontId="2"/>
  </si>
  <si>
    <t>　　約の目的を達成することができないものであるとき。</t>
    <phoneticPr fontId="2"/>
  </si>
  <si>
    <t>　五　受注者がこの契約の目的物の完成の債務の履行を拒絶する意思を明確に表示したとき。</t>
    <phoneticPr fontId="2"/>
  </si>
  <si>
    <t>　六　受注者の債務の一部の履行が不能である場合又は受注者がその債務の一部の履行を拒絶する意思を明確に表示した場合に</t>
    <phoneticPr fontId="2"/>
  </si>
  <si>
    <t>　　おいて、残存する部分のみでは契約をした目的を達することができないとき。</t>
    <phoneticPr fontId="2"/>
  </si>
  <si>
    <t>　七　契約の目的物の性質や当事者の意思表示により、特定の日時又は一定の期間内に履行しなければ契約をした目的を達する</t>
    <phoneticPr fontId="2"/>
  </si>
  <si>
    <t>　　ことができない場合において、受注者が履行をしないでその時期を経過したとき。</t>
    <phoneticPr fontId="2"/>
  </si>
  <si>
    <t>　八　前各号に掲げる場合のほか、受注者がその債務の履行をせず、発注者が前条の催告をしても契約をした目的を達するのに</t>
    <phoneticPr fontId="2"/>
  </si>
  <si>
    <t>　　足りる履行がされる見込みがないことが明らかであるとき。</t>
    <phoneticPr fontId="2"/>
  </si>
  <si>
    <t>　九　暴力団（暴力団員による不当な行為の防止等に関する法律（平成３年法律第77号）第２条第２号に規定する暴力団をいう。</t>
    <phoneticPr fontId="2"/>
  </si>
  <si>
    <t>　　以下この条において同じ。）又は暴力団員（暴力団員による不当な行為の防止等に関する法律第２条第６号に規定する暴力</t>
    <phoneticPr fontId="2"/>
  </si>
  <si>
    <t>　　団員をいう。以下この条において同じ。）が経営に実質的に関与していると認められる者に請負代金債権を譲渡したとき。</t>
    <phoneticPr fontId="2"/>
  </si>
  <si>
    <t>　十　第52条又は第53条の規定によらないでこの契約の解除を申し出たとき。</t>
    <phoneticPr fontId="2"/>
  </si>
  <si>
    <t>　十一　受注者（受注者が共同企業体であるときは、その構成員のいずれかの者。以下この号において同じ。）が次のいずれか</t>
    <phoneticPr fontId="2"/>
  </si>
  <si>
    <t>　　に該当するとき。</t>
    <phoneticPr fontId="2"/>
  </si>
  <si>
    <t>　一　この契約に関し、受注者が私的独占の禁止及び公正取引の確保に関する法律（昭和22年法律第54号。以下「独占禁止法」</t>
    <phoneticPr fontId="2"/>
  </si>
  <si>
    <t>　　という。）第３条若しくは第19条の規定に違反し、又は受注者が構成事業者である事業者団体が独占禁止法第８条第１号の</t>
    <phoneticPr fontId="2"/>
  </si>
  <si>
    <t>　　規定に違反したことにより、公正取引委員会が受注者に対し、独占禁止法第７条の２第１項（独占禁止法第８条の３におい</t>
    <phoneticPr fontId="2"/>
  </si>
  <si>
    <t>　　行い、当該納付命令が確定したとき（確定した当該納付命令が独占禁止法第63条第２項の規定により取り消された場合を含</t>
    <phoneticPr fontId="2"/>
  </si>
  <si>
    <t>　　む。）。</t>
    <phoneticPr fontId="2"/>
  </si>
  <si>
    <t>　二　納付命令又は独占禁止法第７条、第８条の２若しくは第20条の規定に基づく排除措置命令（これらの命令が受注者又は受</t>
    <phoneticPr fontId="2"/>
  </si>
  <si>
    <t>　　注者が構成事業者である事業者団体（以下「受注者等」という。）に対して行われたときは受注者等に対する命令で確定し</t>
    <phoneticPr fontId="2"/>
  </si>
  <si>
    <t>　　たものをいい、受注者等に対して行われていないときは各名宛人に対する命令全てが確定した場合における当該命令をいう。</t>
    <phoneticPr fontId="2"/>
  </si>
  <si>
    <t>　　次号において「納付命令又は排除措置命令」という。）において、この契約に関し、独占禁止法第３条、第８条第１号若し</t>
    <phoneticPr fontId="2"/>
  </si>
  <si>
    <t>　　くは第５号又は第19条の規定に違反する行為の実行としての事業活動があったとされたとき。</t>
    <phoneticPr fontId="2"/>
  </si>
  <si>
    <t>　三　納付命令又は排除措置命令により、受注者等に独占禁止法第３条又は第８条第１号の規定に違反する行為があったとされ</t>
    <phoneticPr fontId="2"/>
  </si>
  <si>
    <t>　　た期間及び当該違反する行為の対象となった取引分野が示された場合において、この契約が、当該期間（これらの命令に係</t>
    <phoneticPr fontId="2"/>
  </si>
  <si>
    <t>　　る事件について、公正取引委員会が受注者に対し納付命令を行い、これが確定したときは、当該納付命令における課徴金の</t>
    <phoneticPr fontId="2"/>
  </si>
  <si>
    <t>　四　この契約に関し、受注者（法人の場合にあっては、その役員又は使用人を含む。）の刑法（明治40年法律第45号）第96条</t>
    <phoneticPr fontId="2"/>
  </si>
  <si>
    <t>　　の６若しくは第198条又は独占禁止法第89条第１項若しくは第95条第１項第１号に規定する刑が確定したとき。</t>
    <phoneticPr fontId="2"/>
  </si>
  <si>
    <t>　が行われているときは、発注者は、当該保証金又は担保をもって、第57条第１項に規定する賠償金に充当することができる。</t>
    <phoneticPr fontId="2"/>
  </si>
  <si>
    <t>　注者は、前３条の規定による契約の解除をすることができない。</t>
    <phoneticPr fontId="2"/>
  </si>
  <si>
    <t>　きは、この契約を解除することができる。ただし、その期間を経過した時における債務の不履行がこの契約及び取引上の社会</t>
    <phoneticPr fontId="2"/>
  </si>
  <si>
    <t>　通念に照らして軽微であるときは、この限りでない。</t>
    <phoneticPr fontId="2"/>
  </si>
  <si>
    <t>　一　第19条の規定により設計図書を変更したため請負代金額が３分の２以上減少したとき。</t>
    <phoneticPr fontId="2"/>
  </si>
  <si>
    <t>　二　第20条の規定による工事の施工の中止期間が工期の10分の５（工期の10分の５が６月を超えるときは、６月）を超えたと</t>
    <phoneticPr fontId="2"/>
  </si>
  <si>
    <t>　　き。ただし、中止が工事の一部のみの場合は、その一部を除いた他の部分の工事が完了した後３月を経過しても、なおその</t>
    <phoneticPr fontId="2"/>
  </si>
  <si>
    <t>　　中止が解除されないとき。</t>
    <phoneticPr fontId="2"/>
  </si>
  <si>
    <t>　よる契約の解除をすることができない。</t>
    <phoneticPr fontId="2"/>
  </si>
  <si>
    <t>　び部分払の対象となった工事材料の引渡しを受けるものとし、当該引渡しを受けたときは、当該引渡しを受けた出来形部分に</t>
    <phoneticPr fontId="2"/>
  </si>
  <si>
    <t>　相応する請負代金を受注者に支払わなければならない。この場合において、発注者は、必要があると認められるときは、その</t>
    <phoneticPr fontId="2"/>
  </si>
  <si>
    <t>　理由を受注者に通知して、出来形部分を最小限度破壊して検査することができる。</t>
    <phoneticPr fontId="2"/>
  </si>
  <si>
    <t>　当該前払金の額（第38条及び第42条の規定による部分払をしているときは、その部分払において償却した前払金の額を控除し</t>
    <phoneticPr fontId="2"/>
  </si>
  <si>
    <t>　た額）を同項前段の出来形部分に相応する請負代金額から控除する。この場合において、受領済みの前払金額になお余剰があ</t>
    <phoneticPr fontId="2"/>
  </si>
  <si>
    <t>　るときは、受注者は、解除が第47条、第48条、第49条第１項又は次条第３項の規定によるときにあっては、その余剰額に前払</t>
    <phoneticPr fontId="2"/>
  </si>
  <si>
    <t>　した部分に使用されているものを除き、発注者に返還しなければならない。この場合において、当該支給材料が受注者の故意</t>
    <phoneticPr fontId="2"/>
  </si>
  <si>
    <t>　若しくは過失により滅失若しくは毀損したとき、又は出来形部分の検査に合格しなかった部分に使用されているときは、代品</t>
    <phoneticPr fontId="2"/>
  </si>
  <si>
    <t>　を納め、若しくは原状に復して返還し、又は返還に代えてその損害を賠償しなければならない。</t>
    <phoneticPr fontId="2"/>
  </si>
  <si>
    <t>５　受注者は、この契約が工事の完成前に解除された場合において、貸与品があるときは、当該貸与品を発注者に返還しなけれ</t>
    <phoneticPr fontId="2"/>
  </si>
  <si>
    <t>　ばならない。この場合において、当該貸与品が受注者の故意又は過失により滅失又は毀損したときは、代品を納め、若しくは</t>
    <phoneticPr fontId="2"/>
  </si>
  <si>
    <t>　原状に復して返還し、又は返還に代えてその損害を賠償しなければならない。</t>
    <phoneticPr fontId="2"/>
  </si>
  <si>
    <t>　械器具、仮設物その他の物件（下請負人の所有又は管理するこれらの物件を含む。）があるときは、受注者は、当該物件を撤</t>
    <phoneticPr fontId="2"/>
  </si>
  <si>
    <t>　去するとともに、工事用地等を修復し、取片付けて、発注者に明け渡さなければならない。</t>
    <phoneticPr fontId="2"/>
  </si>
  <si>
    <t>　付けを行わないときは、発注者は、受注者に代わって当該物件を処分し、工事用地等を修復若しくは取片付けを行うことがで</t>
    <phoneticPr fontId="2"/>
  </si>
  <si>
    <t>　第49条第１項又は次条第３項の規定によるときは発注者が定め、第46条、第52条又は第53条の規定によるときは受注者が発注</t>
    <phoneticPr fontId="2"/>
  </si>
  <si>
    <t>　者の意見を聴いて定めるものとし、第４項後段、第５項後段及び第６項に規定する受注者のとるべき措置の期限、方法等につ</t>
    <phoneticPr fontId="2"/>
  </si>
  <si>
    <t>　いては、発注者が受注者の意見を聴いて定めるものとする。</t>
    <phoneticPr fontId="2"/>
  </si>
  <si>
    <t>　って協議して決める。</t>
    <phoneticPr fontId="2"/>
  </si>
  <si>
    <t>　一　工期内に工事を完成することができないとき。</t>
    <phoneticPr fontId="2"/>
  </si>
  <si>
    <t>　二　この工事目的物に契約不適合があるとき。</t>
    <phoneticPr fontId="2"/>
  </si>
  <si>
    <t>　三　第47条、第48条又は第49条第１項の規定により、工事目的物の完成後にこの契約が解除されたとき。</t>
    <phoneticPr fontId="2"/>
  </si>
  <si>
    <t>　四　前３号に掲げる場合のほか、債務の本旨に従った履行をしないとき又は債務の履行が不能であるとき。</t>
    <phoneticPr fontId="2"/>
  </si>
  <si>
    <t>　として発注者の指定する期間内に支払わなければならない。</t>
    <phoneticPr fontId="2"/>
  </si>
  <si>
    <t>　一　第47条、第48条又は第49条第１項の規定により工事目的物の完成前にこの契約が解除されたとき。</t>
    <phoneticPr fontId="2"/>
  </si>
  <si>
    <t>　二　工事目的物の完成前に、受注者がその債務の履行を拒否し、又は受注者の責めに帰すべき事由によって受注者の債務につ</t>
    <phoneticPr fontId="2"/>
  </si>
  <si>
    <t>　　いて履行不能となったとき。</t>
    <phoneticPr fontId="2"/>
  </si>
  <si>
    <t>　一　受注者について破産手続開始の決定があった場合において、破産法(平成16年法律第75号)の規定により選任された破産管</t>
    <phoneticPr fontId="2"/>
  </si>
  <si>
    <t>　　財人</t>
    <phoneticPr fontId="2"/>
  </si>
  <si>
    <t>　二　受注者について更生手続開始の決定があった場合において、会社更生法（平成14年法律第154号）の規定により選任され</t>
    <phoneticPr fontId="2"/>
  </si>
  <si>
    <t>　　た管財人</t>
    <phoneticPr fontId="2"/>
  </si>
  <si>
    <t>　三　受注者について再生手続開始の決定があった場合において、民事再生法（平成11年法律第225号）の規定により選任され</t>
    <phoneticPr fontId="2"/>
  </si>
  <si>
    <t>　　た再生債務者等</t>
    <phoneticPr fontId="2"/>
  </si>
  <si>
    <t>　の契約及び取引上の社会通念に照らして受注者の責めに帰することができない事由によるものであるときは、第１項及び第２</t>
    <phoneticPr fontId="2"/>
  </si>
  <si>
    <t>　項の規定は適用しない。</t>
    <phoneticPr fontId="2"/>
  </si>
  <si>
    <t>　り契約保証金の納付又はこれに代わる担保の提供が行われているときは、発注者は、当該契約保証金又は担保をもって同項の</t>
    <phoneticPr fontId="2"/>
  </si>
  <si>
    <t>　違約金に充当することができる。</t>
    <phoneticPr fontId="2"/>
  </si>
  <si>
    <t>　該当するときは、発注者がこの契約を解除するか否かにかかわらず、賠償金として、この契約による請負代金額の10分の２に</t>
    <phoneticPr fontId="2"/>
  </si>
  <si>
    <t>　相当する額を発注者が指定する期間内に支払わなければならない。工事が完成した後においても同様とする。</t>
    <phoneticPr fontId="2"/>
  </si>
  <si>
    <t>　者に対して同項に定める額の賠償金の支払を請求することができる。この場合において、請求を受けた者はその額を連帯して</t>
    <phoneticPr fontId="2"/>
  </si>
  <si>
    <t>　発注者に支払わなければならない。</t>
    <phoneticPr fontId="2"/>
  </si>
  <si>
    <t>　求することを妨げるものではない。</t>
    <phoneticPr fontId="2"/>
  </si>
  <si>
    <t>　だし、当該各号に定める場合がこの契約及び取引上の社会通念に照らして発注者の責めに帰することができない事由によるも</t>
    <phoneticPr fontId="2"/>
  </si>
  <si>
    <t>　のであるときは、この限りでない。</t>
    <phoneticPr fontId="2"/>
  </si>
  <si>
    <t>　一　第52条又は第53条の規定によりこの契約が解除されたとき。</t>
    <phoneticPr fontId="2"/>
  </si>
  <si>
    <t>　二　前号に掲げる場合のほか、債務の本旨に従った履行をしないとき又は債務の履行が不能であるとき。</t>
    <phoneticPr fontId="2"/>
  </si>
  <si>
    <t>　を請求しなければ、受注者は、その責任を負わない。ただし、当該検査において一般的な注意の下で発見できなかった契約不</t>
    <phoneticPr fontId="2"/>
  </si>
  <si>
    <t>　適合については、引渡しを受けた日から１年が経過する日まで請求等をすることができる。</t>
    <phoneticPr fontId="2"/>
  </si>
  <si>
    <t>　任を問う意思を明確に告げることで行う。</t>
    <phoneticPr fontId="2"/>
  </si>
  <si>
    <t>　責任期間」という。）の内に契約不適合を知り、その旨を受注者に通知した場合において、発注者が通知から１年が経過する</t>
    <phoneticPr fontId="2"/>
  </si>
  <si>
    <t>　日までに前項に規定する方法による請求等をしたときは、契約不適合責任期間の内に請求等をしたものとみなす。</t>
    <phoneticPr fontId="2"/>
  </si>
  <si>
    <t>　に必要と認められる請求等をすることができる。</t>
    <phoneticPr fontId="2"/>
  </si>
  <si>
    <t>　注者の責任については、民法の定めるところによる。</t>
    <phoneticPr fontId="2"/>
  </si>
  <si>
    <t>　受注者に通知しなければ、当該契約不適合に関する請求等をすることはできない。ただし、受注者がその契約不適合があるこ</t>
    <phoneticPr fontId="2"/>
  </si>
  <si>
    <t>　とを知っていたときは、この限りでない。</t>
    <phoneticPr fontId="2"/>
  </si>
  <si>
    <t>　る場合には、工事目的物のうち住宅の品質確保の促進等に関する法律施行令（平成12年政令第64号）第５条に定める部分の瑕</t>
    <phoneticPr fontId="2"/>
  </si>
  <si>
    <t>　疵（構造耐力又は雨水の浸入に影響のないものを除く。）について請求等を行うことのできる期間は、10年とする。この場合</t>
    <phoneticPr fontId="2"/>
  </si>
  <si>
    <t>　において、前各項の規定は適用しない。</t>
    <phoneticPr fontId="2"/>
  </si>
  <si>
    <t>　発注者は当該契約不適合を理由として、請求等をすることができない。ただし、受注者がその材料又は指図の不適当であるこ</t>
    <phoneticPr fontId="2"/>
  </si>
  <si>
    <t>　とを知りながらこれを通知しなかったときは、この限りでない。</t>
    <phoneticPr fontId="2"/>
  </si>
  <si>
    <t>　り火災保険、建設工事保険その他の保険（これに準ずるものを含む。以下この条において同じ。）に付さなければならない。</t>
    <phoneticPr fontId="2"/>
  </si>
  <si>
    <t>　しなければならない。</t>
    <phoneticPr fontId="2"/>
  </si>
  <si>
    <t>　のに受注者が不服がある場合その他この契約に関して発注者と受注者との間に紛争を生じた場合には、発注者及び受注者は、</t>
    <phoneticPr fontId="2"/>
  </si>
  <si>
    <t>　建設業法による大分県建設工事紛争審査会（以下「審査会」という。）のあっせん又は調停によりその解決を図る。</t>
    <phoneticPr fontId="2"/>
  </si>
  <si>
    <t>　るために使用している下請負人、労働者等の工事の施工又は管理に関する紛争及び監督員の職務の執行に関する紛争について</t>
    <phoneticPr fontId="2"/>
  </si>
  <si>
    <t>　は、第12条第３項の規定により受注者が決定を行った後若しくは同条第５項の規定により発注者が決定を行った後、又は発注</t>
    <phoneticPr fontId="2"/>
  </si>
  <si>
    <t>　者若しくは受注者が決定を行わずに同条第３項若しくは第５項の期間が経過した後でなければ、発注者及び受注者は、前項の</t>
    <phoneticPr fontId="2"/>
  </si>
  <si>
    <t>　あっせん又は調停を請求することができない。</t>
    <phoneticPr fontId="2"/>
  </si>
  <si>
    <t>　たときは、同条の規定にかかわらず、仲裁合意書（別記様式）に基づき、審査会の仲裁に付し、その仲裁判断に服する。</t>
    <phoneticPr fontId="2"/>
  </si>
  <si>
    <t>第40条　債務負担行為に係る契約において、各会計年度における請負代金の支払の限度額（以下「支払限度額」という。）は、</t>
    <phoneticPr fontId="2"/>
  </si>
  <si>
    <t>第40条　削除</t>
    <rPh sb="5" eb="7">
      <t>サクジョ</t>
    </rPh>
    <phoneticPr fontId="2"/>
  </si>
  <si>
    <t>第41条　削除</t>
    <rPh sb="5" eb="7">
      <t>サクジョ</t>
    </rPh>
    <phoneticPr fontId="2"/>
  </si>
  <si>
    <t>第42条　削除</t>
    <rPh sb="5" eb="7">
      <t>サクジョ</t>
    </rPh>
    <phoneticPr fontId="2"/>
  </si>
  <si>
    <t>債務</t>
    <rPh sb="0" eb="2">
      <t>サイム</t>
    </rPh>
    <phoneticPr fontId="2"/>
  </si>
  <si>
    <t>令和</t>
    <rPh sb="0" eb="2">
      <t>レイワ</t>
    </rPh>
    <phoneticPr fontId="2"/>
  </si>
  <si>
    <t>利率</t>
    <rPh sb="0" eb="2">
      <t>リリツ</t>
    </rPh>
    <phoneticPr fontId="2"/>
  </si>
  <si>
    <t>%</t>
    <phoneticPr fontId="2"/>
  </si>
  <si>
    <t>空白</t>
    <rPh sb="0" eb="2">
      <t>クウハク</t>
    </rPh>
    <phoneticPr fontId="2"/>
  </si>
  <si>
    <t>先頭</t>
    <rPh sb="0" eb="2">
      <t>セントウ</t>
    </rPh>
    <phoneticPr fontId="2"/>
  </si>
  <si>
    <t>年号</t>
    <rPh sb="0" eb="2">
      <t>ネンゴウ</t>
    </rPh>
    <phoneticPr fontId="2"/>
  </si>
  <si>
    <t>金額</t>
    <rPh sb="0" eb="2">
      <t>キンガク</t>
    </rPh>
    <phoneticPr fontId="2"/>
  </si>
  <si>
    <t>　</t>
    <phoneticPr fontId="2"/>
  </si>
  <si>
    <t>　（総則）</t>
  </si>
  <si>
    <t>　（関連工事の調整）</t>
  </si>
  <si>
    <t>　（請負代金内訳書及び工程表）</t>
  </si>
  <si>
    <t>　（契約の保証）</t>
  </si>
  <si>
    <t>　（権利義務の譲渡等）</t>
  </si>
  <si>
    <t>　（一括下請負等の禁止）</t>
  </si>
  <si>
    <t>　（下請負人の通知）</t>
  </si>
  <si>
    <t>　（下請負人の健康保険等加入義務等）</t>
  </si>
  <si>
    <t>　（特許権等の使用）</t>
  </si>
  <si>
    <t>　（監督員）</t>
  </si>
  <si>
    <t>　（現場代理人及び主任技術者等）</t>
  </si>
  <si>
    <t>　（履行報告）</t>
  </si>
  <si>
    <t>　（工事関係者に関する措置請求）</t>
  </si>
  <si>
    <t>　（工事材料の品質及び検査等）</t>
  </si>
  <si>
    <t>　（監督員の立会い及び工事記録の整備等）</t>
  </si>
  <si>
    <t>　（支給材料及び貸与品）</t>
  </si>
  <si>
    <t>　（工事用地の確保等）</t>
  </si>
  <si>
    <t>　（設計図書不適合の場合の改造義務及び破壊検査等）</t>
  </si>
  <si>
    <t>　（条件変更等）</t>
  </si>
  <si>
    <t>　（設計図書の変更）</t>
  </si>
  <si>
    <t>　（工事の中止）</t>
  </si>
  <si>
    <t>　（著しく短い工期の禁止）</t>
  </si>
  <si>
    <t>　（受注者の請求による工期の延長）</t>
  </si>
  <si>
    <t>　（発注者の請求による工期の短縮）</t>
  </si>
  <si>
    <t>　（工期の変更方法）</t>
  </si>
  <si>
    <t>　（請負代金額の変更方法等）</t>
  </si>
  <si>
    <t>　（賃金又は物価の変動に基づく請負代金額の変更）</t>
  </si>
  <si>
    <t>　（臨機の措置）</t>
  </si>
  <si>
    <t>　（一般的損害）</t>
  </si>
  <si>
    <t>　（第三者に及ぼした損害）</t>
  </si>
  <si>
    <t>　（不可抗力による損害）</t>
  </si>
  <si>
    <t>　（請負代金額の変更に代える設計図書の変更）</t>
  </si>
  <si>
    <t>　（検査及び引渡し）</t>
  </si>
  <si>
    <t>　（請負代金の支払）</t>
  </si>
  <si>
    <t>　（部分使用）</t>
  </si>
  <si>
    <t>　（前金払）</t>
  </si>
  <si>
    <t>　（中間前金払）</t>
  </si>
  <si>
    <t>　（保証契約の変更）</t>
  </si>
  <si>
    <t>　（前払金の使用等）</t>
  </si>
  <si>
    <t>　（部分払）</t>
  </si>
  <si>
    <t>　（部分引渡し）</t>
  </si>
  <si>
    <t>　（債務負担行為に係る契約の特則）</t>
  </si>
  <si>
    <t>　（債務負担行為に係る契約の前金払の特則）</t>
  </si>
  <si>
    <t>　（債務負担行為に係る契約の部分払の特則）</t>
  </si>
  <si>
    <t>　（第三者による代理受領）</t>
  </si>
  <si>
    <t>　（前払金等の不払いに対する工事中止）</t>
  </si>
  <si>
    <t>　（契約不適合責任）</t>
  </si>
  <si>
    <t>　（発注者の任意解除権）</t>
  </si>
  <si>
    <t>　（発注者の催告による解除権）</t>
  </si>
  <si>
    <t>　（発注者の催告によらない解除権）</t>
  </si>
  <si>
    <t>　（談合等不正行為による解除権）</t>
  </si>
  <si>
    <t>　（発注者の責めに帰すべき事由による場合の解除の制限）</t>
  </si>
  <si>
    <t>　（公共工事履行保証証券による保証の請求）</t>
  </si>
  <si>
    <t>　（受注者の催告による解除権）</t>
  </si>
  <si>
    <t>　（受注者の催告によらない解除権）</t>
  </si>
  <si>
    <t>　（受注者の責めに帰すべき事由による場合の解除の制限）</t>
  </si>
  <si>
    <t>　（解除に伴う措置）</t>
  </si>
  <si>
    <t>　（発注者の損害賠償請求等）</t>
  </si>
  <si>
    <t>　（賠償の予約）</t>
  </si>
  <si>
    <t>　（相殺）</t>
  </si>
  <si>
    <t>　（受注者の損害賠償請求等）</t>
  </si>
  <si>
    <t>　（契約不適合責任期間等）</t>
  </si>
  <si>
    <t>　（火災保険等）</t>
  </si>
  <si>
    <t>　（あっせん又は調停）</t>
  </si>
  <si>
    <t>　（仲裁）</t>
  </si>
  <si>
    <t>　（補則）</t>
  </si>
  <si>
    <t>大 分 県 公 共 工 事 請 負 契 約 約 款</t>
  </si>
  <si>
    <t>別記様式（第63条関係）</t>
  </si>
  <si>
    <t>［裏面参照の上建設工事紛争審査会の仲裁に付することに合意する場合に使用する。］</t>
  </si>
  <si>
    <t>工 事 名</t>
  </si>
  <si>
    <t>工事場所</t>
  </si>
  <si>
    <t>管轄審査会名が記入されていない場合は建設業法</t>
  </si>
  <si>
    <t>第25条の９第１項又は第２項に定める建設工事紛</t>
  </si>
  <si>
    <t>争審査会を管轄審査会とする。</t>
  </si>
  <si>
    <t>管轄審査会名　大　分　県　建設工事紛争審査会</t>
    <phoneticPr fontId="2"/>
  </si>
  <si>
    <t>発 注 者</t>
    <phoneticPr fontId="2"/>
  </si>
  <si>
    <t>受 注 者</t>
    <phoneticPr fontId="2"/>
  </si>
  <si>
    <t>契約日（転記用）</t>
    <rPh sb="0" eb="3">
      <t>ケイヤクビ</t>
    </rPh>
    <rPh sb="4" eb="6">
      <t>テンキ</t>
    </rPh>
    <rPh sb="6" eb="7">
      <t>ヨウ</t>
    </rPh>
    <phoneticPr fontId="2"/>
  </si>
  <si>
    <t>※対象外</t>
    <rPh sb="1" eb="4">
      <t>タイショウガイ</t>
    </rPh>
    <phoneticPr fontId="2"/>
  </si>
  <si>
    <t>　書記載の工事完成の時期（最終の会計年度以外の会計年度にあっては、各会計年度末)｣と、「この契約締結の日」とあるのは</t>
    <phoneticPr fontId="2"/>
  </si>
  <si>
    <t>　　て準用する場合を含む｡)又は第20条の２から第20条の６の規定に基づく課徴金の納付命令（以下「納付命令」という｡)を</t>
    <phoneticPr fontId="2"/>
  </si>
  <si>
    <t>第57条　受注者は、第49条第１項各号（同項第４号に規定する刑法第198条に規定する刑が確定したときを除く｡)のいずれかに</t>
    <phoneticPr fontId="2"/>
  </si>
  <si>
    <t>　内容とする工事の請負契約をいう。以下同じ｡)を履行しなければならない。</t>
    <phoneticPr fontId="2"/>
  </si>
  <si>
    <t>第１条　発注者及び受注者は、この約款（契約書を含む。以下同じ。）に基づき、設計図書（別冊の図面、仕様書、現場説明書</t>
    <phoneticPr fontId="2"/>
  </si>
  <si>
    <t>　及び現場説明に対する質問回答書をいう。以下同じ。）に従い、日本国の法令を遵守し、この契約（この約款及び設計図書を</t>
    <phoneticPr fontId="2"/>
  </si>
  <si>
    <t>　負代金を支払うものとする。</t>
    <phoneticPr fontId="2"/>
  </si>
  <si>
    <t>２　受注者は、契約書記載の工事を契約書記載の工期内に完成し、工事目的物を発注者に引き渡すものとし、発注者は、その請</t>
    <phoneticPr fontId="2"/>
  </si>
  <si>
    <t>　款及び設計図書に特別の定めがある場合を除き、受注者がその責任において定める。</t>
    <phoneticPr fontId="2"/>
  </si>
  <si>
    <t>３　仮設、施工方法その他工事目的物を完成するために必要な一切の手段（以下「施工方法等」という。）については、この約</t>
    <phoneticPr fontId="2"/>
  </si>
  <si>
    <t>　成４年法律第51号）に定めるものとする。</t>
    <phoneticPr fontId="2"/>
  </si>
  <si>
    <t>８　この契約の履行に関して発注者と受注者との間で用いる計量単位は、設計図書に特別の定めがある場合を除き、計量法（平</t>
    <phoneticPr fontId="2"/>
  </si>
  <si>
    <t>　めるところによるものとする。</t>
    <phoneticPr fontId="2"/>
  </si>
  <si>
    <t>９　この約款及び設計図書における期間の定めについては、民法（明治29年法律第89号）及び商法（明治32年法律第48号）の定</t>
    <phoneticPr fontId="2"/>
  </si>
  <si>
    <t>12　受注者が共同企業体を結成している場合においては、発注者は、この契約に基づく全ての行為を共同企業体の代表者に対し</t>
    <phoneticPr fontId="2"/>
  </si>
  <si>
    <t>　て行うものとし、発注者が当該代表者に対して行ったこの契約に基づく全ての行為は、当該企業体の全ての構成員に対して行</t>
    <phoneticPr fontId="2"/>
  </si>
  <si>
    <t>　ればならない。</t>
    <phoneticPr fontId="2"/>
  </si>
  <si>
    <t>　ったものとみなし、また、受注者は、発注者に対して行うこの契約に基づく全ての行為について当該代表者を通じて行わなけ</t>
    <phoneticPr fontId="2"/>
  </si>
  <si>
    <t>　作成し、発注者に提出しなければならない。</t>
    <rPh sb="1" eb="3">
      <t>サクセイ</t>
    </rPh>
    <phoneticPr fontId="2"/>
  </si>
  <si>
    <t>　（第61条第１項の規定により付された保険等により塡補された部分を除く。以下この条において同じ。）のうち発注者の責め</t>
    <rPh sb="25" eb="26">
      <t>フサガル</t>
    </rPh>
    <rPh sb="26" eb="27">
      <t>ホ</t>
    </rPh>
    <phoneticPr fontId="2"/>
  </si>
  <si>
    <t>　ったことに基づくもの及び第61条第１項の規定により付された保険等により塡補された部分を除く。以下この条において「損</t>
    <rPh sb="36" eb="37">
      <t>フサガル</t>
    </rPh>
    <rPh sb="37" eb="38">
      <t>ホ</t>
    </rPh>
    <phoneticPr fontId="2"/>
  </si>
  <si>
    <t>　条において「損害合計額」という｡)のうち請負代金額の100分の１を超える額を負担しなければならない。ただし、災害応急</t>
    <phoneticPr fontId="2"/>
  </si>
  <si>
    <t>６　第２項の場合（第48条第９号及び第11号の規定により、この契約が解除された場合を除く。）において、第４条の規定によ</t>
    <phoneticPr fontId="2"/>
  </si>
  <si>
    <t>文字数</t>
    <rPh sb="0" eb="3">
      <t>モジスウ</t>
    </rPh>
    <phoneticPr fontId="2"/>
  </si>
  <si>
    <t>　害（第61条第１項の規定により付された保険等により塡補された部分を除く。）のうち発注者の責めに帰すべき事由により生</t>
    <rPh sb="26" eb="27">
      <t>フサガル</t>
    </rPh>
    <rPh sb="27" eb="28">
      <t>ホ</t>
    </rPh>
    <phoneticPr fontId="2"/>
  </si>
  <si>
    <t>２　第32条第２項（第39条において準用する場合を含む。）の規定による請負代金の支払が遅れた場合においては、受注者は、</t>
    <phoneticPr fontId="2"/>
  </si>
  <si>
    <t>３　第１項の場合において、第34条及び第35条（第41条において準用する場合を含む。）の規定による前払金があったときは、</t>
    <phoneticPr fontId="2"/>
  </si>
  <si>
    <t>建設工事請負契約書</t>
  </si>
  <si>
    <t xml:space="preserve"> （注）「取引に係る消費税及び地方消費税の額」は、請負代金額に１１０分の１０を</t>
  </si>
  <si>
    <t>　　　 乗じて得た額である。</t>
  </si>
  <si>
    <t>　       （ ［  ］の部分は、受注者が課税事業者である場合に使用する。）</t>
  </si>
  <si>
    <t>１</t>
    <phoneticPr fontId="2"/>
  </si>
  <si>
    <t>２</t>
    <phoneticPr fontId="2"/>
  </si>
  <si>
    <t>３</t>
    <phoneticPr fontId="2"/>
  </si>
  <si>
    <t>４</t>
    <phoneticPr fontId="2"/>
  </si>
  <si>
    <t>５</t>
    <phoneticPr fontId="2"/>
  </si>
  <si>
    <t>６</t>
    <phoneticPr fontId="2"/>
  </si>
  <si>
    <t>７</t>
    <phoneticPr fontId="2"/>
  </si>
  <si>
    <t>８</t>
    <phoneticPr fontId="2"/>
  </si>
  <si>
    <t>　五　この契約による債務の不履行により生ずる損害を塡補する履行保証保険契約の締結</t>
    <rPh sb="25" eb="26">
      <t>フサガル</t>
    </rPh>
    <rPh sb="26" eb="27">
      <t>ホ</t>
    </rPh>
    <phoneticPr fontId="2"/>
  </si>
  <si>
    <t>　上記の工事について、発注者と受注者は、各々の対等な立場における合意に基づいて、大分県契約事</t>
    <phoneticPr fontId="2"/>
  </si>
  <si>
    <t>務規則及び大分県公共工事請負契約約款の規定によって公正な請負契約を締結し、信義に従って誠実に</t>
    <phoneticPr fontId="2"/>
  </si>
  <si>
    <t>これを履行するものとする。</t>
    <phoneticPr fontId="2"/>
  </si>
  <si>
    <t>を共同連帯して請け負う。</t>
    <phoneticPr fontId="2"/>
  </si>
  <si>
    <t>工事を施工しない日</t>
    <phoneticPr fontId="2"/>
  </si>
  <si>
    <t>[注]　建設工事が、建設工事に係る資材の再資源化等に関する法律（平成１２年法律第１０４号）第９条第１項に</t>
    <phoneticPr fontId="2"/>
  </si>
  <si>
    <t>規定する対象建設工事の場合は、(１）分別解体等の方法、(２）解体工事に要する費用、(３）再資源化等をす</t>
    <phoneticPr fontId="2"/>
  </si>
  <si>
    <t>る施設の名称及び所在地、(４）再資源化等に要する費用についてそれぞれ記入する。</t>
    <phoneticPr fontId="2"/>
  </si>
  <si>
    <t>工事場所</t>
    <phoneticPr fontId="2"/>
  </si>
  <si>
    <t>工事名</t>
    <phoneticPr fontId="2"/>
  </si>
  <si>
    <t>工期</t>
    <rPh sb="0" eb="1">
      <t>コウ</t>
    </rPh>
    <rPh sb="1" eb="2">
      <t>キ</t>
    </rPh>
    <phoneticPr fontId="2"/>
  </si>
  <si>
    <t>工事を施工しない時間帯</t>
    <phoneticPr fontId="2"/>
  </si>
  <si>
    <t>自</t>
    <rPh sb="0" eb="1">
      <t>ジ</t>
    </rPh>
    <phoneticPr fontId="2"/>
  </si>
  <si>
    <t>至</t>
    <rPh sb="0" eb="1">
      <t>イタ</t>
    </rPh>
    <phoneticPr fontId="2"/>
  </si>
  <si>
    <t>請負代金額</t>
    <phoneticPr fontId="2"/>
  </si>
  <si>
    <t>うち取引に係る消費税及び地方消費税の額</t>
    <phoneticPr fontId="2"/>
  </si>
  <si>
    <t>建設発生土の搬出先等</t>
    <phoneticPr fontId="2"/>
  </si>
  <si>
    <t>解体工事に要する費用等</t>
    <phoneticPr fontId="2"/>
  </si>
  <si>
    <t>別紙のとおり</t>
    <phoneticPr fontId="2"/>
  </si>
  <si>
    <t>受注者</t>
    <rPh sb="0" eb="1">
      <t>ウ</t>
    </rPh>
    <phoneticPr fontId="2"/>
  </si>
  <si>
    <t>発注者</t>
    <phoneticPr fontId="2"/>
  </si>
  <si>
    <t>備考　１．工事を施工しない日、工事を施工しない時間帯を設計図書に定めた場合は、設計図書のとおりと記載し、定め</t>
    <phoneticPr fontId="2"/>
  </si>
  <si>
    <t>　　　　ない場合は抹消のこと。</t>
    <phoneticPr fontId="2"/>
  </si>
  <si>
    <t>　　　２．建設発生土の搬出先等を設計図書に定めた場合は、設計図書のとおりと記載し、定めない場合は抹消のこと。</t>
    <phoneticPr fontId="2"/>
  </si>
  <si>
    <t>　　　３．抹消の場合は、訂正印を押印のこと。</t>
    <phoneticPr fontId="2"/>
  </si>
  <si>
    <t>｝</t>
    <phoneticPr fontId="2"/>
  </si>
  <si>
    <t>設計図書のとおり</t>
    <rPh sb="0" eb="2">
      <t>セッケイ</t>
    </rPh>
    <rPh sb="2" eb="4">
      <t>トショ</t>
    </rPh>
    <phoneticPr fontId="2"/>
  </si>
  <si>
    <t>代表構成員</t>
    <rPh sb="0" eb="2">
      <t>ダイヒョウ</t>
    </rPh>
    <rPh sb="2" eb="5">
      <t>コウセイイン</t>
    </rPh>
    <phoneticPr fontId="2"/>
  </si>
  <si>
    <t>構成員</t>
    <rPh sb="0" eb="3">
      <t>コウセイイン</t>
    </rPh>
    <phoneticPr fontId="2"/>
  </si>
  <si>
    <t>共同企業体名</t>
    <rPh sb="0" eb="2">
      <t>キョウドウ</t>
    </rPh>
    <rPh sb="2" eb="4">
      <t>キギョウ</t>
    </rPh>
    <rPh sb="4" eb="5">
      <t>タイ</t>
    </rPh>
    <rPh sb="5" eb="6">
      <t>メイ</t>
    </rPh>
    <phoneticPr fontId="2"/>
  </si>
  <si>
    <t>（標準様式）</t>
    <rPh sb="1" eb="3">
      <t>ヒョウジュン</t>
    </rPh>
    <rPh sb="3" eb="5">
      <t>ヨウシキ</t>
    </rPh>
    <phoneticPr fontId="2"/>
  </si>
  <si>
    <t>発注者</t>
    <rPh sb="0" eb="3">
      <t>ハッチュウシャ</t>
    </rPh>
    <phoneticPr fontId="2"/>
  </si>
  <si>
    <t>るので、その旨を届け出ます。</t>
    <phoneticPr fontId="2"/>
  </si>
  <si>
    <t>事業者区分</t>
    <rPh sb="0" eb="3">
      <t>ジギョウシャ</t>
    </rPh>
    <rPh sb="3" eb="5">
      <t>クブン</t>
    </rPh>
    <phoneticPr fontId="2"/>
  </si>
  <si>
    <t>記</t>
    <rPh sb="0" eb="1">
      <t>シル</t>
    </rPh>
    <phoneticPr fontId="2"/>
  </si>
  <si>
    <t>現場代理人氏名</t>
    <rPh sb="0" eb="2">
      <t>ゲンバ</t>
    </rPh>
    <rPh sb="2" eb="5">
      <t>ダイリニン</t>
    </rPh>
    <rPh sb="5" eb="7">
      <t>シメイ</t>
    </rPh>
    <phoneticPr fontId="2"/>
  </si>
  <si>
    <r>
      <t xml:space="preserve">従事期間
</t>
    </r>
    <r>
      <rPr>
        <sz val="8"/>
        <color theme="1"/>
        <rFont val="BIZ UD明朝 Medium"/>
        <family val="1"/>
        <charset val="128"/>
      </rPr>
      <t>(変更の場合のみ記載)</t>
    </r>
    <rPh sb="0" eb="1">
      <t>ジュウ</t>
    </rPh>
    <rPh sb="1" eb="2">
      <t>コト</t>
    </rPh>
    <rPh sb="2" eb="3">
      <t>キ</t>
    </rPh>
    <rPh sb="3" eb="4">
      <t>アイダ</t>
    </rPh>
    <rPh sb="6" eb="8">
      <t>ヘンコウ</t>
    </rPh>
    <rPh sb="9" eb="11">
      <t>バアイ</t>
    </rPh>
    <rPh sb="13" eb="15">
      <t>キサイ</t>
    </rPh>
    <phoneticPr fontId="2"/>
  </si>
  <si>
    <t>（生年月日）</t>
    <rPh sb="1" eb="3">
      <t>セイネン</t>
    </rPh>
    <rPh sb="3" eb="5">
      <t>ガッピ</t>
    </rPh>
    <phoneticPr fontId="2"/>
  </si>
  <si>
    <t>専任監理技術者</t>
    <rPh sb="0" eb="2">
      <t>センニン</t>
    </rPh>
    <rPh sb="2" eb="4">
      <t>カンリ</t>
    </rPh>
    <rPh sb="4" eb="7">
      <t>ギジュツシャ</t>
    </rPh>
    <phoneticPr fontId="2"/>
  </si>
  <si>
    <t>技術者区分</t>
    <rPh sb="0" eb="3">
      <t>ギジュツシャ</t>
    </rPh>
    <rPh sb="3" eb="5">
      <t>クブン</t>
    </rPh>
    <phoneticPr fontId="2"/>
  </si>
  <si>
    <t>氏名</t>
    <rPh sb="0" eb="2">
      <t>シメイ</t>
    </rPh>
    <phoneticPr fontId="2"/>
  </si>
  <si>
    <t>生年月日</t>
    <rPh sb="0" eb="2">
      <t>セイネン</t>
    </rPh>
    <rPh sb="2" eb="4">
      <t>ガッピ</t>
    </rPh>
    <phoneticPr fontId="2"/>
  </si>
  <si>
    <t>主任技術者又は
監理技術者</t>
    <rPh sb="0" eb="2">
      <t>シュニン</t>
    </rPh>
    <rPh sb="2" eb="5">
      <t>ギジュツシャ</t>
    </rPh>
    <rPh sb="5" eb="6">
      <t>マタ</t>
    </rPh>
    <rPh sb="8" eb="10">
      <t>カンリ</t>
    </rPh>
    <rPh sb="10" eb="13">
      <t>ギジュツシャ</t>
    </rPh>
    <phoneticPr fontId="2"/>
  </si>
  <si>
    <t>・</t>
    <phoneticPr fontId="2"/>
  </si>
  <si>
    <t>監理技術者補佐氏名</t>
    <rPh sb="0" eb="2">
      <t>カンリ</t>
    </rPh>
    <rPh sb="2" eb="5">
      <t>ギジュツシャ</t>
    </rPh>
    <rPh sb="5" eb="7">
      <t>ホサ</t>
    </rPh>
    <rPh sb="7" eb="9">
      <t>シメイ</t>
    </rPh>
    <phoneticPr fontId="2"/>
  </si>
  <si>
    <t>専門技術者氏名</t>
    <rPh sb="0" eb="2">
      <t>センモン</t>
    </rPh>
    <rPh sb="2" eb="5">
      <t>ギジュツシャ</t>
    </rPh>
    <rPh sb="5" eb="7">
      <t>シメイ</t>
    </rPh>
    <phoneticPr fontId="2"/>
  </si>
  <si>
    <t>上記のとおり選任したので通知します。</t>
    <rPh sb="0" eb="2">
      <t>ジョウキ</t>
    </rPh>
    <rPh sb="6" eb="8">
      <t>センニン</t>
    </rPh>
    <rPh sb="12" eb="14">
      <t>ツウチ</t>
    </rPh>
    <phoneticPr fontId="2"/>
  </si>
  <si>
    <t>許可番号</t>
    <rPh sb="0" eb="2">
      <t>キョカ</t>
    </rPh>
    <rPh sb="2" eb="4">
      <t>バンゴウ</t>
    </rPh>
    <phoneticPr fontId="2"/>
  </si>
  <si>
    <t>氏</t>
    <rPh sb="0" eb="1">
      <t>シ</t>
    </rPh>
    <phoneticPr fontId="2"/>
  </si>
  <si>
    <t>名</t>
    <rPh sb="0" eb="1">
      <t>ナ</t>
    </rPh>
    <phoneticPr fontId="2"/>
  </si>
  <si>
    <t>元号</t>
    <rPh sb="0" eb="2">
      <t>ゲンゴウ</t>
    </rPh>
    <phoneticPr fontId="2"/>
  </si>
  <si>
    <t>般</t>
    <rPh sb="0" eb="1">
      <t>ハン</t>
    </rPh>
    <phoneticPr fontId="2"/>
  </si>
  <si>
    <t>特</t>
    <rPh sb="0" eb="1">
      <t>トク</t>
    </rPh>
    <phoneticPr fontId="2"/>
  </si>
  <si>
    <t>第</t>
    <rPh sb="0" eb="1">
      <t>ダイ</t>
    </rPh>
    <phoneticPr fontId="2"/>
  </si>
  <si>
    <t>号</t>
    <rPh sb="0" eb="1">
      <t>ゴウ</t>
    </rPh>
    <phoneticPr fontId="2"/>
  </si>
  <si>
    <t>備　考</t>
    <rPh sb="0" eb="1">
      <t>ビ</t>
    </rPh>
    <rPh sb="2" eb="3">
      <t>コウ</t>
    </rPh>
    <phoneticPr fontId="2"/>
  </si>
  <si>
    <t>　　配置技術者となりうる資格がわかる資料（免許の写し等）を添付すること。</t>
    <rPh sb="2" eb="4">
      <t>ハイチ</t>
    </rPh>
    <rPh sb="4" eb="7">
      <t>ギジュツシャ</t>
    </rPh>
    <rPh sb="12" eb="14">
      <t>シカク</t>
    </rPh>
    <rPh sb="18" eb="20">
      <t>シリョウ</t>
    </rPh>
    <rPh sb="21" eb="23">
      <t>メンキョ</t>
    </rPh>
    <rPh sb="24" eb="25">
      <t>ウツ</t>
    </rPh>
    <rPh sb="26" eb="27">
      <t>トウ</t>
    </rPh>
    <rPh sb="29" eb="31">
      <t>テンプ</t>
    </rPh>
    <phoneticPr fontId="2"/>
  </si>
  <si>
    <t>　　また、直接的な雇用関係を確認するため、健康保険証の写し等を添付すること。</t>
    <rPh sb="5" eb="8">
      <t>チョクセツテキ</t>
    </rPh>
    <rPh sb="9" eb="11">
      <t>コヨウ</t>
    </rPh>
    <rPh sb="11" eb="13">
      <t>カンケイ</t>
    </rPh>
    <rPh sb="14" eb="16">
      <t>カクニン</t>
    </rPh>
    <rPh sb="21" eb="23">
      <t>ケンコウ</t>
    </rPh>
    <rPh sb="23" eb="26">
      <t>ホケンショウ</t>
    </rPh>
    <rPh sb="27" eb="28">
      <t>ウツ</t>
    </rPh>
    <rPh sb="29" eb="30">
      <t>トウ</t>
    </rPh>
    <rPh sb="31" eb="33">
      <t>テンプ</t>
    </rPh>
    <phoneticPr fontId="2"/>
  </si>
  <si>
    <t>　　現場代理人又は配置技術者の変更の場合は変更のあった者についてのみ記載すること。</t>
    <rPh sb="2" eb="4">
      <t>ゲンバ</t>
    </rPh>
    <rPh sb="4" eb="7">
      <t>ダイリニン</t>
    </rPh>
    <rPh sb="7" eb="8">
      <t>マタ</t>
    </rPh>
    <rPh sb="9" eb="11">
      <t>ハイチ</t>
    </rPh>
    <rPh sb="11" eb="14">
      <t>ギジュツシャ</t>
    </rPh>
    <rPh sb="15" eb="17">
      <t>ヘンコウ</t>
    </rPh>
    <rPh sb="18" eb="20">
      <t>バアイ</t>
    </rPh>
    <rPh sb="21" eb="23">
      <t>ヘンコウ</t>
    </rPh>
    <rPh sb="27" eb="28">
      <t>モノ</t>
    </rPh>
    <rPh sb="34" eb="36">
      <t>キサイ</t>
    </rPh>
    <phoneticPr fontId="2"/>
  </si>
  <si>
    <t>※　標準様式であるので、内容を網羅していれば適宜補正して作成して差し支えないものとする。</t>
    <rPh sb="2" eb="4">
      <t>ヒョウジュン</t>
    </rPh>
    <rPh sb="4" eb="6">
      <t>ヨウシキ</t>
    </rPh>
    <rPh sb="12" eb="14">
      <t>ナイヨウ</t>
    </rPh>
    <rPh sb="15" eb="17">
      <t>モウラ</t>
    </rPh>
    <rPh sb="22" eb="24">
      <t>テキギ</t>
    </rPh>
    <rPh sb="24" eb="26">
      <t>ホセイ</t>
    </rPh>
    <rPh sb="28" eb="30">
      <t>サクセイ</t>
    </rPh>
    <rPh sb="32" eb="33">
      <t>サ</t>
    </rPh>
    <rPh sb="34" eb="35">
      <t>ツカ</t>
    </rPh>
    <phoneticPr fontId="2"/>
  </si>
  <si>
    <t>（受付印）</t>
    <rPh sb="1" eb="4">
      <t>ウケツケイン</t>
    </rPh>
    <phoneticPr fontId="2"/>
  </si>
  <si>
    <t>別紙様式１（発注者用）</t>
    <rPh sb="0" eb="2">
      <t>ベッシ</t>
    </rPh>
    <rPh sb="2" eb="4">
      <t>ヨウシキ</t>
    </rPh>
    <rPh sb="6" eb="9">
      <t>ハッチュウシャ</t>
    </rPh>
    <rPh sb="9" eb="10">
      <t>ヨウ</t>
    </rPh>
    <phoneticPr fontId="2"/>
  </si>
  <si>
    <t>別紙様式１（受注者用）</t>
    <rPh sb="0" eb="2">
      <t>ベッシ</t>
    </rPh>
    <rPh sb="2" eb="4">
      <t>ヨウシキ</t>
    </rPh>
    <rPh sb="6" eb="9">
      <t>ジュチュウシャ</t>
    </rPh>
    <rPh sb="9" eb="10">
      <t>ヨウ</t>
    </rPh>
    <phoneticPr fontId="2"/>
  </si>
  <si>
    <t>（受　注　者）</t>
    <rPh sb="1" eb="2">
      <t>ウケ</t>
    </rPh>
    <rPh sb="3" eb="4">
      <t>チュウ</t>
    </rPh>
    <rPh sb="5" eb="6">
      <t>モノ</t>
    </rPh>
    <phoneticPr fontId="2"/>
  </si>
  <si>
    <t>出すること。</t>
    <phoneticPr fontId="2"/>
  </si>
  <si>
    <t>本通知書は、契約書の提出期限内（落札決定通知の翌日から起算して７日以内）に提</t>
    <phoneticPr fontId="2"/>
  </si>
  <si>
    <t>載すること。</t>
    <phoneticPr fontId="2"/>
  </si>
  <si>
    <t>契約書上の工期は、始期は契約日の翌日を、終期は本通知書における工事の終期を記</t>
    <phoneticPr fontId="2"/>
  </si>
  <si>
    <t>［　　　　　　　　　　　　　　　　　　　　］主任技術者</t>
    <rPh sb="22" eb="24">
      <t>シュニン</t>
    </rPh>
    <rPh sb="24" eb="27">
      <t>ギジュツシャ</t>
    </rPh>
    <phoneticPr fontId="2"/>
  </si>
  <si>
    <t>［　　　　　　　　　専任の　　　　　　　　］主任技術者</t>
    <rPh sb="10" eb="12">
      <t>センニン</t>
    </rPh>
    <rPh sb="22" eb="24">
      <t>シュニン</t>
    </rPh>
    <rPh sb="24" eb="27">
      <t>ギジュツシャ</t>
    </rPh>
    <phoneticPr fontId="2"/>
  </si>
  <si>
    <t xml:space="preserve"> 削除</t>
    <rPh sb="1" eb="3">
      <t>サクジョ</t>
    </rPh>
    <phoneticPr fontId="2"/>
  </si>
  <si>
    <t>対象外</t>
    <rPh sb="0" eb="3">
      <t>タイショウガイ</t>
    </rPh>
    <phoneticPr fontId="2"/>
  </si>
  <si>
    <t>契約額</t>
    <rPh sb="0" eb="3">
      <t>ケイヤクガク</t>
    </rPh>
    <phoneticPr fontId="2"/>
  </si>
  <si>
    <t>方法</t>
    <rPh sb="0" eb="2">
      <t>ホウホウ</t>
    </rPh>
    <phoneticPr fontId="2"/>
  </si>
  <si>
    <t>仲裁合意書</t>
    <phoneticPr fontId="2"/>
  </si>
  <si>
    <t>［裏面］</t>
  </si>
  <si>
    <t>仲 裁 合 意 書 に つ い て</t>
  </si>
  <si>
    <t>ても、その内容を裁判所で争うことはできない。</t>
  </si>
  <si>
    <t>いて設置されており、同法の規定により、あっせん、調停及び仲裁を行う権限を有している。また、中央建設工事紛争審査</t>
  </si>
  <si>
    <t>会（以下「中央審査会」という。）は国土交通省に、都道府県建設工事紛争審査会（以下「都道府県審査会」という。）は各</t>
  </si>
  <si>
    <t>都道府県にそれぞれ設置されている。審査会の管轄は、原則として、受注者が国土交通大臣の許可を受けた建設業者である</t>
  </si>
  <si>
    <t>ときは中央審査会、都道府県知事の許可を受けた建設業者であるときは当該都道府県審査会であるが、当事者の合意によっ</t>
  </si>
  <si>
    <t>て管轄審査会を定めることもできる。</t>
  </si>
  <si>
    <t>選定した者につき、審査会の会長が指名する。また、仲裁委員のうち少なくとも１人は、弁護士法の規定により弁護士とな</t>
  </si>
  <si>
    <t>る資格を有する者である。</t>
  </si>
  <si>
    <t>１）</t>
    <phoneticPr fontId="2"/>
  </si>
  <si>
    <t>２）</t>
    <phoneticPr fontId="2"/>
  </si>
  <si>
    <t>　仲裁合意について</t>
    <phoneticPr fontId="2"/>
  </si>
  <si>
    <t>　仲裁合意とは、裁判所への訴訟に代えて、紛争の解決を仲裁人に委ねることを約する当事者間の契約である。</t>
    <phoneticPr fontId="2"/>
  </si>
  <si>
    <t>　仲裁手続によってなされる仲裁判断は、裁判上の確定判決と同一の効力を有し、たとえその仲裁判断の内容に不服があっ</t>
    <phoneticPr fontId="2"/>
  </si>
  <si>
    <t>　建設工事紛争審査会について</t>
    <phoneticPr fontId="2"/>
  </si>
  <si>
    <t>　建設工事紛争審査会（以下「審査会」という。）は、建設工事の請負契約に関する紛争の解決を図るため建設業法に基づ</t>
    <phoneticPr fontId="2"/>
  </si>
  <si>
    <t>　審査会による仲裁は、３人の仲裁委員が行い、仲裁委員は、審査会の委員又は特別委員のうちから当事者が合意によって</t>
    <phoneticPr fontId="2"/>
  </si>
  <si>
    <t>　なお、審査会における仲裁手続は、建設業法に特別の定めがある場合を除き、仲裁法の規定が適用される。</t>
    <phoneticPr fontId="2"/>
  </si>
  <si>
    <r>
      <t>現場代理人・主任技術者等選任</t>
    </r>
    <r>
      <rPr>
        <strike/>
        <sz val="16"/>
        <color theme="1"/>
        <rFont val="BIZ UD明朝 Medium"/>
        <family val="1"/>
        <charset val="128"/>
      </rPr>
      <t>（変更）</t>
    </r>
    <r>
      <rPr>
        <sz val="16"/>
        <color theme="1"/>
        <rFont val="BIZ UD明朝 Medium"/>
        <family val="1"/>
        <charset val="128"/>
      </rPr>
      <t>通知書</t>
    </r>
    <rPh sb="0" eb="2">
      <t>ゲンバ</t>
    </rPh>
    <rPh sb="2" eb="5">
      <t>ダイリニン</t>
    </rPh>
    <rPh sb="6" eb="8">
      <t>シュニン</t>
    </rPh>
    <rPh sb="8" eb="11">
      <t>ギジュツシャ</t>
    </rPh>
    <rPh sb="11" eb="12">
      <t>トウ</t>
    </rPh>
    <rPh sb="12" eb="14">
      <t>センニン</t>
    </rPh>
    <rPh sb="15" eb="17">
      <t>ヘンコウ</t>
    </rPh>
    <rPh sb="18" eb="21">
      <t>ツウチショ</t>
    </rPh>
    <phoneticPr fontId="2"/>
  </si>
  <si>
    <t>※消費税込みの額を記入のこと</t>
    <rPh sb="1" eb="4">
      <t>ショウヒゼイ</t>
    </rPh>
    <rPh sb="4" eb="5">
      <t>コ</t>
    </rPh>
    <rPh sb="7" eb="8">
      <t>ガク</t>
    </rPh>
    <rPh sb="9" eb="11">
      <t>キニュウ</t>
    </rPh>
    <phoneticPr fontId="2"/>
  </si>
  <si>
    <t>・</t>
  </si>
  <si>
    <t>提出日が契約日と異なる場合</t>
    <rPh sb="0" eb="3">
      <t>テイシュツビ</t>
    </rPh>
    <rPh sb="4" eb="7">
      <t>ケイヤクビ</t>
    </rPh>
    <rPh sb="8" eb="9">
      <t>コト</t>
    </rPh>
    <rPh sb="11" eb="13">
      <t>バアイ</t>
    </rPh>
    <phoneticPr fontId="2"/>
  </si>
  <si>
    <t>技術者</t>
    <rPh sb="0" eb="3">
      <t>ギジュツシャ</t>
    </rPh>
    <phoneticPr fontId="2"/>
  </si>
  <si>
    <t>（標準）</t>
    <rPh sb="1" eb="3">
      <t>ヒョウジュン</t>
    </rPh>
    <phoneticPr fontId="2"/>
  </si>
  <si>
    <t>（上位変更）</t>
    <rPh sb="1" eb="3">
      <t>ジョウイ</t>
    </rPh>
    <rPh sb="3" eb="5">
      <t>ヘンコウ</t>
    </rPh>
    <phoneticPr fontId="2"/>
  </si>
  <si>
    <t>年月日：</t>
  </si>
  <si>
    <t>請求書</t>
  </si>
  <si>
    <t>（</t>
  </si>
  <si>
    <t>）</t>
  </si>
  <si>
    <t>発注者</t>
  </si>
  <si>
    <t>請求者　（住所）</t>
  </si>
  <si>
    <t>（氏名）</t>
  </si>
  <si>
    <t>下記のとおり請求します。</t>
  </si>
  <si>
    <t>請求金額</t>
  </si>
  <si>
    <t>￥</t>
  </si>
  <si>
    <t>ただし、次の工事の(</t>
  </si>
  <si>
    <t>)として</t>
  </si>
  <si>
    <t>工事名</t>
  </si>
  <si>
    <t>契約日</t>
  </si>
  <si>
    <t>請負代金額</t>
  </si>
  <si>
    <t>前払金額（中間前払金含む）</t>
  </si>
  <si>
    <t>部分払金額</t>
  </si>
  <si>
    <t>差引残余金額</t>
  </si>
  <si>
    <t>振込希望金融機関名</t>
  </si>
  <si>
    <t>店</t>
  </si>
  <si>
    <t>預金の種別</t>
  </si>
  <si>
    <t>口座番号</t>
  </si>
  <si>
    <t>口座名義</t>
  </si>
  <si>
    <t>(注)1．</t>
  </si>
  <si>
    <t>０－</t>
    <phoneticPr fontId="2"/>
  </si>
  <si>
    <t>前払金</t>
    <rPh sb="0" eb="3">
      <t>マエバライキン</t>
    </rPh>
    <phoneticPr fontId="2"/>
  </si>
  <si>
    <t>中間前払金</t>
    <rPh sb="0" eb="2">
      <t>チュウカン</t>
    </rPh>
    <rPh sb="2" eb="4">
      <t>マエバライ</t>
    </rPh>
    <rPh sb="4" eb="5">
      <t>キン</t>
    </rPh>
    <phoneticPr fontId="2"/>
  </si>
  <si>
    <t>第　回部分払い金</t>
    <rPh sb="0" eb="1">
      <t>ダイ</t>
    </rPh>
    <rPh sb="2" eb="3">
      <t>カイ</t>
    </rPh>
    <rPh sb="3" eb="5">
      <t>ブブン</t>
    </rPh>
    <rPh sb="5" eb="6">
      <t>バラ</t>
    </rPh>
    <rPh sb="7" eb="8">
      <t>キン</t>
    </rPh>
    <phoneticPr fontId="2"/>
  </si>
  <si>
    <t>部分引渡しに係る請負代金</t>
    <rPh sb="0" eb="3">
      <t>ブブンヒ</t>
    </rPh>
    <rPh sb="3" eb="4">
      <t>ワタ</t>
    </rPh>
    <rPh sb="6" eb="7">
      <t>カカ</t>
    </rPh>
    <rPh sb="8" eb="10">
      <t>ウケオイ</t>
    </rPh>
    <rPh sb="10" eb="12">
      <t>ダイキン</t>
    </rPh>
    <phoneticPr fontId="2"/>
  </si>
  <si>
    <t>完成代金</t>
    <rPh sb="0" eb="2">
      <t>カンセイ</t>
    </rPh>
    <rPh sb="2" eb="4">
      <t>ダイキン</t>
    </rPh>
    <phoneticPr fontId="2"/>
  </si>
  <si>
    <t>令和　　年　　月　　日</t>
    <rPh sb="0" eb="2">
      <t>レイワ</t>
    </rPh>
    <rPh sb="4" eb="5">
      <t>トシ</t>
    </rPh>
    <rPh sb="7" eb="8">
      <t>ツキ</t>
    </rPh>
    <rPh sb="10" eb="11">
      <t>ヒ</t>
    </rPh>
    <phoneticPr fontId="2"/>
  </si>
  <si>
    <t>金融機関名</t>
    <rPh sb="0" eb="2">
      <t>キンユウ</t>
    </rPh>
    <rPh sb="2" eb="5">
      <t>キカンメイ</t>
    </rPh>
    <phoneticPr fontId="2"/>
  </si>
  <si>
    <t>預金の種別</t>
    <rPh sb="0" eb="2">
      <t>ヨキン</t>
    </rPh>
    <rPh sb="3" eb="5">
      <t>シュベツ</t>
    </rPh>
    <phoneticPr fontId="2"/>
  </si>
  <si>
    <t>口座番号</t>
    <rPh sb="0" eb="2">
      <t>コウザ</t>
    </rPh>
    <rPh sb="2" eb="4">
      <t>バンゴウ</t>
    </rPh>
    <phoneticPr fontId="2"/>
  </si>
  <si>
    <t>口座名義</t>
    <rPh sb="0" eb="2">
      <t>コウザ</t>
    </rPh>
    <rPh sb="2" eb="4">
      <t>メイギ</t>
    </rPh>
    <phoneticPr fontId="2"/>
  </si>
  <si>
    <t>支店名</t>
    <rPh sb="0" eb="3">
      <t>シテンメイ</t>
    </rPh>
    <phoneticPr fontId="2"/>
  </si>
  <si>
    <t>銀行</t>
    <rPh sb="0" eb="2">
      <t>ギンコウ</t>
    </rPh>
    <phoneticPr fontId="2"/>
  </si>
  <si>
    <t>金庫</t>
    <rPh sb="0" eb="2">
      <t>キンコ</t>
    </rPh>
    <phoneticPr fontId="2"/>
  </si>
  <si>
    <t>前払請求用口座情報</t>
    <rPh sb="0" eb="2">
      <t>マエバライ</t>
    </rPh>
    <rPh sb="2" eb="4">
      <t>セイキュウ</t>
    </rPh>
    <rPh sb="4" eb="5">
      <t>ヨウ</t>
    </rPh>
    <rPh sb="5" eb="7">
      <t>コウザ</t>
    </rPh>
    <rPh sb="7" eb="9">
      <t>ジョウホウ</t>
    </rPh>
    <phoneticPr fontId="2"/>
  </si>
  <si>
    <t>（　　　）には前払金、中間前払金、第　回部分払金、部分引渡しに</t>
    <phoneticPr fontId="2"/>
  </si>
  <si>
    <t>係る請負代金、完成代金の別を記入すること。</t>
    <phoneticPr fontId="2"/>
  </si>
  <si>
    <t>監理技術者が
他の現場と兼務</t>
    <rPh sb="0" eb="2">
      <t>カンリ</t>
    </rPh>
    <rPh sb="2" eb="5">
      <t>ギジュツシャ</t>
    </rPh>
    <rPh sb="7" eb="8">
      <t>タ</t>
    </rPh>
    <rPh sb="9" eb="11">
      <t>ゲンバ</t>
    </rPh>
    <rPh sb="12" eb="14">
      <t>ケンム</t>
    </rPh>
    <phoneticPr fontId="2"/>
  </si>
  <si>
    <t>あり</t>
    <phoneticPr fontId="2"/>
  </si>
  <si>
    <t>なし</t>
    <phoneticPr fontId="2"/>
  </si>
  <si>
    <t>今回の適用</t>
    <rPh sb="0" eb="2">
      <t>コンカイ</t>
    </rPh>
    <rPh sb="3" eb="5">
      <t>テキヨウ</t>
    </rPh>
    <phoneticPr fontId="2"/>
  </si>
  <si>
    <t xml:space="preserve"> 監理技術者補佐（建設業法第２６条第３項ただし書きに規定する者をいう。以下同じ。）</t>
    <rPh sb="1" eb="3">
      <t>カンリ</t>
    </rPh>
    <rPh sb="3" eb="6">
      <t>ギジュツシャ</t>
    </rPh>
    <rPh sb="6" eb="8">
      <t>ホサ</t>
    </rPh>
    <rPh sb="9" eb="12">
      <t>ケンセツギョウ</t>
    </rPh>
    <rPh sb="12" eb="13">
      <t>ホウ</t>
    </rPh>
    <rPh sb="13" eb="14">
      <t>ダイ</t>
    </rPh>
    <rPh sb="16" eb="17">
      <t>ジョウ</t>
    </rPh>
    <rPh sb="17" eb="18">
      <t>ダイ</t>
    </rPh>
    <rPh sb="19" eb="20">
      <t>コウ</t>
    </rPh>
    <rPh sb="23" eb="24">
      <t>ガ</t>
    </rPh>
    <rPh sb="26" eb="28">
      <t>キテイ</t>
    </rPh>
    <rPh sb="30" eb="31">
      <t>モノ</t>
    </rPh>
    <rPh sb="35" eb="37">
      <t>イカ</t>
    </rPh>
    <rPh sb="37" eb="38">
      <t>オナ</t>
    </rPh>
    <phoneticPr fontId="2"/>
  </si>
  <si>
    <t>期限</t>
    <rPh sb="0" eb="2">
      <t>キゲン</t>
    </rPh>
    <phoneticPr fontId="2"/>
  </si>
  <si>
    <t>額</t>
    <rPh sb="0" eb="1">
      <t>ガク</t>
    </rPh>
    <phoneticPr fontId="2"/>
  </si>
  <si>
    <t>3箇月に1</t>
    <rPh sb="1" eb="3">
      <t>カゲツ</t>
    </rPh>
    <rPh sb="2" eb="3">
      <t>ゲツ</t>
    </rPh>
    <phoneticPr fontId="2"/>
  </si>
  <si>
    <t>下請予定合計額</t>
    <rPh sb="0" eb="2">
      <t>シタウケ</t>
    </rPh>
    <rPh sb="2" eb="4">
      <t>ヨテイ</t>
    </rPh>
    <rPh sb="4" eb="6">
      <t>ゴウケイ</t>
    </rPh>
    <rPh sb="6" eb="7">
      <t>ガク</t>
    </rPh>
    <phoneticPr fontId="2"/>
  </si>
  <si>
    <t>契約日ほか</t>
  </si>
  <si>
    <t>限度額</t>
    <rPh sb="0" eb="3">
      <t>ゲンドガク</t>
    </rPh>
    <phoneticPr fontId="2"/>
  </si>
  <si>
    <t>［ 監理技術者資格者証の交付を受けた専任の ］監理技術者</t>
    <rPh sb="2" eb="4">
      <t>カンリ</t>
    </rPh>
    <rPh sb="4" eb="7">
      <t>ギジュツシャ</t>
    </rPh>
    <rPh sb="7" eb="9">
      <t>シカク</t>
    </rPh>
    <rPh sb="9" eb="10">
      <t>シャ</t>
    </rPh>
    <rPh sb="10" eb="11">
      <t>ショウ</t>
    </rPh>
    <rPh sb="12" eb="14">
      <t>コウフ</t>
    </rPh>
    <rPh sb="15" eb="16">
      <t>ウ</t>
    </rPh>
    <rPh sb="18" eb="20">
      <t>センニン</t>
    </rPh>
    <rPh sb="23" eb="25">
      <t>カンリ</t>
    </rPh>
    <rPh sb="25" eb="28">
      <t>ギジュツシャ</t>
    </rPh>
    <phoneticPr fontId="2"/>
  </si>
  <si>
    <t>建設業法に規定する下記の建設工事紛争審査会の仲裁に付し、その仲裁判断に服する。</t>
    <phoneticPr fontId="2"/>
  </si>
  <si>
    <t>年月日：</t>
    <rPh sb="0" eb="3">
      <t>ネンガッピ</t>
    </rPh>
    <phoneticPr fontId="24"/>
  </si>
  <si>
    <t>（受注者）</t>
    <rPh sb="1" eb="4">
      <t>ジュチュウシャ</t>
    </rPh>
    <phoneticPr fontId="24"/>
  </si>
  <si>
    <t>請負代金内訳書</t>
    <rPh sb="0" eb="2">
      <t>ウケオイ</t>
    </rPh>
    <rPh sb="2" eb="4">
      <t>ダイキン</t>
    </rPh>
    <rPh sb="4" eb="6">
      <t>ウチワケ</t>
    </rPh>
    <rPh sb="6" eb="7">
      <t>ショ</t>
    </rPh>
    <phoneticPr fontId="57"/>
  </si>
  <si>
    <t>工 事 名</t>
    <rPh sb="0" eb="1">
      <t>コウ</t>
    </rPh>
    <rPh sb="2" eb="3">
      <t>コト</t>
    </rPh>
    <rPh sb="4" eb="5">
      <t>メイ</t>
    </rPh>
    <phoneticPr fontId="57"/>
  </si>
  <si>
    <t>工事場所</t>
    <rPh sb="0" eb="2">
      <t>コウジ</t>
    </rPh>
    <rPh sb="2" eb="4">
      <t>バショ</t>
    </rPh>
    <phoneticPr fontId="57"/>
  </si>
  <si>
    <t>工　期</t>
    <rPh sb="0" eb="1">
      <t>コウ</t>
    </rPh>
    <rPh sb="2" eb="3">
      <t>キ</t>
    </rPh>
    <phoneticPr fontId="57"/>
  </si>
  <si>
    <t>～</t>
    <phoneticPr fontId="57"/>
  </si>
  <si>
    <t>迄</t>
    <rPh sb="0" eb="1">
      <t>マデ</t>
    </rPh>
    <phoneticPr fontId="57"/>
  </si>
  <si>
    <t>数量</t>
    <rPh sb="0" eb="2">
      <t>スウリョウ</t>
    </rPh>
    <phoneticPr fontId="57"/>
  </si>
  <si>
    <t>単位</t>
    <rPh sb="0" eb="2">
      <t>タンイ</t>
    </rPh>
    <phoneticPr fontId="57"/>
  </si>
  <si>
    <t>単価</t>
    <rPh sb="0" eb="2">
      <t>タンカ</t>
    </rPh>
    <phoneticPr fontId="57"/>
  </si>
  <si>
    <t>金額</t>
    <rPh sb="0" eb="2">
      <t>キンガク</t>
    </rPh>
    <phoneticPr fontId="57"/>
  </si>
  <si>
    <t>備考</t>
    <rPh sb="0" eb="2">
      <t>ビコウ</t>
    </rPh>
    <phoneticPr fontId="57"/>
  </si>
  <si>
    <t>-</t>
    <phoneticPr fontId="2"/>
  </si>
  <si>
    <t>円）</t>
    <rPh sb="0" eb="1">
      <t>エン</t>
    </rPh>
    <phoneticPr fontId="2"/>
  </si>
  <si>
    <t>（工事価格のうち、現場労働者に関する健康保険、</t>
    <rPh sb="1" eb="3">
      <t>コウジ</t>
    </rPh>
    <rPh sb="3" eb="5">
      <t>カカク</t>
    </rPh>
    <rPh sb="9" eb="11">
      <t>ゲンバ</t>
    </rPh>
    <rPh sb="11" eb="14">
      <t>ロウドウシャ</t>
    </rPh>
    <rPh sb="15" eb="16">
      <t>カン</t>
    </rPh>
    <rPh sb="18" eb="20">
      <t>ケンコウ</t>
    </rPh>
    <rPh sb="20" eb="22">
      <t>ホケン</t>
    </rPh>
    <phoneticPr fontId="2"/>
  </si>
  <si>
    <t>　厚生年金保険及び雇用保険の法定の事業主負担額</t>
    <phoneticPr fontId="2"/>
  </si>
  <si>
    <t>※入札金額内訳書（様式）の一番下</t>
    <rPh sb="1" eb="3">
      <t>ニュウサツ</t>
    </rPh>
    <rPh sb="3" eb="5">
      <t>キンガク</t>
    </rPh>
    <rPh sb="5" eb="8">
      <t>ウチワケショ</t>
    </rPh>
    <rPh sb="9" eb="11">
      <t>ヨウシキ</t>
    </rPh>
    <rPh sb="13" eb="16">
      <t>イチバンシタ</t>
    </rPh>
    <phoneticPr fontId="2"/>
  </si>
  <si>
    <t>符号</t>
    <rPh sb="0" eb="2">
      <t>フゴウ</t>
    </rPh>
    <phoneticPr fontId="2"/>
  </si>
  <si>
    <t>名称</t>
    <rPh sb="0" eb="2">
      <t>メイショウ</t>
    </rPh>
    <phoneticPr fontId="2"/>
  </si>
  <si>
    <t>規格　摘要</t>
    <rPh sb="0" eb="2">
      <t>キカク</t>
    </rPh>
    <rPh sb="3" eb="5">
      <t>テキヨウ</t>
    </rPh>
    <phoneticPr fontId="2"/>
  </si>
  <si>
    <t>工事の種類</t>
    <rPh sb="0" eb="2">
      <t>コウジ</t>
    </rPh>
    <rPh sb="3" eb="5">
      <t>シュルイ</t>
    </rPh>
    <phoneticPr fontId="2"/>
  </si>
  <si>
    <t>費目・工種・</t>
    <rPh sb="0" eb="2">
      <t>ヒモク</t>
    </rPh>
    <rPh sb="3" eb="5">
      <t>コウシュ</t>
    </rPh>
    <phoneticPr fontId="2"/>
  </si>
  <si>
    <t>施工名称など</t>
    <rPh sb="0" eb="2">
      <t>セコウ</t>
    </rPh>
    <rPh sb="2" eb="4">
      <t>メイショウ</t>
    </rPh>
    <phoneticPr fontId="2"/>
  </si>
  <si>
    <t>工事種別</t>
    <rPh sb="0" eb="2">
      <t>コウジ</t>
    </rPh>
    <rPh sb="2" eb="4">
      <t>シュベツ</t>
    </rPh>
    <phoneticPr fontId="2"/>
  </si>
  <si>
    <t>大分類</t>
    <rPh sb="0" eb="3">
      <t>ダイブンルイ</t>
    </rPh>
    <phoneticPr fontId="2"/>
  </si>
  <si>
    <t>小分類</t>
    <rPh sb="0" eb="3">
      <t>ショウブンルイ</t>
    </rPh>
    <phoneticPr fontId="2"/>
  </si>
  <si>
    <t>円/枚</t>
    <rPh sb="0" eb="1">
      <t>エン</t>
    </rPh>
    <rPh sb="2" eb="3">
      <t>マイ</t>
    </rPh>
    <phoneticPr fontId="2"/>
  </si>
  <si>
    <t>割合</t>
    <rPh sb="0" eb="2">
      <t>ワリアイ</t>
    </rPh>
    <phoneticPr fontId="2"/>
  </si>
  <si>
    <t>枚数</t>
    <rPh sb="0" eb="2">
      <t>マイスウ</t>
    </rPh>
    <phoneticPr fontId="2"/>
  </si>
  <si>
    <t>掛金</t>
    <rPh sb="0" eb="1">
      <t>カ</t>
    </rPh>
    <rPh sb="1" eb="2">
      <t>キン</t>
    </rPh>
    <phoneticPr fontId="2"/>
  </si>
  <si>
    <t>変更前</t>
    <rPh sb="0" eb="3">
      <t>ヘンコウマエ</t>
    </rPh>
    <phoneticPr fontId="2"/>
  </si>
  <si>
    <t>当初</t>
    <rPh sb="0" eb="2">
      <t>トウショ</t>
    </rPh>
    <phoneticPr fontId="2"/>
  </si>
  <si>
    <t>追加１</t>
    <rPh sb="0" eb="2">
      <t>ツイカ</t>
    </rPh>
    <phoneticPr fontId="2"/>
  </si>
  <si>
    <t>追加２</t>
    <rPh sb="0" eb="2">
      <t>ツイカ</t>
    </rPh>
    <phoneticPr fontId="2"/>
  </si>
  <si>
    <t>追加３</t>
    <rPh sb="0" eb="2">
      <t>ツイカ</t>
    </rPh>
    <phoneticPr fontId="2"/>
  </si>
  <si>
    <t>住宅・同設備</t>
    <phoneticPr fontId="2"/>
  </si>
  <si>
    <t>追加４</t>
    <rPh sb="0" eb="2">
      <t>ツイカ</t>
    </rPh>
    <phoneticPr fontId="2"/>
  </si>
  <si>
    <t>非住宅・同設備</t>
    <phoneticPr fontId="2"/>
  </si>
  <si>
    <t>追加５</t>
    <rPh sb="0" eb="2">
      <t>ツイカ</t>
    </rPh>
    <phoneticPr fontId="2"/>
  </si>
  <si>
    <t>屋外の電気等</t>
    <phoneticPr fontId="2"/>
  </si>
  <si>
    <t>追加６</t>
    <rPh sb="0" eb="2">
      <t>ツイカ</t>
    </rPh>
    <phoneticPr fontId="2"/>
  </si>
  <si>
    <t>機械器具設置</t>
    <phoneticPr fontId="2"/>
  </si>
  <si>
    <t>追加７</t>
    <rPh sb="0" eb="2">
      <t>ツイカ</t>
    </rPh>
    <phoneticPr fontId="2"/>
  </si>
  <si>
    <t>追加８</t>
    <rPh sb="0" eb="2">
      <t>ツイカ</t>
    </rPh>
    <phoneticPr fontId="2"/>
  </si>
  <si>
    <t>追加９</t>
    <rPh sb="0" eb="2">
      <t>ツイカ</t>
    </rPh>
    <phoneticPr fontId="2"/>
  </si>
  <si>
    <t>累積</t>
    <rPh sb="0" eb="2">
      <t>ルイセキ</t>
    </rPh>
    <phoneticPr fontId="2"/>
  </si>
  <si>
    <t>変更後</t>
    <rPh sb="0" eb="3">
      <t>ヘンコウゴ</t>
    </rPh>
    <phoneticPr fontId="2"/>
  </si>
  <si>
    <t>総額</t>
    <rPh sb="0" eb="2">
      <t>ソウガク</t>
    </rPh>
    <phoneticPr fontId="2"/>
  </si>
  <si>
    <t>追加分</t>
    <rPh sb="0" eb="3">
      <t>ツイカブン</t>
    </rPh>
    <phoneticPr fontId="2"/>
  </si>
  <si>
    <t>検索値</t>
    <rPh sb="0" eb="2">
      <t>ケンサク</t>
    </rPh>
    <rPh sb="2" eb="3">
      <t>アタイ</t>
    </rPh>
    <phoneticPr fontId="2"/>
  </si>
  <si>
    <t>建退共証紙購入（</t>
    <phoneticPr fontId="2"/>
  </si>
  <si>
    <t>変更</t>
    <rPh sb="0" eb="2">
      <t>ヘンコウ</t>
    </rPh>
    <phoneticPr fontId="2"/>
  </si>
  <si>
    <t>）申告書</t>
    <rPh sb="1" eb="4">
      <t>シンコクショ</t>
    </rPh>
    <phoneticPr fontId="2"/>
  </si>
  <si>
    <t>受注者</t>
    <phoneticPr fontId="2"/>
  </si>
  <si>
    <t>労働者延べ就労者数　×　３２０円　＝　所要額（掛金収納書金額と一致)</t>
    <phoneticPr fontId="2"/>
  </si>
  <si>
    <t>変更後所要額（Ａ）</t>
    <phoneticPr fontId="2"/>
  </si>
  <si>
    <t>当初所要額（Ｂ）</t>
    <phoneticPr fontId="2"/>
  </si>
  <si>
    <t>追加購入額（Ａ）－（Ｂ）</t>
    <phoneticPr fontId="2"/>
  </si>
  <si>
    <t>（１）労働者の建退共加入率が把握できない場合</t>
    <phoneticPr fontId="2"/>
  </si>
  <si>
    <t>総工事費　×　基本率　＝　所要額（掛金収納書金額と一致）</t>
    <phoneticPr fontId="2"/>
  </si>
  <si>
    <t>（２）労働者の建退共加入率が把握できる場合</t>
    <phoneticPr fontId="2"/>
  </si>
  <si>
    <t>総工事費　×　基本率　×　補正率　＝　所要額（掛金収納金額と一致）</t>
    <phoneticPr fontId="2"/>
  </si>
  <si>
    <t>【記載上の注意事項】</t>
    <phoneticPr fontId="2"/>
  </si>
  <si>
    <t>上記の１・２いずれかを選択し（□チェック）所要額を算定し、掛金収納書と併せて申告して下さい。</t>
    <phoneticPr fontId="2"/>
  </si>
  <si>
    <t>・１を選択した場合は、建設現場ごとの対象労働者数及び当該労働者の就労日数を的確に把握し、必要な</t>
    <phoneticPr fontId="2"/>
  </si>
  <si>
    <t>枚数を購入して下さい。</t>
    <phoneticPr fontId="2"/>
  </si>
  <si>
    <t>・２を選択した場合は、労働者延べ就労者数の的確な把握が困難である等の場合で、対象工事における労</t>
    <phoneticPr fontId="2"/>
  </si>
  <si>
    <t>働者の加入率把握の可否により（１）・（２）の区分で選択し、必要な枚数を購入して下さい。</t>
    <phoneticPr fontId="2"/>
  </si>
  <si>
    <t>　なお、上記の基本率とは「共済証紙購入の考え方について」に定める総工事ごとの率をいい、補正率と</t>
    <phoneticPr fontId="2"/>
  </si>
  <si>
    <t>は「対象工事における労働者の加入率（％）／70％」であり、総工事費とは「請負契約額（消費税相当額</t>
    <phoneticPr fontId="2"/>
  </si>
  <si>
    <t>を含む。）と無償支給材料評価額の合計額」をいうので算定にあたっては注意して下さい。</t>
    <phoneticPr fontId="2"/>
  </si>
  <si>
    <t>（第６号様式）</t>
    <rPh sb="1" eb="2">
      <t>ダイ</t>
    </rPh>
    <rPh sb="3" eb="4">
      <t>ゴウ</t>
    </rPh>
    <rPh sb="4" eb="6">
      <t>ヨウシキ</t>
    </rPh>
    <phoneticPr fontId="57"/>
  </si>
  <si>
    <t>工　　程　　表</t>
    <rPh sb="0" eb="1">
      <t>コウ</t>
    </rPh>
    <rPh sb="3" eb="4">
      <t>ホド</t>
    </rPh>
    <rPh sb="6" eb="7">
      <t>ヒョウ</t>
    </rPh>
    <phoneticPr fontId="57"/>
  </si>
  <si>
    <t>（発注者）</t>
    <rPh sb="1" eb="4">
      <t>ハッチュウシャ</t>
    </rPh>
    <phoneticPr fontId="57"/>
  </si>
  <si>
    <t>工事名</t>
    <rPh sb="0" eb="2">
      <t>コウジ</t>
    </rPh>
    <rPh sb="2" eb="3">
      <t>メイ</t>
    </rPh>
    <phoneticPr fontId="57"/>
  </si>
  <si>
    <t>自</t>
    <rPh sb="0" eb="1">
      <t>ジ</t>
    </rPh>
    <phoneticPr fontId="57"/>
  </si>
  <si>
    <t>至</t>
    <rPh sb="0" eb="1">
      <t>イタル</t>
    </rPh>
    <phoneticPr fontId="57"/>
  </si>
  <si>
    <t>工　　種</t>
    <rPh sb="0" eb="1">
      <t>コウ</t>
    </rPh>
    <rPh sb="3" eb="4">
      <t>タネ</t>
    </rPh>
    <phoneticPr fontId="57"/>
  </si>
  <si>
    <t>着手
月日</t>
    <rPh sb="0" eb="2">
      <t>チャクシュ</t>
    </rPh>
    <rPh sb="3" eb="4">
      <t>ツキ</t>
    </rPh>
    <rPh sb="4" eb="5">
      <t>ニチ</t>
    </rPh>
    <phoneticPr fontId="2"/>
  </si>
  <si>
    <t>完成
月日</t>
    <rPh sb="0" eb="2">
      <t>カンセイ</t>
    </rPh>
    <rPh sb="3" eb="4">
      <t>ツキ</t>
    </rPh>
    <rPh sb="4" eb="5">
      <t>ニチ</t>
    </rPh>
    <phoneticPr fontId="2"/>
  </si>
  <si>
    <t>記載要領</t>
    <rPh sb="0" eb="2">
      <t>キサイ</t>
    </rPh>
    <rPh sb="2" eb="4">
      <t>ヨウリョウ</t>
    </rPh>
    <phoneticPr fontId="56"/>
  </si>
  <si>
    <t>　1　工種は工事数量総括表の工種を記載する。（工種以外でも必要なものは、記載する。）</t>
    <rPh sb="3" eb="5">
      <t>コウシュ</t>
    </rPh>
    <rPh sb="6" eb="8">
      <t>コウジ</t>
    </rPh>
    <rPh sb="8" eb="10">
      <t>スウリョウ</t>
    </rPh>
    <rPh sb="10" eb="12">
      <t>ソウカツ</t>
    </rPh>
    <rPh sb="12" eb="13">
      <t>ヒョウ</t>
    </rPh>
    <rPh sb="14" eb="16">
      <t>コウシュ</t>
    </rPh>
    <rPh sb="17" eb="19">
      <t>キサイ</t>
    </rPh>
    <rPh sb="23" eb="25">
      <t>コウシュ</t>
    </rPh>
    <rPh sb="25" eb="27">
      <t>イガイ</t>
    </rPh>
    <rPh sb="29" eb="31">
      <t>ヒツヨウ</t>
    </rPh>
    <rPh sb="36" eb="38">
      <t>キサイ</t>
    </rPh>
    <phoneticPr fontId="56"/>
  </si>
  <si>
    <t>　2　予定工程は赤実線をもって表示する。</t>
    <rPh sb="3" eb="5">
      <t>ヨテイ</t>
    </rPh>
    <rPh sb="5" eb="7">
      <t>コウテイ</t>
    </rPh>
    <rPh sb="8" eb="9">
      <t>アカ</t>
    </rPh>
    <rPh sb="9" eb="11">
      <t>ジッセン</t>
    </rPh>
    <rPh sb="15" eb="17">
      <t>ヒョウジ</t>
    </rPh>
    <phoneticPr fontId="56"/>
  </si>
  <si>
    <t>　3　標準様式であるので、内容を網羅していれば適宜補正して作成して差し支えないものとする。</t>
    <phoneticPr fontId="2"/>
  </si>
  <si>
    <t>※両面印刷で印刷してください</t>
    <rPh sb="1" eb="3">
      <t>リョウメン</t>
    </rPh>
    <rPh sb="3" eb="5">
      <t>インサツ</t>
    </rPh>
    <rPh sb="6" eb="8">
      <t>インサツ</t>
    </rPh>
    <phoneticPr fontId="2"/>
  </si>
  <si>
    <t>総工事費</t>
    <rPh sb="0" eb="1">
      <t>ソウ</t>
    </rPh>
    <rPh sb="1" eb="4">
      <t>コウジヒ</t>
    </rPh>
    <phoneticPr fontId="2"/>
  </si>
  <si>
    <t>基本率</t>
    <rPh sb="0" eb="2">
      <t>キホン</t>
    </rPh>
    <rPh sb="2" eb="3">
      <t>リツ</t>
    </rPh>
    <phoneticPr fontId="2"/>
  </si>
  <si>
    <t>延べ就労者数</t>
    <rPh sb="0" eb="1">
      <t>ノ</t>
    </rPh>
    <rPh sb="2" eb="5">
      <t>シュウロウシャ</t>
    </rPh>
    <rPh sb="5" eb="6">
      <t>スウ</t>
    </rPh>
    <phoneticPr fontId="2"/>
  </si>
  <si>
    <t>わかる</t>
    <phoneticPr fontId="2"/>
  </si>
  <si>
    <t>わからない</t>
    <phoneticPr fontId="2"/>
  </si>
  <si>
    <t>建退共加入率の把握</t>
    <rPh sb="0" eb="2">
      <t>ケンタイ</t>
    </rPh>
    <rPh sb="2" eb="3">
      <t>キョウ</t>
    </rPh>
    <rPh sb="3" eb="6">
      <t>カニュウリツ</t>
    </rPh>
    <rPh sb="7" eb="9">
      <t>ハアク</t>
    </rPh>
    <phoneticPr fontId="2"/>
  </si>
  <si>
    <t>できる</t>
    <phoneticPr fontId="2"/>
  </si>
  <si>
    <t>できない</t>
    <phoneticPr fontId="2"/>
  </si>
  <si>
    <t>補正率</t>
    <rPh sb="0" eb="2">
      <t>ホセイ</t>
    </rPh>
    <rPh sb="2" eb="3">
      <t>リツ</t>
    </rPh>
    <phoneticPr fontId="2"/>
  </si>
  <si>
    <t>金額</t>
    <rPh sb="0" eb="2">
      <t>キンガク</t>
    </rPh>
    <phoneticPr fontId="2"/>
  </si>
  <si>
    <t>掛金</t>
    <rPh sb="0" eb="1">
      <t>カ</t>
    </rPh>
    <rPh sb="1" eb="2">
      <t>キン</t>
    </rPh>
    <phoneticPr fontId="2"/>
  </si>
  <si>
    <t>人数</t>
    <rPh sb="0" eb="2">
      <t>ニンズウ</t>
    </rPh>
    <phoneticPr fontId="2"/>
  </si>
  <si>
    <t>人</t>
    <rPh sb="0" eb="1">
      <t>ニン</t>
    </rPh>
    <phoneticPr fontId="2"/>
  </si>
  <si>
    <t>※全１５ページを両面印刷で印刷してください。</t>
    <rPh sb="1" eb="2">
      <t>ゼン</t>
    </rPh>
    <rPh sb="8" eb="10">
      <t>リョウメン</t>
    </rPh>
    <rPh sb="10" eb="12">
      <t>インサツ</t>
    </rPh>
    <rPh sb="13" eb="15">
      <t>インサツ</t>
    </rPh>
    <phoneticPr fontId="2"/>
  </si>
  <si>
    <t>加入率</t>
    <rPh sb="0" eb="3">
      <t>カニュウリツ</t>
    </rPh>
    <phoneticPr fontId="2"/>
  </si>
  <si>
    <t>%</t>
    <phoneticPr fontId="2"/>
  </si>
  <si>
    <t>１．分別解体等の方法</t>
    <rPh sb="2" eb="4">
      <t>ブンベツ</t>
    </rPh>
    <rPh sb="4" eb="6">
      <t>カイタイ</t>
    </rPh>
    <rPh sb="6" eb="7">
      <t>トウ</t>
    </rPh>
    <rPh sb="8" eb="10">
      <t>ホウホウ</t>
    </rPh>
    <phoneticPr fontId="74"/>
  </si>
  <si>
    <t>工種ごとの作業内容及び解体方法</t>
    <rPh sb="0" eb="1">
      <t>コウ</t>
    </rPh>
    <rPh sb="1" eb="2">
      <t>タネ</t>
    </rPh>
    <rPh sb="5" eb="7">
      <t>サギョウ</t>
    </rPh>
    <rPh sb="7" eb="9">
      <t>ナイヨウ</t>
    </rPh>
    <rPh sb="9" eb="10">
      <t>オヨ</t>
    </rPh>
    <rPh sb="11" eb="13">
      <t>カイタイ</t>
    </rPh>
    <rPh sb="13" eb="15">
      <t>ホウホウ</t>
    </rPh>
    <phoneticPr fontId="74"/>
  </si>
  <si>
    <t>工　　　程</t>
    <rPh sb="0" eb="1">
      <t>コウ</t>
    </rPh>
    <rPh sb="4" eb="5">
      <t>ホド</t>
    </rPh>
    <phoneticPr fontId="74"/>
  </si>
  <si>
    <t>作　業　内　容</t>
    <rPh sb="0" eb="1">
      <t>サク</t>
    </rPh>
    <rPh sb="2" eb="3">
      <t>ギョウ</t>
    </rPh>
    <rPh sb="4" eb="5">
      <t>ウチ</t>
    </rPh>
    <rPh sb="6" eb="7">
      <t>カタチ</t>
    </rPh>
    <phoneticPr fontId="74"/>
  </si>
  <si>
    <t>分別解体等の方法</t>
    <rPh sb="0" eb="2">
      <t>ブンベツ</t>
    </rPh>
    <rPh sb="2" eb="4">
      <t>カイタイ</t>
    </rPh>
    <rPh sb="4" eb="5">
      <t>トウ</t>
    </rPh>
    <rPh sb="6" eb="8">
      <t>ホウホウ</t>
    </rPh>
    <phoneticPr fontId="74"/>
  </si>
  <si>
    <t>(解体工事のみ）</t>
    <rPh sb="1" eb="3">
      <t>カイタイ</t>
    </rPh>
    <rPh sb="3" eb="5">
      <t>コウジ</t>
    </rPh>
    <phoneticPr fontId="74"/>
  </si>
  <si>
    <t>（注）分別解体等の方法については、該当がない場合は記載の必要はない。</t>
    <rPh sb="1" eb="2">
      <t>チュウ</t>
    </rPh>
    <rPh sb="3" eb="5">
      <t>ブンベツ</t>
    </rPh>
    <rPh sb="5" eb="7">
      <t>カイタイ</t>
    </rPh>
    <rPh sb="7" eb="8">
      <t>トウ</t>
    </rPh>
    <rPh sb="9" eb="11">
      <t>ホウホウ</t>
    </rPh>
    <rPh sb="17" eb="19">
      <t>ガイトウ</t>
    </rPh>
    <rPh sb="22" eb="24">
      <t>バアイ</t>
    </rPh>
    <rPh sb="25" eb="27">
      <t>キサイ</t>
    </rPh>
    <rPh sb="28" eb="30">
      <t>ヒツヨウ</t>
    </rPh>
    <phoneticPr fontId="74"/>
  </si>
  <si>
    <t>２．解体工事に要する費用（直接工事費）</t>
    <rPh sb="2" eb="4">
      <t>カイタイ</t>
    </rPh>
    <rPh sb="4" eb="6">
      <t>コウジ</t>
    </rPh>
    <rPh sb="7" eb="8">
      <t>ヨウ</t>
    </rPh>
    <rPh sb="10" eb="12">
      <t>ヒヨウ</t>
    </rPh>
    <rPh sb="13" eb="15">
      <t>チョクセツ</t>
    </rPh>
    <rPh sb="15" eb="18">
      <t>コウジヒ</t>
    </rPh>
    <phoneticPr fontId="74"/>
  </si>
  <si>
    <t>円（税抜き）</t>
    <rPh sb="0" eb="1">
      <t>エン</t>
    </rPh>
    <rPh sb="2" eb="3">
      <t>ゼイ</t>
    </rPh>
    <rPh sb="3" eb="4">
      <t>ヌ</t>
    </rPh>
    <phoneticPr fontId="74"/>
  </si>
  <si>
    <t>※受注者の見積金額を記入する</t>
    <rPh sb="1" eb="4">
      <t>ジュチュウシャ</t>
    </rPh>
    <rPh sb="5" eb="7">
      <t>ミツモリ</t>
    </rPh>
    <rPh sb="7" eb="9">
      <t>キンガク</t>
    </rPh>
    <rPh sb="10" eb="12">
      <t>キニュウ</t>
    </rPh>
    <phoneticPr fontId="74"/>
  </si>
  <si>
    <t>（注）</t>
    <rPh sb="1" eb="2">
      <t>チュウ</t>
    </rPh>
    <phoneticPr fontId="74"/>
  </si>
  <si>
    <t>・解体工事の場合のみ記載する。</t>
    <rPh sb="1" eb="3">
      <t>カイタイ</t>
    </rPh>
    <rPh sb="3" eb="5">
      <t>コウジ</t>
    </rPh>
    <rPh sb="6" eb="8">
      <t>バアイ</t>
    </rPh>
    <rPh sb="10" eb="12">
      <t>キサイ</t>
    </rPh>
    <phoneticPr fontId="74"/>
  </si>
  <si>
    <t>・解体工事に伴う分別解体及び積込みに要する費用とする。</t>
    <rPh sb="1" eb="3">
      <t>カイタイ</t>
    </rPh>
    <rPh sb="3" eb="5">
      <t>コウジ</t>
    </rPh>
    <rPh sb="6" eb="7">
      <t>トモナ</t>
    </rPh>
    <rPh sb="8" eb="10">
      <t>ブンベツ</t>
    </rPh>
    <rPh sb="10" eb="12">
      <t>カイタイ</t>
    </rPh>
    <rPh sb="12" eb="13">
      <t>オヨ</t>
    </rPh>
    <rPh sb="14" eb="15">
      <t>ツ</t>
    </rPh>
    <rPh sb="15" eb="16">
      <t>コ</t>
    </rPh>
    <rPh sb="18" eb="19">
      <t>ヨウ</t>
    </rPh>
    <rPh sb="21" eb="23">
      <t>ヒヨウ</t>
    </rPh>
    <phoneticPr fontId="74"/>
  </si>
  <si>
    <t>・仮設費及び運搬費は含まない。</t>
    <rPh sb="1" eb="4">
      <t>カセツヒ</t>
    </rPh>
    <rPh sb="4" eb="5">
      <t>オヨ</t>
    </rPh>
    <rPh sb="6" eb="9">
      <t>ウンパンヒ</t>
    </rPh>
    <rPh sb="10" eb="11">
      <t>フク</t>
    </rPh>
    <phoneticPr fontId="74"/>
  </si>
  <si>
    <t>３．再資源化等をする施設の名称及び所在地</t>
    <rPh sb="2" eb="3">
      <t>サイ</t>
    </rPh>
    <rPh sb="3" eb="5">
      <t>シゲン</t>
    </rPh>
    <rPh sb="5" eb="6">
      <t>カ</t>
    </rPh>
    <rPh sb="6" eb="7">
      <t>トウ</t>
    </rPh>
    <rPh sb="10" eb="12">
      <t>シセツ</t>
    </rPh>
    <rPh sb="13" eb="15">
      <t>メイショウ</t>
    </rPh>
    <rPh sb="15" eb="16">
      <t>オヨ</t>
    </rPh>
    <rPh sb="17" eb="20">
      <t>ショザイチ</t>
    </rPh>
    <phoneticPr fontId="74"/>
  </si>
  <si>
    <t>特定建設資材廃棄物の種類</t>
    <rPh sb="0" eb="2">
      <t>トクテイ</t>
    </rPh>
    <rPh sb="2" eb="4">
      <t>ケンセツ</t>
    </rPh>
    <rPh sb="4" eb="6">
      <t>シザイ</t>
    </rPh>
    <rPh sb="6" eb="9">
      <t>ハイキブツ</t>
    </rPh>
    <rPh sb="10" eb="12">
      <t>シュルイ</t>
    </rPh>
    <phoneticPr fontId="74"/>
  </si>
  <si>
    <t>施設の名称</t>
    <rPh sb="0" eb="2">
      <t>シセツ</t>
    </rPh>
    <rPh sb="3" eb="5">
      <t>メイショウ</t>
    </rPh>
    <phoneticPr fontId="74"/>
  </si>
  <si>
    <t>所　在　地</t>
    <rPh sb="0" eb="1">
      <t>トコロ</t>
    </rPh>
    <rPh sb="2" eb="3">
      <t>ザイ</t>
    </rPh>
    <rPh sb="4" eb="5">
      <t>チ</t>
    </rPh>
    <phoneticPr fontId="74"/>
  </si>
  <si>
    <t>（書ききれない場合は別紙に記載する）</t>
    <rPh sb="1" eb="2">
      <t>カ</t>
    </rPh>
    <rPh sb="7" eb="9">
      <t>バアイ</t>
    </rPh>
    <rPh sb="10" eb="12">
      <t>ベッシ</t>
    </rPh>
    <rPh sb="13" eb="15">
      <t>キサイ</t>
    </rPh>
    <phoneticPr fontId="74"/>
  </si>
  <si>
    <t>４．再資源化等に要する費用（直接工事費等）</t>
    <rPh sb="2" eb="3">
      <t>サイ</t>
    </rPh>
    <rPh sb="3" eb="5">
      <t>シゲン</t>
    </rPh>
    <rPh sb="5" eb="6">
      <t>カ</t>
    </rPh>
    <rPh sb="6" eb="7">
      <t>トウ</t>
    </rPh>
    <rPh sb="8" eb="9">
      <t>ヨウ</t>
    </rPh>
    <rPh sb="11" eb="13">
      <t>ヒヨウ</t>
    </rPh>
    <rPh sb="14" eb="16">
      <t>チョクセツ</t>
    </rPh>
    <rPh sb="16" eb="19">
      <t>コウジヒ</t>
    </rPh>
    <rPh sb="19" eb="20">
      <t>トウ</t>
    </rPh>
    <phoneticPr fontId="74"/>
  </si>
  <si>
    <t>・運搬費を含む</t>
    <rPh sb="1" eb="4">
      <t>ウンパンヒ</t>
    </rPh>
    <rPh sb="5" eb="6">
      <t>フク</t>
    </rPh>
    <phoneticPr fontId="74"/>
  </si>
  <si>
    <t>標題</t>
    <rPh sb="0" eb="2">
      <t>ヒョウダイ</t>
    </rPh>
    <phoneticPr fontId="2"/>
  </si>
  <si>
    <t>１．分別解体等の方法</t>
    <phoneticPr fontId="2"/>
  </si>
  <si>
    <t>工種ごとの作業内容及び解体方法</t>
    <phoneticPr fontId="2"/>
  </si>
  <si>
    <t>①</t>
    <phoneticPr fontId="2"/>
  </si>
  <si>
    <t>②</t>
    <phoneticPr fontId="2"/>
  </si>
  <si>
    <t>③</t>
    <phoneticPr fontId="2"/>
  </si>
  <si>
    <t>④</t>
    <phoneticPr fontId="2"/>
  </si>
  <si>
    <t>⑤</t>
    <phoneticPr fontId="2"/>
  </si>
  <si>
    <t>⑥</t>
    <phoneticPr fontId="2"/>
  </si>
  <si>
    <t>工程１</t>
    <rPh sb="0" eb="2">
      <t>コウテイ</t>
    </rPh>
    <phoneticPr fontId="2"/>
  </si>
  <si>
    <t>工程２</t>
    <rPh sb="0" eb="2">
      <t>コウテイ</t>
    </rPh>
    <phoneticPr fontId="2"/>
  </si>
  <si>
    <t>作業内容１</t>
    <rPh sb="0" eb="2">
      <t>サギョウ</t>
    </rPh>
    <rPh sb="2" eb="4">
      <t>ナイヨウ</t>
    </rPh>
    <phoneticPr fontId="2"/>
  </si>
  <si>
    <t>作業内容２</t>
    <rPh sb="0" eb="2">
      <t>サギョウ</t>
    </rPh>
    <rPh sb="2" eb="4">
      <t>ナイヨウ</t>
    </rPh>
    <phoneticPr fontId="2"/>
  </si>
  <si>
    <t>建築物に係る解体工事</t>
    <rPh sb="0" eb="3">
      <t>ケンチクブツ</t>
    </rPh>
    <rPh sb="4" eb="5">
      <t>カカ</t>
    </rPh>
    <rPh sb="6" eb="8">
      <t>カイタイ</t>
    </rPh>
    <rPh sb="8" eb="10">
      <t>コウジ</t>
    </rPh>
    <phoneticPr fontId="2"/>
  </si>
  <si>
    <t>別紙１</t>
    <rPh sb="0" eb="2">
      <t>ベッシ</t>
    </rPh>
    <phoneticPr fontId="2"/>
  </si>
  <si>
    <t>建築設備・</t>
    <phoneticPr fontId="2"/>
  </si>
  <si>
    <t>内装材等</t>
    <phoneticPr fontId="2"/>
  </si>
  <si>
    <t>屋根ふき材</t>
    <phoneticPr fontId="2"/>
  </si>
  <si>
    <t>基礎・基礎ぐい</t>
    <phoneticPr fontId="2"/>
  </si>
  <si>
    <t>その他</t>
    <phoneticPr fontId="2"/>
  </si>
  <si>
    <t>その他の取り壊し</t>
    <phoneticPr fontId="2"/>
  </si>
  <si>
    <t>建築物に係る新築工事等（新築・増築・修繕・模様替）</t>
    <phoneticPr fontId="2"/>
  </si>
  <si>
    <t>別紙２</t>
    <phoneticPr fontId="2"/>
  </si>
  <si>
    <t>造成等</t>
    <phoneticPr fontId="2"/>
  </si>
  <si>
    <t>造成等の工事</t>
    <phoneticPr fontId="2"/>
  </si>
  <si>
    <t>上部構造部分・外装</t>
    <phoneticPr fontId="2"/>
  </si>
  <si>
    <t>屋根</t>
    <phoneticPr fontId="2"/>
  </si>
  <si>
    <t>屋根の工事</t>
    <phoneticPr fontId="2"/>
  </si>
  <si>
    <t>建築設備・内装等</t>
    <phoneticPr fontId="2"/>
  </si>
  <si>
    <t>その他の工事</t>
    <phoneticPr fontId="2"/>
  </si>
  <si>
    <t>建築物以外のものに係る解体工事又は新築工事等（土木工事等）</t>
    <phoneticPr fontId="2"/>
  </si>
  <si>
    <t>別紙３</t>
    <phoneticPr fontId="2"/>
  </si>
  <si>
    <t>仮　　設</t>
    <phoneticPr fontId="2"/>
  </si>
  <si>
    <t>仮設工事</t>
    <phoneticPr fontId="2"/>
  </si>
  <si>
    <t>土　　工</t>
    <phoneticPr fontId="2"/>
  </si>
  <si>
    <t>土工事</t>
    <phoneticPr fontId="2"/>
  </si>
  <si>
    <t>基　　礎</t>
    <phoneticPr fontId="2"/>
  </si>
  <si>
    <t>基礎工事</t>
    <phoneticPr fontId="2"/>
  </si>
  <si>
    <t>本体構造</t>
    <phoneticPr fontId="2"/>
  </si>
  <si>
    <t>本体構造の工事</t>
    <phoneticPr fontId="2"/>
  </si>
  <si>
    <t>本体付属品</t>
    <phoneticPr fontId="2"/>
  </si>
  <si>
    <t>本体付属品の工事</t>
    <phoneticPr fontId="2"/>
  </si>
  <si>
    <t>その他工事</t>
    <phoneticPr fontId="2"/>
  </si>
  <si>
    <t>有</t>
    <phoneticPr fontId="2"/>
  </si>
  <si>
    <t>無</t>
    <phoneticPr fontId="2"/>
  </si>
  <si>
    <t>手作業</t>
    <phoneticPr fontId="2"/>
  </si>
  <si>
    <t>手作業・機械作業の併用</t>
    <phoneticPr fontId="2"/>
  </si>
  <si>
    <t>①</t>
    <phoneticPr fontId="2"/>
  </si>
  <si>
    <t>②</t>
    <phoneticPr fontId="2"/>
  </si>
  <si>
    <t>③</t>
    <phoneticPr fontId="2"/>
  </si>
  <si>
    <t>④</t>
    <phoneticPr fontId="2"/>
  </si>
  <si>
    <t>⑤</t>
    <phoneticPr fontId="2"/>
  </si>
  <si>
    <t>⑥</t>
    <phoneticPr fontId="2"/>
  </si>
  <si>
    <t>□</t>
    <phoneticPr fontId="2"/>
  </si>
  <si>
    <t>☑</t>
    <phoneticPr fontId="2"/>
  </si>
  <si>
    <t>対象工事</t>
    <rPh sb="0" eb="2">
      <t>タイショウ</t>
    </rPh>
    <rPh sb="2" eb="4">
      <t>コウジ</t>
    </rPh>
    <phoneticPr fontId="2"/>
  </si>
  <si>
    <t>はい</t>
    <phoneticPr fontId="2"/>
  </si>
  <si>
    <t>いいえ</t>
    <phoneticPr fontId="2"/>
  </si>
  <si>
    <t>対象工事</t>
    <rPh sb="0" eb="2">
      <t>タイショウ</t>
    </rPh>
    <rPh sb="2" eb="4">
      <t>コウジ</t>
    </rPh>
    <phoneticPr fontId="2"/>
  </si>
  <si>
    <t>分別解体</t>
    <rPh sb="0" eb="2">
      <t>ブンベツ</t>
    </rPh>
    <rPh sb="2" eb="4">
      <t>カイタイ</t>
    </rPh>
    <phoneticPr fontId="2"/>
  </si>
  <si>
    <t>ある</t>
    <phoneticPr fontId="2"/>
  </si>
  <si>
    <t>ない</t>
    <phoneticPr fontId="2"/>
  </si>
  <si>
    <t>分別解体</t>
    <rPh sb="0" eb="4">
      <t>ブンベツカイタイ</t>
    </rPh>
    <phoneticPr fontId="2"/>
  </si>
  <si>
    <t>非該当</t>
    <rPh sb="0" eb="3">
      <t>ヒガイトウ</t>
    </rPh>
    <phoneticPr fontId="2"/>
  </si>
  <si>
    <t>該当なし</t>
    <rPh sb="0" eb="2">
      <t>ガイトウ</t>
    </rPh>
    <phoneticPr fontId="2"/>
  </si>
  <si>
    <t>建設副産物の処理等</t>
    <rPh sb="0" eb="2">
      <t>ケンセツ</t>
    </rPh>
    <rPh sb="2" eb="5">
      <t>フクサンブツ</t>
    </rPh>
    <rPh sb="6" eb="8">
      <t>ショリ</t>
    </rPh>
    <rPh sb="8" eb="9">
      <t>トウ</t>
    </rPh>
    <phoneticPr fontId="2"/>
  </si>
  <si>
    <t>元号が「平成」で表記されるときは</t>
    <rPh sb="0" eb="2">
      <t>ゲンゴウ</t>
    </rPh>
    <rPh sb="4" eb="6">
      <t>ヘイセイ</t>
    </rPh>
    <rPh sb="8" eb="10">
      <t>ヒョウキ</t>
    </rPh>
    <phoneticPr fontId="2"/>
  </si>
  <si>
    <t>エクセルのアップデートを行ってください</t>
    <rPh sb="12" eb="13">
      <t>オコナ</t>
    </rPh>
    <phoneticPr fontId="2"/>
  </si>
  <si>
    <t>（別紙様式２）</t>
    <rPh sb="1" eb="3">
      <t>ベッシ</t>
    </rPh>
    <rPh sb="3" eb="5">
      <t>ヨウシキ</t>
    </rPh>
    <phoneticPr fontId="24"/>
  </si>
  <si>
    <t>下     請     計     画     書</t>
    <rPh sb="0" eb="1">
      <t>シタ</t>
    </rPh>
    <rPh sb="6" eb="7">
      <t>ショウ</t>
    </rPh>
    <rPh sb="12" eb="13">
      <t>ケイ</t>
    </rPh>
    <rPh sb="18" eb="19">
      <t>ガ</t>
    </rPh>
    <rPh sb="24" eb="25">
      <t>ショ</t>
    </rPh>
    <phoneticPr fontId="24"/>
  </si>
  <si>
    <t>元請</t>
    <rPh sb="0" eb="2">
      <t>モトウ</t>
    </rPh>
    <phoneticPr fontId="24"/>
  </si>
  <si>
    <t>　工　事　名</t>
    <rPh sb="1" eb="2">
      <t>コウ</t>
    </rPh>
    <rPh sb="3" eb="4">
      <t>コト</t>
    </rPh>
    <rPh sb="5" eb="6">
      <t>メイ</t>
    </rPh>
    <phoneticPr fontId="24"/>
  </si>
  <si>
    <t>契約年月日</t>
    <rPh sb="0" eb="2">
      <t>ケイヤク</t>
    </rPh>
    <rPh sb="2" eb="5">
      <t>ネンガッピ</t>
    </rPh>
    <phoneticPr fontId="24"/>
  </si>
  <si>
    <t>工事場所</t>
    <rPh sb="0" eb="2">
      <t>コウジ</t>
    </rPh>
    <rPh sb="2" eb="4">
      <t>バショ</t>
    </rPh>
    <phoneticPr fontId="24"/>
  </si>
  <si>
    <t>契約金</t>
    <rPh sb="0" eb="3">
      <t>ケイヤクキン</t>
    </rPh>
    <phoneticPr fontId="24"/>
  </si>
  <si>
    <t>　工　　　期</t>
    <rPh sb="1" eb="2">
      <t>コウ</t>
    </rPh>
    <rPh sb="5" eb="6">
      <t>キ</t>
    </rPh>
    <phoneticPr fontId="24"/>
  </si>
  <si>
    <t>資格業種</t>
    <rPh sb="0" eb="2">
      <t>シカク</t>
    </rPh>
    <rPh sb="2" eb="4">
      <t>ギョウシュ</t>
    </rPh>
    <phoneticPr fontId="24"/>
  </si>
  <si>
    <t>下　　請　　発　　注　　工　　事　　の　　概　　要</t>
    <rPh sb="0" eb="1">
      <t>シタ</t>
    </rPh>
    <rPh sb="3" eb="4">
      <t>ショウ</t>
    </rPh>
    <rPh sb="6" eb="7">
      <t>ハツ</t>
    </rPh>
    <rPh sb="9" eb="10">
      <t>チュウ</t>
    </rPh>
    <rPh sb="12" eb="13">
      <t>コウ</t>
    </rPh>
    <rPh sb="15" eb="16">
      <t>コト</t>
    </rPh>
    <rPh sb="21" eb="22">
      <t>オオムネ</t>
    </rPh>
    <rPh sb="24" eb="25">
      <t>ヨウ</t>
    </rPh>
    <phoneticPr fontId="24"/>
  </si>
  <si>
    <t>　業　　　種</t>
    <rPh sb="1" eb="2">
      <t>ギョウ</t>
    </rPh>
    <rPh sb="5" eb="6">
      <t>シュ</t>
    </rPh>
    <phoneticPr fontId="24"/>
  </si>
  <si>
    <t xml:space="preserve">概　  　       　　要    </t>
    <rPh sb="0" eb="1">
      <t>オオムネ</t>
    </rPh>
    <rPh sb="14" eb="15">
      <t>ヨウ</t>
    </rPh>
    <phoneticPr fontId="24"/>
  </si>
  <si>
    <t xml:space="preserve">契約予定年月日  </t>
    <rPh sb="0" eb="2">
      <t>ケイヤク</t>
    </rPh>
    <rPh sb="2" eb="4">
      <t>ヨテイ</t>
    </rPh>
    <rPh sb="4" eb="7">
      <t>ネンガッピ</t>
    </rPh>
    <phoneticPr fontId="24"/>
  </si>
  <si>
    <t>予定工期</t>
    <phoneticPr fontId="24"/>
  </si>
  <si>
    <t>　※　標準様式があるので、内容を網羅していれば適宜補正して作成して差し支えないものとする。</t>
    <rPh sb="3" eb="5">
      <t>ヒョウジュン</t>
    </rPh>
    <rPh sb="5" eb="7">
      <t>ヨウシキ</t>
    </rPh>
    <rPh sb="13" eb="15">
      <t>ナイヨウ</t>
    </rPh>
    <rPh sb="16" eb="18">
      <t>モウラ</t>
    </rPh>
    <rPh sb="23" eb="25">
      <t>テキギ</t>
    </rPh>
    <rPh sb="25" eb="27">
      <t>ホセイ</t>
    </rPh>
    <rPh sb="29" eb="31">
      <t>サクセイ</t>
    </rPh>
    <rPh sb="33" eb="34">
      <t>サ</t>
    </rPh>
    <rPh sb="35" eb="36">
      <t>ツカ</t>
    </rPh>
    <phoneticPr fontId="24"/>
  </si>
  <si>
    <t>No.</t>
  </si>
  <si>
    <t>許可行政庁</t>
  </si>
  <si>
    <t>許可番号</t>
  </si>
  <si>
    <t>商号又は名称</t>
  </si>
  <si>
    <t>代表者名</t>
  </si>
  <si>
    <t>営業所名</t>
  </si>
  <si>
    <t>所在地</t>
  </si>
  <si>
    <t>（株）利根建設</t>
  </si>
  <si>
    <t>利根　三喜生</t>
  </si>
  <si>
    <t>江藤酸素（株）</t>
  </si>
  <si>
    <t>（株）竹内工務店</t>
  </si>
  <si>
    <t>篠田　浩利</t>
  </si>
  <si>
    <t>（株）田島産業</t>
  </si>
  <si>
    <t>田島　義明</t>
  </si>
  <si>
    <t>（有）太田工務店</t>
  </si>
  <si>
    <t>太田　英一</t>
  </si>
  <si>
    <t>大分塗装工業（有）</t>
  </si>
  <si>
    <t>上野　達己</t>
  </si>
  <si>
    <t>首藤設備工業（株）</t>
  </si>
  <si>
    <t>大津留　豊</t>
  </si>
  <si>
    <t>大野塗装工業（有）</t>
  </si>
  <si>
    <t>大野　鉄雄</t>
  </si>
  <si>
    <t>（株）大和電業社</t>
  </si>
  <si>
    <t>大西　康生</t>
  </si>
  <si>
    <t>（株）江藤工務店</t>
  </si>
  <si>
    <t>上田水道工業（株）</t>
  </si>
  <si>
    <t>上田　旬一</t>
  </si>
  <si>
    <t>江藤設備（株）</t>
  </si>
  <si>
    <t>織戸　和彦</t>
  </si>
  <si>
    <t>（株）白石建設</t>
  </si>
  <si>
    <t>白石　秀樹</t>
  </si>
  <si>
    <t>協和工業（株）</t>
  </si>
  <si>
    <t>金子　諭</t>
  </si>
  <si>
    <t>大徳電業（株）</t>
  </si>
  <si>
    <t>秋吉　素史</t>
  </si>
  <si>
    <t>（株）田島組</t>
  </si>
  <si>
    <t>田島　栄輔</t>
  </si>
  <si>
    <t>（株）三宮工材</t>
  </si>
  <si>
    <t>前田　知樹</t>
  </si>
  <si>
    <t>（株）秋吉組</t>
  </si>
  <si>
    <t>秋吉　満宗</t>
  </si>
  <si>
    <t>九州産業設備（株）</t>
  </si>
  <si>
    <t>増田　佳明</t>
  </si>
  <si>
    <t>角栄建設工業（株）</t>
  </si>
  <si>
    <t>角　裕介</t>
  </si>
  <si>
    <t>（有）志村電設</t>
  </si>
  <si>
    <t>志村　一博</t>
  </si>
  <si>
    <t>（株）古宮工業</t>
  </si>
  <si>
    <t>足立　好範</t>
  </si>
  <si>
    <t>（有）平山土木</t>
  </si>
  <si>
    <t>平山　元士</t>
  </si>
  <si>
    <t>九州化工（株）</t>
  </si>
  <si>
    <t>松山　正喜</t>
  </si>
  <si>
    <t>（株）安部電業社</t>
  </si>
  <si>
    <t>安部　太</t>
  </si>
  <si>
    <t>（株）池田組</t>
  </si>
  <si>
    <t>池田　俊輔</t>
  </si>
  <si>
    <t>（株）三光園</t>
  </si>
  <si>
    <t>安部　博樹</t>
  </si>
  <si>
    <t>（株）三ヶ尻電業社</t>
  </si>
  <si>
    <t>（株）土谷電気</t>
  </si>
  <si>
    <t>土谷　逸郎</t>
  </si>
  <si>
    <t>（株）日本電工</t>
  </si>
  <si>
    <t>岡田　司朗</t>
  </si>
  <si>
    <t>柳井電機工業（株）</t>
  </si>
  <si>
    <t>柳井　智雄</t>
  </si>
  <si>
    <t>（株）ジョーナン</t>
  </si>
  <si>
    <t>平倉建設（株）</t>
  </si>
  <si>
    <t>平倉　啓貴</t>
  </si>
  <si>
    <t>阿部建設（株）</t>
  </si>
  <si>
    <t>渋谷　恵治</t>
  </si>
  <si>
    <t>（株）加藤組</t>
  </si>
  <si>
    <t>加藤　龍司</t>
  </si>
  <si>
    <t>（株）大分電設</t>
  </si>
  <si>
    <t>山田　恭史</t>
  </si>
  <si>
    <t>（株）藤建設</t>
  </si>
  <si>
    <t>河野電気（株）</t>
  </si>
  <si>
    <t>南　公憲</t>
  </si>
  <si>
    <t>佐藤土木（株）</t>
  </si>
  <si>
    <t>平島　武士</t>
  </si>
  <si>
    <t>（有）栄和建設</t>
  </si>
  <si>
    <t>大塚　幸一郎</t>
  </si>
  <si>
    <t>（株）三道興安社</t>
  </si>
  <si>
    <t>安達　哲也</t>
  </si>
  <si>
    <t>藤元工業（株）</t>
  </si>
  <si>
    <t>三浦　陽一</t>
  </si>
  <si>
    <t>（株）国実水道</t>
  </si>
  <si>
    <t>國實　誠二</t>
  </si>
  <si>
    <t>（株）山下組</t>
  </si>
  <si>
    <t>山下　久雄</t>
  </si>
  <si>
    <t>（株）セイト</t>
  </si>
  <si>
    <t>後藤　誠二</t>
  </si>
  <si>
    <t>後藤総合工業（株）</t>
  </si>
  <si>
    <t>後藤　敬三</t>
  </si>
  <si>
    <t>堤建設工業（株）</t>
  </si>
  <si>
    <t>堤　伊佐子</t>
  </si>
  <si>
    <t>（有）大分樹脂防水</t>
  </si>
  <si>
    <t>西産工業（株）</t>
  </si>
  <si>
    <t>西　幸一</t>
  </si>
  <si>
    <t>小名川土木（有）</t>
  </si>
  <si>
    <t>小名川　浩明</t>
  </si>
  <si>
    <t>（有）総和建設</t>
  </si>
  <si>
    <t>今井　章裕</t>
  </si>
  <si>
    <t>豊國建設（株）</t>
  </si>
  <si>
    <t>池邉　紘一郎</t>
  </si>
  <si>
    <t>（有）三共塗装店</t>
  </si>
  <si>
    <t>三重野　浩</t>
  </si>
  <si>
    <t>太陽電設（株）</t>
  </si>
  <si>
    <t>佐藤　正彦</t>
  </si>
  <si>
    <t>由布土木（有）</t>
  </si>
  <si>
    <t>首藤　暢晃</t>
  </si>
  <si>
    <t>（有）藤由水道</t>
  </si>
  <si>
    <t>中津留　治将</t>
  </si>
  <si>
    <t>（有）加藤水道</t>
  </si>
  <si>
    <t>古城　賢治</t>
  </si>
  <si>
    <t>（有）首藤建設</t>
  </si>
  <si>
    <t>首藤　政博</t>
  </si>
  <si>
    <t>（有）信栄設備</t>
  </si>
  <si>
    <t>鬼塚産業（株）</t>
  </si>
  <si>
    <t>鶴原　達美</t>
  </si>
  <si>
    <t>大分興業（株）</t>
  </si>
  <si>
    <t>古手川　哲</t>
  </si>
  <si>
    <t>（株）小出建設</t>
  </si>
  <si>
    <t>岩尾　大介</t>
  </si>
  <si>
    <t>藤原塗装（株）</t>
  </si>
  <si>
    <t>藤原　忠和</t>
  </si>
  <si>
    <t>林建設（株）</t>
  </si>
  <si>
    <t>篠田　裕一</t>
  </si>
  <si>
    <t>（株）九環緑地建設</t>
  </si>
  <si>
    <t>伊藤　暢靖</t>
  </si>
  <si>
    <t>柴田建設（株）</t>
  </si>
  <si>
    <t>柴田　康輔</t>
  </si>
  <si>
    <t>（有）フクダ工業</t>
  </si>
  <si>
    <t>福田　敦史</t>
  </si>
  <si>
    <t>（株）角田建設</t>
  </si>
  <si>
    <t>角田　裕樹</t>
  </si>
  <si>
    <t>幸建設（株）</t>
  </si>
  <si>
    <t>幸　光雄</t>
  </si>
  <si>
    <t>（株）松村硝子店</t>
  </si>
  <si>
    <t>松村　幸司</t>
  </si>
  <si>
    <t>山忠商店（株）</t>
  </si>
  <si>
    <t>（有）幸野組</t>
  </si>
  <si>
    <t>（株）めの建設</t>
  </si>
  <si>
    <t>田崎　剛</t>
  </si>
  <si>
    <t>（有）興梠建設</t>
  </si>
  <si>
    <t>藤岡　信幸</t>
  </si>
  <si>
    <t>（有）清水装飾工業</t>
  </si>
  <si>
    <t>河野　昭和</t>
  </si>
  <si>
    <t>（有）ハザマ設備</t>
  </si>
  <si>
    <t>狹間　政良</t>
  </si>
  <si>
    <t>（有）山田建設</t>
  </si>
  <si>
    <t>斎藤　文生</t>
  </si>
  <si>
    <t>三浦建設工業（株）</t>
  </si>
  <si>
    <t>三浦　智之</t>
  </si>
  <si>
    <t>親和電工（株）</t>
  </si>
  <si>
    <t>渡邊　謙介</t>
  </si>
  <si>
    <t>（株）甲斐建設工業</t>
  </si>
  <si>
    <t>甲斐　靖人</t>
  </si>
  <si>
    <t>（株）但馬設備工業</t>
  </si>
  <si>
    <t>早川　泰生</t>
  </si>
  <si>
    <t>（有）陽光建設</t>
  </si>
  <si>
    <t>生永　伸一郎</t>
  </si>
  <si>
    <t>交永電気工事（株）</t>
  </si>
  <si>
    <t>亀井　康雄</t>
  </si>
  <si>
    <t>（株）浅野建設</t>
  </si>
  <si>
    <t>浅野　健治</t>
  </si>
  <si>
    <t>（株）杵築建設</t>
  </si>
  <si>
    <t>麻植　義雄</t>
  </si>
  <si>
    <t>大晃通信建設（株）</t>
  </si>
  <si>
    <t>池田　宏一</t>
  </si>
  <si>
    <t>（株）和田組</t>
  </si>
  <si>
    <t>（株）幸建設</t>
  </si>
  <si>
    <t>幸　孝文</t>
  </si>
  <si>
    <t>（株）後藤工務店</t>
  </si>
  <si>
    <t>江藤　淳</t>
  </si>
  <si>
    <t>江藤工業（有）</t>
  </si>
  <si>
    <t>江藤　千年</t>
  </si>
  <si>
    <t>（株）浦松建設</t>
  </si>
  <si>
    <t>平野　英太郎</t>
  </si>
  <si>
    <t>日豊工業（株）</t>
  </si>
  <si>
    <t>石丸　裕巳</t>
  </si>
  <si>
    <t>三光建設工業（株）</t>
  </si>
  <si>
    <t>北村　秀敏</t>
  </si>
  <si>
    <t>（株）山本電業社</t>
  </si>
  <si>
    <t>山本　和男</t>
  </si>
  <si>
    <t>（株）國本組</t>
  </si>
  <si>
    <t>大庭　美香</t>
  </si>
  <si>
    <t>（株）佐野土木建設</t>
  </si>
  <si>
    <t>佐野　聡</t>
  </si>
  <si>
    <t>（株）安部組</t>
  </si>
  <si>
    <t>安部　勉</t>
  </si>
  <si>
    <t>（有）尾崎塗装店</t>
  </si>
  <si>
    <t>（有）岩尾商事</t>
  </si>
  <si>
    <t>岩尾　秀明</t>
  </si>
  <si>
    <t>（株）阿南組</t>
  </si>
  <si>
    <t>阿南　善幸</t>
  </si>
  <si>
    <t>（株）イシダ</t>
  </si>
  <si>
    <t>石田　啓三</t>
  </si>
  <si>
    <t>（株）城山建設</t>
  </si>
  <si>
    <t>浅野　誠三郎</t>
  </si>
  <si>
    <t>（株）芦刈塗装</t>
  </si>
  <si>
    <t>芦刈　直</t>
  </si>
  <si>
    <t>首藤重機建設（有）</t>
  </si>
  <si>
    <t>首藤　誠</t>
  </si>
  <si>
    <t>（有）常藤建設</t>
  </si>
  <si>
    <t>伊藤　和子</t>
  </si>
  <si>
    <t>別鉄サッシ工業（株）</t>
  </si>
  <si>
    <t>（株）真玉建設</t>
  </si>
  <si>
    <t>菅　康雄</t>
  </si>
  <si>
    <t>（有）三明工務店</t>
  </si>
  <si>
    <t>三明　則吉</t>
  </si>
  <si>
    <t>大分綜合建設（株）</t>
  </si>
  <si>
    <t>小拂　勝則</t>
  </si>
  <si>
    <t>山田興産（株）</t>
  </si>
  <si>
    <t>植木　隆英</t>
  </si>
  <si>
    <t>（有）次郎丸建設</t>
  </si>
  <si>
    <t>次郎丸　信一</t>
  </si>
  <si>
    <t>（株）ユーロード</t>
  </si>
  <si>
    <t>佐々木　侑子</t>
  </si>
  <si>
    <t>高田建設（株）</t>
  </si>
  <si>
    <t>井上　正美</t>
  </si>
  <si>
    <t>（有）中村設備サービス</t>
  </si>
  <si>
    <t>中村　彰宏</t>
  </si>
  <si>
    <t>佐々木建設（株）</t>
  </si>
  <si>
    <t>佐々木　康介</t>
  </si>
  <si>
    <t>（有）桂建設</t>
  </si>
  <si>
    <t>小拂　聡美</t>
  </si>
  <si>
    <t>（株）南設備工業</t>
  </si>
  <si>
    <t>（有）平野建材店</t>
  </si>
  <si>
    <t>平野　幸正</t>
  </si>
  <si>
    <t>サトカ建設工業（株）</t>
  </si>
  <si>
    <t>後藤　和憲</t>
  </si>
  <si>
    <t>（有）岩永工務店</t>
  </si>
  <si>
    <t>下村　竜也</t>
  </si>
  <si>
    <t>（株）双子</t>
  </si>
  <si>
    <t>堂園　剛志</t>
  </si>
  <si>
    <t>（有）坂本建設</t>
  </si>
  <si>
    <t>坂本　修一</t>
  </si>
  <si>
    <t>奥田建設（株）</t>
  </si>
  <si>
    <t>徳丸　新吾</t>
  </si>
  <si>
    <t>麻田建設（有）</t>
  </si>
  <si>
    <t>山口水道工業（株）</t>
  </si>
  <si>
    <t>中園　清</t>
  </si>
  <si>
    <t>杵築電気工事（株）</t>
  </si>
  <si>
    <t>八坂　忠昭</t>
  </si>
  <si>
    <t>（有）姫島建設</t>
  </si>
  <si>
    <t>山田　耕司</t>
  </si>
  <si>
    <t>（株）秋田建設工業</t>
  </si>
  <si>
    <t>タキグチ商事（株）</t>
  </si>
  <si>
    <t>帯刀　晃司</t>
  </si>
  <si>
    <t>（株）伊東組</t>
  </si>
  <si>
    <t>小俣　直樹</t>
  </si>
  <si>
    <t>豊栄建設（株）</t>
  </si>
  <si>
    <t>猪俣　雅敏</t>
  </si>
  <si>
    <t>宮迫建設（株）</t>
  </si>
  <si>
    <t>今富　ゆかり</t>
  </si>
  <si>
    <t>（株）財前組</t>
  </si>
  <si>
    <t>嶋田　和洋</t>
  </si>
  <si>
    <t>（株）野田産業</t>
  </si>
  <si>
    <t>野田　忠博</t>
  </si>
  <si>
    <t>（株）三浦建設</t>
  </si>
  <si>
    <t>佐藤　宗朝</t>
  </si>
  <si>
    <t>（株）別所商事</t>
  </si>
  <si>
    <t>吉田　嘉子</t>
  </si>
  <si>
    <t>（株）甲斐建設</t>
  </si>
  <si>
    <t>甲斐　友和</t>
  </si>
  <si>
    <t>（株）佐々木工務店</t>
  </si>
  <si>
    <t>佐藤　匡利</t>
  </si>
  <si>
    <t>大豊建設（株）</t>
  </si>
  <si>
    <t>川邉　豊</t>
  </si>
  <si>
    <t>（有）塚本建設</t>
  </si>
  <si>
    <t>塚本　清貴</t>
  </si>
  <si>
    <t>（株）セキ土建</t>
  </si>
  <si>
    <t>（株）後藤設備鉄工</t>
  </si>
  <si>
    <t>後藤　忠生</t>
  </si>
  <si>
    <t>三浦国土建設（株）</t>
  </si>
  <si>
    <t>三浦　宏之</t>
  </si>
  <si>
    <t>旭産業（株）</t>
  </si>
  <si>
    <t>田中　章夫</t>
  </si>
  <si>
    <t>（有）河野組</t>
  </si>
  <si>
    <t>河野　博英</t>
  </si>
  <si>
    <t>安部建設（株）</t>
  </si>
  <si>
    <t>安部　良</t>
  </si>
  <si>
    <t>臼豊土建（株）</t>
  </si>
  <si>
    <t>川野　浩之</t>
  </si>
  <si>
    <t>（株）大下建設工業</t>
  </si>
  <si>
    <t>大下　恒善</t>
  </si>
  <si>
    <t>日名子建設（有）</t>
  </si>
  <si>
    <t>日名子　善光</t>
  </si>
  <si>
    <t>（株）ＡＫ企画</t>
  </si>
  <si>
    <t>安東　多美子</t>
  </si>
  <si>
    <t>（株）高聖建設工業</t>
  </si>
  <si>
    <t>高橋　聖人</t>
  </si>
  <si>
    <t>（有）広和工業</t>
  </si>
  <si>
    <t>清川　正徳</t>
  </si>
  <si>
    <t>（株）安東建設</t>
  </si>
  <si>
    <t>上田　真生</t>
  </si>
  <si>
    <t>三双土木（株）</t>
  </si>
  <si>
    <t>菅本　一夫</t>
  </si>
  <si>
    <t>津久見建設（株）</t>
  </si>
  <si>
    <t>中津留　伸亮</t>
  </si>
  <si>
    <t>（有）佐藤塗装工業</t>
  </si>
  <si>
    <t>足立　洋平</t>
  </si>
  <si>
    <t>（株）だるまや水道</t>
  </si>
  <si>
    <t>佐藤　和代</t>
  </si>
  <si>
    <t>（有）渡邉木工所</t>
  </si>
  <si>
    <t>渡邉　裕一</t>
  </si>
  <si>
    <t>津港建設（株）</t>
  </si>
  <si>
    <t>井東　健治</t>
  </si>
  <si>
    <t>（株）東和建設</t>
  </si>
  <si>
    <t>神田　良人</t>
  </si>
  <si>
    <t>小野建設工業（株）</t>
  </si>
  <si>
    <t>小野　勝美</t>
  </si>
  <si>
    <t>（株）勝陽</t>
  </si>
  <si>
    <t>川邊　陽子</t>
  </si>
  <si>
    <t>（株）薬師寺建設</t>
  </si>
  <si>
    <t>（有）亀井水道工業所</t>
  </si>
  <si>
    <t>亀井　浩</t>
  </si>
  <si>
    <t>小代築炉工業（株）</t>
  </si>
  <si>
    <t>小代　一幸</t>
  </si>
  <si>
    <t>拓州建設（株）</t>
  </si>
  <si>
    <t>大分鉛鐵（株）</t>
  </si>
  <si>
    <t>木本　森久</t>
  </si>
  <si>
    <t>東九州テレビ情報開発（有）</t>
  </si>
  <si>
    <t>川野　健二朗</t>
  </si>
  <si>
    <t>（有）日豊電設</t>
  </si>
  <si>
    <t>塩月　初男</t>
  </si>
  <si>
    <t>石田土木（株）</t>
  </si>
  <si>
    <t>石田　駿介</t>
  </si>
  <si>
    <t>（株）田島建設</t>
  </si>
  <si>
    <t>田島　亨</t>
  </si>
  <si>
    <t>仲野建設工業（株）</t>
  </si>
  <si>
    <t>仲野　知宏</t>
  </si>
  <si>
    <t>（株）久保田水道工事</t>
  </si>
  <si>
    <t>久保田　和彦</t>
  </si>
  <si>
    <t>（有）佐伯電業社</t>
  </si>
  <si>
    <t>宮本　昌和</t>
  </si>
  <si>
    <t>小田開発工業（株）</t>
  </si>
  <si>
    <t>小田　剛史</t>
  </si>
  <si>
    <t>（株）宇目土建</t>
  </si>
  <si>
    <t>森崎　隆司</t>
  </si>
  <si>
    <t>（株）河秀組</t>
  </si>
  <si>
    <t>蓑部　壽人</t>
  </si>
  <si>
    <t>弥生石材（株）</t>
  </si>
  <si>
    <t>管　博久</t>
  </si>
  <si>
    <t>（株）谷川組</t>
  </si>
  <si>
    <t>谷川　広人</t>
  </si>
  <si>
    <t>（有）天小組</t>
  </si>
  <si>
    <t>天小　潔美</t>
  </si>
  <si>
    <t>（株）菅厚組</t>
  </si>
  <si>
    <t>菅　知洋</t>
  </si>
  <si>
    <t>蒲江土建（有）</t>
  </si>
  <si>
    <t>岡村　俊彦</t>
  </si>
  <si>
    <t>平和土木（株）</t>
  </si>
  <si>
    <t>吉藤　幸弘</t>
  </si>
  <si>
    <t>（有）山矢建設</t>
  </si>
  <si>
    <t>山矢　隆彦</t>
  </si>
  <si>
    <t>匹田電気工事（株）</t>
  </si>
  <si>
    <t>（有）工藤建設</t>
  </si>
  <si>
    <t>御手洗住設（株）</t>
  </si>
  <si>
    <t>御手洗　達也</t>
  </si>
  <si>
    <t>三重建設工業（株）</t>
  </si>
  <si>
    <t>麻生　敏明</t>
  </si>
  <si>
    <t>（株）風戸工務店</t>
  </si>
  <si>
    <t>（株）富永建設</t>
  </si>
  <si>
    <t>冨永　まみ</t>
  </si>
  <si>
    <t>廣瀬建設（株）</t>
  </si>
  <si>
    <t>廣瀬　日出男</t>
  </si>
  <si>
    <t>（株）丸和土木</t>
  </si>
  <si>
    <t>渡辺　隆次</t>
  </si>
  <si>
    <t>（株）道脇建設</t>
  </si>
  <si>
    <t>道脇　慎一郎</t>
  </si>
  <si>
    <t>（株）川辺工業</t>
  </si>
  <si>
    <t>内野　俊史</t>
  </si>
  <si>
    <t>（株）山村電設工業</t>
  </si>
  <si>
    <t>山村　清隆</t>
  </si>
  <si>
    <t>（株）友岡組</t>
  </si>
  <si>
    <t>友岡　誠一</t>
  </si>
  <si>
    <t>恵藤建設（株）</t>
  </si>
  <si>
    <t>恵藤　誠</t>
  </si>
  <si>
    <t>清川産業（株）</t>
  </si>
  <si>
    <t>江藤　龍治</t>
  </si>
  <si>
    <t>足立建設（株）</t>
  </si>
  <si>
    <t>足立　正人</t>
  </si>
  <si>
    <t>村上電気工事（有）</t>
  </si>
  <si>
    <t>村上　忠昭</t>
  </si>
  <si>
    <t>（株）三重綜合建設工業</t>
  </si>
  <si>
    <t>後藤　匡豪</t>
  </si>
  <si>
    <t>（株）立本組</t>
  </si>
  <si>
    <t>立本　勝男</t>
  </si>
  <si>
    <t>（株）ミヤマ</t>
  </si>
  <si>
    <t>麻生　邦彦</t>
  </si>
  <si>
    <t>（有）犬飼工務店</t>
  </si>
  <si>
    <t>渡邊　典子</t>
  </si>
  <si>
    <t>（有）三重電設</t>
  </si>
  <si>
    <t>高原　浩</t>
  </si>
  <si>
    <t>川合電気工事（株）</t>
  </si>
  <si>
    <t>川合　洋平</t>
  </si>
  <si>
    <t>（株）友繁建設</t>
  </si>
  <si>
    <t>友岡　勇治</t>
  </si>
  <si>
    <t>（株）大丸建設</t>
  </si>
  <si>
    <t>河野　公史</t>
  </si>
  <si>
    <t>（株）明治建設</t>
  </si>
  <si>
    <t>嶺田　浩二郎</t>
  </si>
  <si>
    <t>（株）友岡建設</t>
  </si>
  <si>
    <t>友岡　孝幸</t>
  </si>
  <si>
    <t>広域建設（有）</t>
  </si>
  <si>
    <t>相馬　哲治</t>
  </si>
  <si>
    <t>（株）大広建設</t>
  </si>
  <si>
    <t>大塚　隆司</t>
  </si>
  <si>
    <t>（株）雄城</t>
  </si>
  <si>
    <t>甲斐　寿康</t>
  </si>
  <si>
    <t>（株）森組</t>
  </si>
  <si>
    <t>（有）川野組</t>
  </si>
  <si>
    <t>工藤　克秀</t>
  </si>
  <si>
    <t>（有）嘉月建設</t>
  </si>
  <si>
    <t>嘉月　孝志</t>
  </si>
  <si>
    <t>（有）湯地建設</t>
  </si>
  <si>
    <t>湯地　公士</t>
  </si>
  <si>
    <t>（有）中央建設</t>
  </si>
  <si>
    <t>志賀　達也</t>
  </si>
  <si>
    <t>（有）興陽建設</t>
  </si>
  <si>
    <t>衞藤　理惠</t>
  </si>
  <si>
    <t>（株）井原組</t>
  </si>
  <si>
    <t>井原　昭文</t>
  </si>
  <si>
    <t>三笘組</t>
  </si>
  <si>
    <t>三笘　秀己</t>
  </si>
  <si>
    <t>小倉建設（株）</t>
  </si>
  <si>
    <t>永吉　陽一</t>
  </si>
  <si>
    <t>豊州建設（株）</t>
  </si>
  <si>
    <t>安部　匡史</t>
  </si>
  <si>
    <t>（有）野木組</t>
  </si>
  <si>
    <t>野木　睦雄</t>
  </si>
  <si>
    <t>長谷部（資）</t>
  </si>
  <si>
    <t>梶原　徳師</t>
  </si>
  <si>
    <t>久栄建設（株）</t>
  </si>
  <si>
    <t>喜見　秀一郎</t>
  </si>
  <si>
    <t>（株）梅木工務店</t>
  </si>
  <si>
    <t>梅木　邦隆</t>
  </si>
  <si>
    <t>河野　浩治</t>
  </si>
  <si>
    <t>（有）園田組</t>
  </si>
  <si>
    <t>園田　真一</t>
  </si>
  <si>
    <t>（株）ヤマダ</t>
  </si>
  <si>
    <t>喜見　真二</t>
  </si>
  <si>
    <t>（株）ミツヤマ</t>
  </si>
  <si>
    <t>光山　茂弘</t>
  </si>
  <si>
    <t>（株）大東建設</t>
  </si>
  <si>
    <t>小田　浩治</t>
  </si>
  <si>
    <t>（株）河野組</t>
  </si>
  <si>
    <t>河野　良太郎</t>
  </si>
  <si>
    <t>（有）麻生建設</t>
  </si>
  <si>
    <t>麻生　隆信</t>
  </si>
  <si>
    <t>（有）山下組</t>
  </si>
  <si>
    <t>山下　英喜</t>
  </si>
  <si>
    <t>田中建設（株）</t>
  </si>
  <si>
    <t>田中　常雄</t>
  </si>
  <si>
    <t>（株）谷組</t>
  </si>
  <si>
    <t>（株）原田土木</t>
  </si>
  <si>
    <t>原田　英明</t>
  </si>
  <si>
    <t>池部土木（株）</t>
  </si>
  <si>
    <t>池部　雅史</t>
  </si>
  <si>
    <t>（株）諌山工務所</t>
  </si>
  <si>
    <t>伊藤　哲司</t>
  </si>
  <si>
    <t>大和建設（有）</t>
  </si>
  <si>
    <t>林　勝夫</t>
  </si>
  <si>
    <t>九州電工（株）</t>
  </si>
  <si>
    <t>梶原　精二</t>
  </si>
  <si>
    <t>（有）出野建設</t>
  </si>
  <si>
    <t>出野　健次</t>
  </si>
  <si>
    <t>（株）ハセベ水道</t>
  </si>
  <si>
    <t>上原　英之</t>
  </si>
  <si>
    <t>（有）三陽緑化</t>
  </si>
  <si>
    <t>松本　政義</t>
  </si>
  <si>
    <t>（株）トーケイ</t>
  </si>
  <si>
    <t>穴井　隆史</t>
  </si>
  <si>
    <t>不二水道（株）</t>
  </si>
  <si>
    <t>園田　匠</t>
  </si>
  <si>
    <t>（株）タカセ・エンジニアリング</t>
  </si>
  <si>
    <t>高瀬　雅史</t>
  </si>
  <si>
    <t>中央設備（株）</t>
  </si>
  <si>
    <t>井手　英二</t>
  </si>
  <si>
    <t>（株）千原電気工事</t>
  </si>
  <si>
    <t>梶原　義一</t>
  </si>
  <si>
    <t>泰斗建設（株）</t>
  </si>
  <si>
    <t>坂本　数宏</t>
  </si>
  <si>
    <t>羽野建設（株）</t>
  </si>
  <si>
    <t>居川　千尋</t>
  </si>
  <si>
    <t>アステック（株）</t>
  </si>
  <si>
    <t>柏本　治幸</t>
  </si>
  <si>
    <t>（有）高瀬工務店</t>
  </si>
  <si>
    <t>高瀬　伸司</t>
  </si>
  <si>
    <t>大豊道路（株）</t>
  </si>
  <si>
    <t>大家　和</t>
  </si>
  <si>
    <t>（株）共新電機</t>
  </si>
  <si>
    <t>木崎　里美</t>
  </si>
  <si>
    <t>（株）松山商会</t>
  </si>
  <si>
    <t>松山　義憲</t>
  </si>
  <si>
    <t>阿部電管工業（株）</t>
  </si>
  <si>
    <t>秋吉　暁</t>
  </si>
  <si>
    <t>（株）福原組</t>
  </si>
  <si>
    <t>福原　好康</t>
  </si>
  <si>
    <t>（株）高牟禮建設</t>
  </si>
  <si>
    <t>高牟禮　慶子</t>
  </si>
  <si>
    <t>（株）松本総合設備</t>
  </si>
  <si>
    <t>松本　晋作</t>
  </si>
  <si>
    <t>高野建設（株）</t>
  </si>
  <si>
    <t>小深田　崇志</t>
  </si>
  <si>
    <t>西畑建設（株）</t>
  </si>
  <si>
    <t>（株）冨部建設</t>
  </si>
  <si>
    <t>冨部　直</t>
  </si>
  <si>
    <t>（株）中津土建</t>
  </si>
  <si>
    <t>小倉　隆一</t>
  </si>
  <si>
    <t>笹原建設（株）</t>
  </si>
  <si>
    <t>（有）村本工務店</t>
  </si>
  <si>
    <t>村本　隆幸</t>
  </si>
  <si>
    <t>種村産業（株）</t>
  </si>
  <si>
    <t>種村　直人</t>
  </si>
  <si>
    <t>（有）稲益開楽園</t>
  </si>
  <si>
    <t>稲益　大希</t>
  </si>
  <si>
    <t>（有）若草工務店</t>
  </si>
  <si>
    <t>阿志谷　清二</t>
  </si>
  <si>
    <t>（有）松葉建設</t>
  </si>
  <si>
    <t>松葉　潤</t>
  </si>
  <si>
    <t>岩金設備工業（株）</t>
  </si>
  <si>
    <t>佐々木　純</t>
  </si>
  <si>
    <t>（株）江河工務店</t>
  </si>
  <si>
    <t>江河　好洋</t>
  </si>
  <si>
    <t>（株）奥田組</t>
  </si>
  <si>
    <t>奥田　和彦</t>
  </si>
  <si>
    <t>（株）岩男組</t>
  </si>
  <si>
    <t>岩男　栄治</t>
  </si>
  <si>
    <t>下村建設（株）</t>
  </si>
  <si>
    <t>下村　潔</t>
  </si>
  <si>
    <t>末宗建設（株）</t>
  </si>
  <si>
    <t>末宗　光晴</t>
  </si>
  <si>
    <t>山久工業（株）</t>
  </si>
  <si>
    <t>山崎　清一郎</t>
  </si>
  <si>
    <t>（株）ウェルテック</t>
  </si>
  <si>
    <t>酒井　孝二郎</t>
  </si>
  <si>
    <t>（有）用正建設</t>
  </si>
  <si>
    <t>用正　泰治</t>
  </si>
  <si>
    <t>（株）末宗組</t>
  </si>
  <si>
    <t>末宗　信市</t>
  </si>
  <si>
    <t>（株）元吉建設工業</t>
  </si>
  <si>
    <t>（有）豊田建設</t>
  </si>
  <si>
    <t>（株）丸高建設</t>
  </si>
  <si>
    <t>石川　篤</t>
  </si>
  <si>
    <t>日豊工事（株）</t>
  </si>
  <si>
    <t>岡本　学</t>
  </si>
  <si>
    <t>（有）唯工房</t>
  </si>
  <si>
    <t>椛田　康一</t>
  </si>
  <si>
    <t>（有）今長組</t>
  </si>
  <si>
    <t>今長　勝得</t>
  </si>
  <si>
    <t>溝部工業（株）</t>
  </si>
  <si>
    <t>溝部　英之</t>
  </si>
  <si>
    <t>（株）大弓建設</t>
  </si>
  <si>
    <t>大弓　顕</t>
  </si>
  <si>
    <t>（有）宇佐電設</t>
  </si>
  <si>
    <t>岡田　研一</t>
  </si>
  <si>
    <t>（株）スミテック</t>
  </si>
  <si>
    <t>（有）増原開発</t>
  </si>
  <si>
    <t>増田　勝也</t>
  </si>
  <si>
    <t>（株）河野設備工業</t>
  </si>
  <si>
    <t>（株）宇佐建設</t>
  </si>
  <si>
    <t>佐藤　英雄</t>
  </si>
  <si>
    <t>（株）川田塗装</t>
  </si>
  <si>
    <t>川田　要</t>
  </si>
  <si>
    <t>（株）宇佐緑地建設</t>
  </si>
  <si>
    <t>安倍　秀樹</t>
  </si>
  <si>
    <t>（有）西川建設</t>
  </si>
  <si>
    <t>西川　博文</t>
  </si>
  <si>
    <t>（有）嶌田設備</t>
  </si>
  <si>
    <t>（株）キョーワ装飾</t>
  </si>
  <si>
    <t>清永　幸一</t>
  </si>
  <si>
    <t>（有）木村電建工業</t>
  </si>
  <si>
    <t>木村　保美</t>
  </si>
  <si>
    <t>（株）衛藤組</t>
  </si>
  <si>
    <t>友和建設工業（株）</t>
  </si>
  <si>
    <t>木下　日出男</t>
  </si>
  <si>
    <t>拓豊建設（株）</t>
  </si>
  <si>
    <t>榎田　浩</t>
  </si>
  <si>
    <t>（有）山末建設</t>
  </si>
  <si>
    <t>野中　太樹</t>
  </si>
  <si>
    <t>（有）佐藤緑化建設</t>
  </si>
  <si>
    <t>佐藤　善次</t>
  </si>
  <si>
    <t>東九地研工業（株）</t>
  </si>
  <si>
    <t>本庄　範行</t>
  </si>
  <si>
    <t>（株）土居組</t>
  </si>
  <si>
    <t>土居　富之</t>
  </si>
  <si>
    <t>（株）野村建設</t>
  </si>
  <si>
    <t>野村　竜治</t>
  </si>
  <si>
    <t>（有）たかはし塗装店</t>
  </si>
  <si>
    <t>高橋　大作</t>
  </si>
  <si>
    <t>ダイニチ工業（株）</t>
  </si>
  <si>
    <t>林田　貢一</t>
  </si>
  <si>
    <t>高橋工業（有）</t>
  </si>
  <si>
    <t>田上　武士</t>
  </si>
  <si>
    <t>（有）安部組</t>
  </si>
  <si>
    <t>（有）西部建設</t>
  </si>
  <si>
    <t>古梶　マサ子</t>
  </si>
  <si>
    <t>（株）藤電設工業</t>
  </si>
  <si>
    <t>（有）新紘産業</t>
  </si>
  <si>
    <t>江口　洋子</t>
  </si>
  <si>
    <t>（有）大一建設</t>
  </si>
  <si>
    <t>石川　哲人</t>
  </si>
  <si>
    <t>（有）小野田建設</t>
  </si>
  <si>
    <t>小野田　義文</t>
  </si>
  <si>
    <t>（株）八幡空調設備</t>
  </si>
  <si>
    <t>六六六設備（有）</t>
  </si>
  <si>
    <t>岩渕　央子</t>
  </si>
  <si>
    <t>（株）小森建設</t>
  </si>
  <si>
    <t>小森　貴洋</t>
  </si>
  <si>
    <t>（株）野畑建設</t>
  </si>
  <si>
    <t>野畑　佑昌</t>
  </si>
  <si>
    <t>（有）河野建設</t>
  </si>
  <si>
    <t>河野　貴昭</t>
  </si>
  <si>
    <t>（有）平和電設</t>
  </si>
  <si>
    <t>（有）宇佐重機</t>
  </si>
  <si>
    <t>菅原　智史</t>
  </si>
  <si>
    <t>（有）吉本本家石材店</t>
  </si>
  <si>
    <t>吉本　幸成</t>
  </si>
  <si>
    <t>（株）松永組</t>
  </si>
  <si>
    <t>松永　忠昭</t>
  </si>
  <si>
    <t>（有）アカネ建設工業</t>
  </si>
  <si>
    <t>金苗　弘年</t>
  </si>
  <si>
    <t>（株）久綱産業</t>
  </si>
  <si>
    <t>久綱　信一</t>
  </si>
  <si>
    <t>（株）佐藤塗工</t>
  </si>
  <si>
    <t>佐藤　佳郁</t>
  </si>
  <si>
    <t>（株）安達化工機</t>
  </si>
  <si>
    <t>安達　葉史</t>
  </si>
  <si>
    <t>後藤体器（株）</t>
  </si>
  <si>
    <t>後藤　芳正</t>
  </si>
  <si>
    <t>安部文化工業（株）</t>
  </si>
  <si>
    <t>佐藤　卓二</t>
  </si>
  <si>
    <t>扶桑工業（株）</t>
  </si>
  <si>
    <t>（株）三起電通</t>
  </si>
  <si>
    <t>柴尾　英樹</t>
  </si>
  <si>
    <t>（株）ＳＫｐｌｕｓ</t>
  </si>
  <si>
    <t>幸松　美鈴</t>
  </si>
  <si>
    <t>（株）山南工業</t>
  </si>
  <si>
    <t>山南　眞一</t>
  </si>
  <si>
    <t>（株）ユーエイ</t>
  </si>
  <si>
    <t>（有）寺司工業</t>
  </si>
  <si>
    <t>大野　あかね</t>
  </si>
  <si>
    <t>旭計装（株）</t>
  </si>
  <si>
    <t>大熊電設（株）</t>
  </si>
  <si>
    <t>立花　学</t>
  </si>
  <si>
    <t>大栄建設工業（株）</t>
  </si>
  <si>
    <t>（株）温水器産業</t>
  </si>
  <si>
    <t>和田　英樹</t>
  </si>
  <si>
    <t>大分サンダイン（株）</t>
  </si>
  <si>
    <t>伊東　聡</t>
  </si>
  <si>
    <t>（株）日建工業</t>
  </si>
  <si>
    <t>（株）小野設備工業</t>
  </si>
  <si>
    <t>小野　剛</t>
  </si>
  <si>
    <t>東九州電設（株）</t>
  </si>
  <si>
    <t>木村　誠</t>
  </si>
  <si>
    <t>（有）三又建設工業</t>
  </si>
  <si>
    <t>三又　和宏</t>
  </si>
  <si>
    <t>（有）たきお水道</t>
  </si>
  <si>
    <t>鶴田　敬</t>
  </si>
  <si>
    <t>（株）東九</t>
  </si>
  <si>
    <t>安東　眞喜男</t>
  </si>
  <si>
    <t>（有）システムフナイ</t>
  </si>
  <si>
    <t>大仲　晴光</t>
  </si>
  <si>
    <t>（株）大分ワコー</t>
  </si>
  <si>
    <t>工藤　浩二</t>
  </si>
  <si>
    <t>（株）賀来設備</t>
  </si>
  <si>
    <t>安部　正憲</t>
  </si>
  <si>
    <t>小手川電業（株）</t>
  </si>
  <si>
    <t>小手川　秀則</t>
  </si>
  <si>
    <t>（有）和尚工業</t>
  </si>
  <si>
    <t>ニノミヤ産業（株）</t>
  </si>
  <si>
    <t>久保　慎一</t>
  </si>
  <si>
    <t>（有）九州舞台</t>
  </si>
  <si>
    <t>首藤　汎行</t>
  </si>
  <si>
    <t>（株）金子組</t>
  </si>
  <si>
    <t>神元　英樹</t>
  </si>
  <si>
    <t>（有）つるみ工業</t>
  </si>
  <si>
    <t>井上　伸一</t>
  </si>
  <si>
    <t>（有）森本建設</t>
  </si>
  <si>
    <t>森本　勝実</t>
  </si>
  <si>
    <t>（有）松尾建設</t>
  </si>
  <si>
    <t>松尾　大造</t>
  </si>
  <si>
    <t>（株）藤良建設</t>
  </si>
  <si>
    <t>後藤　良規</t>
  </si>
  <si>
    <t>（株）中村</t>
  </si>
  <si>
    <t>中村　年久</t>
  </si>
  <si>
    <t>上杉建設工業（株）</t>
  </si>
  <si>
    <t>上杉　和子</t>
  </si>
  <si>
    <t>旗手建築</t>
  </si>
  <si>
    <t>旗手　博</t>
  </si>
  <si>
    <t>（株）信和</t>
  </si>
  <si>
    <t>清家　和子</t>
  </si>
  <si>
    <t>松田建築（有）</t>
  </si>
  <si>
    <t>松田　正一</t>
  </si>
  <si>
    <t>高石土木（株）</t>
  </si>
  <si>
    <t>山名　賢明</t>
  </si>
  <si>
    <t>（株）森工機</t>
  </si>
  <si>
    <t>森　憲司</t>
  </si>
  <si>
    <t>（株）平野工務店</t>
  </si>
  <si>
    <t>平野　英壽</t>
  </si>
  <si>
    <t>（株）大分通信</t>
  </si>
  <si>
    <t>川野　和広</t>
  </si>
  <si>
    <t>（有）藤本商会</t>
  </si>
  <si>
    <t>山下　和子</t>
  </si>
  <si>
    <t>（有）城組</t>
  </si>
  <si>
    <t>城　英哲</t>
  </si>
  <si>
    <t>渡辺建設（株）</t>
  </si>
  <si>
    <t>渡邉　朋子</t>
  </si>
  <si>
    <t>（有）園田電機商会</t>
  </si>
  <si>
    <t>園田　政広</t>
  </si>
  <si>
    <t>（有）梶原土木工業</t>
  </si>
  <si>
    <t>神元　江美子</t>
  </si>
  <si>
    <t>（株）大分みらい建設</t>
  </si>
  <si>
    <t>三浦　寿雄</t>
  </si>
  <si>
    <t>（株）木元電設</t>
  </si>
  <si>
    <t>林　浩行</t>
  </si>
  <si>
    <t>（有）山香水道</t>
  </si>
  <si>
    <t>児玉　美津雄</t>
  </si>
  <si>
    <t>（有）佐藤建設</t>
  </si>
  <si>
    <t>（有）阿部工業</t>
  </si>
  <si>
    <t>阿部　鉄也</t>
  </si>
  <si>
    <t>（株）上野建設</t>
  </si>
  <si>
    <t>上野　公則</t>
  </si>
  <si>
    <t>和光熱設工業（株）</t>
  </si>
  <si>
    <t>志賀　敏夫</t>
  </si>
  <si>
    <t>（有）園興業</t>
  </si>
  <si>
    <t>（有）山脇金物店</t>
  </si>
  <si>
    <t>中尾　眞幸</t>
  </si>
  <si>
    <t>横井建設（有）</t>
  </si>
  <si>
    <t>横井　健一</t>
  </si>
  <si>
    <t>（有）野中電機</t>
  </si>
  <si>
    <t>野中　紀徳</t>
  </si>
  <si>
    <t>（株）大島電設</t>
  </si>
  <si>
    <t>大島　弘樹</t>
  </si>
  <si>
    <t>佐藤　武彦</t>
  </si>
  <si>
    <t>（有）吉弘建設</t>
  </si>
  <si>
    <t>吉弘　秀二</t>
  </si>
  <si>
    <t>（有）藤建設</t>
  </si>
  <si>
    <t>藤近　幸憲</t>
  </si>
  <si>
    <t>（株）高原建設</t>
  </si>
  <si>
    <t>高原　勝太郎</t>
  </si>
  <si>
    <t>藤原　広幸</t>
  </si>
  <si>
    <t>（有）三光電機</t>
  </si>
  <si>
    <t>上田　和則</t>
  </si>
  <si>
    <t>（有）山本組</t>
  </si>
  <si>
    <t>山本　活裕</t>
  </si>
  <si>
    <t>（有）サンエイ</t>
  </si>
  <si>
    <t>（有）梶原松風園</t>
  </si>
  <si>
    <t>梶原　稔三</t>
  </si>
  <si>
    <t>（有）富来造園土木</t>
  </si>
  <si>
    <t>富来　孝之</t>
  </si>
  <si>
    <t>（有）姫野工務店</t>
  </si>
  <si>
    <t>小野　晶紀</t>
  </si>
  <si>
    <t>（株）オカモト</t>
  </si>
  <si>
    <t>岡本　代一</t>
  </si>
  <si>
    <t>（有）二村鈑金工作所</t>
  </si>
  <si>
    <t>二村　貴</t>
  </si>
  <si>
    <t>（有）川本建設</t>
  </si>
  <si>
    <t>牧　政治</t>
  </si>
  <si>
    <t>（株）麻生電業</t>
  </si>
  <si>
    <t>麻生　勇</t>
  </si>
  <si>
    <t>（有）九州電設</t>
  </si>
  <si>
    <t>（株）ヤクテツ</t>
  </si>
  <si>
    <t>柴山　安生</t>
  </si>
  <si>
    <t>（有）新和建設</t>
  </si>
  <si>
    <t>野中　有紀</t>
  </si>
  <si>
    <t>中川電設工業（株）</t>
  </si>
  <si>
    <t>中川　大輔</t>
  </si>
  <si>
    <t>（有）川元建設工業</t>
  </si>
  <si>
    <t>川元　キミ子</t>
  </si>
  <si>
    <t>（株）南九建設</t>
  </si>
  <si>
    <t>佐藤　優</t>
  </si>
  <si>
    <t>庄司建設工業（有）</t>
  </si>
  <si>
    <t>（株）香川建設</t>
  </si>
  <si>
    <t>二田　教正</t>
  </si>
  <si>
    <t>和上建設工業（有）</t>
  </si>
  <si>
    <t>増尾　孝徳</t>
  </si>
  <si>
    <t>（有）早瀬造園</t>
  </si>
  <si>
    <t>関　秀樹</t>
  </si>
  <si>
    <t>（株）疋田建築</t>
  </si>
  <si>
    <t>疋田　寛子</t>
  </si>
  <si>
    <t>（株）佐々木建設</t>
  </si>
  <si>
    <t>佐々木　高明</t>
  </si>
  <si>
    <t>（株）明建</t>
  </si>
  <si>
    <t>後藤建築</t>
  </si>
  <si>
    <t>後藤　孫一</t>
  </si>
  <si>
    <t>幸栄建設（株）</t>
  </si>
  <si>
    <t>広瀬　智明</t>
  </si>
  <si>
    <t>藤栄建設（株）</t>
  </si>
  <si>
    <t>近藤　弘幸</t>
  </si>
  <si>
    <t>（有）つるみ水道工事</t>
  </si>
  <si>
    <t>清水　靖宣</t>
  </si>
  <si>
    <t>安達建築</t>
  </si>
  <si>
    <t>安達　一男</t>
  </si>
  <si>
    <t>（株）佐伯環境センター</t>
  </si>
  <si>
    <t>安部　秀昭</t>
  </si>
  <si>
    <t>佐伯建工（株）</t>
  </si>
  <si>
    <t>（株）石丸建材社</t>
  </si>
  <si>
    <t>石丸　洋子</t>
  </si>
  <si>
    <t>磯田緑地</t>
  </si>
  <si>
    <t>磯田　佐一</t>
  </si>
  <si>
    <t>（有）野村建設</t>
  </si>
  <si>
    <t>野村　隆之</t>
  </si>
  <si>
    <t>（株）武生テック</t>
  </si>
  <si>
    <t>武生　政也</t>
  </si>
  <si>
    <t>吉良電設（有）</t>
  </si>
  <si>
    <t>（株）盛田組</t>
  </si>
  <si>
    <t>盛田　浩史</t>
  </si>
  <si>
    <t>（有）御手洗水道工事</t>
  </si>
  <si>
    <t>御手洗　慎太郎</t>
  </si>
  <si>
    <t>（有）住吉工業</t>
  </si>
  <si>
    <t>山本　正明</t>
  </si>
  <si>
    <t>（株）イワモト</t>
  </si>
  <si>
    <t>岩本　雅朗</t>
  </si>
  <si>
    <t>本杉建設（有）</t>
  </si>
  <si>
    <t>本杉　能光</t>
  </si>
  <si>
    <t>（有）阿部電設工事</t>
  </si>
  <si>
    <t>阿部　志郎</t>
  </si>
  <si>
    <t>（有）広瀬電気工事</t>
  </si>
  <si>
    <t>広瀬　充</t>
  </si>
  <si>
    <t>山田建設（株）</t>
  </si>
  <si>
    <t>山田　重信</t>
  </si>
  <si>
    <t>（有）椎原塗装</t>
  </si>
  <si>
    <t>椎原　武文</t>
  </si>
  <si>
    <t>（有）和光重機</t>
  </si>
  <si>
    <t>柴田　昭義</t>
  </si>
  <si>
    <t>（株）ヤマト冨永工務店</t>
  </si>
  <si>
    <t>冨永　斉子</t>
  </si>
  <si>
    <t>（株）渡辺工務店</t>
  </si>
  <si>
    <t>渡辺　修司</t>
  </si>
  <si>
    <t>日野建設（有）</t>
  </si>
  <si>
    <t>日野　敏彦</t>
  </si>
  <si>
    <t>（株）大日電機</t>
  </si>
  <si>
    <t>（株）インテリア春</t>
  </si>
  <si>
    <t>（株）下徳産業</t>
  </si>
  <si>
    <t>千原　和明</t>
  </si>
  <si>
    <t>水郷土木（株）</t>
  </si>
  <si>
    <t>池永　秀昭</t>
  </si>
  <si>
    <t>（株）堀土木</t>
  </si>
  <si>
    <t>堀　秀暢</t>
  </si>
  <si>
    <t>河津建設（株）</t>
  </si>
  <si>
    <t>河津　賢太郎</t>
  </si>
  <si>
    <t>（有）笹倉工務店</t>
  </si>
  <si>
    <t>笹倉　英樹</t>
  </si>
  <si>
    <t>安養寺建設（有）</t>
  </si>
  <si>
    <t>安養寺　哲矢</t>
  </si>
  <si>
    <t>（有）松野土木</t>
  </si>
  <si>
    <t>松野　忠</t>
  </si>
  <si>
    <t>（株）日本シャッター産業</t>
  </si>
  <si>
    <t>（有）緑地管理事業団</t>
  </si>
  <si>
    <t>小山フェンス（株）</t>
  </si>
  <si>
    <t>小山　英世</t>
  </si>
  <si>
    <t>（有）東雲板金工業所</t>
  </si>
  <si>
    <t>東雲　啓祐</t>
  </si>
  <si>
    <t>（株）ひたでんき</t>
  </si>
  <si>
    <t>森山　聡一朗</t>
  </si>
  <si>
    <t>（株）梶原塗装社</t>
  </si>
  <si>
    <t>梶原　久美</t>
  </si>
  <si>
    <t>（有）藤原建設</t>
  </si>
  <si>
    <t>（有）道路施設</t>
  </si>
  <si>
    <t>金子　達之</t>
  </si>
  <si>
    <t>（有）玖珠工務店</t>
  </si>
  <si>
    <t>園田　美砂子</t>
  </si>
  <si>
    <t>宇佐　睦生</t>
  </si>
  <si>
    <t>（株）久大電設</t>
  </si>
  <si>
    <t>穴井　将太</t>
  </si>
  <si>
    <t>玖珠電気工事（有）</t>
  </si>
  <si>
    <t>野上　文和</t>
  </si>
  <si>
    <t>中央建設（株）</t>
  </si>
  <si>
    <t>穴井　博敏</t>
  </si>
  <si>
    <t>（有）辛島組</t>
  </si>
  <si>
    <t>辛嶋　良英</t>
  </si>
  <si>
    <t>（有）梅野組</t>
  </si>
  <si>
    <t>大堀　真稿</t>
  </si>
  <si>
    <t>（有）吉武建設</t>
  </si>
  <si>
    <t>吉武　勝広</t>
  </si>
  <si>
    <t>（有）麻生商店</t>
  </si>
  <si>
    <t>穴井　文憲</t>
  </si>
  <si>
    <t>（有）横山組</t>
  </si>
  <si>
    <t>横山　徳行</t>
  </si>
  <si>
    <t>（有）敷津工務店</t>
  </si>
  <si>
    <t>敷津　和也</t>
  </si>
  <si>
    <t>（有）セト工業</t>
  </si>
  <si>
    <t>千原　正雄</t>
  </si>
  <si>
    <t>（有）田川建設</t>
  </si>
  <si>
    <t>田川　慎一郎</t>
  </si>
  <si>
    <t>（有）高井良建装</t>
  </si>
  <si>
    <t>高井良　剛</t>
  </si>
  <si>
    <t>奥村土木（株）</t>
  </si>
  <si>
    <t>（有）若竹実業</t>
  </si>
  <si>
    <t>竹下　周一</t>
  </si>
  <si>
    <t>（有）後藤工務店</t>
  </si>
  <si>
    <t>後藤　喜美男</t>
  </si>
  <si>
    <t>（有）佐々木建設</t>
  </si>
  <si>
    <t>佐々木　昌文</t>
  </si>
  <si>
    <t>東部緑化産業（有）</t>
  </si>
  <si>
    <t>馬場　康蔵</t>
  </si>
  <si>
    <t>（有）酒井工業</t>
  </si>
  <si>
    <t>（有）小幡塗装</t>
  </si>
  <si>
    <t>小幡　泰弘</t>
  </si>
  <si>
    <t>（株）九重緑化産業</t>
  </si>
  <si>
    <t>櫛山　聡</t>
  </si>
  <si>
    <t>（有）菅家工務店</t>
  </si>
  <si>
    <t>菅家　行敏</t>
  </si>
  <si>
    <t>（株）九建テクノス</t>
  </si>
  <si>
    <t>後藤　建夫</t>
  </si>
  <si>
    <t>衞藤工業（株）</t>
  </si>
  <si>
    <t>（株）平和建設</t>
  </si>
  <si>
    <t>藤田　哲司</t>
  </si>
  <si>
    <t>（株）タカハシ</t>
  </si>
  <si>
    <t>高橋　八郎</t>
  </si>
  <si>
    <t>（有）内田興産</t>
  </si>
  <si>
    <t>内田　雄二</t>
  </si>
  <si>
    <t>（株）熊野建設</t>
  </si>
  <si>
    <t>佐藤　嘉洋</t>
  </si>
  <si>
    <t>佐藤　雄一</t>
  </si>
  <si>
    <t>（有）ダイワ空調サービス</t>
  </si>
  <si>
    <t>東　勇一</t>
  </si>
  <si>
    <t>（株）大分東明工業</t>
  </si>
  <si>
    <t>田中　鉄雄</t>
  </si>
  <si>
    <t>日伸テクノ（株）</t>
  </si>
  <si>
    <t>土居　一成</t>
  </si>
  <si>
    <t>（株）鳥羽鉄工</t>
  </si>
  <si>
    <t>（株）阿南電設工業</t>
  </si>
  <si>
    <t>岩原　正樹</t>
  </si>
  <si>
    <t>宮脇建設（株）</t>
  </si>
  <si>
    <t>宮脇　司</t>
  </si>
  <si>
    <t>（株）神野工務店</t>
  </si>
  <si>
    <t>神野　洋光</t>
  </si>
  <si>
    <t>大分音響（株）</t>
  </si>
  <si>
    <t>亀井　圭司</t>
  </si>
  <si>
    <t>（株）ダイユウ建設</t>
  </si>
  <si>
    <t>後藤　秀樹</t>
  </si>
  <si>
    <t>道路企画（株）</t>
  </si>
  <si>
    <t>中川　博光</t>
  </si>
  <si>
    <t>（株）ミヤマ電気</t>
  </si>
  <si>
    <t>実山　香代子</t>
  </si>
  <si>
    <t>新和重機建設（株）</t>
  </si>
  <si>
    <t>完山　和弘</t>
  </si>
  <si>
    <t>大分防災工業（株）</t>
  </si>
  <si>
    <t>佐藤　健二</t>
  </si>
  <si>
    <t>松栄電設工業（株）</t>
  </si>
  <si>
    <t>木村　和由</t>
  </si>
  <si>
    <t>ピーエム工業（株）</t>
  </si>
  <si>
    <t>首藤　栄治</t>
  </si>
  <si>
    <t>アイワ産業（株）</t>
  </si>
  <si>
    <t>森　裕幸</t>
  </si>
  <si>
    <t>（有）藤木木工製作所</t>
  </si>
  <si>
    <t>東邦工業（株）</t>
  </si>
  <si>
    <t>吉田　邦男</t>
  </si>
  <si>
    <t>（有）サンシール工業</t>
  </si>
  <si>
    <t>串　彰文</t>
  </si>
  <si>
    <t>共栄建設（株）</t>
  </si>
  <si>
    <t>那賀　照晶</t>
  </si>
  <si>
    <t>（株）ミウラ緑化</t>
  </si>
  <si>
    <t>三浦　和久</t>
  </si>
  <si>
    <t>（株）富士総合防災</t>
  </si>
  <si>
    <t>福多　幸生</t>
  </si>
  <si>
    <t>法友建設（株）</t>
  </si>
  <si>
    <t>（有）グリーン開発</t>
  </si>
  <si>
    <t>（業）大分管工事センター</t>
  </si>
  <si>
    <t>（株）大分シャッター</t>
  </si>
  <si>
    <t>佐藤　信次郎</t>
  </si>
  <si>
    <t>敷総合建設（株）</t>
  </si>
  <si>
    <t>敷嶋　秀樹</t>
  </si>
  <si>
    <t>三枝工業（株）</t>
  </si>
  <si>
    <t>亀井　友和</t>
  </si>
  <si>
    <t>中央電設（株）</t>
  </si>
  <si>
    <t>トヨミツ工業（株）</t>
  </si>
  <si>
    <t>（有）高田設備</t>
  </si>
  <si>
    <t>伊藤　大輔</t>
  </si>
  <si>
    <t>（株）河合組</t>
  </si>
  <si>
    <t>河合　幸作</t>
  </si>
  <si>
    <t>（株）川野電設工業</t>
  </si>
  <si>
    <t>川野　徳昭</t>
  </si>
  <si>
    <t>マルキ工業（株）</t>
  </si>
  <si>
    <t>後藤　喜和雄</t>
  </si>
  <si>
    <t>（株）ミツヤ</t>
  </si>
  <si>
    <t>本田　純一</t>
  </si>
  <si>
    <t>クボタ不動産建設（株）</t>
  </si>
  <si>
    <t>隈田　英樹</t>
  </si>
  <si>
    <t>新日本消防設備（株）</t>
  </si>
  <si>
    <t>中野　裕之</t>
  </si>
  <si>
    <t>（有）日東機械工業</t>
  </si>
  <si>
    <t>三宮　徹一郎</t>
  </si>
  <si>
    <t>（株）アポロエンジニアリング</t>
  </si>
  <si>
    <t>（株）日新建設</t>
  </si>
  <si>
    <t>平嶋　政和</t>
  </si>
  <si>
    <t>首藤土木（有）</t>
  </si>
  <si>
    <t>佐藤　修一</t>
  </si>
  <si>
    <t>千代田塗装（株）</t>
  </si>
  <si>
    <t>松山　雅光</t>
  </si>
  <si>
    <t>（有）カクユー</t>
  </si>
  <si>
    <t>阿部　将</t>
  </si>
  <si>
    <t>（有）麻生建設工業</t>
  </si>
  <si>
    <t>麻生　太次郎</t>
  </si>
  <si>
    <t>（有）藤田工務店</t>
  </si>
  <si>
    <t>藤田　一郎</t>
  </si>
  <si>
    <t>共同電気工事（株）</t>
  </si>
  <si>
    <t>（有）森山工務店</t>
  </si>
  <si>
    <t>森山　勝喜</t>
  </si>
  <si>
    <t>中央工業（株）</t>
  </si>
  <si>
    <t>（有）川野工業</t>
  </si>
  <si>
    <t>川野　智也</t>
  </si>
  <si>
    <t>（株）三重野工業</t>
  </si>
  <si>
    <t>三重野　純也</t>
  </si>
  <si>
    <t>（株）ツウシン</t>
  </si>
  <si>
    <t>後藤　宣昭</t>
  </si>
  <si>
    <t>太陽テック（株）</t>
  </si>
  <si>
    <t>神出　卓志</t>
  </si>
  <si>
    <t>（株）麻生塗装</t>
  </si>
  <si>
    <t>麻生　英治</t>
  </si>
  <si>
    <t>（株）ヒロセ</t>
  </si>
  <si>
    <t>安部重機建設（株）</t>
  </si>
  <si>
    <t>安部　秀幸</t>
  </si>
  <si>
    <t>（有）躍進建設工業</t>
  </si>
  <si>
    <t>池田　満</t>
  </si>
  <si>
    <t>（株）アバンテクノス</t>
  </si>
  <si>
    <t>三股　守</t>
  </si>
  <si>
    <t>大貴建設（株）</t>
  </si>
  <si>
    <t>野口　康博</t>
  </si>
  <si>
    <t>ホーチキ大分（株）</t>
  </si>
  <si>
    <t>（株）朝来野工務店</t>
  </si>
  <si>
    <t>朝来野　正弘</t>
  </si>
  <si>
    <t>中尾造園（株）</t>
  </si>
  <si>
    <t>野本　健二</t>
  </si>
  <si>
    <t>九州丸防設備（株）</t>
  </si>
  <si>
    <t>玉田　龍一郎</t>
  </si>
  <si>
    <t>東和安全産業（株）</t>
  </si>
  <si>
    <t>三ノ宮　洋一</t>
  </si>
  <si>
    <t>（株）大分クリーン産業</t>
  </si>
  <si>
    <t>後藤　俊郎</t>
  </si>
  <si>
    <t>（株）三河建設</t>
  </si>
  <si>
    <t>小山　英雄</t>
  </si>
  <si>
    <t>（有）伸東建設</t>
  </si>
  <si>
    <t>木原　善吾</t>
  </si>
  <si>
    <t>（株）東九州産業</t>
  </si>
  <si>
    <t>牧　真志</t>
  </si>
  <si>
    <t>（有）石樹工苑建設</t>
  </si>
  <si>
    <t>和田　基成</t>
  </si>
  <si>
    <t>（株）ロードテクノス</t>
  </si>
  <si>
    <t>房前　輝昭</t>
  </si>
  <si>
    <t>（株）アサヒライズ</t>
  </si>
  <si>
    <t>幾留　啓輔</t>
  </si>
  <si>
    <t>（株）ファスニング建設工業</t>
  </si>
  <si>
    <t>中村　航</t>
  </si>
  <si>
    <t>日商産業（株）</t>
  </si>
  <si>
    <t>森口　和也</t>
  </si>
  <si>
    <t>高橋　康子</t>
  </si>
  <si>
    <t>（有）渡部造園土木</t>
  </si>
  <si>
    <t>渡部　哲男</t>
  </si>
  <si>
    <t>（株）九州グリーンサービス</t>
  </si>
  <si>
    <t>神田　貴之</t>
  </si>
  <si>
    <t>（株）三愛</t>
  </si>
  <si>
    <t>近廣　薫平</t>
  </si>
  <si>
    <t>鶴友産業（株）</t>
  </si>
  <si>
    <t>藤古　秀雄</t>
  </si>
  <si>
    <t>（株）メンテナンス</t>
  </si>
  <si>
    <t>（株）松田塗装工業</t>
  </si>
  <si>
    <t>松田　康弘</t>
  </si>
  <si>
    <t>（株）庄内建設</t>
  </si>
  <si>
    <t>渕　一行</t>
  </si>
  <si>
    <t>日豊技建工業（株）</t>
  </si>
  <si>
    <t>タナベ環境工学（株）</t>
  </si>
  <si>
    <t>日電通信工業（株）</t>
  </si>
  <si>
    <t>樋口　有二</t>
  </si>
  <si>
    <t>大陽機材（株）</t>
  </si>
  <si>
    <t>高橋　孝典</t>
  </si>
  <si>
    <t>角信塗装（株）</t>
  </si>
  <si>
    <t>小谷　次雄</t>
  </si>
  <si>
    <t>（株）インテリア大分</t>
  </si>
  <si>
    <t>（株）協栄サービス</t>
  </si>
  <si>
    <t>田中　実也</t>
  </si>
  <si>
    <t>豊秀植木（株）</t>
  </si>
  <si>
    <t>佐藤　淳八</t>
  </si>
  <si>
    <t>日本ハウジング（株）</t>
  </si>
  <si>
    <t>馬場　鉄心</t>
  </si>
  <si>
    <t>（株）日野建設工業</t>
  </si>
  <si>
    <t>（有）大分環境クリーナー</t>
  </si>
  <si>
    <t>（有）矢川建設</t>
  </si>
  <si>
    <t>矢川　義憲</t>
  </si>
  <si>
    <t>（株）大高組</t>
  </si>
  <si>
    <t>（株）井上建設</t>
  </si>
  <si>
    <t>井上　隆次</t>
  </si>
  <si>
    <t>栄大プラントサービス（株）</t>
  </si>
  <si>
    <t>江口　午郎</t>
  </si>
  <si>
    <t>九州道路施設（株）</t>
  </si>
  <si>
    <t>高野　賢一</t>
  </si>
  <si>
    <t>八扇産業（株）</t>
  </si>
  <si>
    <t>高橋　功治</t>
  </si>
  <si>
    <t>スホー電機（株）</t>
  </si>
  <si>
    <t>半田　良助</t>
  </si>
  <si>
    <t>豊拓建設工業（株）</t>
  </si>
  <si>
    <t>稲付　和子</t>
  </si>
  <si>
    <t>伸和建設（株）</t>
  </si>
  <si>
    <t>山本　寛泰</t>
  </si>
  <si>
    <t>（有）中津ガーデン</t>
  </si>
  <si>
    <t>前津　陽一</t>
  </si>
  <si>
    <t>（株）久保組</t>
  </si>
  <si>
    <t>久保　幸宏</t>
  </si>
  <si>
    <t>（株）平原組</t>
  </si>
  <si>
    <t>恵良　義則</t>
  </si>
  <si>
    <t>（株）大賀建設</t>
  </si>
  <si>
    <t>大賀　重毅</t>
  </si>
  <si>
    <t>（株）修身建機</t>
  </si>
  <si>
    <t>宇土　修身</t>
  </si>
  <si>
    <t>（株）三好冷暖房</t>
  </si>
  <si>
    <t>正路　鉄治</t>
  </si>
  <si>
    <t>（有）一丸建設</t>
  </si>
  <si>
    <t>一丸　恒修</t>
  </si>
  <si>
    <t>（有）堀田産業</t>
  </si>
  <si>
    <t>堀田　和利</t>
  </si>
  <si>
    <t>国東半島設備（有）</t>
  </si>
  <si>
    <t>堀内　威之</t>
  </si>
  <si>
    <t>（有）後藤商会</t>
  </si>
  <si>
    <t>高橋　久一</t>
  </si>
  <si>
    <t>（有）甲原組</t>
  </si>
  <si>
    <t>三浦　秀治</t>
  </si>
  <si>
    <t>御手洗　政幸</t>
  </si>
  <si>
    <t>国見興産（有）</t>
  </si>
  <si>
    <t>野田　宏</t>
  </si>
  <si>
    <t>（有）川田電気商会</t>
  </si>
  <si>
    <t>川田　鉄也</t>
  </si>
  <si>
    <t>（株）宮迫重機</t>
  </si>
  <si>
    <t>宮迫　俊一</t>
  </si>
  <si>
    <t>宇都宮建設（有）</t>
  </si>
  <si>
    <t>（有）田原建設</t>
  </si>
  <si>
    <t>田原　暢之</t>
  </si>
  <si>
    <t>（有）国東建設</t>
  </si>
  <si>
    <t>北村　豊博</t>
  </si>
  <si>
    <t>（有）山崎建設工業</t>
  </si>
  <si>
    <t>山崎　陽子</t>
  </si>
  <si>
    <t>佐藤建設（株）</t>
  </si>
  <si>
    <t>佐藤　司</t>
  </si>
  <si>
    <t>（有）徳丸造園緑地</t>
  </si>
  <si>
    <t>吉武　昌治</t>
  </si>
  <si>
    <t>九州開発（株）</t>
  </si>
  <si>
    <t>田島　壽臣</t>
  </si>
  <si>
    <t>（有）廣瀬建設</t>
  </si>
  <si>
    <t>廣瀬　真</t>
  </si>
  <si>
    <t>（有）寺川建設</t>
  </si>
  <si>
    <t>寺川　義昭</t>
  </si>
  <si>
    <t>（有）溝部電気設備</t>
  </si>
  <si>
    <t>溝部　元生</t>
  </si>
  <si>
    <t>（有）江本組</t>
  </si>
  <si>
    <t>豊生建設（株）</t>
  </si>
  <si>
    <t>丸山　俊道</t>
  </si>
  <si>
    <t>（有）藤澤建設</t>
  </si>
  <si>
    <t>藤澤　浩</t>
  </si>
  <si>
    <t>（有）河野建具店</t>
  </si>
  <si>
    <t>河野　金也</t>
  </si>
  <si>
    <t>（株）松栄建設</t>
  </si>
  <si>
    <t>菅本　定生</t>
  </si>
  <si>
    <t>（株）芝尾組</t>
  </si>
  <si>
    <t>菅本　道夫</t>
  </si>
  <si>
    <t>（有）光建設工業</t>
  </si>
  <si>
    <t>日名子　陽子</t>
  </si>
  <si>
    <t>（有）丸木組</t>
  </si>
  <si>
    <t>丸木　源太</t>
  </si>
  <si>
    <t>（株）都造園土木</t>
  </si>
  <si>
    <t>都　信親</t>
  </si>
  <si>
    <t>協和産業（株）</t>
  </si>
  <si>
    <t>伊東　忠文</t>
  </si>
  <si>
    <t>（有）丸平建設</t>
  </si>
  <si>
    <t>野中　幸生</t>
  </si>
  <si>
    <t>野中工業（株）</t>
  </si>
  <si>
    <t>原尻建設（有）</t>
  </si>
  <si>
    <t>原尻　忠雄</t>
  </si>
  <si>
    <t>東海建設（株）</t>
  </si>
  <si>
    <t>上野　忠道</t>
  </si>
  <si>
    <t>（有）東洋興産</t>
  </si>
  <si>
    <t>吉田　龍弘</t>
  </si>
  <si>
    <t>三洋建設（株）</t>
  </si>
  <si>
    <t>平川　貴紀</t>
  </si>
  <si>
    <t>（有）河野工業所</t>
  </si>
  <si>
    <t>河野　誠</t>
  </si>
  <si>
    <t>（有）足立機工</t>
  </si>
  <si>
    <t>ダイヤ興産（株）</t>
  </si>
  <si>
    <t>留高　謙</t>
  </si>
  <si>
    <t>太平工事（株）</t>
  </si>
  <si>
    <t>中村　謙助</t>
  </si>
  <si>
    <t>（株）宏栄建設</t>
  </si>
  <si>
    <t>日光工業（株）</t>
  </si>
  <si>
    <t>戸上　新次</t>
  </si>
  <si>
    <t>（有）羽田野組</t>
  </si>
  <si>
    <t>羽田野　清</t>
  </si>
  <si>
    <t>（株）今里建設</t>
  </si>
  <si>
    <t>楠本　幸孝</t>
  </si>
  <si>
    <t>（株）関屋組</t>
  </si>
  <si>
    <t>関屋　角栄</t>
  </si>
  <si>
    <t>（有）野津住建</t>
  </si>
  <si>
    <t>森尾　英樹</t>
  </si>
  <si>
    <t>佐々木　亮侍</t>
  </si>
  <si>
    <t>深田建設（株）</t>
  </si>
  <si>
    <t>深田　邦公</t>
  </si>
  <si>
    <t>（株）三宮組</t>
  </si>
  <si>
    <t>森迫　繁宣</t>
  </si>
  <si>
    <t>（有）村田建設</t>
  </si>
  <si>
    <t>村田　哲也</t>
  </si>
  <si>
    <t>（有）智俊工業</t>
  </si>
  <si>
    <t>川野　一幸</t>
  </si>
  <si>
    <t>渡辺　康幸</t>
  </si>
  <si>
    <t>（株）ごとう</t>
  </si>
  <si>
    <t>後藤　健太郎</t>
  </si>
  <si>
    <t>（有）村上建設</t>
  </si>
  <si>
    <t>村上　一誠</t>
  </si>
  <si>
    <t>麻生建設</t>
  </si>
  <si>
    <t>麻生　重光</t>
  </si>
  <si>
    <t>（有）宮成工務店</t>
  </si>
  <si>
    <t>宮成　孝治</t>
  </si>
  <si>
    <t>白山建設（有）</t>
  </si>
  <si>
    <t>深田　千鶴子</t>
  </si>
  <si>
    <t>（株）川野総合土木</t>
  </si>
  <si>
    <t>川野　幸一</t>
  </si>
  <si>
    <t>板井　隆雄</t>
  </si>
  <si>
    <t>（有）ひきだ組</t>
  </si>
  <si>
    <t>匹田　照美</t>
  </si>
  <si>
    <t>（株）千歳工業</t>
  </si>
  <si>
    <t>宮成　正弘</t>
  </si>
  <si>
    <t>後藤土建（有）</t>
  </si>
  <si>
    <t>後藤　光義</t>
  </si>
  <si>
    <t>佐藤　圭志</t>
  </si>
  <si>
    <t>（有）臼杵企業</t>
  </si>
  <si>
    <t>臼杵　龍典</t>
  </si>
  <si>
    <t>（有）三浦建設</t>
  </si>
  <si>
    <t>三浦　春喜</t>
  </si>
  <si>
    <t>ｒｋ（有）</t>
  </si>
  <si>
    <t>古庄　諒平</t>
  </si>
  <si>
    <t>後藤建設興業（株）</t>
  </si>
  <si>
    <t>後藤　源一</t>
  </si>
  <si>
    <t>高野建設（有）</t>
  </si>
  <si>
    <t>高野　千代徳</t>
  </si>
  <si>
    <t>（株）千大土木</t>
  </si>
  <si>
    <t>衛藤　浩成</t>
  </si>
  <si>
    <t>芦刈工業（有）</t>
  </si>
  <si>
    <t>芦刈　征治</t>
  </si>
  <si>
    <t>（有）徳丸建設</t>
  </si>
  <si>
    <t>徳丸　興司</t>
  </si>
  <si>
    <t>（有）衛藤電設</t>
  </si>
  <si>
    <t>衛藤　隆夫</t>
  </si>
  <si>
    <t>多田建設（有）</t>
  </si>
  <si>
    <t>多田　重光</t>
  </si>
  <si>
    <t>（有）野津商事</t>
  </si>
  <si>
    <t>姫嶋　豊和</t>
  </si>
  <si>
    <t>（有）セイコウ建設</t>
  </si>
  <si>
    <t>（有）佐武工業</t>
  </si>
  <si>
    <t>佐藤　雄治</t>
  </si>
  <si>
    <t>（株）茜建設工業</t>
  </si>
  <si>
    <t>渡邉　憲二</t>
  </si>
  <si>
    <t>（有）平山建設</t>
  </si>
  <si>
    <t>平山　浩二</t>
  </si>
  <si>
    <t>九州通信建設（有）</t>
  </si>
  <si>
    <t>大塚　秀市</t>
  </si>
  <si>
    <t>九建設備工事（有）</t>
  </si>
  <si>
    <t>甲斐　斎晃</t>
  </si>
  <si>
    <t>（有）山村建設</t>
  </si>
  <si>
    <t>山村　幸治</t>
  </si>
  <si>
    <t>（有）双国建設</t>
  </si>
  <si>
    <t>清水　正邦</t>
  </si>
  <si>
    <t>（有）三進建設</t>
  </si>
  <si>
    <t>弓長　起哲</t>
  </si>
  <si>
    <t>（有）後藤建設</t>
  </si>
  <si>
    <t>後藤　高則</t>
  </si>
  <si>
    <t>（有）中村機工</t>
  </si>
  <si>
    <t>伊妻　良浩</t>
  </si>
  <si>
    <t>美和土建（有）</t>
  </si>
  <si>
    <t>田辺　隆博</t>
  </si>
  <si>
    <t>（株）宇留嶋建設工業</t>
  </si>
  <si>
    <t>宇留嶋　靖彦</t>
  </si>
  <si>
    <t>（株）大興電設</t>
  </si>
  <si>
    <t>野田　洋二</t>
  </si>
  <si>
    <t>柏工業（株）</t>
  </si>
  <si>
    <t>（有）近藤建設</t>
  </si>
  <si>
    <t>近藤　強</t>
  </si>
  <si>
    <t>（有）大田建設</t>
  </si>
  <si>
    <t>田邉　公一</t>
  </si>
  <si>
    <t>（有）山守工業</t>
  </si>
  <si>
    <t>河野　博子</t>
  </si>
  <si>
    <t>（有）伊藤建装</t>
  </si>
  <si>
    <t>伊藤　和彦</t>
  </si>
  <si>
    <t>（株）シモセ</t>
  </si>
  <si>
    <t>下瀬　隆行</t>
  </si>
  <si>
    <t>（有）河野庭園</t>
  </si>
  <si>
    <t>河野　良治</t>
  </si>
  <si>
    <t>（有）豊肥電設</t>
  </si>
  <si>
    <t>（有）工藤商店</t>
  </si>
  <si>
    <t>工藤　榮一</t>
  </si>
  <si>
    <t>（株）松井組</t>
  </si>
  <si>
    <t>松井　宏一</t>
  </si>
  <si>
    <t>（有）久住産業</t>
  </si>
  <si>
    <t>衛藤　拓也</t>
  </si>
  <si>
    <t>（有）岡本建設</t>
  </si>
  <si>
    <t>足立　哲也</t>
  </si>
  <si>
    <t>（株）竹田重機建設工業</t>
  </si>
  <si>
    <t>嶺田　賢太郎</t>
  </si>
  <si>
    <t>（有）大森開発</t>
  </si>
  <si>
    <t>森　節子</t>
  </si>
  <si>
    <t>豊肥産業（有）</t>
  </si>
  <si>
    <t>阿部　清志</t>
  </si>
  <si>
    <t>首藤　徳子</t>
  </si>
  <si>
    <t>（有）江上設備企業</t>
  </si>
  <si>
    <t>江上　友章</t>
  </si>
  <si>
    <t>大三重機</t>
  </si>
  <si>
    <t>佐藤　賢治</t>
  </si>
  <si>
    <t>（有）岡城工業</t>
  </si>
  <si>
    <t>佐藤　詔得</t>
  </si>
  <si>
    <t>（有）加来塗装</t>
  </si>
  <si>
    <t>（株）三浦石材</t>
  </si>
  <si>
    <t>三浦　万二</t>
  </si>
  <si>
    <t>（有）サンキ</t>
  </si>
  <si>
    <t>森　真一</t>
  </si>
  <si>
    <t>（有）坂田建設</t>
  </si>
  <si>
    <t>坂田　大寛</t>
  </si>
  <si>
    <t>（有）上村工業</t>
  </si>
  <si>
    <t>上村　秀利</t>
  </si>
  <si>
    <t>（有）大倉産業</t>
  </si>
  <si>
    <t>倉野　郁子</t>
  </si>
  <si>
    <t>（有）丸昭組</t>
  </si>
  <si>
    <t>上塚　里沙</t>
  </si>
  <si>
    <t>（有）豊田緑化</t>
  </si>
  <si>
    <t>豊田　憲生</t>
  </si>
  <si>
    <t>（株）昭和建設工業</t>
  </si>
  <si>
    <t>遠藤　克尚</t>
  </si>
  <si>
    <t>（有）橋本電設</t>
  </si>
  <si>
    <t>橋本　亮</t>
  </si>
  <si>
    <t>（株）ユウキ</t>
  </si>
  <si>
    <t>（有）糸永造園</t>
  </si>
  <si>
    <t>生永　庸子</t>
  </si>
  <si>
    <t>佐々木設備</t>
  </si>
  <si>
    <t>佐々木　文利</t>
  </si>
  <si>
    <t>（株）昭和良建設</t>
  </si>
  <si>
    <t>中山　良一</t>
  </si>
  <si>
    <t>（有）荷宮電工</t>
  </si>
  <si>
    <t>荷宮　孝之</t>
  </si>
  <si>
    <t>亀川設備工業（株）</t>
  </si>
  <si>
    <t>河村　耕一</t>
  </si>
  <si>
    <t>（株）小俣電設工業</t>
  </si>
  <si>
    <t>小俣　哲哉</t>
  </si>
  <si>
    <t>（有）新栄設備</t>
  </si>
  <si>
    <t>長野　孝博</t>
  </si>
  <si>
    <t>斎藤土木（有）</t>
  </si>
  <si>
    <t>斎藤　哲夫</t>
  </si>
  <si>
    <t>（有）加藤ボーリング工業</t>
  </si>
  <si>
    <t>加藤　啓一</t>
  </si>
  <si>
    <t>（有）大塚組</t>
  </si>
  <si>
    <t>（有）渡辺土木</t>
  </si>
  <si>
    <t>矢野　武史</t>
  </si>
  <si>
    <t>平成建設（株）</t>
  </si>
  <si>
    <t>小川　郁</t>
  </si>
  <si>
    <t>河野　三七年</t>
  </si>
  <si>
    <t>大分瓦斯（株）</t>
  </si>
  <si>
    <t>福島　知克</t>
  </si>
  <si>
    <t>（有）大東造園</t>
  </si>
  <si>
    <t>大東　憲次郎</t>
  </si>
  <si>
    <t>新星産業（株）</t>
  </si>
  <si>
    <t>大神建設（有）</t>
  </si>
  <si>
    <t>（株）小松建設</t>
  </si>
  <si>
    <t>小松　正二</t>
  </si>
  <si>
    <t>（有）石川建設</t>
  </si>
  <si>
    <t>石川　正洋</t>
  </si>
  <si>
    <t>伊藤建設（株）</t>
  </si>
  <si>
    <t>伊藤　博文</t>
  </si>
  <si>
    <t>（有）熊谷組</t>
  </si>
  <si>
    <t>熊谷　正巳</t>
  </si>
  <si>
    <t>中一建設（有）</t>
  </si>
  <si>
    <t>荒瀬　和俊</t>
  </si>
  <si>
    <t>村本重機興（有）</t>
  </si>
  <si>
    <t>村本　茂</t>
  </si>
  <si>
    <t>（株）日伸</t>
  </si>
  <si>
    <t>金山　敬美</t>
  </si>
  <si>
    <t>（株）豊進</t>
  </si>
  <si>
    <t>高山　健児</t>
  </si>
  <si>
    <t>友松産業（有）</t>
  </si>
  <si>
    <t>友松　豊彦</t>
  </si>
  <si>
    <t>角産業（有）</t>
  </si>
  <si>
    <t>（有）平原土木</t>
  </si>
  <si>
    <t>大土　恭広</t>
  </si>
  <si>
    <t>（株）東正路建設</t>
  </si>
  <si>
    <t>東正路　茂</t>
  </si>
  <si>
    <t>二豊土建（株）</t>
  </si>
  <si>
    <t>恒藤　雅彦</t>
  </si>
  <si>
    <t>（有）中津川田塗装</t>
  </si>
  <si>
    <t>川田　智幸</t>
  </si>
  <si>
    <t>（有）双美工務店</t>
  </si>
  <si>
    <t>高倉　英治</t>
  </si>
  <si>
    <t>（株）梶原興業</t>
  </si>
  <si>
    <t>梶原　健一</t>
  </si>
  <si>
    <t>（有）小林造園</t>
  </si>
  <si>
    <t>小林　宏</t>
  </si>
  <si>
    <t>（有）三隈造園</t>
  </si>
  <si>
    <t>河津　進</t>
  </si>
  <si>
    <t>（有）宏栄建設</t>
  </si>
  <si>
    <t>（有）有田興建</t>
  </si>
  <si>
    <t>後藤　慎太郎</t>
  </si>
  <si>
    <t>（有）大蔵重機</t>
  </si>
  <si>
    <t>大蔵　康介</t>
  </si>
  <si>
    <t>（有）梅木土砂</t>
  </si>
  <si>
    <t>（有）西日本古里造園</t>
  </si>
  <si>
    <t>宮崎　洋利宏</t>
  </si>
  <si>
    <t>後藤　友次郎</t>
  </si>
  <si>
    <t>トウブ建設（株）</t>
  </si>
  <si>
    <t>藤武　幸夫</t>
  </si>
  <si>
    <t>（株）エース電設</t>
  </si>
  <si>
    <t>古川　克敏</t>
  </si>
  <si>
    <t>（株）川浪組</t>
  </si>
  <si>
    <t>川浪　龍哉</t>
  </si>
  <si>
    <t>（有）溝田工務店</t>
  </si>
  <si>
    <t>溝田　伸二</t>
  </si>
  <si>
    <t>（株）野中エンタプライズ</t>
  </si>
  <si>
    <t>野中　昭良</t>
  </si>
  <si>
    <t>現代建設（株）</t>
  </si>
  <si>
    <t>板井　登喜雄</t>
  </si>
  <si>
    <t>（有）高野電気</t>
  </si>
  <si>
    <t>高野　晃</t>
  </si>
  <si>
    <t>安藤　正毅</t>
  </si>
  <si>
    <t>（有）奥久組</t>
  </si>
  <si>
    <t>奥久　栄治</t>
  </si>
  <si>
    <t>（有）尾形組</t>
  </si>
  <si>
    <t>尾形　年勝</t>
  </si>
  <si>
    <t>（株）つねひろ</t>
  </si>
  <si>
    <t>恒廣　倫光</t>
  </si>
  <si>
    <t>（株）沖代建設工業</t>
  </si>
  <si>
    <t>（有）三光建設</t>
  </si>
  <si>
    <t>森山　男一</t>
  </si>
  <si>
    <t>東九工業（株）</t>
  </si>
  <si>
    <t>金城　洋平</t>
  </si>
  <si>
    <t>（有）麻美土木</t>
  </si>
  <si>
    <t>麻生　冬美</t>
  </si>
  <si>
    <t>幸産業（有）</t>
  </si>
  <si>
    <t>幸　鉄也</t>
  </si>
  <si>
    <t>（有）岩賢住宅</t>
  </si>
  <si>
    <t>岩本　賢二</t>
  </si>
  <si>
    <t>西ノ洲環境（株）</t>
  </si>
  <si>
    <t>目野　陽一</t>
  </si>
  <si>
    <t>トーテル建設（株）</t>
  </si>
  <si>
    <t>釘宮　照男</t>
  </si>
  <si>
    <t>（株）羽野住建</t>
  </si>
  <si>
    <t>羽野　三男</t>
  </si>
  <si>
    <t>（有）一幸建設</t>
  </si>
  <si>
    <t>大分ノーミ（株）</t>
  </si>
  <si>
    <t>松原　伸二郎</t>
  </si>
  <si>
    <t>姫建設（有）</t>
  </si>
  <si>
    <t>姫野　寛美</t>
  </si>
  <si>
    <t>道路サービス（株）</t>
  </si>
  <si>
    <t>藤島　智彦</t>
  </si>
  <si>
    <t>（有）日野電工</t>
  </si>
  <si>
    <t>日野　昌道</t>
  </si>
  <si>
    <t>（有）九大電設工業</t>
  </si>
  <si>
    <t>佐藤　和夫</t>
  </si>
  <si>
    <t>（有）九州管通</t>
  </si>
  <si>
    <t>豊田　修彦</t>
  </si>
  <si>
    <t>沿海開発工業（株）</t>
  </si>
  <si>
    <t>山口　清子</t>
  </si>
  <si>
    <t>玄武電設（株）</t>
  </si>
  <si>
    <t>姫野　哲徳</t>
  </si>
  <si>
    <t>（株）米山設備工業</t>
  </si>
  <si>
    <t>米山　慶彦</t>
  </si>
  <si>
    <t>冨国電機（有）</t>
  </si>
  <si>
    <t>冨永　英雄</t>
  </si>
  <si>
    <t>（有）泉電設</t>
  </si>
  <si>
    <t>玉田　隆義</t>
  </si>
  <si>
    <t>大分冷機（株）</t>
  </si>
  <si>
    <t>池田　成二</t>
  </si>
  <si>
    <t>（株）オフィスコミニケーションサービス</t>
  </si>
  <si>
    <t>黒木　聖詞</t>
  </si>
  <si>
    <t>サンワテック（株）</t>
  </si>
  <si>
    <t>岩尾　雅史</t>
  </si>
  <si>
    <t>豊中建設（株）</t>
  </si>
  <si>
    <t>古賀　悦夫</t>
  </si>
  <si>
    <t>（株）サン商工</t>
  </si>
  <si>
    <t>福岡　龍一郎</t>
  </si>
  <si>
    <t>（有）竹林建設</t>
  </si>
  <si>
    <t>竹林　大記</t>
  </si>
  <si>
    <t>（有）松本産業</t>
  </si>
  <si>
    <t>松本　英悟</t>
  </si>
  <si>
    <t>（株）光伸電気工事</t>
  </si>
  <si>
    <t>藤本　哲生</t>
  </si>
  <si>
    <t>高原建設（株）</t>
  </si>
  <si>
    <t>瀬立　英生</t>
  </si>
  <si>
    <t>菅建材工業（株）</t>
  </si>
  <si>
    <t>菅　健一</t>
  </si>
  <si>
    <t>（株）エー・イー・デー</t>
  </si>
  <si>
    <t>二宮　孝詞</t>
  </si>
  <si>
    <t>（有）上杉土木</t>
  </si>
  <si>
    <t>上杉　貞己</t>
  </si>
  <si>
    <t>（株）阿部工務店</t>
  </si>
  <si>
    <t>阿部　敦</t>
  </si>
  <si>
    <t>（株）東邦建設</t>
  </si>
  <si>
    <t>吉田　國康</t>
  </si>
  <si>
    <t>渡邊　努</t>
  </si>
  <si>
    <t>（有）飯田土木</t>
  </si>
  <si>
    <t>飯田　新二</t>
  </si>
  <si>
    <t>（有）永野工務店</t>
  </si>
  <si>
    <t>永野　英範</t>
  </si>
  <si>
    <t>（有）フジ設備工業</t>
  </si>
  <si>
    <t>熊谷　浩孝</t>
  </si>
  <si>
    <t>（有）阿部土木</t>
  </si>
  <si>
    <t>阿部　優子</t>
  </si>
  <si>
    <t>地熱ワールド工業（株）</t>
  </si>
  <si>
    <t>小島　賢太郎</t>
  </si>
  <si>
    <t>（株）板井装飾</t>
  </si>
  <si>
    <t>板井　覚</t>
  </si>
  <si>
    <t>村井建設（有）</t>
  </si>
  <si>
    <t>村井　良一</t>
  </si>
  <si>
    <t>（株）サン・タナカ</t>
  </si>
  <si>
    <t>首藤　崇宏</t>
  </si>
  <si>
    <t>（有）アーク</t>
  </si>
  <si>
    <t>亀井　孝</t>
  </si>
  <si>
    <t>（有）樋口建設</t>
  </si>
  <si>
    <t>樋口　浩</t>
  </si>
  <si>
    <t>（有）大塚ボーリング工業</t>
  </si>
  <si>
    <t>大塚　博之</t>
  </si>
  <si>
    <t>（有）友永設備工業</t>
  </si>
  <si>
    <t>友永　忠幸</t>
  </si>
  <si>
    <t>（有）清森建設</t>
  </si>
  <si>
    <t>森本　直樹</t>
  </si>
  <si>
    <t>トータルハウジング河野建業（有）</t>
  </si>
  <si>
    <t>（株）安部勇建設</t>
  </si>
  <si>
    <t>安部　勇</t>
  </si>
  <si>
    <t>（有）ゴトー造園クリエイト</t>
  </si>
  <si>
    <t>加納　基晴</t>
  </si>
  <si>
    <t>（株）豊産業</t>
  </si>
  <si>
    <t>川邉　透</t>
  </si>
  <si>
    <t>（株）小坂設備工業</t>
  </si>
  <si>
    <t>小坂　定</t>
  </si>
  <si>
    <t>（株）臼杵造船所</t>
  </si>
  <si>
    <t>山本　勇一</t>
  </si>
  <si>
    <t>（有）遠藤水道</t>
  </si>
  <si>
    <t>遠藤　陽介</t>
  </si>
  <si>
    <t>（有）臼杵設備</t>
  </si>
  <si>
    <t>薬師寺　満知子</t>
  </si>
  <si>
    <t>（株）板井林業</t>
  </si>
  <si>
    <t>板井　信一郎</t>
  </si>
  <si>
    <t>（株）丸勝組</t>
  </si>
  <si>
    <t>三浦　良昭</t>
  </si>
  <si>
    <t>（有）政栄建設工業</t>
  </si>
  <si>
    <t>新納　行政</t>
  </si>
  <si>
    <t>（有）臼杵緑地</t>
  </si>
  <si>
    <t>川邉　倫子</t>
  </si>
  <si>
    <t>（有）日本国土開発</t>
  </si>
  <si>
    <t>椎原　和子</t>
  </si>
  <si>
    <t>稗田建設工業（株）</t>
  </si>
  <si>
    <t>稗田　正治</t>
  </si>
  <si>
    <t>（株）ライフテック・井上</t>
  </si>
  <si>
    <t>井上　雅順</t>
  </si>
  <si>
    <t>鶴兼興産（株）</t>
  </si>
  <si>
    <t>河野　美恵子</t>
  </si>
  <si>
    <t>首藤　康信</t>
  </si>
  <si>
    <t>（有）藤沢工業</t>
  </si>
  <si>
    <t>藤澤　誠司</t>
  </si>
  <si>
    <t>（有）三好電気</t>
  </si>
  <si>
    <t>三好　和宏</t>
  </si>
  <si>
    <t>朝日建設（有）</t>
  </si>
  <si>
    <t>尾形　四郎</t>
  </si>
  <si>
    <t>立石建設工業（株）</t>
  </si>
  <si>
    <t>廣原　謙二</t>
  </si>
  <si>
    <t>（株）トップインターナショナル</t>
  </si>
  <si>
    <t>林　誠司</t>
  </si>
  <si>
    <t>（株）永田建設</t>
  </si>
  <si>
    <t>永田　政清</t>
  </si>
  <si>
    <t>（有）小野建設</t>
  </si>
  <si>
    <t>小野　龍彦</t>
  </si>
  <si>
    <t>平成工業（有）</t>
  </si>
  <si>
    <t>友冨　一馬</t>
  </si>
  <si>
    <t>カッパー化成（株）</t>
  </si>
  <si>
    <t>藤原　哲治</t>
  </si>
  <si>
    <t>ナカノス建設工業（株）</t>
  </si>
  <si>
    <t>協栄工業（株）</t>
  </si>
  <si>
    <t>大賀　豊文</t>
  </si>
  <si>
    <t>（有）稲葉電気工事</t>
  </si>
  <si>
    <t>稲葉　洋一</t>
  </si>
  <si>
    <t>大塚電設産業（有）</t>
  </si>
  <si>
    <t>大塚　誠市</t>
  </si>
  <si>
    <t>（有）酒井建設</t>
  </si>
  <si>
    <t>酒井　忍</t>
  </si>
  <si>
    <t>（株）南部電気工事</t>
  </si>
  <si>
    <t>三重野　亮</t>
  </si>
  <si>
    <t>（株）ユニティーシステム</t>
  </si>
  <si>
    <t>鎌田　義明</t>
  </si>
  <si>
    <t>（有）安藤建材店</t>
  </si>
  <si>
    <t>安藤　栄彦</t>
  </si>
  <si>
    <t>（株）トミオ大分</t>
  </si>
  <si>
    <t>佐藤　裕俊</t>
  </si>
  <si>
    <t>大分ロード（有）</t>
  </si>
  <si>
    <t>宝仙　富隆</t>
  </si>
  <si>
    <t>（株）三井エアーテック</t>
  </si>
  <si>
    <t>三井　肇</t>
  </si>
  <si>
    <t>（株）平野建設</t>
  </si>
  <si>
    <t>平野　孝治</t>
  </si>
  <si>
    <t>（株）献崇開発</t>
  </si>
  <si>
    <t>朝倉　和代</t>
  </si>
  <si>
    <t>（株）マイカン</t>
  </si>
  <si>
    <t>安倍　直</t>
  </si>
  <si>
    <t>（有）西工業</t>
  </si>
  <si>
    <t>佐藤　宏哲</t>
  </si>
  <si>
    <t>（有）堀防水工事</t>
  </si>
  <si>
    <t>堀　智樹</t>
  </si>
  <si>
    <t>崔本土建（株）</t>
  </si>
  <si>
    <t>崔本　正義</t>
  </si>
  <si>
    <t>（有）松本土木</t>
  </si>
  <si>
    <t>松本　清広</t>
  </si>
  <si>
    <t>（有）松岡ガーデン</t>
  </si>
  <si>
    <t>松岡　勉</t>
  </si>
  <si>
    <t>（有）末廣土木</t>
  </si>
  <si>
    <t>平川　正明</t>
  </si>
  <si>
    <t>（株）大征産業</t>
  </si>
  <si>
    <t>大村　淳一郎</t>
  </si>
  <si>
    <t>（株）平成建設</t>
  </si>
  <si>
    <t>高嶋　秀武</t>
  </si>
  <si>
    <t>（有）大山建設</t>
  </si>
  <si>
    <t>河津　正宏</t>
  </si>
  <si>
    <t>（有）三和土建</t>
  </si>
  <si>
    <t>出野　敏之</t>
  </si>
  <si>
    <t>（有）高倉スレート工業</t>
  </si>
  <si>
    <t>（有）了正建設</t>
  </si>
  <si>
    <t>了正　喜睦</t>
  </si>
  <si>
    <t>ごとうでんき設備（株）</t>
  </si>
  <si>
    <t>後藤　聡志</t>
  </si>
  <si>
    <t>（有）高倉産業</t>
  </si>
  <si>
    <t>高倉　邦彦</t>
  </si>
  <si>
    <t>（有）樋口防水</t>
  </si>
  <si>
    <t>樋口　厚太郎</t>
  </si>
  <si>
    <t>（株）技建</t>
  </si>
  <si>
    <t>矢羽田　裕二</t>
  </si>
  <si>
    <t>（有）佐藤電気商会</t>
  </si>
  <si>
    <t>佐藤　誠</t>
  </si>
  <si>
    <t>（株）博井建設</t>
  </si>
  <si>
    <t>博井　信一</t>
  </si>
  <si>
    <t>（有）木下建設</t>
  </si>
  <si>
    <t>木下　篤</t>
  </si>
  <si>
    <t>熊谷水道（有）</t>
  </si>
  <si>
    <t>熊谷　次芳</t>
  </si>
  <si>
    <t>（有）加藤電工</t>
  </si>
  <si>
    <t>加藤　初徳</t>
  </si>
  <si>
    <t>（有）手島建設</t>
  </si>
  <si>
    <t>岡本　裕治</t>
  </si>
  <si>
    <t>吉野建設</t>
  </si>
  <si>
    <t>吉野　浩一郎</t>
  </si>
  <si>
    <t>（有）丸萬</t>
  </si>
  <si>
    <t>秋田　泰義</t>
  </si>
  <si>
    <t>（株）後藤組</t>
  </si>
  <si>
    <t>後藤　ひとみ</t>
  </si>
  <si>
    <t>南　力</t>
  </si>
  <si>
    <t>徳丸綜合建設（株）</t>
  </si>
  <si>
    <t>旭工業（株）</t>
  </si>
  <si>
    <t>中園　勲</t>
  </si>
  <si>
    <t>（有）北崎電器商会</t>
  </si>
  <si>
    <t>北崎　利浩</t>
  </si>
  <si>
    <t>（有）穴見建設</t>
  </si>
  <si>
    <t>穴見　善隆</t>
  </si>
  <si>
    <t>（有）中岩建設</t>
  </si>
  <si>
    <t>中岩　秀裕</t>
  </si>
  <si>
    <t>（株）熊谷重機</t>
  </si>
  <si>
    <t>熊谷　寿之</t>
  </si>
  <si>
    <t>（株）三十</t>
  </si>
  <si>
    <t>藤丸　博明</t>
  </si>
  <si>
    <t>（有）末永ガラス</t>
  </si>
  <si>
    <t>末永　克典</t>
  </si>
  <si>
    <t>（株）隆電設</t>
  </si>
  <si>
    <t>熊井　隆行</t>
  </si>
  <si>
    <t>日昇建設（株）</t>
  </si>
  <si>
    <t>古賀　直樹</t>
  </si>
  <si>
    <t>黒土建設（有）</t>
  </si>
  <si>
    <t>黒土　和賢</t>
  </si>
  <si>
    <t>ミヤコ建設（有）</t>
  </si>
  <si>
    <t>永田　都一</t>
  </si>
  <si>
    <t>（有）小池石材</t>
  </si>
  <si>
    <t>小池　俊通</t>
  </si>
  <si>
    <t>北村住建（有）</t>
  </si>
  <si>
    <t>北村　一美</t>
  </si>
  <si>
    <t>（有）梅紅園</t>
  </si>
  <si>
    <t>善正　龍彦</t>
  </si>
  <si>
    <t>中尾襖製作所</t>
  </si>
  <si>
    <t>土岡　俊介</t>
  </si>
  <si>
    <t>（株）梶原組</t>
  </si>
  <si>
    <t>梶原　剛</t>
  </si>
  <si>
    <t>（有）島崎設備工業</t>
  </si>
  <si>
    <t>島崎　保男</t>
  </si>
  <si>
    <t>（有）フジ電</t>
  </si>
  <si>
    <t>藤本　省一</t>
  </si>
  <si>
    <t>（有）西海建設</t>
  </si>
  <si>
    <t>松本　文吉</t>
  </si>
  <si>
    <t>（株）都工業</t>
  </si>
  <si>
    <t>都　哲文</t>
  </si>
  <si>
    <t>（株）光成経済</t>
  </si>
  <si>
    <t>（有）古梶組</t>
  </si>
  <si>
    <t>矢津田　博明</t>
  </si>
  <si>
    <t>（株）翔峰建設</t>
  </si>
  <si>
    <t>杉園　泰明</t>
  </si>
  <si>
    <t>（有）矢次電気工事</t>
  </si>
  <si>
    <t>矢次　広伸</t>
  </si>
  <si>
    <t>（有）大分建窓店</t>
  </si>
  <si>
    <t>山本　友美</t>
  </si>
  <si>
    <t>（有）大分新設</t>
  </si>
  <si>
    <t>首藤　博文</t>
  </si>
  <si>
    <t>松尾機器産業（株）</t>
  </si>
  <si>
    <t>（株）エアシステム</t>
  </si>
  <si>
    <t>中野　青葉</t>
  </si>
  <si>
    <t>（株）河野設備</t>
  </si>
  <si>
    <t>河野　道昭</t>
  </si>
  <si>
    <t>（株）栗木精華園</t>
  </si>
  <si>
    <t>栗木　康一</t>
  </si>
  <si>
    <t>（株）サンワ機工</t>
  </si>
  <si>
    <t>古畑　公子</t>
  </si>
  <si>
    <t>（有）川北工業</t>
  </si>
  <si>
    <t>溝口　剛</t>
  </si>
  <si>
    <t>黒洋建設工業（株）</t>
  </si>
  <si>
    <t>河村　貴司</t>
  </si>
  <si>
    <t>（株）二ノ宮石材</t>
  </si>
  <si>
    <t>二ノ宮　清一</t>
  </si>
  <si>
    <t>（有）東和石材</t>
  </si>
  <si>
    <t>佐藤　啓治</t>
  </si>
  <si>
    <t>江藤産業（株）</t>
  </si>
  <si>
    <t>大東洗缶（有）</t>
  </si>
  <si>
    <t>小野　健治</t>
  </si>
  <si>
    <t>ビ・アール工業（有）</t>
  </si>
  <si>
    <t>渡邉　住夫</t>
  </si>
  <si>
    <t>梶原工業（有）</t>
  </si>
  <si>
    <t>（株）ニッショー</t>
  </si>
  <si>
    <t>佐藤　佑太</t>
  </si>
  <si>
    <t>中央設備工業（有）</t>
  </si>
  <si>
    <t>釘宮　大輔</t>
  </si>
  <si>
    <t>（有）協和環境</t>
  </si>
  <si>
    <t>池元　克行</t>
  </si>
  <si>
    <t>（有）太真産業</t>
  </si>
  <si>
    <t>園田　高太郎</t>
  </si>
  <si>
    <t>（有）コーリン建設</t>
  </si>
  <si>
    <t>城野　好則</t>
  </si>
  <si>
    <t>九一建設工業（有）</t>
  </si>
  <si>
    <t>後藤　一郎</t>
  </si>
  <si>
    <t>（株）春日緑化</t>
  </si>
  <si>
    <t>朝見　高樹</t>
  </si>
  <si>
    <t>（有）小園重機建設</t>
  </si>
  <si>
    <t>小園　正行</t>
  </si>
  <si>
    <t>（有）国土建設工業</t>
  </si>
  <si>
    <t>（株）エンワ</t>
  </si>
  <si>
    <t>堤　裕也</t>
  </si>
  <si>
    <t>光陰緑化土木（有）</t>
  </si>
  <si>
    <t>安部　隆文</t>
  </si>
  <si>
    <t>（株）クイック工業</t>
  </si>
  <si>
    <t>佐藤　圭介</t>
  </si>
  <si>
    <t>新和運輸（有）</t>
  </si>
  <si>
    <t>木津産業（有）</t>
  </si>
  <si>
    <t>木津　眞治</t>
  </si>
  <si>
    <t>（株）装華</t>
  </si>
  <si>
    <t>立川　功雄</t>
  </si>
  <si>
    <t>（有）環境プラント</t>
  </si>
  <si>
    <t>桑原　博文</t>
  </si>
  <si>
    <t>（株）荒巻工業</t>
  </si>
  <si>
    <t>荒巻　聡志</t>
  </si>
  <si>
    <t>第一工業（株）</t>
  </si>
  <si>
    <t>河野　千年</t>
  </si>
  <si>
    <t>（株）エーオーアイ・ユニタン</t>
  </si>
  <si>
    <t>此松　慎二</t>
  </si>
  <si>
    <t>（有）豊通信</t>
  </si>
  <si>
    <t>古城　正幸</t>
  </si>
  <si>
    <t>フジシステム設備（有）</t>
  </si>
  <si>
    <t>溝部　雄一</t>
  </si>
  <si>
    <t>（株）豊東石材</t>
  </si>
  <si>
    <t>豊東　勲</t>
  </si>
  <si>
    <t>（株）清電社</t>
  </si>
  <si>
    <t>清水　敏幸</t>
  </si>
  <si>
    <t>（有）岩本総合設備</t>
  </si>
  <si>
    <t>岩本　卓士</t>
  </si>
  <si>
    <t>（有）インテリアコスモ</t>
  </si>
  <si>
    <t>岡田　洋一</t>
  </si>
  <si>
    <t>（有）高南電設</t>
  </si>
  <si>
    <t>中村　晃</t>
  </si>
  <si>
    <t>（有）システム電建</t>
  </si>
  <si>
    <t>安東　富浩</t>
  </si>
  <si>
    <t>（株）菱和工業</t>
  </si>
  <si>
    <t>佐藤　照美</t>
  </si>
  <si>
    <t>（株）寿開発</t>
  </si>
  <si>
    <t>利根　栄市</t>
  </si>
  <si>
    <t>（有）網中水道</t>
  </si>
  <si>
    <t>網中　誠</t>
  </si>
  <si>
    <t>（有）坂口産業</t>
  </si>
  <si>
    <t>（株）ゴダイ</t>
  </si>
  <si>
    <t>（有）筒井工務店</t>
  </si>
  <si>
    <t>筒井　哲司</t>
  </si>
  <si>
    <t>平田工業（株）</t>
  </si>
  <si>
    <t>平田　聡</t>
  </si>
  <si>
    <t>（有）木村設備</t>
  </si>
  <si>
    <t>木村　真二</t>
  </si>
  <si>
    <t>（株）ランドスケープ別大</t>
  </si>
  <si>
    <t>小野　尊康</t>
  </si>
  <si>
    <t>（株）高千穂工業</t>
  </si>
  <si>
    <t>甲斐　洋介</t>
  </si>
  <si>
    <t>新陽工事（株）</t>
  </si>
  <si>
    <t>重住　和彦</t>
  </si>
  <si>
    <t>（株）エースエンジニアリング</t>
  </si>
  <si>
    <t>後藤　朋文</t>
  </si>
  <si>
    <t>大分ボンド建設（有）</t>
  </si>
  <si>
    <t>浅野　浩彦</t>
  </si>
  <si>
    <t>吉正建設（有）</t>
  </si>
  <si>
    <t>吉田　正幸</t>
  </si>
  <si>
    <t>河誠建設（有）</t>
  </si>
  <si>
    <t>河野　誠作</t>
  </si>
  <si>
    <t>（有）仁栄工業</t>
  </si>
  <si>
    <t>小島　仁生</t>
  </si>
  <si>
    <t>（株）みたらい組</t>
  </si>
  <si>
    <t>（有）大鶴建設</t>
  </si>
  <si>
    <t>大鶴　信二</t>
  </si>
  <si>
    <t>丸宗工業（有）</t>
  </si>
  <si>
    <t>丸山　稔</t>
  </si>
  <si>
    <t>（有）後藤公建築</t>
  </si>
  <si>
    <t>後藤　堅</t>
  </si>
  <si>
    <t>（有）北村建設</t>
  </si>
  <si>
    <t>北村　昭</t>
  </si>
  <si>
    <t>カンピ建設（有）</t>
  </si>
  <si>
    <t>有田　鎭雄</t>
  </si>
  <si>
    <t>（株）ツー・バイ・ツー</t>
  </si>
  <si>
    <t>（有）ナカノ建材</t>
  </si>
  <si>
    <t>大野　政孝</t>
  </si>
  <si>
    <t>（有）梶原造園</t>
  </si>
  <si>
    <t>梶原　定子</t>
  </si>
  <si>
    <t>（有）フジミ八坂電機</t>
  </si>
  <si>
    <t>八坂　幸治</t>
  </si>
  <si>
    <t>藤光建設（有）</t>
  </si>
  <si>
    <t>佐藤　洋二郎</t>
  </si>
  <si>
    <t>（有）大野ボーリング工業</t>
  </si>
  <si>
    <t>大野　聡</t>
  </si>
  <si>
    <t>（株）中村建設</t>
  </si>
  <si>
    <t>石川　裕也</t>
  </si>
  <si>
    <t>（有）角野建設</t>
  </si>
  <si>
    <t>角野　勝久</t>
  </si>
  <si>
    <t>（有）阿部工務店</t>
  </si>
  <si>
    <t>阿部　峰廣</t>
  </si>
  <si>
    <t>（有）山香土木</t>
  </si>
  <si>
    <t>（有）日高商会</t>
  </si>
  <si>
    <t>日高　正義</t>
  </si>
  <si>
    <t>高瀬　憲明</t>
  </si>
  <si>
    <t>（有）篠原興業</t>
  </si>
  <si>
    <t>篠原　宏美</t>
  </si>
  <si>
    <t>一真興産（有）</t>
  </si>
  <si>
    <t>上野　一男</t>
  </si>
  <si>
    <t>吉井建設（株）</t>
  </si>
  <si>
    <t>吉井　和行</t>
  </si>
  <si>
    <t>（有）岡山工務店</t>
  </si>
  <si>
    <t>田村　悟</t>
  </si>
  <si>
    <t>（有）渡辺建設</t>
  </si>
  <si>
    <t>渡邊　英視</t>
  </si>
  <si>
    <t>（有）米水津水道</t>
  </si>
  <si>
    <t>（有）ミタライ工業</t>
  </si>
  <si>
    <t>御手洗　堅</t>
  </si>
  <si>
    <t>高橋建設（有）</t>
  </si>
  <si>
    <t>高橋　賢二</t>
  </si>
  <si>
    <t>野津電設工業（株）</t>
  </si>
  <si>
    <t>後藤　政仁</t>
  </si>
  <si>
    <t>（有）茂田電機</t>
  </si>
  <si>
    <t>茂田　幸一</t>
  </si>
  <si>
    <t>（有）堀内商会杵築給油所</t>
  </si>
  <si>
    <t>（有）大家住建</t>
  </si>
  <si>
    <t>大家　公弘</t>
  </si>
  <si>
    <t>（株）ヘミン</t>
  </si>
  <si>
    <t>利光　勇一郎</t>
  </si>
  <si>
    <t>（有）佐藤産業</t>
  </si>
  <si>
    <t>佐藤　孝治</t>
  </si>
  <si>
    <t>（有）高瀬工業</t>
  </si>
  <si>
    <t>高瀬　哲也</t>
  </si>
  <si>
    <t>（有）渡辺石彫工房</t>
  </si>
  <si>
    <t>渡辺　隆美</t>
  </si>
  <si>
    <t>（有）アクア技研</t>
  </si>
  <si>
    <t>兒玉　紘宣</t>
  </si>
  <si>
    <t>マルハチ建設（株）</t>
  </si>
  <si>
    <t>村上　明美</t>
  </si>
  <si>
    <t>（有）幸野建設</t>
  </si>
  <si>
    <t>幸野　博文</t>
  </si>
  <si>
    <t>三信商事（株）</t>
  </si>
  <si>
    <t>大家　覚</t>
  </si>
  <si>
    <t>（株）三伸道路</t>
  </si>
  <si>
    <t>山田　清行</t>
  </si>
  <si>
    <t>（有）玉田石材店</t>
  </si>
  <si>
    <t>玉田　智久</t>
  </si>
  <si>
    <t>（有）ヒヤカワ興建</t>
  </si>
  <si>
    <t>冷川　一則</t>
  </si>
  <si>
    <t>（有）玉井工業</t>
  </si>
  <si>
    <t>玉井　義一</t>
  </si>
  <si>
    <t>西日本建設（株）</t>
  </si>
  <si>
    <t>（有）古園緑地建設</t>
  </si>
  <si>
    <t>古園　久</t>
  </si>
  <si>
    <t>（有）サンライン</t>
  </si>
  <si>
    <t>（株）ロードサイン</t>
  </si>
  <si>
    <t>松木　常記</t>
  </si>
  <si>
    <t>（株）アド・サイン</t>
  </si>
  <si>
    <t>大石　安彦</t>
  </si>
  <si>
    <t>（株）藤栄建設</t>
  </si>
  <si>
    <t>藤原　邦広</t>
  </si>
  <si>
    <t>（有）日出クレーン工業</t>
  </si>
  <si>
    <t>河野　哲章</t>
  </si>
  <si>
    <t>（有）大分レジン工業</t>
  </si>
  <si>
    <t>（有）九大エンジニア</t>
  </si>
  <si>
    <t>井　昭吾</t>
  </si>
  <si>
    <t>（有）フジセツ</t>
  </si>
  <si>
    <t>佐藤　真司</t>
  </si>
  <si>
    <t>（有）松尾緑地建設</t>
  </si>
  <si>
    <t>松尾　巧</t>
  </si>
  <si>
    <t>（有）鉱栄工務店</t>
  </si>
  <si>
    <t>甲斐　健司</t>
  </si>
  <si>
    <t>別府工業（有）</t>
  </si>
  <si>
    <t>安部　健人</t>
  </si>
  <si>
    <t>（有）松木重機</t>
  </si>
  <si>
    <t>松木　幹生</t>
  </si>
  <si>
    <t>（有）吉田石材店</t>
  </si>
  <si>
    <t>吉田　実香</t>
  </si>
  <si>
    <t>ジャパングリッド（株）</t>
  </si>
  <si>
    <t>前田　貫一</t>
  </si>
  <si>
    <t>（有）河野土木</t>
  </si>
  <si>
    <t>河野　豊和</t>
  </si>
  <si>
    <t>（株）創美社</t>
  </si>
  <si>
    <t>新名　一光</t>
  </si>
  <si>
    <t>加藤建設（株）</t>
  </si>
  <si>
    <t>加藤　鉄矢</t>
  </si>
  <si>
    <t>（有）信成建設</t>
  </si>
  <si>
    <t>（有）藤浦</t>
  </si>
  <si>
    <t>三浦　勉</t>
  </si>
  <si>
    <t>東九州機械工業（株）</t>
  </si>
  <si>
    <t>平松　大典</t>
  </si>
  <si>
    <t>（有）サトウ設備</t>
  </si>
  <si>
    <t>佐藤　幸一</t>
  </si>
  <si>
    <t>（有）小野工業</t>
  </si>
  <si>
    <t>小野　忠史</t>
  </si>
  <si>
    <t>開成建設工業（株）</t>
  </si>
  <si>
    <t>遠嶋　幸弘</t>
  </si>
  <si>
    <t>（有）秋則建設</t>
  </si>
  <si>
    <t>後藤　雄一郎</t>
  </si>
  <si>
    <t>（有）西高産業</t>
  </si>
  <si>
    <t>高橋　政幸</t>
  </si>
  <si>
    <t>天昇建設工業（有）</t>
  </si>
  <si>
    <t>玉井　美佳</t>
  </si>
  <si>
    <t>（有）福大建設</t>
  </si>
  <si>
    <t>川邉　日出輝</t>
  </si>
  <si>
    <t>（株）国栄エンジニアリング</t>
  </si>
  <si>
    <t>渡邊　幸司</t>
  </si>
  <si>
    <t>（有）大野電設工業</t>
  </si>
  <si>
    <t>伊妻　恭平</t>
  </si>
  <si>
    <t>（有）赤木建設</t>
  </si>
  <si>
    <t>後藤　慎一郎</t>
  </si>
  <si>
    <t>（有）飯田工務店</t>
  </si>
  <si>
    <t>飯田　友和</t>
  </si>
  <si>
    <t>（有）防災サービス</t>
  </si>
  <si>
    <t>安倍　信義</t>
  </si>
  <si>
    <t>（株）小川工業</t>
  </si>
  <si>
    <t>（株）豊倉</t>
  </si>
  <si>
    <t>矢川　哲也</t>
  </si>
  <si>
    <t>（有）毛利興業</t>
  </si>
  <si>
    <t>毛利　忠美</t>
  </si>
  <si>
    <t>東陽緑化（株）</t>
  </si>
  <si>
    <t>渡邉　周平</t>
  </si>
  <si>
    <t>（有）田中総合建設</t>
  </si>
  <si>
    <t>田中　志栄</t>
  </si>
  <si>
    <t>（有）ジェイエフエンジニアリング</t>
  </si>
  <si>
    <t>佐々木　敦夫</t>
  </si>
  <si>
    <t>（有）泉水緑化産業</t>
  </si>
  <si>
    <t>熊谷　大志郎</t>
  </si>
  <si>
    <t>（有）矢野硝子店</t>
  </si>
  <si>
    <t>新尾　伸樹</t>
  </si>
  <si>
    <t>（株）土井</t>
  </si>
  <si>
    <t>土井　重巳</t>
  </si>
  <si>
    <t>（有）旭建設工業</t>
  </si>
  <si>
    <t>工藤　未来</t>
  </si>
  <si>
    <t>（有）井上塗装</t>
  </si>
  <si>
    <t>井上　金作</t>
  </si>
  <si>
    <t>（有）野上工務店</t>
  </si>
  <si>
    <t>野上　悟</t>
  </si>
  <si>
    <t>合谷造園（有）</t>
  </si>
  <si>
    <t>合谷　哲夫</t>
  </si>
  <si>
    <t>（有）建装</t>
  </si>
  <si>
    <t>増山　幸宣</t>
  </si>
  <si>
    <t>（有）豊田商会</t>
  </si>
  <si>
    <t>豊田　弘</t>
  </si>
  <si>
    <t>（株）江藤製作所</t>
  </si>
  <si>
    <t>神品　誠治</t>
  </si>
  <si>
    <t>（株）イズミ電機</t>
  </si>
  <si>
    <t>泉　浩司</t>
  </si>
  <si>
    <t>（株）明研</t>
  </si>
  <si>
    <t>後藤　謙治</t>
  </si>
  <si>
    <t>修進建設（有）</t>
  </si>
  <si>
    <t>木元　修司</t>
  </si>
  <si>
    <t>（有）伊藤水道工業所</t>
  </si>
  <si>
    <t>伊藤　美智子</t>
  </si>
  <si>
    <t>（株）ノガミ住建</t>
  </si>
  <si>
    <t>野上　隆市</t>
  </si>
  <si>
    <t>（有）小島建設</t>
  </si>
  <si>
    <t>大矢　直人</t>
  </si>
  <si>
    <t>（有）大善工業</t>
  </si>
  <si>
    <t>大戸　朗</t>
  </si>
  <si>
    <t>（有）ヒメーン山園</t>
  </si>
  <si>
    <t>木村　純孝</t>
  </si>
  <si>
    <t>（有）宇佐造園</t>
  </si>
  <si>
    <t>前田　公芳</t>
  </si>
  <si>
    <t>（有）新光電設</t>
  </si>
  <si>
    <t>佐藤　玲晃</t>
  </si>
  <si>
    <t>（株）大昌興産</t>
  </si>
  <si>
    <t>小代　一昌</t>
  </si>
  <si>
    <t>（株）カッターアバンセ</t>
  </si>
  <si>
    <t>高倉　悠史</t>
  </si>
  <si>
    <t>（有）冷熱技研</t>
  </si>
  <si>
    <t>林田　眞</t>
  </si>
  <si>
    <t>渡邊　剛輔</t>
  </si>
  <si>
    <t>（有）朝久野電業社</t>
  </si>
  <si>
    <t>朝久野　卓也</t>
  </si>
  <si>
    <t>（有）河建工業</t>
  </si>
  <si>
    <t>河野　和人</t>
  </si>
  <si>
    <t>（有）堀電気</t>
  </si>
  <si>
    <t>堀　彰</t>
  </si>
  <si>
    <t>川野　直樹</t>
  </si>
  <si>
    <t>（有）県南建設工業</t>
  </si>
  <si>
    <t>佐々木　武道</t>
  </si>
  <si>
    <t>渡辺水道</t>
  </si>
  <si>
    <t>渡邉　正美</t>
  </si>
  <si>
    <t>（株）大総</t>
  </si>
  <si>
    <t>由見　真治朗</t>
  </si>
  <si>
    <t>（有）衞藤水道設備</t>
  </si>
  <si>
    <t>衞藤　忠</t>
  </si>
  <si>
    <t>（株）セイワ</t>
  </si>
  <si>
    <t>小松　眞吾</t>
  </si>
  <si>
    <t>（有）三和水工</t>
  </si>
  <si>
    <t>坂本　康行</t>
  </si>
  <si>
    <t>（有）はちまん設備</t>
  </si>
  <si>
    <t>松崎　賢介</t>
  </si>
  <si>
    <t>（有）石川工業</t>
  </si>
  <si>
    <t>石川　剛</t>
  </si>
  <si>
    <t>（株）池部造園</t>
  </si>
  <si>
    <t>池部　寛</t>
  </si>
  <si>
    <t>川昇（株）</t>
  </si>
  <si>
    <t>（株）三興</t>
  </si>
  <si>
    <t>（株）東大分ノヴェル</t>
  </si>
  <si>
    <t>小林　昭雄</t>
  </si>
  <si>
    <t>（有）ヒロ建設</t>
  </si>
  <si>
    <t>手嶋　浩信</t>
  </si>
  <si>
    <t>（有）トリゴエ建設</t>
  </si>
  <si>
    <t>神田産業（有）</t>
  </si>
  <si>
    <t>神田　竜彦</t>
  </si>
  <si>
    <t>緑産業</t>
  </si>
  <si>
    <t>佐藤　享</t>
  </si>
  <si>
    <t>（株）オー・エム・ケイ</t>
  </si>
  <si>
    <t>吉田　忠実</t>
  </si>
  <si>
    <t>（有）パシック電工</t>
  </si>
  <si>
    <t>（有）松尾設備</t>
  </si>
  <si>
    <t>松尾　剛徳</t>
  </si>
  <si>
    <t>（有）真田工務店</t>
  </si>
  <si>
    <t>真田　一利</t>
  </si>
  <si>
    <t>（有）玖珠緑化建設</t>
  </si>
  <si>
    <t>楳木　文秋</t>
  </si>
  <si>
    <t>（有）相良電気商会</t>
  </si>
  <si>
    <t>相良　和利</t>
  </si>
  <si>
    <t>（株）セイブ開発</t>
  </si>
  <si>
    <t>佐野　徹</t>
  </si>
  <si>
    <t>（有）日豊工業社</t>
  </si>
  <si>
    <t>光永　竜也</t>
  </si>
  <si>
    <t>（有）挾間管工</t>
  </si>
  <si>
    <t>佐藤　祐輔</t>
  </si>
  <si>
    <t>（有）三郷電設</t>
  </si>
  <si>
    <t>三好　繁</t>
  </si>
  <si>
    <t>（株）山村設備工業</t>
  </si>
  <si>
    <t>山村　宗久</t>
  </si>
  <si>
    <t>（有）首藤造園</t>
  </si>
  <si>
    <t>首藤　政文</t>
  </si>
  <si>
    <t>（有）小野工務店</t>
  </si>
  <si>
    <t>小野　政文</t>
  </si>
  <si>
    <t>（株）大分維持</t>
  </si>
  <si>
    <t>首藤　晋哉</t>
  </si>
  <si>
    <t>（有）鎧南工業</t>
  </si>
  <si>
    <t>後藤　千鶴</t>
  </si>
  <si>
    <t>（有）武蔵建設</t>
  </si>
  <si>
    <t>元永　好則</t>
  </si>
  <si>
    <t>（有）小牟礼建設</t>
  </si>
  <si>
    <t>戸田　保</t>
  </si>
  <si>
    <t>（有）信栄建設工業</t>
  </si>
  <si>
    <t>稲付　慶吾</t>
  </si>
  <si>
    <t>（有）エム・シー</t>
  </si>
  <si>
    <t>橋本　千年</t>
  </si>
  <si>
    <t>（有）共栄建設工業</t>
  </si>
  <si>
    <t>（株）大徳産業</t>
  </si>
  <si>
    <t>岡本　研次</t>
  </si>
  <si>
    <t>（有）吉良工業所</t>
  </si>
  <si>
    <t>吉良　正勝</t>
  </si>
  <si>
    <t>（有）東大分ガーデン</t>
  </si>
  <si>
    <t>佐藤　淳</t>
  </si>
  <si>
    <t>首藤工務店（有）</t>
  </si>
  <si>
    <t>首藤　陽蔵</t>
  </si>
  <si>
    <t>（株）タカフジ</t>
  </si>
  <si>
    <t>佐藤　隆彦</t>
  </si>
  <si>
    <t>（株）木下築炉</t>
  </si>
  <si>
    <t>安樂　真澄</t>
  </si>
  <si>
    <t>（有）協和建設工業</t>
  </si>
  <si>
    <t>宮本　範義</t>
  </si>
  <si>
    <t>（株）向野工務店</t>
  </si>
  <si>
    <t>向野　正悟</t>
  </si>
  <si>
    <t>（有）疋田電工</t>
  </si>
  <si>
    <t>疋田　太郎</t>
  </si>
  <si>
    <t>（有）サンスポーツ工業</t>
  </si>
  <si>
    <t>友永　晃</t>
  </si>
  <si>
    <t>（有）明陽工務店</t>
  </si>
  <si>
    <t>戸次　智文</t>
  </si>
  <si>
    <t>（株）ツインデック</t>
  </si>
  <si>
    <t>松井　弘</t>
  </si>
  <si>
    <t>（有）井上工業</t>
  </si>
  <si>
    <t>井上　裕二</t>
  </si>
  <si>
    <t>（有）新九州</t>
  </si>
  <si>
    <t>加藤　大輔</t>
  </si>
  <si>
    <t>（有）矢野技建</t>
  </si>
  <si>
    <t>矢野　文憲</t>
  </si>
  <si>
    <t>（有）フジモト施設</t>
  </si>
  <si>
    <t>藤本　良則</t>
  </si>
  <si>
    <t>（株）大分都市開発</t>
  </si>
  <si>
    <t>（有）深野建設</t>
  </si>
  <si>
    <t>（有）一生工務店</t>
  </si>
  <si>
    <t>石川　一生</t>
  </si>
  <si>
    <t>大分エージェンシー（株）</t>
  </si>
  <si>
    <t>高倉　康弘</t>
  </si>
  <si>
    <t>別府市管工事（同）</t>
  </si>
  <si>
    <t>寺脇産業（有）</t>
  </si>
  <si>
    <t>（有）広成産業</t>
  </si>
  <si>
    <t>酒井工業</t>
  </si>
  <si>
    <t>酒井　国治</t>
  </si>
  <si>
    <t>（有）イトウボーリング</t>
  </si>
  <si>
    <t>伊藤　昭彦</t>
  </si>
  <si>
    <t>（有）和田電気工事</t>
  </si>
  <si>
    <t>和田　章宏</t>
  </si>
  <si>
    <t>大分家屋解体（有）</t>
  </si>
  <si>
    <t>豊東　竹治</t>
  </si>
  <si>
    <t>（有）トーコー建設</t>
  </si>
  <si>
    <t>藤原　光義</t>
  </si>
  <si>
    <t>（株）オールマイト</t>
  </si>
  <si>
    <t>淡路　壽一</t>
  </si>
  <si>
    <t>（有）高本組</t>
  </si>
  <si>
    <t>高本　伸二</t>
  </si>
  <si>
    <t>日伸建設工業（株）</t>
  </si>
  <si>
    <t>大庭　浩司</t>
  </si>
  <si>
    <t>（有）東九州フェンス工業</t>
  </si>
  <si>
    <t>砂山　百合子</t>
  </si>
  <si>
    <t>（株）明和ジオテック</t>
  </si>
  <si>
    <t>玉置　芳明</t>
  </si>
  <si>
    <t>（有）豊後建設</t>
  </si>
  <si>
    <t>（株）別電工業</t>
  </si>
  <si>
    <t>坂本　寛</t>
  </si>
  <si>
    <t>（有）アイワ不動産建設</t>
  </si>
  <si>
    <t>長谷　俊明</t>
  </si>
  <si>
    <t>（株）宮園電装</t>
  </si>
  <si>
    <t>宮園　健吾</t>
  </si>
  <si>
    <t>（有）松田庭園</t>
  </si>
  <si>
    <t>松田　大樹</t>
  </si>
  <si>
    <t>（有）三信水道</t>
  </si>
  <si>
    <t>薬師寺　哲也</t>
  </si>
  <si>
    <t>（株）菊池電氣工業</t>
  </si>
  <si>
    <t>菊池　有二</t>
  </si>
  <si>
    <t>（株）アイ・ネット</t>
  </si>
  <si>
    <t>綿丸　伸太朗</t>
  </si>
  <si>
    <t>（有）昇和工業</t>
  </si>
  <si>
    <t>伊東　由人</t>
  </si>
  <si>
    <t>日本配管（有）</t>
  </si>
  <si>
    <t>幸松　克俊</t>
  </si>
  <si>
    <t>（有）九建施設</t>
  </si>
  <si>
    <t>元永　北斗</t>
  </si>
  <si>
    <t>甲斐管工事（有）</t>
  </si>
  <si>
    <t>甲斐　正巳</t>
  </si>
  <si>
    <t>（有）よしおか塗装</t>
  </si>
  <si>
    <t>吉岡　敏郎</t>
  </si>
  <si>
    <t>三栄建設工業（株）</t>
  </si>
  <si>
    <t>三浦　勲</t>
  </si>
  <si>
    <t>中島技建工業（有）</t>
  </si>
  <si>
    <t>中島　秀一</t>
  </si>
  <si>
    <t>（有）ツカサ</t>
  </si>
  <si>
    <t>佐久間　由賀里</t>
  </si>
  <si>
    <t>（有）丸富士工業</t>
  </si>
  <si>
    <t>森本　昭尾</t>
  </si>
  <si>
    <t>（株）クリーン・アップ</t>
  </si>
  <si>
    <t>下郡　謙悟</t>
  </si>
  <si>
    <t>（株）黒田建商</t>
  </si>
  <si>
    <t>（有）佐藤グリーン</t>
  </si>
  <si>
    <t>（株）大分日本無線サービス</t>
  </si>
  <si>
    <t>村井　勝伯</t>
  </si>
  <si>
    <t>松田　昌三</t>
  </si>
  <si>
    <t>三和エンジニアリング（株）</t>
  </si>
  <si>
    <t>小出　勤</t>
  </si>
  <si>
    <t>（有）石洋産業</t>
  </si>
  <si>
    <t>石田　晴輝</t>
  </si>
  <si>
    <t>（株）サンプラス</t>
  </si>
  <si>
    <t>古家　透</t>
  </si>
  <si>
    <t>（有）富松建設</t>
  </si>
  <si>
    <t>富松　誠</t>
  </si>
  <si>
    <t>（有）加藤土木</t>
  </si>
  <si>
    <t>加藤　聖人</t>
  </si>
  <si>
    <t>（有）山本はつり工業</t>
  </si>
  <si>
    <t>山本　武文</t>
  </si>
  <si>
    <t>渡辺産業（有）</t>
  </si>
  <si>
    <t>渡邉　博一</t>
  </si>
  <si>
    <t>山下緑化</t>
  </si>
  <si>
    <t>山下　徳尋</t>
  </si>
  <si>
    <t>（有）ファイバーテクノス</t>
  </si>
  <si>
    <t>（株）ダイトー</t>
  </si>
  <si>
    <t>赤嶺　茂治</t>
  </si>
  <si>
    <t>（株）サンテック</t>
  </si>
  <si>
    <t>（有）佐藤鉄工</t>
  </si>
  <si>
    <t>（株）日本工事広告</t>
  </si>
  <si>
    <t>有田　修二</t>
  </si>
  <si>
    <t>（有）守口電設</t>
  </si>
  <si>
    <t>守口　浩一</t>
  </si>
  <si>
    <t>若山　典義</t>
  </si>
  <si>
    <t>足立　雅直</t>
  </si>
  <si>
    <t>（有）三協設備</t>
  </si>
  <si>
    <t>中尾　一貴</t>
  </si>
  <si>
    <t>（有）晴屋建築工房一級建築士事務所</t>
  </si>
  <si>
    <t>秦　弘俊</t>
  </si>
  <si>
    <t>（有）筒井造園土木</t>
  </si>
  <si>
    <t>筒井　邦生</t>
  </si>
  <si>
    <t>（有）輝工業</t>
  </si>
  <si>
    <t>小野　輝人</t>
  </si>
  <si>
    <t>（株）アペックス工業</t>
  </si>
  <si>
    <t>本田　秀繁</t>
  </si>
  <si>
    <t>（有）フクコー</t>
  </si>
  <si>
    <t>山口　通夫</t>
  </si>
  <si>
    <t>環世維（株）</t>
  </si>
  <si>
    <t>楢原　民夫</t>
  </si>
  <si>
    <t>（有）おおば塗装</t>
  </si>
  <si>
    <t>大庭　陽子</t>
  </si>
  <si>
    <t>（有）ミック</t>
  </si>
  <si>
    <t>三重野　洋造</t>
  </si>
  <si>
    <t>上田環境衛生（有）</t>
  </si>
  <si>
    <t>尾形　直樹</t>
  </si>
  <si>
    <t>後藤建設（株）</t>
  </si>
  <si>
    <t>久保田　高司</t>
  </si>
  <si>
    <t>（有）エスエス緑化産業</t>
  </si>
  <si>
    <t>秦　悟</t>
  </si>
  <si>
    <t>（株）タイシン</t>
  </si>
  <si>
    <t>新納　博明</t>
  </si>
  <si>
    <t>ワコーエンジニアリング（株）</t>
  </si>
  <si>
    <t>中野　誠</t>
  </si>
  <si>
    <t>木村土木</t>
  </si>
  <si>
    <t>木村　仰秀</t>
  </si>
  <si>
    <t>（有）新世工業</t>
  </si>
  <si>
    <t>平野　和敏</t>
  </si>
  <si>
    <t>（有）ハーモニー緑化園</t>
  </si>
  <si>
    <t>牧　英憲</t>
  </si>
  <si>
    <t>（有）三栄重機建設</t>
  </si>
  <si>
    <t>（有）奈良技建</t>
  </si>
  <si>
    <t>奈良　光治</t>
  </si>
  <si>
    <t>（有）サンキューアート</t>
  </si>
  <si>
    <t>山村　和久</t>
  </si>
  <si>
    <t>（株）太一</t>
  </si>
  <si>
    <t>佐藤　淳一</t>
  </si>
  <si>
    <t>日清建設（株）</t>
  </si>
  <si>
    <t>大聖工業（株）</t>
  </si>
  <si>
    <t>田上　豊勝</t>
  </si>
  <si>
    <t>ティ・エイ設備（有）</t>
  </si>
  <si>
    <t>荒金　寅己</t>
  </si>
  <si>
    <t>（有）豊肥シャッターメンテナンス</t>
  </si>
  <si>
    <t>佐保　文彦</t>
  </si>
  <si>
    <t>（有）木野開発</t>
  </si>
  <si>
    <t>木野　安治</t>
  </si>
  <si>
    <t>（有）藤井工務店</t>
  </si>
  <si>
    <t>藤井　裕之</t>
  </si>
  <si>
    <t>（株）大洋</t>
  </si>
  <si>
    <t>堺　崇</t>
  </si>
  <si>
    <t>（有）三浦電業社</t>
  </si>
  <si>
    <t>三浦　孝</t>
  </si>
  <si>
    <t>（有）跡田建設</t>
  </si>
  <si>
    <t>久保　礼子</t>
  </si>
  <si>
    <t>イトウ建設（有）</t>
  </si>
  <si>
    <t>井東　千恵美</t>
  </si>
  <si>
    <t>（株）三共農園材</t>
  </si>
  <si>
    <t>原田　伸介</t>
  </si>
  <si>
    <t>（有）川中建設</t>
  </si>
  <si>
    <t>川中　涼子</t>
  </si>
  <si>
    <t>（有）富士設備工業</t>
  </si>
  <si>
    <t>（有）藤元工業</t>
  </si>
  <si>
    <t>丸井　正詮</t>
  </si>
  <si>
    <t>中西建設工業（株）</t>
  </si>
  <si>
    <t>中西　正一</t>
  </si>
  <si>
    <t>（有）河向工業</t>
  </si>
  <si>
    <t>河向　一彦</t>
  </si>
  <si>
    <t>ルーテツク（株）</t>
  </si>
  <si>
    <t>阿南　哲成</t>
  </si>
  <si>
    <t>（株）九建</t>
  </si>
  <si>
    <t>藤原　嗣毅</t>
  </si>
  <si>
    <t>（有）安藤設備</t>
  </si>
  <si>
    <t>安藤　幸子</t>
  </si>
  <si>
    <t>（株）三浦造船所</t>
  </si>
  <si>
    <t>三浦　唯秀</t>
  </si>
  <si>
    <t>（有）東建設</t>
  </si>
  <si>
    <t>石藤　基弘</t>
  </si>
  <si>
    <t>（有）イワシタ総合建設</t>
  </si>
  <si>
    <t>岩下　竜二</t>
  </si>
  <si>
    <t>（有）小野屋</t>
  </si>
  <si>
    <t>渡邉　賢一</t>
  </si>
  <si>
    <t>ＡＴ機工</t>
  </si>
  <si>
    <t>青柳　潤治</t>
  </si>
  <si>
    <t>新電業</t>
  </si>
  <si>
    <t>津田　新吾</t>
  </si>
  <si>
    <t>（有）上田工業</t>
  </si>
  <si>
    <t>上田　茂</t>
  </si>
  <si>
    <t>（有）東九サービス</t>
  </si>
  <si>
    <t>小野　敏則</t>
  </si>
  <si>
    <t>（有）風元土木</t>
  </si>
  <si>
    <t>高羽　健治</t>
  </si>
  <si>
    <t>（株）内藤組</t>
  </si>
  <si>
    <t>内藤　鉄也</t>
  </si>
  <si>
    <t>藤本組</t>
  </si>
  <si>
    <t>藤本　政喜</t>
  </si>
  <si>
    <t>（株）九管通</t>
  </si>
  <si>
    <t>田染　健志</t>
  </si>
  <si>
    <t>（有）拡大興産</t>
  </si>
  <si>
    <t>東　達広</t>
  </si>
  <si>
    <t>共立興業（有）</t>
  </si>
  <si>
    <t>高橋　剛</t>
  </si>
  <si>
    <t>中野建設（有）</t>
  </si>
  <si>
    <t>中野　博</t>
  </si>
  <si>
    <t>（株）九建クラフト</t>
  </si>
  <si>
    <t>羽田野　智裕</t>
  </si>
  <si>
    <t>（有）大一工業</t>
  </si>
  <si>
    <t>大塚　勇司</t>
  </si>
  <si>
    <t>（有）河野電気工事</t>
  </si>
  <si>
    <t>河野　英生</t>
  </si>
  <si>
    <t>（有）クスダ開発工業</t>
  </si>
  <si>
    <t>楠田　好男</t>
  </si>
  <si>
    <t>（有）森山建設</t>
  </si>
  <si>
    <t>森山　剛行</t>
  </si>
  <si>
    <t>（株）中村建材店</t>
  </si>
  <si>
    <t>中村　慎一郎</t>
  </si>
  <si>
    <t>（有）浜路電機</t>
  </si>
  <si>
    <t>（有）エムアールエー</t>
  </si>
  <si>
    <t>宮園　美加</t>
  </si>
  <si>
    <t>（有）伸栄電設</t>
  </si>
  <si>
    <t>吉田　龍司</t>
  </si>
  <si>
    <t>（有）稲生建設</t>
  </si>
  <si>
    <t>稲生　誠吾</t>
  </si>
  <si>
    <t>アイエヌシー・ワース（有）</t>
  </si>
  <si>
    <t>永松　重美</t>
  </si>
  <si>
    <t>（有）亀井電気工事</t>
  </si>
  <si>
    <t>（有）武内建築</t>
  </si>
  <si>
    <t>武内　秀人</t>
  </si>
  <si>
    <t>九重フジ技建</t>
  </si>
  <si>
    <t>藤原　孝</t>
  </si>
  <si>
    <t>（有）川添電工</t>
  </si>
  <si>
    <t>川添　堅</t>
  </si>
  <si>
    <t>（有）エムエーディ</t>
  </si>
  <si>
    <t>松尾　清治</t>
  </si>
  <si>
    <t>（有）佐藤重機建設</t>
  </si>
  <si>
    <t>佐藤　英昭</t>
  </si>
  <si>
    <t>達工務店</t>
  </si>
  <si>
    <t>渡邉　達昭</t>
  </si>
  <si>
    <t>（有）武宮塗装</t>
  </si>
  <si>
    <t>小山　靖治</t>
  </si>
  <si>
    <t>岡田　誠</t>
  </si>
  <si>
    <t>（有）泰信建設</t>
  </si>
  <si>
    <t>江熊　利貞</t>
  </si>
  <si>
    <t>（有）セーフティ</t>
  </si>
  <si>
    <t>荻野　晃一</t>
  </si>
  <si>
    <t>（有）山田工業</t>
  </si>
  <si>
    <t>毛利　和之</t>
  </si>
  <si>
    <t>（有）ティエム企画</t>
  </si>
  <si>
    <t>徳丸　あつ子</t>
  </si>
  <si>
    <t>三ヶ尻　辰也</t>
  </si>
  <si>
    <t>谷口産業（株）</t>
  </si>
  <si>
    <t>谷口　俊介</t>
  </si>
  <si>
    <t>（株）大川技研</t>
  </si>
  <si>
    <t>北川　大滋</t>
  </si>
  <si>
    <t>（有）コウシン土木</t>
  </si>
  <si>
    <t>広瀬　秀樹</t>
  </si>
  <si>
    <t>（有）西豊産業</t>
  </si>
  <si>
    <t>田邉　愛子</t>
  </si>
  <si>
    <t>（有）ハヤミハウジング</t>
  </si>
  <si>
    <t>築山　傳</t>
  </si>
  <si>
    <t>（有）若林水道工業所</t>
  </si>
  <si>
    <t>若林　豊廣</t>
  </si>
  <si>
    <t>平山産業（株）</t>
  </si>
  <si>
    <t>崔　起成</t>
  </si>
  <si>
    <t>（有）秋好電気工事</t>
  </si>
  <si>
    <t>秋好　裕一</t>
  </si>
  <si>
    <t>（有）塩出木工</t>
  </si>
  <si>
    <t>塩出　清治</t>
  </si>
  <si>
    <t>（有）高本工業</t>
  </si>
  <si>
    <t>九州美環産業（株）</t>
  </si>
  <si>
    <t>野中　英治</t>
  </si>
  <si>
    <t>（有）Ａｓａｎｏ</t>
  </si>
  <si>
    <t>（有）ユニオン興業</t>
  </si>
  <si>
    <t>小島　リミ</t>
  </si>
  <si>
    <t>（有）秋吉建設</t>
  </si>
  <si>
    <t>秋吉　孝三</t>
  </si>
  <si>
    <t>（株）高橋工業</t>
  </si>
  <si>
    <t>高橋　秀則</t>
  </si>
  <si>
    <t>（有）寺山土木</t>
  </si>
  <si>
    <t>寺山　元幸</t>
  </si>
  <si>
    <t>（有）はやし工庵</t>
  </si>
  <si>
    <t>林　清太郎</t>
  </si>
  <si>
    <t>富士電気設備</t>
  </si>
  <si>
    <t>野々下　博</t>
  </si>
  <si>
    <t>（有）祐成建設</t>
  </si>
  <si>
    <t>叢　稔</t>
  </si>
  <si>
    <t>安田電機（株）</t>
  </si>
  <si>
    <t>安田　雅豊</t>
  </si>
  <si>
    <t>（有）フレンド・クサバ</t>
  </si>
  <si>
    <t>草場　大介</t>
  </si>
  <si>
    <t>（有）吉武建設工業</t>
  </si>
  <si>
    <t>吉武　政義</t>
  </si>
  <si>
    <t>（有）幸運</t>
  </si>
  <si>
    <t>小川　英樹</t>
  </si>
  <si>
    <t>（有）峰建設</t>
  </si>
  <si>
    <t>長峯　俊二</t>
  </si>
  <si>
    <t>（有）優大建設</t>
  </si>
  <si>
    <t>利光建設工業（株）</t>
  </si>
  <si>
    <t>利光　正臣</t>
  </si>
  <si>
    <t>未来総合建設（有）</t>
  </si>
  <si>
    <t>上野　真二</t>
  </si>
  <si>
    <t>（有）別府表具センター</t>
  </si>
  <si>
    <t>安部　貴士</t>
  </si>
  <si>
    <t>（有）常幸工業</t>
  </si>
  <si>
    <t>狹間　将五</t>
  </si>
  <si>
    <t>（株）スポーツテックノア</t>
  </si>
  <si>
    <t>長尾　秀雄</t>
  </si>
  <si>
    <t>（有）森建築</t>
  </si>
  <si>
    <t>森　日出海</t>
  </si>
  <si>
    <t>豊後安全（有）</t>
  </si>
  <si>
    <t>濱田　直樹</t>
  </si>
  <si>
    <t>（株）ホームプランニング大分</t>
  </si>
  <si>
    <t>溝部　孝明</t>
  </si>
  <si>
    <t>（有）穐吉工業</t>
  </si>
  <si>
    <t>穐吉　勝己</t>
  </si>
  <si>
    <t>（株）緑環境技術</t>
  </si>
  <si>
    <t>畑中　勝利</t>
  </si>
  <si>
    <t>（株）ＳＡＫＡＥ</t>
  </si>
  <si>
    <t>麻生　勝己</t>
  </si>
  <si>
    <t>（有）相良建築</t>
  </si>
  <si>
    <t>相良　和博</t>
  </si>
  <si>
    <t>三幸建設（株）</t>
  </si>
  <si>
    <t>土居　幸二</t>
  </si>
  <si>
    <t>（有）ベネッツ</t>
  </si>
  <si>
    <t>伊東　哲也</t>
  </si>
  <si>
    <t>隆テック（株）</t>
  </si>
  <si>
    <t>蒲原　浩隆</t>
  </si>
  <si>
    <t>（有）原田工務店</t>
  </si>
  <si>
    <t>原田　敬史</t>
  </si>
  <si>
    <t>（有）ニッセイトップ</t>
  </si>
  <si>
    <t>藤田　成人</t>
  </si>
  <si>
    <t>（株）渡辺企画</t>
  </si>
  <si>
    <t>アイテク（株）</t>
  </si>
  <si>
    <t>（有）弘栄工業</t>
  </si>
  <si>
    <t>佐藤　弘</t>
  </si>
  <si>
    <t>良美建設（有）</t>
  </si>
  <si>
    <t>梶原　良美</t>
  </si>
  <si>
    <t>（株）タマダ</t>
  </si>
  <si>
    <t>玉田　哲士</t>
  </si>
  <si>
    <t>（有）アサヒ電機</t>
  </si>
  <si>
    <t>山田　教明</t>
  </si>
  <si>
    <t>（株）坂本砿業所</t>
  </si>
  <si>
    <t>高橋　幸治</t>
  </si>
  <si>
    <t>（株）クリアス</t>
  </si>
  <si>
    <t>大塚　茂</t>
  </si>
  <si>
    <t>（有）明豊建設</t>
  </si>
  <si>
    <t>木村　歩</t>
  </si>
  <si>
    <t>（株）芦刈建築</t>
  </si>
  <si>
    <t>芦刈　重子</t>
  </si>
  <si>
    <t>（有）原はつり工業</t>
  </si>
  <si>
    <t>原　次人</t>
  </si>
  <si>
    <t>（株）大建設</t>
  </si>
  <si>
    <t>渡邊　廣明</t>
  </si>
  <si>
    <t>（有）井村電設</t>
  </si>
  <si>
    <t>井村　正孝</t>
  </si>
  <si>
    <t>（有）大間パイプ</t>
  </si>
  <si>
    <t>大間　一道</t>
  </si>
  <si>
    <t>広瀬建設</t>
  </si>
  <si>
    <t>広瀬　俊典</t>
  </si>
  <si>
    <t>（有）臼杵総建</t>
  </si>
  <si>
    <t>日本グリーンシステム（株）</t>
  </si>
  <si>
    <t>伊藤　宗吾</t>
  </si>
  <si>
    <t>（株）川原建設</t>
  </si>
  <si>
    <t>ワカサ（有）</t>
  </si>
  <si>
    <t>久枝住工（有）</t>
  </si>
  <si>
    <t>久枝　昭一</t>
  </si>
  <si>
    <t>（有）信和重機</t>
  </si>
  <si>
    <t>工藤　信行</t>
  </si>
  <si>
    <t>（有）梶原建築</t>
  </si>
  <si>
    <t>旭環境管理（株）</t>
  </si>
  <si>
    <t>梶原　泰雄</t>
  </si>
  <si>
    <t>ＡＮＡＩ（株）</t>
  </si>
  <si>
    <t>穴井　繁敏</t>
  </si>
  <si>
    <t>杉田　匡織</t>
  </si>
  <si>
    <t>（有）創陽</t>
  </si>
  <si>
    <t>菅　倭文江</t>
  </si>
  <si>
    <t>（株）小野明組</t>
  </si>
  <si>
    <t>（有）大内設備</t>
  </si>
  <si>
    <t>前畑　清信</t>
  </si>
  <si>
    <t>（株）丸大産業</t>
  </si>
  <si>
    <t>大下　進</t>
  </si>
  <si>
    <t>江田緑地建設（有）</t>
  </si>
  <si>
    <t>江田　則行</t>
  </si>
  <si>
    <t>（有）黒川興業</t>
  </si>
  <si>
    <t>黒川　実幸</t>
  </si>
  <si>
    <t>（有）大匠</t>
  </si>
  <si>
    <t>直野　克明</t>
  </si>
  <si>
    <t>（有）和優建設工業</t>
  </si>
  <si>
    <t>川野　和久</t>
  </si>
  <si>
    <t>（有）マコト工業</t>
  </si>
  <si>
    <t>田中　浩明</t>
  </si>
  <si>
    <t>（有）大共工業</t>
  </si>
  <si>
    <t>金谷　彰浩</t>
  </si>
  <si>
    <t>（株）西日本技建</t>
  </si>
  <si>
    <t>仁田尾　淳</t>
  </si>
  <si>
    <t>（有）合谷住設</t>
  </si>
  <si>
    <t>合谷　公児</t>
  </si>
  <si>
    <t>加藤設備</t>
  </si>
  <si>
    <t>加藤　英敏</t>
  </si>
  <si>
    <t>フタバ産業（有）</t>
  </si>
  <si>
    <t>戸高　元行</t>
  </si>
  <si>
    <t>（有）イーベル</t>
  </si>
  <si>
    <t>中村　綾人</t>
  </si>
  <si>
    <t>（有）インプルーヴ</t>
  </si>
  <si>
    <t>中野　潤</t>
  </si>
  <si>
    <t>（有）シックアート</t>
  </si>
  <si>
    <t>江川　俊二</t>
  </si>
  <si>
    <t>日本暖房鉄工（株）</t>
  </si>
  <si>
    <t>但馬　建</t>
  </si>
  <si>
    <t>（有）雄翔</t>
  </si>
  <si>
    <t>五十川　雄三</t>
  </si>
  <si>
    <t>（有）ヤマトグリーンシステム</t>
  </si>
  <si>
    <t>筒井　悦生</t>
  </si>
  <si>
    <t>下畝　康資</t>
  </si>
  <si>
    <t>新和リファイン（株）</t>
  </si>
  <si>
    <t>梶原　康輝</t>
  </si>
  <si>
    <t>（有）ケイジー彩工社</t>
  </si>
  <si>
    <t>後藤　啓治</t>
  </si>
  <si>
    <t>（有）すいおん</t>
  </si>
  <si>
    <t>土居　丈直</t>
  </si>
  <si>
    <t>（有）サンライズシステム</t>
  </si>
  <si>
    <t>安藤　玲</t>
  </si>
  <si>
    <t>（株）高江工業</t>
  </si>
  <si>
    <t>あんしん防災（株）</t>
  </si>
  <si>
    <t>河野　敬幸</t>
  </si>
  <si>
    <t>（有）岡村環境開発</t>
  </si>
  <si>
    <t>岡村　申弥</t>
  </si>
  <si>
    <t>（有）清末電化サービス</t>
  </si>
  <si>
    <t>清末　保</t>
  </si>
  <si>
    <t>山形　秀之</t>
  </si>
  <si>
    <t>ウメサン（株）</t>
  </si>
  <si>
    <t>相原　剛</t>
  </si>
  <si>
    <t>（有）つばさ</t>
  </si>
  <si>
    <t>近藤　道子</t>
  </si>
  <si>
    <t>（株）東藤建設</t>
  </si>
  <si>
    <t>東藤　雅廣</t>
  </si>
  <si>
    <t>（有）阿南工業</t>
  </si>
  <si>
    <t>阿南　昌義</t>
  </si>
  <si>
    <t>梶原塗装（有）</t>
  </si>
  <si>
    <t>梶原　忠明</t>
  </si>
  <si>
    <t>（有）テッ建工業</t>
  </si>
  <si>
    <t>管　哲昭</t>
  </si>
  <si>
    <t>（有）八徳進業</t>
  </si>
  <si>
    <t>羽迫　健一郎</t>
  </si>
  <si>
    <t>（株）九州機工</t>
  </si>
  <si>
    <t>佐藤　進</t>
  </si>
  <si>
    <t>（有）明聖電設工業</t>
  </si>
  <si>
    <t>宮近　明也</t>
  </si>
  <si>
    <t>（株）ＩＳＨＩＤＡ</t>
  </si>
  <si>
    <t>石田　博文</t>
  </si>
  <si>
    <t>（有）立花建設</t>
  </si>
  <si>
    <t>立花　正喜</t>
  </si>
  <si>
    <t>（有）吉川産業</t>
  </si>
  <si>
    <t>吉川　大貴</t>
  </si>
  <si>
    <t>大開工業（株）</t>
  </si>
  <si>
    <t>（株）センコー企画</t>
  </si>
  <si>
    <t>阿南　宣弘</t>
  </si>
  <si>
    <t>（株）日建総合建設</t>
  </si>
  <si>
    <t>藤田　英樹</t>
  </si>
  <si>
    <t>新日本緑地（株）</t>
  </si>
  <si>
    <t>鳥井　金光</t>
  </si>
  <si>
    <t>（有）グランテック</t>
  </si>
  <si>
    <t>後藤　高見</t>
  </si>
  <si>
    <t>三共エンジニアリング</t>
  </si>
  <si>
    <t>永井　源一郎</t>
  </si>
  <si>
    <t>（有）ひまわり</t>
  </si>
  <si>
    <t>園　義仁</t>
  </si>
  <si>
    <t>後藤建設工業</t>
  </si>
  <si>
    <t>後藤　一宏</t>
  </si>
  <si>
    <t>（有）ビルト工業</t>
  </si>
  <si>
    <t>藤本　康之</t>
  </si>
  <si>
    <t>新貝電気店</t>
  </si>
  <si>
    <t>新貝　展正</t>
  </si>
  <si>
    <t>大道産業（株）</t>
  </si>
  <si>
    <t>堀　哲也</t>
  </si>
  <si>
    <t>（株）アキオカ</t>
  </si>
  <si>
    <t>秋岡　周一</t>
  </si>
  <si>
    <t>仲道トーヨー（株）</t>
  </si>
  <si>
    <t>仲道　善隆</t>
  </si>
  <si>
    <t>（有）シビルロテックｄｏｔ</t>
  </si>
  <si>
    <t>鬼束　康晴</t>
  </si>
  <si>
    <t>（有）メイワ環境開発</t>
  </si>
  <si>
    <t>浅野　聡</t>
  </si>
  <si>
    <t>宮内住宅（株）</t>
  </si>
  <si>
    <t>坂本　貴宏</t>
  </si>
  <si>
    <t>（有）九州国土開発</t>
  </si>
  <si>
    <t>杉園　由美子</t>
  </si>
  <si>
    <t>（有）マルハチエンタープライズ</t>
  </si>
  <si>
    <t>亀井　理香</t>
  </si>
  <si>
    <t>（有）アイ電設工業</t>
  </si>
  <si>
    <t>石川　豪則</t>
  </si>
  <si>
    <t>産秀建設（株）</t>
  </si>
  <si>
    <t>（株）さとう造園</t>
  </si>
  <si>
    <t>佐藤　寿治</t>
  </si>
  <si>
    <t>（株）総合美建</t>
  </si>
  <si>
    <t>後藤　浩介</t>
  </si>
  <si>
    <t>（株）龍昇工業</t>
  </si>
  <si>
    <t>川邊　龍太</t>
  </si>
  <si>
    <t>佐藤　鎮也</t>
  </si>
  <si>
    <t>（有）Ｎ．Ｃ．Ｓ．</t>
  </si>
  <si>
    <t>西　孝文</t>
  </si>
  <si>
    <t>（有）高城建設</t>
  </si>
  <si>
    <t>高城　猛</t>
  </si>
  <si>
    <t>（有）和企画</t>
  </si>
  <si>
    <t>敷嶋　丸里子</t>
  </si>
  <si>
    <t>信栄工産（有）</t>
  </si>
  <si>
    <t>右田　昌平</t>
  </si>
  <si>
    <t>（有）豊和塗装工業</t>
  </si>
  <si>
    <t>花田　太志</t>
  </si>
  <si>
    <t>（有）三大建設工業</t>
  </si>
  <si>
    <t>三浦　英喜</t>
  </si>
  <si>
    <t>（有）由布</t>
  </si>
  <si>
    <t>御手洗　幸喜</t>
  </si>
  <si>
    <t>愛和工務（有）</t>
  </si>
  <si>
    <t>尾渡　豊信</t>
  </si>
  <si>
    <t>（株）豊樹園</t>
  </si>
  <si>
    <t>辻　祐樹</t>
  </si>
  <si>
    <t>（株）フジミ</t>
  </si>
  <si>
    <t>（有）イージス</t>
  </si>
  <si>
    <t>田北　和徳</t>
  </si>
  <si>
    <t>（有）ＭＳＡ</t>
  </si>
  <si>
    <t>野上　哲也</t>
  </si>
  <si>
    <t>ひびき（株）</t>
  </si>
  <si>
    <t>秋山　豪</t>
  </si>
  <si>
    <t>（有）ランドアート</t>
  </si>
  <si>
    <t>中島　久美子</t>
  </si>
  <si>
    <t>（有）八重洲建設</t>
  </si>
  <si>
    <t>山本　瑠美</t>
  </si>
  <si>
    <t>（株）Ｍ・ＺＥＣ</t>
  </si>
  <si>
    <t>フロンテエンジニア（株）</t>
  </si>
  <si>
    <t>足立　利章</t>
  </si>
  <si>
    <t>大黒屋産業（有）</t>
  </si>
  <si>
    <t>渡邉　尚子</t>
  </si>
  <si>
    <t>菊川　貴也</t>
  </si>
  <si>
    <t>（有）ユウセイ建設工業</t>
  </si>
  <si>
    <t>村上　友英</t>
  </si>
  <si>
    <t>（株）東信</t>
  </si>
  <si>
    <t>佐々木　竜一</t>
  </si>
  <si>
    <t>（株）ＨＩＲＯＤＥＮ</t>
  </si>
  <si>
    <t>佐藤　浩之</t>
  </si>
  <si>
    <t>（有）長尾建設</t>
  </si>
  <si>
    <t>長尾　栄作</t>
  </si>
  <si>
    <t>（有）高橋建設</t>
  </si>
  <si>
    <t>（有）シンセイ設備</t>
  </si>
  <si>
    <t>（株）ハウジングトップ</t>
  </si>
  <si>
    <t>小坂　哲也</t>
  </si>
  <si>
    <t>（有）コウテック</t>
  </si>
  <si>
    <t>菅　晃三</t>
  </si>
  <si>
    <t>（有）三重野水道</t>
  </si>
  <si>
    <t>三重野　征一</t>
  </si>
  <si>
    <t>（株）ＥＮＧ</t>
  </si>
  <si>
    <t>吉野　利彦</t>
  </si>
  <si>
    <t>（有）山水</t>
  </si>
  <si>
    <t>菅原　富士子</t>
  </si>
  <si>
    <t>（有）イケダ電機</t>
  </si>
  <si>
    <t>活田　和幸</t>
  </si>
  <si>
    <t>（有）平原工業</t>
  </si>
  <si>
    <t>平原　隆三</t>
  </si>
  <si>
    <t>（有）須山建設</t>
  </si>
  <si>
    <t>須山　健一</t>
  </si>
  <si>
    <t>（株）廣亜</t>
  </si>
  <si>
    <t>金子　廣俊</t>
  </si>
  <si>
    <t>（有）大広建設工業</t>
  </si>
  <si>
    <t>玉井　寿博</t>
  </si>
  <si>
    <t>エスケイテック九州（株）</t>
  </si>
  <si>
    <t>阿南　秀昭</t>
  </si>
  <si>
    <t>（有）ミウラ工業</t>
  </si>
  <si>
    <t>三浦　佳一郎</t>
  </si>
  <si>
    <t>（株）グランドアート</t>
  </si>
  <si>
    <t>保月　敦子</t>
  </si>
  <si>
    <t>大分空調管理（株）</t>
  </si>
  <si>
    <t>長尾　和彦</t>
  </si>
  <si>
    <t>名建（有）</t>
  </si>
  <si>
    <t>乙名　弘文</t>
  </si>
  <si>
    <t>（有）総材土木</t>
  </si>
  <si>
    <t>眞井　満</t>
  </si>
  <si>
    <t>（有）照陽</t>
  </si>
  <si>
    <t>重住　悦子</t>
  </si>
  <si>
    <t>大分市管工事（同）</t>
  </si>
  <si>
    <t>（有）竹下土木</t>
  </si>
  <si>
    <t>竹下　正義</t>
  </si>
  <si>
    <t>（株）技巧団</t>
  </si>
  <si>
    <t>井上　浩子</t>
  </si>
  <si>
    <t>（株）岩松建設</t>
  </si>
  <si>
    <t>飯田　大作</t>
  </si>
  <si>
    <t>（株）サンテクノ</t>
  </si>
  <si>
    <t>梅井工務店</t>
  </si>
  <si>
    <t>梅井　隆文</t>
  </si>
  <si>
    <t>（有）うちばやし</t>
  </si>
  <si>
    <t>（有）藤本工業</t>
  </si>
  <si>
    <t>藤本　統規</t>
  </si>
  <si>
    <t>（有）古澤興業</t>
  </si>
  <si>
    <t>古澤　寿幸</t>
  </si>
  <si>
    <t>（株）敷島組</t>
  </si>
  <si>
    <t>井手　禎二</t>
  </si>
  <si>
    <t>（有）大成住建</t>
  </si>
  <si>
    <t>豊永　友幸</t>
  </si>
  <si>
    <t>（有）永松瓦工業</t>
  </si>
  <si>
    <t>永松　陽一</t>
  </si>
  <si>
    <t>（株）小畑組</t>
  </si>
  <si>
    <t>小畑　博文</t>
  </si>
  <si>
    <t>九州特殊土木（株）</t>
  </si>
  <si>
    <t>山中　大成</t>
  </si>
  <si>
    <t>（有）エムクラフト</t>
  </si>
  <si>
    <t>（株）宮成環境開発</t>
  </si>
  <si>
    <t>宮成　壽男</t>
  </si>
  <si>
    <t>（株）誠貫</t>
  </si>
  <si>
    <t>小川　光治</t>
  </si>
  <si>
    <t>孝洋電設（株）</t>
  </si>
  <si>
    <t>木戸　義人</t>
  </si>
  <si>
    <t>（株）イースマイル</t>
  </si>
  <si>
    <t>清松　英次</t>
  </si>
  <si>
    <t>サンオードウ（株）</t>
  </si>
  <si>
    <t>樋口　直樹</t>
  </si>
  <si>
    <t>（株）大昇</t>
  </si>
  <si>
    <t>相原　忠明</t>
  </si>
  <si>
    <t>（有）オガワ商事</t>
  </si>
  <si>
    <t>小川　隆司</t>
  </si>
  <si>
    <t>（株）片岡組</t>
  </si>
  <si>
    <t>片岡　孝雄</t>
  </si>
  <si>
    <t>幸設備工業（株）</t>
  </si>
  <si>
    <t>佐藤　幸憲</t>
  </si>
  <si>
    <t>（有）大宮エンジニア</t>
  </si>
  <si>
    <t>伊東　儀浩</t>
  </si>
  <si>
    <t>（株）志大産業</t>
  </si>
  <si>
    <t>伊藤　康裕</t>
  </si>
  <si>
    <t>（有）明成工業</t>
  </si>
  <si>
    <t>坂田　明彦</t>
  </si>
  <si>
    <t>（株）九栄商事</t>
  </si>
  <si>
    <t>梅城　智嘉</t>
  </si>
  <si>
    <t>岩男工業（株）</t>
  </si>
  <si>
    <t>岩男　聡</t>
  </si>
  <si>
    <t>（有）心和総業</t>
  </si>
  <si>
    <t>木許　勝</t>
  </si>
  <si>
    <t>（有）特進産業</t>
  </si>
  <si>
    <t>染矢　正昭</t>
  </si>
  <si>
    <t>（株）ハヤシグリーンテクノ</t>
  </si>
  <si>
    <t>加藤　稔</t>
  </si>
  <si>
    <t>（株）大山</t>
  </si>
  <si>
    <t>川津　潔</t>
  </si>
  <si>
    <t>（株）ＴＩＦネットワーク</t>
  </si>
  <si>
    <t>佐藤　邦光</t>
  </si>
  <si>
    <t>（株）大鐵</t>
  </si>
  <si>
    <t>嶋津　満春</t>
  </si>
  <si>
    <t>（株）ダイプロ</t>
  </si>
  <si>
    <t>小野　日出明</t>
  </si>
  <si>
    <t>（株）コウセイテック</t>
  </si>
  <si>
    <t>青木　茂</t>
  </si>
  <si>
    <t>新成建設（株）</t>
  </si>
  <si>
    <t>藤田　三吉</t>
  </si>
  <si>
    <t>（有）日昇機工</t>
  </si>
  <si>
    <t>甲斐　靖教</t>
  </si>
  <si>
    <t>（有）渡邉安全工業</t>
  </si>
  <si>
    <t>渡邉　秀樹</t>
  </si>
  <si>
    <t>佐々木工業（株）</t>
  </si>
  <si>
    <t>佐々木　幸子</t>
  </si>
  <si>
    <t>（有）環境クリエート</t>
  </si>
  <si>
    <t>釘宮　正明</t>
  </si>
  <si>
    <t>（株）ホソウヤ</t>
  </si>
  <si>
    <t>（株）石井建設</t>
  </si>
  <si>
    <t>本田　竜慎</t>
  </si>
  <si>
    <t>（株）五ヶ瀬</t>
  </si>
  <si>
    <t>佐伯　渡</t>
  </si>
  <si>
    <t>（株）佐藤組</t>
  </si>
  <si>
    <t>佐藤　哲弥</t>
  </si>
  <si>
    <t>（株）京真電設</t>
  </si>
  <si>
    <t>柴山　礼治</t>
  </si>
  <si>
    <t>酒井　太喜</t>
  </si>
  <si>
    <t>（株）エーネクスト</t>
  </si>
  <si>
    <t>芦刈　隆弘</t>
  </si>
  <si>
    <t>（有）エアーグラスシステム</t>
  </si>
  <si>
    <t>中村　有紀彦</t>
  </si>
  <si>
    <t>（有）ナギシステム</t>
  </si>
  <si>
    <t>那木　一隆</t>
  </si>
  <si>
    <t>河野工業（株）</t>
  </si>
  <si>
    <t>河野　順也</t>
  </si>
  <si>
    <t>（株）河野製作所</t>
  </si>
  <si>
    <t>河野　茂喜</t>
  </si>
  <si>
    <t>大分サッシ（株）</t>
  </si>
  <si>
    <t>池邉　武</t>
  </si>
  <si>
    <t>（株）エールコーポレーション</t>
  </si>
  <si>
    <t>吉平　信一</t>
  </si>
  <si>
    <t>（有）日の出園</t>
  </si>
  <si>
    <t>吉岡　慎朗</t>
  </si>
  <si>
    <t>（株）芹川興産</t>
  </si>
  <si>
    <t>小代　文三</t>
  </si>
  <si>
    <t>志手電気工事</t>
  </si>
  <si>
    <t>志手　克彦</t>
  </si>
  <si>
    <t>（有）大河興業</t>
  </si>
  <si>
    <t>河野　孝之</t>
  </si>
  <si>
    <t>（株）ＴＮＳ</t>
  </si>
  <si>
    <t>高山　豊</t>
  </si>
  <si>
    <t>（株）一広建設工業</t>
  </si>
  <si>
    <t>廣岡　修一郎</t>
  </si>
  <si>
    <t>（株）翼電機工業</t>
  </si>
  <si>
    <t>二宮　真哲</t>
  </si>
  <si>
    <t>（株）大和特殊土木</t>
  </si>
  <si>
    <t>植田　豊久</t>
  </si>
  <si>
    <t>エスケイ（有）</t>
  </si>
  <si>
    <t>（株）西日本建設</t>
  </si>
  <si>
    <t>富永　龍太郎</t>
  </si>
  <si>
    <t>（株）ゆうき</t>
  </si>
  <si>
    <t>伊東　久美子</t>
  </si>
  <si>
    <t>（株）ポンテック</t>
  </si>
  <si>
    <t>和田　康宏</t>
  </si>
  <si>
    <t>匠環境メンテナンス（株）</t>
  </si>
  <si>
    <t>南　健太郎</t>
  </si>
  <si>
    <t>佐々木　幸代</t>
  </si>
  <si>
    <t>（有）大分ルーフテック</t>
  </si>
  <si>
    <t>小城　崇宜</t>
  </si>
  <si>
    <t>（株）庭照</t>
  </si>
  <si>
    <t>倉橋　誠</t>
  </si>
  <si>
    <t>ＡＩＤＡ　ＬＩＮＫ（株）</t>
  </si>
  <si>
    <t>安永　満</t>
  </si>
  <si>
    <t>（有）河野建築</t>
  </si>
  <si>
    <t>河野　直文</t>
  </si>
  <si>
    <t>（株）ＴＡＸＣＥＬ</t>
  </si>
  <si>
    <t>高崎　喜一</t>
  </si>
  <si>
    <t>（株）ＡＭＡＢＥ</t>
  </si>
  <si>
    <t>宇戸　宏一</t>
  </si>
  <si>
    <t>（有）足立産業</t>
  </si>
  <si>
    <t>阿部　悦子</t>
  </si>
  <si>
    <t>フラッド（株）</t>
  </si>
  <si>
    <t>（株）吉良電工</t>
  </si>
  <si>
    <t>吉良　清治</t>
  </si>
  <si>
    <t>（有）日豊メンテナンス</t>
  </si>
  <si>
    <t>奥詰　功</t>
  </si>
  <si>
    <t>栄組</t>
  </si>
  <si>
    <t>伊藤　栄</t>
  </si>
  <si>
    <t>（株）緑信</t>
  </si>
  <si>
    <t>三又　幸津江</t>
  </si>
  <si>
    <t>（株）利健</t>
  </si>
  <si>
    <t>冨田　健太郎</t>
  </si>
  <si>
    <t>（株）岩渕工務店</t>
  </si>
  <si>
    <t>岩渕　英司</t>
  </si>
  <si>
    <t>（有）ワークス</t>
  </si>
  <si>
    <t>廣畑　賢一</t>
  </si>
  <si>
    <t>（株）建翔工業</t>
  </si>
  <si>
    <t>栗林　武士</t>
  </si>
  <si>
    <t>（有）矢野カンストラクション</t>
  </si>
  <si>
    <t>（株）ラックワイド</t>
  </si>
  <si>
    <t>吉廣　達也</t>
  </si>
  <si>
    <t>（株）匠</t>
  </si>
  <si>
    <t>木元　望</t>
  </si>
  <si>
    <t>（株）翔雄</t>
  </si>
  <si>
    <t>土佐路　裕子</t>
  </si>
  <si>
    <t>（有）藤和建設</t>
  </si>
  <si>
    <t>佐藤　等</t>
  </si>
  <si>
    <t>（有）豊徳</t>
  </si>
  <si>
    <t>大澤　理</t>
  </si>
  <si>
    <t>（株）風雅</t>
  </si>
  <si>
    <t>力南土木（株）</t>
  </si>
  <si>
    <t>（株）新興プラント工業</t>
  </si>
  <si>
    <t>山口　有一</t>
  </si>
  <si>
    <t>（株）グリーンワールド</t>
  </si>
  <si>
    <t>望月　敏生</t>
  </si>
  <si>
    <t>九建プロテック（株）</t>
  </si>
  <si>
    <t>佐藤　大輔</t>
  </si>
  <si>
    <t>西畑住宅（有）</t>
  </si>
  <si>
    <t>西畑　修司</t>
  </si>
  <si>
    <t>（株）グリーンテックランド</t>
  </si>
  <si>
    <t>鬼束　恵美</t>
  </si>
  <si>
    <t>（有）鶴友機材</t>
  </si>
  <si>
    <t>（有）リメイクナカムラ</t>
  </si>
  <si>
    <t>中村　純一</t>
  </si>
  <si>
    <t>高崎建材（株）</t>
  </si>
  <si>
    <t>（有）矢野建設工業</t>
  </si>
  <si>
    <t>矢野　俊浩</t>
  </si>
  <si>
    <t>ビルドワン（株）</t>
  </si>
  <si>
    <t>馬場　一博</t>
  </si>
  <si>
    <t>（株）Ａ・Ｋ</t>
  </si>
  <si>
    <t>穐吉　鎮矢</t>
  </si>
  <si>
    <t>（株）城村建設</t>
  </si>
  <si>
    <t>疋田　久吉</t>
  </si>
  <si>
    <t>（株）藤智産業</t>
  </si>
  <si>
    <t>藤岡　照彦</t>
  </si>
  <si>
    <t>（株）ＡＫＩＹＯＳＨＩ</t>
  </si>
  <si>
    <t>秋吉　智治</t>
  </si>
  <si>
    <t>（株）新名組</t>
  </si>
  <si>
    <t>新名　一仁</t>
  </si>
  <si>
    <t>（株）織部工務店</t>
  </si>
  <si>
    <t>栗林　大介</t>
  </si>
  <si>
    <t>藤原建築</t>
  </si>
  <si>
    <t>藤原　英則</t>
  </si>
  <si>
    <t>（株）天童</t>
  </si>
  <si>
    <t>釘宮　薫</t>
  </si>
  <si>
    <t>（有）スギショー</t>
  </si>
  <si>
    <t>杉田　康</t>
  </si>
  <si>
    <t>（株）晃陽建設工業</t>
  </si>
  <si>
    <t>大久保　陽介</t>
  </si>
  <si>
    <t>（株）松森組</t>
  </si>
  <si>
    <t>松森　法和</t>
  </si>
  <si>
    <t>矢野建材工業（株）</t>
  </si>
  <si>
    <t>矢野　伸二</t>
  </si>
  <si>
    <t>安部　茂</t>
  </si>
  <si>
    <t>（有）田島平建設工業</t>
  </si>
  <si>
    <t>田島　平</t>
  </si>
  <si>
    <t>（株）電操技研</t>
  </si>
  <si>
    <t>佐賀　久善</t>
  </si>
  <si>
    <t>（有）ユーズサービス</t>
  </si>
  <si>
    <t>佐藤　誕</t>
  </si>
  <si>
    <t>（株）苑樹</t>
  </si>
  <si>
    <t>三浦　正樹</t>
  </si>
  <si>
    <t>（株）大分大栄</t>
  </si>
  <si>
    <t>（株）ナカムラ</t>
  </si>
  <si>
    <t>（株）星和工業</t>
  </si>
  <si>
    <t>（株）ＳＡＮＥｉ</t>
  </si>
  <si>
    <t>（株）センコーロード</t>
  </si>
  <si>
    <t>（株）アーステック</t>
  </si>
  <si>
    <t>梅木　壮一郎</t>
  </si>
  <si>
    <t>日本電気保安（株）</t>
  </si>
  <si>
    <t>（株）ＨＥＩＷＡ</t>
  </si>
  <si>
    <t>吉藤　喜久子</t>
  </si>
  <si>
    <t>上栄企画（株）</t>
  </si>
  <si>
    <t>木野　栄俊</t>
  </si>
  <si>
    <t>ＥＲテクノ（株）</t>
  </si>
  <si>
    <t>猪野　誠二郎</t>
  </si>
  <si>
    <t>（株）トラスト</t>
  </si>
  <si>
    <t>水本　安士</t>
  </si>
  <si>
    <t>ジェイコム大分エンジニアリング（株）</t>
  </si>
  <si>
    <t>新田造園</t>
  </si>
  <si>
    <t>新田　活己</t>
  </si>
  <si>
    <t>（株）広伸</t>
  </si>
  <si>
    <t>阿南　剛志</t>
  </si>
  <si>
    <t>前成工業（株）</t>
  </si>
  <si>
    <t>前川　誠</t>
  </si>
  <si>
    <t>（株）九州アースワークス</t>
  </si>
  <si>
    <t>橋本　潤</t>
  </si>
  <si>
    <t>高村鉄工所</t>
  </si>
  <si>
    <t>高村　健児</t>
  </si>
  <si>
    <t>（株）楠商店</t>
  </si>
  <si>
    <t>曽根田　敏治</t>
  </si>
  <si>
    <t>徳新工業（株）</t>
  </si>
  <si>
    <t>新納　はつみ</t>
  </si>
  <si>
    <t>（有）ゴトーシステムサービス</t>
  </si>
  <si>
    <t>（株）三信工業</t>
  </si>
  <si>
    <t>桑原　健</t>
  </si>
  <si>
    <t>（株）大分第一ラック工業</t>
  </si>
  <si>
    <t>清川　忠司</t>
  </si>
  <si>
    <t>（株）みえ建設</t>
  </si>
  <si>
    <t>芦刈　憲一</t>
  </si>
  <si>
    <t>（株）リエンプロ</t>
  </si>
  <si>
    <t>藤田　幸三</t>
  </si>
  <si>
    <t>（株）一原産業</t>
  </si>
  <si>
    <t>一原　哲</t>
  </si>
  <si>
    <t>大分アスリード（株）</t>
  </si>
  <si>
    <t>首藤　宏之</t>
  </si>
  <si>
    <t>（株）石川建設工業</t>
  </si>
  <si>
    <t>池邉　大輔</t>
  </si>
  <si>
    <t>（株）匠研工業</t>
  </si>
  <si>
    <t>鹿田　研二</t>
  </si>
  <si>
    <t>（株）森電設</t>
  </si>
  <si>
    <t>森　幸治</t>
  </si>
  <si>
    <t>（株）共栄</t>
  </si>
  <si>
    <t>坂本　広人</t>
  </si>
  <si>
    <t>（株）日本テック</t>
  </si>
  <si>
    <t>日隈　征二</t>
  </si>
  <si>
    <t>（株）ダイプロ北部販売</t>
  </si>
  <si>
    <t>川上　俊作</t>
  </si>
  <si>
    <t>（株）ＤＥＮＳＨＩＮ</t>
  </si>
  <si>
    <t>（株）大成組</t>
  </si>
  <si>
    <t>中村　法雄</t>
  </si>
  <si>
    <t>高山水理工業（株）</t>
  </si>
  <si>
    <t>高山　真</t>
  </si>
  <si>
    <t>（有）共成工業</t>
  </si>
  <si>
    <t>末松　潤一</t>
  </si>
  <si>
    <t>匠技建工業（株）</t>
  </si>
  <si>
    <t>（有）堅征緑地</t>
  </si>
  <si>
    <t>Ｃ．Ｒ．Ｔ（株）</t>
  </si>
  <si>
    <t>手嶋　美量</t>
  </si>
  <si>
    <t>（有）宝来興産</t>
  </si>
  <si>
    <t>森永　義幸</t>
  </si>
  <si>
    <t>東建産業（株）</t>
  </si>
  <si>
    <t>東藤　恵子</t>
  </si>
  <si>
    <t>（有）ベストハウス</t>
  </si>
  <si>
    <t>飯田　伸次</t>
  </si>
  <si>
    <t>ａｉｕ（株）</t>
  </si>
  <si>
    <t>本杉　和子</t>
  </si>
  <si>
    <t>（株）万福工業</t>
  </si>
  <si>
    <t>平原　剛</t>
  </si>
  <si>
    <t>（株）シナジー</t>
  </si>
  <si>
    <t>大野　陽平</t>
  </si>
  <si>
    <t>（株）春道塗装</t>
  </si>
  <si>
    <t>（株）水明</t>
  </si>
  <si>
    <t>杉野　慎也</t>
  </si>
  <si>
    <t>（株）エイゼン</t>
  </si>
  <si>
    <t>池邑　砂織</t>
  </si>
  <si>
    <t>（株）ＴＳＩテックス</t>
  </si>
  <si>
    <t>（有）恵大</t>
  </si>
  <si>
    <t>円本　正忠</t>
  </si>
  <si>
    <t>中川　緑</t>
  </si>
  <si>
    <t>（株）ＩＴＯ建工</t>
  </si>
  <si>
    <t>長幸建設（株）</t>
  </si>
  <si>
    <t>長野　勝行</t>
  </si>
  <si>
    <t>竜伸建設工業（株）</t>
  </si>
  <si>
    <t>竜田　幸一</t>
  </si>
  <si>
    <t>九州環境管理（株）</t>
  </si>
  <si>
    <t>川野　剛</t>
  </si>
  <si>
    <t>（株）王座</t>
  </si>
  <si>
    <t>古家　ひろ子</t>
  </si>
  <si>
    <t>（株）日栄</t>
  </si>
  <si>
    <t>河上　徹治</t>
  </si>
  <si>
    <t>（株）グリーンサービス藤野造園</t>
  </si>
  <si>
    <t>藤野　次男</t>
  </si>
  <si>
    <t>（株）コーナン</t>
  </si>
  <si>
    <t>柴山　博展</t>
  </si>
  <si>
    <t>（株）みらいテクノロジー</t>
  </si>
  <si>
    <t>（株）Ｌｉｎｅｗｏｏｄ</t>
  </si>
  <si>
    <t>中島　眞知児</t>
  </si>
  <si>
    <t>（株）原田建設</t>
  </si>
  <si>
    <t>原田　勝彦</t>
  </si>
  <si>
    <t>（有）南部開発</t>
  </si>
  <si>
    <t>（株）城全</t>
  </si>
  <si>
    <t>アイシン（株）</t>
  </si>
  <si>
    <t>（株）西日本綜合メンテナンス</t>
  </si>
  <si>
    <t>牧　玲子</t>
  </si>
  <si>
    <t>木元　光昭</t>
  </si>
  <si>
    <t>川栄建設（株）</t>
  </si>
  <si>
    <t>田中　義明</t>
  </si>
  <si>
    <t>（合）番匠</t>
  </si>
  <si>
    <t>乙名　薫</t>
  </si>
  <si>
    <t>（有）ハッピィテレコムサービス</t>
  </si>
  <si>
    <t>井上　博巳</t>
  </si>
  <si>
    <t>（合）農林建設</t>
  </si>
  <si>
    <t>宮名利　誠次</t>
  </si>
  <si>
    <t>（株）中広組</t>
  </si>
  <si>
    <t>井元　広士</t>
  </si>
  <si>
    <t>（株）ウメスイ</t>
  </si>
  <si>
    <t>梅田　貴也</t>
  </si>
  <si>
    <t>（有）大野興業</t>
  </si>
  <si>
    <t>大野　芳至朗</t>
  </si>
  <si>
    <t>（株）ＫＡＪＩＷＡＲＡ</t>
  </si>
  <si>
    <t>梶原　孝市</t>
  </si>
  <si>
    <t>菱川設備</t>
  </si>
  <si>
    <t>菱川　幸司郎</t>
  </si>
  <si>
    <t>（株）財津砂利</t>
  </si>
  <si>
    <t>財津　宏和</t>
  </si>
  <si>
    <t>（株）ＳＨＩＮＳＥＩ設備工業</t>
  </si>
  <si>
    <t>野浦　政己</t>
  </si>
  <si>
    <t>（株）中島建設興業</t>
  </si>
  <si>
    <t>中村　裕也</t>
  </si>
  <si>
    <t>（株）ＫＡＫＵＤＯ</t>
  </si>
  <si>
    <t>笠原　健彦</t>
  </si>
  <si>
    <t>（株）実意園</t>
  </si>
  <si>
    <t>河津　初男</t>
  </si>
  <si>
    <t>東豊海事建設（株）</t>
  </si>
  <si>
    <t>（株）立川表具店</t>
  </si>
  <si>
    <t>立川　諭暢</t>
  </si>
  <si>
    <t>（株）和高組</t>
  </si>
  <si>
    <t>高橋　貴洋</t>
  </si>
  <si>
    <t>（株）ダイシン工建</t>
  </si>
  <si>
    <t>四井　信行</t>
  </si>
  <si>
    <t>（株）財津管工</t>
  </si>
  <si>
    <t>財津　好夫</t>
  </si>
  <si>
    <t>（有）辻田建機</t>
  </si>
  <si>
    <t>辻田　兼臣</t>
  </si>
  <si>
    <t>（有）ヒグチ企画</t>
  </si>
  <si>
    <t>樋口　末好</t>
  </si>
  <si>
    <t>瀬立建設（株）</t>
  </si>
  <si>
    <t>瀬立　成弘</t>
  </si>
  <si>
    <t>世紀建設（株）</t>
  </si>
  <si>
    <t>折元　達也</t>
  </si>
  <si>
    <t>（株）成栄設備</t>
  </si>
  <si>
    <t>成久　繁樹</t>
  </si>
  <si>
    <t>（株）アヅマ</t>
  </si>
  <si>
    <t>東村　達也</t>
  </si>
  <si>
    <t>（株）武藤塗装</t>
  </si>
  <si>
    <t>武藤　裕貴</t>
  </si>
  <si>
    <t>浅井　佑太</t>
  </si>
  <si>
    <t>（株）大分エムテック</t>
  </si>
  <si>
    <t>草野　酉男</t>
  </si>
  <si>
    <t>（株）スリーエイチアイ</t>
  </si>
  <si>
    <t>多田建築</t>
  </si>
  <si>
    <t>多田　正信</t>
  </si>
  <si>
    <t>（株）穴井電機</t>
  </si>
  <si>
    <t>穴井　伸一</t>
  </si>
  <si>
    <t>（株）いけ田緑康園</t>
  </si>
  <si>
    <t>池田　康</t>
  </si>
  <si>
    <t>（株）日技</t>
  </si>
  <si>
    <t>川野　健太</t>
  </si>
  <si>
    <t>アンテナサポート（株）</t>
  </si>
  <si>
    <t>志谷　英彦</t>
  </si>
  <si>
    <t>植山土建（株）</t>
  </si>
  <si>
    <t>植山　慎也</t>
  </si>
  <si>
    <t>（株）興生</t>
  </si>
  <si>
    <t>高橋　数史</t>
  </si>
  <si>
    <t>（株）創輝</t>
  </si>
  <si>
    <t>宇留嶋　武</t>
  </si>
  <si>
    <t>（株）川邊組</t>
  </si>
  <si>
    <t>詫磨環境（株）</t>
  </si>
  <si>
    <t>詫磨　康雄</t>
  </si>
  <si>
    <t>（株）豊龍技建</t>
  </si>
  <si>
    <t>板井　雄一郎</t>
  </si>
  <si>
    <t>（株）Ｃ・Ｗ・Ｅ</t>
  </si>
  <si>
    <t>（株）ショウナン</t>
  </si>
  <si>
    <t>石橋　正吾</t>
  </si>
  <si>
    <t>（有）クボタ空調サービス</t>
  </si>
  <si>
    <t>久保田　哲也</t>
  </si>
  <si>
    <t>（株）山功</t>
  </si>
  <si>
    <t>山本　光敏</t>
  </si>
  <si>
    <t>（株）Ｋ’ｓｄｅｓｉｇｎ</t>
  </si>
  <si>
    <t>久保田　哲久</t>
  </si>
  <si>
    <t>（株）ハラハウス</t>
  </si>
  <si>
    <t>（株）エンジェル</t>
  </si>
  <si>
    <t>（有）廣心工業</t>
  </si>
  <si>
    <t>金子　廣士</t>
  </si>
  <si>
    <t>大分環境（株）</t>
  </si>
  <si>
    <t>赤嶺　八代子</t>
  </si>
  <si>
    <t>大晃企画（株）</t>
  </si>
  <si>
    <t>上杉　康彦</t>
  </si>
  <si>
    <t>悠伸建設（株）</t>
  </si>
  <si>
    <t>姫野　伸雄</t>
  </si>
  <si>
    <t>大神電気（株）</t>
  </si>
  <si>
    <t>谷口　敏久</t>
  </si>
  <si>
    <t>（有）豊国産業</t>
  </si>
  <si>
    <t>日名子　啓</t>
  </si>
  <si>
    <t>（株）東陽企画</t>
  </si>
  <si>
    <t>改　光将</t>
  </si>
  <si>
    <t>（有）ふたばの</t>
  </si>
  <si>
    <t>北江　千春</t>
  </si>
  <si>
    <t>いとう住設</t>
  </si>
  <si>
    <t>伊藤　稔</t>
  </si>
  <si>
    <t>（株）正栄建設</t>
  </si>
  <si>
    <t>大友　光正</t>
  </si>
  <si>
    <t>大分ＡＤＫＫ（有）</t>
  </si>
  <si>
    <t>安部　照美</t>
  </si>
  <si>
    <t>（有）真空調設備</t>
  </si>
  <si>
    <t>正福　信二郎</t>
  </si>
  <si>
    <t>（有）玖珠森林開発酒井興産</t>
  </si>
  <si>
    <t>酒井　常隆</t>
  </si>
  <si>
    <t>オルタスクリエイト</t>
  </si>
  <si>
    <t>稙田　秀隆</t>
  </si>
  <si>
    <t>（株）ハシモ住建</t>
  </si>
  <si>
    <t>橋本　貴志</t>
  </si>
  <si>
    <t>（株）藤建興業</t>
  </si>
  <si>
    <t>藤田　一幸</t>
  </si>
  <si>
    <t>（株）エムズプランニング</t>
  </si>
  <si>
    <t>峰野　公徳</t>
  </si>
  <si>
    <t>（株）大和</t>
  </si>
  <si>
    <t>（株）甲斐建築</t>
  </si>
  <si>
    <t>甲斐　聖司</t>
  </si>
  <si>
    <t>大分ペイブメント（株）</t>
  </si>
  <si>
    <t>佐藤　龍美</t>
  </si>
  <si>
    <t>ヤツギ工務店</t>
  </si>
  <si>
    <t>矢次　羊一</t>
  </si>
  <si>
    <t>新宮組（株）</t>
  </si>
  <si>
    <t>新宮　寿洋</t>
  </si>
  <si>
    <t>ニューテクノファースト（株）</t>
  </si>
  <si>
    <t>川野　智史</t>
  </si>
  <si>
    <t>臼杵ケーブルネット（株）</t>
  </si>
  <si>
    <t>佐々木　健太郎</t>
  </si>
  <si>
    <t>ＦＭＳ工業（株）</t>
  </si>
  <si>
    <t>佐藤　公彦</t>
  </si>
  <si>
    <t>（株）サンプラン</t>
  </si>
  <si>
    <t>惠良　政行</t>
  </si>
  <si>
    <t>日本テクニクス（株）</t>
  </si>
  <si>
    <t>甲斐　菜々</t>
  </si>
  <si>
    <t>（株）妃電工</t>
  </si>
  <si>
    <t>大鶴　清寿</t>
  </si>
  <si>
    <t>（株）誉綜合</t>
  </si>
  <si>
    <t>高橋　晴幸</t>
  </si>
  <si>
    <t>かやしま建設（株）</t>
  </si>
  <si>
    <t>萱島　加津也</t>
  </si>
  <si>
    <t>明大工業（株）</t>
  </si>
  <si>
    <t>藤澤　正浩</t>
  </si>
  <si>
    <t>（株）佐倉建設</t>
  </si>
  <si>
    <t>佐倉　隆広</t>
  </si>
  <si>
    <t>田村　憲治</t>
  </si>
  <si>
    <t>（株）サンダイヤプロ</t>
  </si>
  <si>
    <t>高村　智史</t>
  </si>
  <si>
    <t>（株）藤倉</t>
  </si>
  <si>
    <t>後藤　賢治</t>
  </si>
  <si>
    <t>（株）タクシステム</t>
  </si>
  <si>
    <t>多久島　昌弥</t>
  </si>
  <si>
    <t>（株）川田住宅機器工業所</t>
  </si>
  <si>
    <t>川田　烈</t>
  </si>
  <si>
    <t>（株）親和電設</t>
  </si>
  <si>
    <t>大星電工（株）</t>
  </si>
  <si>
    <t>大星　浩昭</t>
  </si>
  <si>
    <t>（株）成建工業</t>
  </si>
  <si>
    <t>小野　成久</t>
  </si>
  <si>
    <t>（株）太陽</t>
  </si>
  <si>
    <t>（株）北部建設</t>
  </si>
  <si>
    <t>熊谷　由美</t>
  </si>
  <si>
    <t>大海建設</t>
  </si>
  <si>
    <t>大海　一平</t>
  </si>
  <si>
    <t>（株）スマート建築</t>
  </si>
  <si>
    <t>鶴田　和子</t>
  </si>
  <si>
    <t>（株）テクノライン</t>
  </si>
  <si>
    <t>田中　竜樹</t>
  </si>
  <si>
    <t>小野電設（株）</t>
  </si>
  <si>
    <t>小野　圭太</t>
  </si>
  <si>
    <t>（株）ケーエヌ</t>
  </si>
  <si>
    <t>（株）テイクス宏和</t>
  </si>
  <si>
    <t>時田　丈</t>
  </si>
  <si>
    <t>大樹建設工業（有）</t>
  </si>
  <si>
    <t>藥師寺　信也</t>
  </si>
  <si>
    <t>（株）Ｓａｋｕｒａ</t>
  </si>
  <si>
    <t>大翔工業（株）</t>
  </si>
  <si>
    <t>瀬口　裕樹</t>
  </si>
  <si>
    <t>木津電気工事（株）</t>
  </si>
  <si>
    <t>木津　隆範</t>
  </si>
  <si>
    <t>（株）誠工</t>
  </si>
  <si>
    <t>小野　誠</t>
  </si>
  <si>
    <t>（株）やすらぎ美装</t>
  </si>
  <si>
    <t>高野　和水</t>
  </si>
  <si>
    <t>（株）ＡＲＤＡ</t>
  </si>
  <si>
    <t>伊藤　等</t>
  </si>
  <si>
    <t>（有）後藤製材所</t>
  </si>
  <si>
    <t>賀籠六　尚樹</t>
  </si>
  <si>
    <t>（株）クリアード</t>
  </si>
  <si>
    <t>江口　功</t>
  </si>
  <si>
    <t>（株）フジケン</t>
  </si>
  <si>
    <t>加藤　哲雄</t>
  </si>
  <si>
    <t>（株）ＰＡＳ</t>
  </si>
  <si>
    <t>白石　浩章</t>
  </si>
  <si>
    <t>大志土木工業（株）</t>
  </si>
  <si>
    <t>橋本　真樹</t>
  </si>
  <si>
    <t>（株）杉田建設</t>
  </si>
  <si>
    <t>シビルワークス（株）</t>
  </si>
  <si>
    <t>長久　美香</t>
  </si>
  <si>
    <t>（有）カミテック</t>
  </si>
  <si>
    <t>神野　隆輝</t>
  </si>
  <si>
    <t>徳丸設備（株）</t>
  </si>
  <si>
    <t>（株）ブライテック</t>
  </si>
  <si>
    <t>植木　清文</t>
  </si>
  <si>
    <t>（株）明成技建</t>
  </si>
  <si>
    <t>倉原　明</t>
  </si>
  <si>
    <t>（株）フォーアース</t>
  </si>
  <si>
    <t>深野　和広</t>
  </si>
  <si>
    <t>ユーホームテック</t>
  </si>
  <si>
    <t>吉水　裕也</t>
  </si>
  <si>
    <t>（株）ＳＳ・ＴＥＣＨ</t>
  </si>
  <si>
    <t>三浦　知美</t>
  </si>
  <si>
    <t>煌榮建設工業（株）</t>
  </si>
  <si>
    <t>佐藤　治城</t>
  </si>
  <si>
    <t>（株）有川総合企画</t>
  </si>
  <si>
    <t>有川　一秀</t>
  </si>
  <si>
    <t>矢野電気工事店</t>
  </si>
  <si>
    <t>矢野　昭生</t>
  </si>
  <si>
    <t>（株）田邉興業</t>
  </si>
  <si>
    <t>田邉　広大</t>
  </si>
  <si>
    <t>大瑛工業（株）</t>
  </si>
  <si>
    <t>大石　聡</t>
  </si>
  <si>
    <t>（株）関志</t>
  </si>
  <si>
    <t>相馬　敦志</t>
  </si>
  <si>
    <t>（株）増田組</t>
  </si>
  <si>
    <t>増田　信</t>
  </si>
  <si>
    <t>（有）みえの装美</t>
  </si>
  <si>
    <t>三重野　修二</t>
  </si>
  <si>
    <t>ＴＡＴＳＵ（株）</t>
  </si>
  <si>
    <t>藤谷　万造</t>
  </si>
  <si>
    <t>藤原設備</t>
  </si>
  <si>
    <t>藤原　勇一</t>
  </si>
  <si>
    <t>（株）日昇建設</t>
  </si>
  <si>
    <t>手嶋　智彦</t>
  </si>
  <si>
    <t>河野　章</t>
  </si>
  <si>
    <t>（株）幸栄</t>
  </si>
  <si>
    <t>小野　栄一</t>
  </si>
  <si>
    <t>アースネクサス（株）</t>
  </si>
  <si>
    <t>宮脇　惠子</t>
  </si>
  <si>
    <t>羽大建設（株）</t>
  </si>
  <si>
    <t>中原　茂樹</t>
  </si>
  <si>
    <t>優希（株）</t>
  </si>
  <si>
    <t>江藤　広宣</t>
  </si>
  <si>
    <t>Ｋ’Ｓファクトリー（株）</t>
  </si>
  <si>
    <t>小野　和仁</t>
  </si>
  <si>
    <t>（有）アスカ不動産建設</t>
  </si>
  <si>
    <t>後藤　辰也</t>
  </si>
  <si>
    <t>安東技建（株）</t>
  </si>
  <si>
    <t>安東　将悟</t>
  </si>
  <si>
    <t>（株）田口電設</t>
  </si>
  <si>
    <t>田口　靖則</t>
  </si>
  <si>
    <t>（株）守末エンジニアリング</t>
  </si>
  <si>
    <t>河野　昭徳</t>
  </si>
  <si>
    <t>（有）西谷防災設備</t>
  </si>
  <si>
    <t>（株）栗林工業</t>
  </si>
  <si>
    <t>栗林　正秀</t>
  </si>
  <si>
    <t>（有）ブループランニング</t>
  </si>
  <si>
    <t>渡邊　博文</t>
  </si>
  <si>
    <t>（株）実郷工業</t>
  </si>
  <si>
    <t>（株）よしい塗装</t>
  </si>
  <si>
    <t>芳井　将綱</t>
  </si>
  <si>
    <t>（株）河本建設工業</t>
  </si>
  <si>
    <t>河本　真吾</t>
  </si>
  <si>
    <t>（株）佐藤電工社</t>
  </si>
  <si>
    <t>佐藤　龍太朗</t>
  </si>
  <si>
    <t>（株）コーボウ設備工業</t>
  </si>
  <si>
    <t>鶴原　一正</t>
  </si>
  <si>
    <t>（株）幸原建設</t>
  </si>
  <si>
    <t>糸永　邦章</t>
  </si>
  <si>
    <t>公電社</t>
  </si>
  <si>
    <t>津田　公人</t>
  </si>
  <si>
    <t>（株）トシン</t>
  </si>
  <si>
    <t>野口　淳</t>
  </si>
  <si>
    <t>（株）小畑建設工業</t>
  </si>
  <si>
    <t>小畑　鉄平</t>
  </si>
  <si>
    <t>（株）共翔</t>
  </si>
  <si>
    <t>工藤　洋三</t>
  </si>
  <si>
    <t>（株）ＥＶＯ</t>
  </si>
  <si>
    <t>上原　使徒明</t>
  </si>
  <si>
    <t>（株）宮本商事</t>
  </si>
  <si>
    <t>（株）米野電設</t>
  </si>
  <si>
    <t>米野　裕治</t>
  </si>
  <si>
    <t>（株）都電工</t>
  </si>
  <si>
    <t>高司　学</t>
  </si>
  <si>
    <t>新征工業（株）</t>
  </si>
  <si>
    <t>佐藤　征史</t>
  </si>
  <si>
    <t>（株）五島エレベーター</t>
  </si>
  <si>
    <t>松田　公一</t>
  </si>
  <si>
    <t>（株）保月電設工業</t>
  </si>
  <si>
    <t>古園　晃嗣</t>
  </si>
  <si>
    <t>（株）日隈電工</t>
  </si>
  <si>
    <t>日隈　英二</t>
  </si>
  <si>
    <t>（株）板井組</t>
  </si>
  <si>
    <t>板井　浩三</t>
  </si>
  <si>
    <t>前田興業（株）</t>
  </si>
  <si>
    <t>前田　長久</t>
  </si>
  <si>
    <t>（株）ＳＫＹ電設</t>
  </si>
  <si>
    <t>八坂　憲一</t>
  </si>
  <si>
    <t>（株）ミヨシ電設</t>
  </si>
  <si>
    <t>三好　伸宏</t>
  </si>
  <si>
    <t>勇真建設工業（株）</t>
  </si>
  <si>
    <t>稲吉　真二</t>
  </si>
  <si>
    <t>翼工業（株）</t>
  </si>
  <si>
    <t>原田　光市</t>
  </si>
  <si>
    <t>ＳＯＵＤＡＩトップ（株）</t>
  </si>
  <si>
    <t>秦野　太輔</t>
  </si>
  <si>
    <t>武田電気（株）</t>
  </si>
  <si>
    <t>武田　孝一</t>
  </si>
  <si>
    <t>かわせみ土木（株）</t>
  </si>
  <si>
    <t>柴田　滿春</t>
  </si>
  <si>
    <t>古谷　充</t>
  </si>
  <si>
    <t>（株）星野建設工業</t>
  </si>
  <si>
    <t>星野　涼</t>
  </si>
  <si>
    <t>（有）龍成工業</t>
  </si>
  <si>
    <t>後藤　聡</t>
  </si>
  <si>
    <t>（株）太虎</t>
  </si>
  <si>
    <t>田原　宗一</t>
  </si>
  <si>
    <t>（株）ウエダ</t>
  </si>
  <si>
    <t>植田　浩将</t>
  </si>
  <si>
    <t>（株）エム・ケーライン</t>
  </si>
  <si>
    <t>軸丸　一夫</t>
  </si>
  <si>
    <t>西日本土木（株）</t>
  </si>
  <si>
    <t>（株）佐保建設工業</t>
  </si>
  <si>
    <t>佐保　裕士</t>
  </si>
  <si>
    <t>由見　博幸</t>
  </si>
  <si>
    <t>（株）朋成工業</t>
  </si>
  <si>
    <t>小田　朋春</t>
  </si>
  <si>
    <t>（株）オオノ</t>
  </si>
  <si>
    <t>大野　雄樹</t>
  </si>
  <si>
    <t>（株）エーアール</t>
  </si>
  <si>
    <t>尾上　昭宏</t>
  </si>
  <si>
    <t>（株）Ｅ・Ｉ</t>
  </si>
  <si>
    <t>江藤　明</t>
  </si>
  <si>
    <t>（株）大分フェンス</t>
  </si>
  <si>
    <t>大野　美鈴</t>
  </si>
  <si>
    <t>（株）高倉塗装</t>
  </si>
  <si>
    <t>高倉　光男</t>
  </si>
  <si>
    <t>（株）塗装工事佐藤組</t>
  </si>
  <si>
    <t>（株）サンリツ</t>
  </si>
  <si>
    <t>野村　健三</t>
  </si>
  <si>
    <t>ＤＥＣ（株）</t>
  </si>
  <si>
    <t>竜田　幸樹</t>
  </si>
  <si>
    <t>（株）大成土建</t>
  </si>
  <si>
    <t>（株）ユーショウ</t>
  </si>
  <si>
    <t>今井　省三</t>
  </si>
  <si>
    <t>（株）ＳＡＴＡＫＥコーポレーション</t>
  </si>
  <si>
    <t>神田　尚人</t>
  </si>
  <si>
    <t>（株）かえで</t>
  </si>
  <si>
    <t>秋山　美幸</t>
  </si>
  <si>
    <t>豊後設備（株）</t>
  </si>
  <si>
    <t>本田　薫</t>
  </si>
  <si>
    <t>（株）綜建</t>
  </si>
  <si>
    <t>伊藤　亜希子</t>
  </si>
  <si>
    <t>（株）朝陽</t>
  </si>
  <si>
    <t>大山　康之</t>
  </si>
  <si>
    <t>（株）いろは建築技巧</t>
  </si>
  <si>
    <t>植山　拓也</t>
  </si>
  <si>
    <t>（株）草野建設工業</t>
  </si>
  <si>
    <t>草野　隆一郎</t>
  </si>
  <si>
    <t>玖珠ボーリング工業（株）</t>
  </si>
  <si>
    <t>野川　裕次郎</t>
  </si>
  <si>
    <t>（有）佐藤重機工業</t>
  </si>
  <si>
    <t>佐藤　龍次</t>
  </si>
  <si>
    <t>（株）河野住建</t>
  </si>
  <si>
    <t>河野　満夫</t>
  </si>
  <si>
    <t>（株）中尾工務店</t>
  </si>
  <si>
    <t>中尾　光生</t>
  </si>
  <si>
    <t>藤原　和也</t>
  </si>
  <si>
    <t>（株）弘栄</t>
  </si>
  <si>
    <t>室屋　里美</t>
  </si>
  <si>
    <t>（株）ヤマト緑化</t>
  </si>
  <si>
    <t>平興業（有）</t>
  </si>
  <si>
    <t>平山　香</t>
  </si>
  <si>
    <t>（株）ミギワ</t>
  </si>
  <si>
    <t>平野　かな女</t>
  </si>
  <si>
    <t>（株）サカイ</t>
  </si>
  <si>
    <t>（有）セーライト</t>
  </si>
  <si>
    <t>黒土　かおり</t>
  </si>
  <si>
    <t>谷川建設工業（株）</t>
  </si>
  <si>
    <t>谷川　憲一</t>
  </si>
  <si>
    <t>（株）藤建工業</t>
  </si>
  <si>
    <t>和田　和幸</t>
  </si>
  <si>
    <t>（株）ＭＡＴＳＵＤＡ</t>
  </si>
  <si>
    <t>松田　要助</t>
  </si>
  <si>
    <t>（株）花牟礼冷設</t>
  </si>
  <si>
    <t>伊藤　真一郎</t>
  </si>
  <si>
    <t>（株）ぶんごシステム建設工業</t>
  </si>
  <si>
    <t>中野　満</t>
  </si>
  <si>
    <t>（株）堀建設工業</t>
  </si>
  <si>
    <t>堀　敬三</t>
  </si>
  <si>
    <t>（株）河村設備</t>
  </si>
  <si>
    <t>河村　康詳</t>
  </si>
  <si>
    <t>（株）幸栄住建</t>
  </si>
  <si>
    <t>（株）寿．</t>
  </si>
  <si>
    <t>森崎　高吉</t>
  </si>
  <si>
    <t>（株）グリーンハウスやよい</t>
  </si>
  <si>
    <t>工藤　泰正</t>
  </si>
  <si>
    <t>九幸技建（株）</t>
  </si>
  <si>
    <t>藤原　英子</t>
  </si>
  <si>
    <t>（株）サトウ重建</t>
  </si>
  <si>
    <t>佐藤　將仁</t>
  </si>
  <si>
    <t>ティ・エス</t>
  </si>
  <si>
    <t>須河内　由利子</t>
  </si>
  <si>
    <t>輝一建設（株）</t>
  </si>
  <si>
    <t>植山　芳里</t>
  </si>
  <si>
    <t>（株）天峰警備</t>
  </si>
  <si>
    <t>三又　涼</t>
  </si>
  <si>
    <t>（株）嶋川電気</t>
  </si>
  <si>
    <t>嶋川　圭一</t>
  </si>
  <si>
    <t>愛頼工業（株）</t>
  </si>
  <si>
    <t>船瀬　知巳</t>
  </si>
  <si>
    <t>（株）橋口電工</t>
  </si>
  <si>
    <t>橋口　英治</t>
  </si>
  <si>
    <t>（株）エイコウ技建</t>
  </si>
  <si>
    <t>伊東　裕二</t>
  </si>
  <si>
    <t>新成クリアート（株）</t>
  </si>
  <si>
    <t>西村　勝吾</t>
  </si>
  <si>
    <t>（株）エースライン</t>
  </si>
  <si>
    <t>伊藤　敦人</t>
  </si>
  <si>
    <t>（株）住いるリノベーション</t>
  </si>
  <si>
    <t>赤嶺　竜</t>
  </si>
  <si>
    <t>（株）サンケイプランニング</t>
  </si>
  <si>
    <t>佐藤　秀吉</t>
  </si>
  <si>
    <t>（有）光徳石材</t>
  </si>
  <si>
    <t>水野　裕司</t>
  </si>
  <si>
    <t>あすか工業</t>
  </si>
  <si>
    <t>吉田　孝弘</t>
  </si>
  <si>
    <t>エルテック（株）</t>
  </si>
  <si>
    <t>小森　淳礼</t>
  </si>
  <si>
    <t>泥谷総建</t>
  </si>
  <si>
    <t>泥谷　知博</t>
  </si>
  <si>
    <t>ホウシュウ（合）</t>
  </si>
  <si>
    <t>渡邉　忠</t>
  </si>
  <si>
    <t>清末塗装（株）</t>
  </si>
  <si>
    <t>清末　雄治</t>
  </si>
  <si>
    <t>（株）別大建交</t>
  </si>
  <si>
    <t>二宮　尚弥</t>
  </si>
  <si>
    <t>（株）ネオマルス</t>
  </si>
  <si>
    <t>甲斐　武彦</t>
  </si>
  <si>
    <t>（株）ダイコー</t>
  </si>
  <si>
    <t>高橋　智和</t>
  </si>
  <si>
    <t>（株）ＯＫＰ</t>
  </si>
  <si>
    <t>小野　真人</t>
  </si>
  <si>
    <t>（株）吉栄</t>
  </si>
  <si>
    <t>吉良　和樹</t>
  </si>
  <si>
    <t>（株）ＫＳ電工</t>
  </si>
  <si>
    <t>瀧石　幸治</t>
  </si>
  <si>
    <t>（株）下原造園</t>
  </si>
  <si>
    <t>（株）明</t>
  </si>
  <si>
    <t>秋吉　万里子</t>
  </si>
  <si>
    <t>（株）長谷部内装</t>
  </si>
  <si>
    <t>長谷部　誠</t>
  </si>
  <si>
    <t>（株）アライブ</t>
  </si>
  <si>
    <t>田坂　洋二</t>
  </si>
  <si>
    <t>（株）石鎚</t>
  </si>
  <si>
    <t>田中　茂雄</t>
  </si>
  <si>
    <t>（株）ＣＯＳＴ</t>
  </si>
  <si>
    <t>森山　俊明</t>
  </si>
  <si>
    <t>岡部建設（株）</t>
  </si>
  <si>
    <t>岡部　晃太郎</t>
  </si>
  <si>
    <t>（株）オーエヌプラマー</t>
  </si>
  <si>
    <t>小野　信男</t>
  </si>
  <si>
    <t>（株）大分防犯サービス</t>
  </si>
  <si>
    <t>田邉　スミ子</t>
  </si>
  <si>
    <t>（株）渋谷建設</t>
  </si>
  <si>
    <t>渋谷　房徳</t>
  </si>
  <si>
    <t>（株）ウエダ電気工事</t>
  </si>
  <si>
    <t>上田　潤</t>
  </si>
  <si>
    <t>（株）グッドリメイク</t>
  </si>
  <si>
    <t>山城　祐一</t>
  </si>
  <si>
    <t>（株）共同組合建設</t>
  </si>
  <si>
    <t>佐藤　学</t>
  </si>
  <si>
    <t>（株）山本屋</t>
  </si>
  <si>
    <t>山本　裕一</t>
  </si>
  <si>
    <t>ゴードービジネスマシン（株）</t>
  </si>
  <si>
    <t>小野　敬一</t>
  </si>
  <si>
    <t>（株）ＭＩＹＡＧＡＷＡ</t>
  </si>
  <si>
    <t>宮川　昌之</t>
  </si>
  <si>
    <t>（株）ＴＳサービス</t>
  </si>
  <si>
    <t>伊藤　真也</t>
  </si>
  <si>
    <t>ＬＡＮＣＥ（株）</t>
  </si>
  <si>
    <t>中島　薫平</t>
  </si>
  <si>
    <t>Ｋａｚｕ建設工房（株）</t>
  </si>
  <si>
    <t>工藤　和幸</t>
  </si>
  <si>
    <t>樋口　範昭</t>
  </si>
  <si>
    <t>中村　康二</t>
  </si>
  <si>
    <t>（株）マルハチ</t>
  </si>
  <si>
    <t>田中　精一</t>
  </si>
  <si>
    <t>（株）田北総業</t>
  </si>
  <si>
    <t>田北　成美</t>
  </si>
  <si>
    <t>フジグロース（株）</t>
  </si>
  <si>
    <t>藤井　順二</t>
  </si>
  <si>
    <t>（株）大航</t>
  </si>
  <si>
    <t>大石　智</t>
  </si>
  <si>
    <t>Ｍ’ｓワークス（株）</t>
  </si>
  <si>
    <t>長久　雅寿</t>
  </si>
  <si>
    <t>大城　貴之</t>
  </si>
  <si>
    <t>安藤総合設備（株）</t>
  </si>
  <si>
    <t>安藤　征崇</t>
  </si>
  <si>
    <t>大岩電工（株）</t>
  </si>
  <si>
    <t>（株）甲斐塗装</t>
  </si>
  <si>
    <t>（株）幸慎工業</t>
  </si>
  <si>
    <t>小園　広幸</t>
  </si>
  <si>
    <t>（株）中成工業</t>
  </si>
  <si>
    <t>中尾　誠二</t>
  </si>
  <si>
    <t>（株）常磐マリンサービス</t>
  </si>
  <si>
    <t>中村　義久</t>
  </si>
  <si>
    <t>（株）纏三矢</t>
  </si>
  <si>
    <t>（株）プリムローズ</t>
  </si>
  <si>
    <t>伊藤　辰也</t>
  </si>
  <si>
    <t>マルゲン（株）</t>
  </si>
  <si>
    <t>ムラカミ（株）</t>
  </si>
  <si>
    <t>村上　敬之</t>
  </si>
  <si>
    <t>（株）ＴＲ設備工業</t>
  </si>
  <si>
    <t>中和田　崇</t>
  </si>
  <si>
    <t>明聖（株）</t>
  </si>
  <si>
    <t>萩　明</t>
  </si>
  <si>
    <t>（株）Ａｄｖａｎｃｅ</t>
  </si>
  <si>
    <t>岩田　由紀</t>
  </si>
  <si>
    <t>（株）ｙｕｋｉテック</t>
  </si>
  <si>
    <t>藤富　ヨシ子</t>
  </si>
  <si>
    <t>（株）マルヨシ建築</t>
  </si>
  <si>
    <t>原田　紀義</t>
  </si>
  <si>
    <t>（株）ＹＳＴ</t>
  </si>
  <si>
    <t>河野　義人</t>
  </si>
  <si>
    <t>（株）清華工業</t>
  </si>
  <si>
    <t>岩下　孝</t>
  </si>
  <si>
    <t>（株）ＳＰカンパニー</t>
  </si>
  <si>
    <t>（株）シシリアン</t>
  </si>
  <si>
    <t>安部　祐治</t>
  </si>
  <si>
    <t>（合）ＲＹＯＷＡ</t>
  </si>
  <si>
    <t>古賀　正和</t>
  </si>
  <si>
    <t>（株）イシケン建設工業</t>
  </si>
  <si>
    <t>長田　和美</t>
  </si>
  <si>
    <t>（有）サイガングリーンアース</t>
  </si>
  <si>
    <t>西願　哲</t>
  </si>
  <si>
    <t>ＫＯＷＡ（株）</t>
  </si>
  <si>
    <t>戸上　幸政</t>
  </si>
  <si>
    <t>日田総合ハウス（株）</t>
  </si>
  <si>
    <t>綿貫　賢太郎</t>
  </si>
  <si>
    <t>（株）晟建設工業</t>
  </si>
  <si>
    <t>上田　誠</t>
  </si>
  <si>
    <t>Ｙ＆Ｅ企画（株）</t>
  </si>
  <si>
    <t>平沼　陽佑</t>
  </si>
  <si>
    <t>（株）オクノ</t>
  </si>
  <si>
    <t>奥野　晃</t>
  </si>
  <si>
    <t>（合）Ｉｎｄｕｌｇｅｎｃｅ</t>
  </si>
  <si>
    <t>（株）緑加オンワード</t>
  </si>
  <si>
    <t>加納　英明</t>
  </si>
  <si>
    <t>（株）東部開発</t>
  </si>
  <si>
    <t>首藤　聖司</t>
  </si>
  <si>
    <t>（株）内尾設備</t>
  </si>
  <si>
    <t>内尾　正信</t>
  </si>
  <si>
    <t>（有）未来リペア建設</t>
  </si>
  <si>
    <t>（株）アイビーユー</t>
  </si>
  <si>
    <t>悠洗浄設備（株）</t>
  </si>
  <si>
    <t>高橋　信人</t>
  </si>
  <si>
    <t>（株）藤田組</t>
  </si>
  <si>
    <t>藤田　誠治</t>
  </si>
  <si>
    <t>（株）ユクテック</t>
  </si>
  <si>
    <t>石川　ヌルザーダ</t>
  </si>
  <si>
    <t>（有）協和建設</t>
  </si>
  <si>
    <t>伊達　智彦</t>
  </si>
  <si>
    <t>（有）城康電設</t>
  </si>
  <si>
    <t>小野　賀也</t>
  </si>
  <si>
    <t>（株）武実</t>
  </si>
  <si>
    <t>宇留嶋　美弥</t>
  </si>
  <si>
    <t>（株）基源</t>
  </si>
  <si>
    <t>木元　豊子</t>
  </si>
  <si>
    <t>（株）将真建工</t>
  </si>
  <si>
    <t>（株）ダイマル創建</t>
  </si>
  <si>
    <t>丸尾　健二</t>
  </si>
  <si>
    <t>佐田電工</t>
  </si>
  <si>
    <t>佐田　秀信</t>
  </si>
  <si>
    <t>（株）和高開発</t>
  </si>
  <si>
    <t>高橋　敏秋</t>
  </si>
  <si>
    <t>（一財）杵築市総合振興センター</t>
  </si>
  <si>
    <t>真砂　矩男</t>
  </si>
  <si>
    <t>（株）ミナミ</t>
  </si>
  <si>
    <t>南浴　裕實</t>
  </si>
  <si>
    <t>（株）瀧建設</t>
  </si>
  <si>
    <t>瀧　慎太郎</t>
  </si>
  <si>
    <t>環境工研（株）</t>
  </si>
  <si>
    <t>大島　吉博</t>
  </si>
  <si>
    <t>（有）青葉建設</t>
  </si>
  <si>
    <t>宇野　豪</t>
  </si>
  <si>
    <t>豊建設工業（株）</t>
  </si>
  <si>
    <t>梶原　雄一</t>
  </si>
  <si>
    <t>トキワ電気工事（株）</t>
  </si>
  <si>
    <t>入江　英時</t>
  </si>
  <si>
    <t>（株）菅組</t>
  </si>
  <si>
    <t>堤　俊之</t>
  </si>
  <si>
    <t>梅林建設（株）</t>
  </si>
  <si>
    <t>朝日工業テクノス（株）</t>
  </si>
  <si>
    <t>（株）佐伯建設</t>
  </si>
  <si>
    <t>川崎　栄一</t>
  </si>
  <si>
    <t>川原興業（株）</t>
  </si>
  <si>
    <t>鬼塚電気工事（株）</t>
  </si>
  <si>
    <t>尾野　文俊</t>
  </si>
  <si>
    <t>（株）大日</t>
  </si>
  <si>
    <t>宇野　浩一</t>
  </si>
  <si>
    <t>大和ボーリング工業（株）</t>
  </si>
  <si>
    <t>松藤　敏彦</t>
  </si>
  <si>
    <t>（株）ティー・シージャパン</t>
  </si>
  <si>
    <t>阿部　誠</t>
  </si>
  <si>
    <t>（株）ナガノ</t>
  </si>
  <si>
    <t>長野　定生</t>
  </si>
  <si>
    <t>ケント工業（株）</t>
  </si>
  <si>
    <t>小島　清子</t>
  </si>
  <si>
    <t>（株）ながそえ</t>
  </si>
  <si>
    <t>永添　豊治</t>
  </si>
  <si>
    <t>（株）アイビック</t>
  </si>
  <si>
    <t>太田　真司</t>
  </si>
  <si>
    <t>豊南電工（株）</t>
  </si>
  <si>
    <t>古家　哲生</t>
  </si>
  <si>
    <t>（株）サンオブサンエージェンシー</t>
  </si>
  <si>
    <t>井上　龍三</t>
  </si>
  <si>
    <t>三信産業（株）</t>
  </si>
  <si>
    <t>大野　真人</t>
  </si>
  <si>
    <t>（株）重松組</t>
  </si>
  <si>
    <t>重松　達也</t>
  </si>
  <si>
    <t>日本設備工業（株）</t>
  </si>
  <si>
    <t>森田建設（株）</t>
  </si>
  <si>
    <t>大山　繁久</t>
  </si>
  <si>
    <t>（株）ベツダイ</t>
  </si>
  <si>
    <t>矢邉　弘</t>
  </si>
  <si>
    <t>（株）大分サービス</t>
  </si>
  <si>
    <t>志堂寺　修</t>
  </si>
  <si>
    <t>（株）九州体育施設</t>
  </si>
  <si>
    <t>頓宮　正敏</t>
  </si>
  <si>
    <t>（株）高山組</t>
  </si>
  <si>
    <t>高山　茂明</t>
  </si>
  <si>
    <t>（株）新家工業</t>
  </si>
  <si>
    <t>（株）昇栄</t>
  </si>
  <si>
    <t>九工建設（株）</t>
  </si>
  <si>
    <t>佐藤　敬輔</t>
  </si>
  <si>
    <t>（株）吉野</t>
  </si>
  <si>
    <t>吉野　政利</t>
  </si>
  <si>
    <t>（株）誠建設</t>
  </si>
  <si>
    <t>（株）臼杵鋼鈑工業所</t>
  </si>
  <si>
    <t>加嶋　久嗣</t>
  </si>
  <si>
    <t>建設業許可番号</t>
    <rPh sb="0" eb="3">
      <t>ケンセツギョウ</t>
    </rPh>
    <rPh sb="3" eb="5">
      <t>キョカ</t>
    </rPh>
    <rPh sb="5" eb="7">
      <t>バンゴウ</t>
    </rPh>
    <phoneticPr fontId="2"/>
  </si>
  <si>
    <t>※住所の２１文字目以降</t>
    <rPh sb="1" eb="3">
      <t>ジュウショ</t>
    </rPh>
    <rPh sb="6" eb="8">
      <t>モジ</t>
    </rPh>
    <rPh sb="8" eb="9">
      <t>メ</t>
    </rPh>
    <rPh sb="9" eb="11">
      <t>イコウ</t>
    </rPh>
    <phoneticPr fontId="2"/>
  </si>
  <si>
    <t>※住所の２１文字目以降</t>
    <phoneticPr fontId="2"/>
  </si>
  <si>
    <t>契約書等への反映情報</t>
    <rPh sb="0" eb="3">
      <t>ケイヤクショ</t>
    </rPh>
    <rPh sb="3" eb="4">
      <t>トウ</t>
    </rPh>
    <rPh sb="6" eb="8">
      <t>ハンエイ</t>
    </rPh>
    <rPh sb="8" eb="10">
      <t>ジョウホウ</t>
    </rPh>
    <phoneticPr fontId="2"/>
  </si>
  <si>
    <t>建設業許可番号（数字のみ）</t>
    <rPh sb="0" eb="3">
      <t>ケンセツギョウ</t>
    </rPh>
    <rPh sb="3" eb="5">
      <t>キョカ</t>
    </rPh>
    <rPh sb="5" eb="7">
      <t>バンゴウ</t>
    </rPh>
    <rPh sb="8" eb="10">
      <t>スウジ</t>
    </rPh>
    <phoneticPr fontId="2"/>
  </si>
  <si>
    <t>■</t>
    <phoneticPr fontId="2"/>
  </si>
  <si>
    <t>□</t>
    <phoneticPr fontId="2"/>
  </si>
  <si>
    <t>作業内容
の有無</t>
    <phoneticPr fontId="2"/>
  </si>
  <si>
    <t>手作業</t>
  </si>
  <si>
    <t>手作業・機械作業の併用</t>
  </si>
  <si>
    <t>併用の場合の理由</t>
    <rPh sb="0" eb="2">
      <t>ヘイヨウ</t>
    </rPh>
    <rPh sb="3" eb="5">
      <t>バアイ</t>
    </rPh>
    <rPh sb="6" eb="8">
      <t>リユウ</t>
    </rPh>
    <phoneticPr fontId="2"/>
  </si>
  <si>
    <t>建築設備・内装材等</t>
    <phoneticPr fontId="2"/>
  </si>
  <si>
    <t>の取り外し</t>
    <phoneticPr fontId="2"/>
  </si>
  <si>
    <t>の取り壊し</t>
    <phoneticPr fontId="2"/>
  </si>
  <si>
    <t>外装材・上部構造</t>
    <phoneticPr fontId="2"/>
  </si>
  <si>
    <t>部分の取り壊し</t>
    <phoneticPr fontId="2"/>
  </si>
  <si>
    <t>構造部分</t>
    <phoneticPr fontId="2"/>
  </si>
  <si>
    <t>外装材・上部</t>
    <phoneticPr fontId="2"/>
  </si>
  <si>
    <t>基礎・基礎ぐいの工事</t>
    <phoneticPr fontId="2"/>
  </si>
  <si>
    <t>屋根ふき材の取り外し</t>
    <phoneticPr fontId="2"/>
  </si>
  <si>
    <t>上部構造部分・</t>
    <phoneticPr fontId="2"/>
  </si>
  <si>
    <t>外装の工事</t>
    <phoneticPr fontId="2"/>
  </si>
  <si>
    <t>内装等の工事</t>
    <phoneticPr fontId="2"/>
  </si>
  <si>
    <t>※色つきセルに入力してください。</t>
    <rPh sb="1" eb="2">
      <t>イロ</t>
    </rPh>
    <rPh sb="7" eb="9">
      <t>ニュウリョク</t>
    </rPh>
    <phoneticPr fontId="2"/>
  </si>
  <si>
    <t>※左の表に直接記入してください</t>
    <rPh sb="1" eb="2">
      <t>ヒダリ</t>
    </rPh>
    <rPh sb="3" eb="4">
      <t>ヒョウ</t>
    </rPh>
    <rPh sb="5" eb="7">
      <t>チョクセツ</t>
    </rPh>
    <rPh sb="7" eb="9">
      <t>キニュウ</t>
    </rPh>
    <phoneticPr fontId="2"/>
  </si>
  <si>
    <r>
      <t>【国交省・建設業者検索システム掲載情報】</t>
    </r>
    <r>
      <rPr>
        <sz val="8"/>
        <color theme="1"/>
        <rFont val="BIZ UDゴシック"/>
        <family val="3"/>
        <charset val="128"/>
      </rPr>
      <t>※大分県内に本社・営業所がある業者のみ</t>
    </r>
    <rPh sb="1" eb="4">
      <t>コッコウショウ</t>
    </rPh>
    <rPh sb="5" eb="8">
      <t>ケンセツギョウ</t>
    </rPh>
    <rPh sb="8" eb="9">
      <t>シャ</t>
    </rPh>
    <rPh sb="9" eb="11">
      <t>ケンサク</t>
    </rPh>
    <rPh sb="15" eb="17">
      <t>ケイサイ</t>
    </rPh>
    <rPh sb="17" eb="19">
      <t>ジョウホウ</t>
    </rPh>
    <rPh sb="26" eb="28">
      <t>ホンシャ</t>
    </rPh>
    <rPh sb="29" eb="32">
      <t>エイギョウショ</t>
    </rPh>
    <phoneticPr fontId="2"/>
  </si>
  <si>
    <t>住所</t>
    <rPh sb="0" eb="2">
      <t>ジュウショ</t>
    </rPh>
    <phoneticPr fontId="2"/>
  </si>
  <si>
    <t>代表者氏名</t>
    <rPh sb="0" eb="3">
      <t>ダイヒョウシャ</t>
    </rPh>
    <rPh sb="3" eb="5">
      <t>シメイ</t>
    </rPh>
    <phoneticPr fontId="2"/>
  </si>
  <si>
    <r>
      <t>【国交省・建設業者検索システム掲載情報】</t>
    </r>
    <r>
      <rPr>
        <sz val="8"/>
        <color theme="0"/>
        <rFont val="BIZ UDゴシック"/>
        <family val="3"/>
        <charset val="128"/>
      </rPr>
      <t>※大分県内に本社・営業所がある業者のみ</t>
    </r>
    <phoneticPr fontId="2"/>
  </si>
  <si>
    <t>㊞</t>
    <phoneticPr fontId="2"/>
  </si>
  <si>
    <t>前払金について</t>
    <rPh sb="0" eb="2">
      <t>マエバライ</t>
    </rPh>
    <rPh sb="2" eb="3">
      <t>キン</t>
    </rPh>
    <phoneticPr fontId="2"/>
  </si>
  <si>
    <t>会計年度ごと</t>
    <rPh sb="0" eb="2">
      <t>カイケイ</t>
    </rPh>
    <rPh sb="2" eb="4">
      <t>ネンド</t>
    </rPh>
    <phoneticPr fontId="2"/>
  </si>
  <si>
    <t>翌年度も含める</t>
    <rPh sb="0" eb="3">
      <t>ヨクネンド</t>
    </rPh>
    <rPh sb="4" eb="5">
      <t>フク</t>
    </rPh>
    <phoneticPr fontId="2"/>
  </si>
  <si>
    <t>※</t>
    <phoneticPr fontId="2"/>
  </si>
  <si>
    <t>年度</t>
  </si>
  <si>
    <t>発注部局名／発注所属名</t>
  </si>
  <si>
    <t>業種</t>
  </si>
  <si>
    <t>工期</t>
  </si>
  <si>
    <t>予定価格（税込み）</t>
  </si>
  <si>
    <t>落札金額（税込み）</t>
  </si>
  <si>
    <t>最低制限価格（税込み）</t>
  </si>
  <si>
    <t>調査基準価格（税込み）</t>
  </si>
  <si>
    <t>技術評価点</t>
  </si>
  <si>
    <t>評価値</t>
  </si>
  <si>
    <t>落札者</t>
  </si>
  <si>
    <t>結果</t>
  </si>
  <si>
    <t>落札者</t>
    <rPh sb="0" eb="3">
      <t>ラクサツシャ</t>
    </rPh>
    <phoneticPr fontId="2"/>
  </si>
  <si>
    <t>落札者</t>
    <rPh sb="0" eb="3">
      <t>ラクサツシャ</t>
    </rPh>
    <phoneticPr fontId="2"/>
  </si>
  <si>
    <t>　金の支払の日から返還の日までの日数に応じ財務大臣の決定する率の割合で計算した額の利息を付した額を、解除が第46条、</t>
    <phoneticPr fontId="2"/>
  </si>
  <si>
    <t>　第52条又は第53条の規定によるときにあっては、その余剰額を発注者に返還しなければならない。</t>
    <phoneticPr fontId="2"/>
  </si>
  <si>
    <t>　る請負代金額を控除した額につき、遅延日数に応じ、財務大臣の決定する率の割合で計算した額とする。</t>
    <phoneticPr fontId="2"/>
  </si>
  <si>
    <t>　未受領金額につき、遅延日数に応じ、財務大臣の決定する率の割合で計算した額の遅延利息の支払を発注者に請求することが</t>
    <phoneticPr fontId="2"/>
  </si>
  <si>
    <t>　できる。</t>
    <phoneticPr fontId="2"/>
  </si>
  <si>
    <t>第38条　受注者は、請負代金額が100万円以上の工事については、工事の完成前に、出来形部分並びに工事現場に搬入済みの</t>
    <phoneticPr fontId="2"/>
  </si>
  <si>
    <t>　工事材料及び製造工場等にある工場製品（第13条第２項の規定により監督員の検査を要するものにあっては当該検査に合格</t>
    <phoneticPr fontId="2"/>
  </si>
  <si>
    <t>　したもの、監督員の検査を要しないものにあっては設計図書で部分払の対象とすることを指定したものに限る。）に相応す</t>
    <phoneticPr fontId="2"/>
  </si>
  <si>
    <t>　る請負代金相当額の10分の９以内の額について、次項から第７項までに定めるところにより部分払を請求することができる。</t>
    <phoneticPr fontId="2"/>
  </si>
  <si>
    <t>契約書記載特記事項一覧</t>
    <rPh sb="0" eb="9">
      <t>ケイヤクショキサイトッキジコウ</t>
    </rPh>
    <rPh sb="9" eb="11">
      <t>イチラン</t>
    </rPh>
    <phoneticPr fontId="2"/>
  </si>
  <si>
    <t>大分県共同利用型入札情報サービスシステム（https://www.t-elis.pref.oita.lg.jp/DENTYO/GP5000）の「入札結果」から当該案件の</t>
    <phoneticPr fontId="2"/>
  </si>
  <si>
    <t>詳細を表示し、「1.年度」から「16.結果」までの文字列をコピーし、セルA7に値を貼り付けてください（「17.備考」は有り無しを選択）</t>
    <rPh sb="0" eb="2">
      <t>ショウサイ</t>
    </rPh>
    <rPh sb="3" eb="5">
      <t>ヒョウジ</t>
    </rPh>
    <rPh sb="10" eb="12">
      <t>ネンド</t>
    </rPh>
    <rPh sb="19" eb="21">
      <t>ケッカ</t>
    </rPh>
    <rPh sb="25" eb="28">
      <t>モジレツ</t>
    </rPh>
    <rPh sb="39" eb="40">
      <t>アタイ</t>
    </rPh>
    <rPh sb="55" eb="57">
      <t>ビコウ</t>
    </rPh>
    <rPh sb="59" eb="60">
      <t>ア</t>
    </rPh>
    <rPh sb="61" eb="62">
      <t>ナ</t>
    </rPh>
    <rPh sb="64" eb="66">
      <t>センタク</t>
    </rPh>
    <phoneticPr fontId="2"/>
  </si>
  <si>
    <t>Excelのアップデートを行ってください。</t>
    <rPh sb="13" eb="14">
      <t>オコナ</t>
    </rPh>
    <phoneticPr fontId="2"/>
  </si>
  <si>
    <t>↓↓赤枠内は、追加・変更等があれば入力してください↓↓</t>
    <rPh sb="2" eb="5">
      <t>アカワクナイ</t>
    </rPh>
    <rPh sb="7" eb="9">
      <t>ツイカ</t>
    </rPh>
    <rPh sb="10" eb="12">
      <t>ヘンコウ</t>
    </rPh>
    <rPh sb="12" eb="13">
      <t>トウ</t>
    </rPh>
    <rPh sb="17" eb="19">
      <t>ニュウリョク</t>
    </rPh>
    <phoneticPr fontId="2"/>
  </si>
  <si>
    <t>債務負担行為に係る特則</t>
    <rPh sb="0" eb="2">
      <t>サイム</t>
    </rPh>
    <rPh sb="2" eb="4">
      <t>フタン</t>
    </rPh>
    <rPh sb="4" eb="6">
      <t>コウイ</t>
    </rPh>
    <rPh sb="7" eb="8">
      <t>カカ</t>
    </rPh>
    <rPh sb="9" eb="11">
      <t>トクソク</t>
    </rPh>
    <phoneticPr fontId="2"/>
  </si>
  <si>
    <t>約款第40条から第42条までの適用</t>
    <phoneticPr fontId="2"/>
  </si>
  <si>
    <t>工事を施工しない日又は時間帯</t>
    <phoneticPr fontId="2"/>
  </si>
  <si>
    <t>建設副産物・再生資源関係</t>
    <rPh sb="0" eb="2">
      <t>ケンセツ</t>
    </rPh>
    <rPh sb="2" eb="5">
      <t>フクサンブツ</t>
    </rPh>
    <rPh sb="6" eb="8">
      <t>サイセイ</t>
    </rPh>
    <rPh sb="8" eb="10">
      <t>シゲン</t>
    </rPh>
    <rPh sb="10" eb="12">
      <t>カンケイ</t>
    </rPh>
    <phoneticPr fontId="2"/>
  </si>
  <si>
    <t>現　場　代　理　人　等　通　知　書</t>
    <rPh sb="10" eb="11">
      <t>トウ</t>
    </rPh>
    <phoneticPr fontId="2"/>
  </si>
  <si>
    <t>現場代理人氏名※</t>
    <rPh sb="0" eb="7">
      <t>ゲンバダイリニンシメイ</t>
    </rPh>
    <phoneticPr fontId="2"/>
  </si>
  <si>
    <t>監理技術者補佐氏名※</t>
    <rPh sb="0" eb="2">
      <t>カンリ</t>
    </rPh>
    <rPh sb="2" eb="5">
      <t>ギジュツシャ</t>
    </rPh>
    <rPh sb="5" eb="7">
      <t>ホサ</t>
    </rPh>
    <rPh sb="7" eb="9">
      <t>シメイ</t>
    </rPh>
    <phoneticPr fontId="2"/>
  </si>
  <si>
    <t>専門技術者氏名※</t>
    <rPh sb="0" eb="2">
      <t>センモン</t>
    </rPh>
    <rPh sb="2" eb="5">
      <t>ギジュツシャ</t>
    </rPh>
    <rPh sb="5" eb="7">
      <t>シメイ</t>
    </rPh>
    <phoneticPr fontId="2"/>
  </si>
  <si>
    <t>主任技術者又は</t>
    <rPh sb="0" eb="2">
      <t>シュニン</t>
    </rPh>
    <rPh sb="2" eb="5">
      <t>ギジュツシャ</t>
    </rPh>
    <rPh sb="5" eb="6">
      <t>マタ</t>
    </rPh>
    <phoneticPr fontId="2"/>
  </si>
  <si>
    <t>監理技術者氏名※</t>
  </si>
  <si>
    <t>別記様式１（受注者用）</t>
    <rPh sb="0" eb="2">
      <t>ベッキ</t>
    </rPh>
    <rPh sb="2" eb="4">
      <t>ヨウシキ</t>
    </rPh>
    <rPh sb="6" eb="9">
      <t>ジュチュウシャ</t>
    </rPh>
    <rPh sb="9" eb="10">
      <t>ヨウ</t>
    </rPh>
    <phoneticPr fontId="2"/>
  </si>
  <si>
    <t>別記様式１（発注者用）</t>
    <rPh sb="0" eb="2">
      <t>ベッキ</t>
    </rPh>
    <rPh sb="2" eb="4">
      <t>ヨウシキ</t>
    </rPh>
    <rPh sb="6" eb="9">
      <t>ハッチュウシャ</t>
    </rPh>
    <rPh sb="9" eb="10">
      <t>ヨウ</t>
    </rPh>
    <phoneticPr fontId="2"/>
  </si>
  <si>
    <t>（株）ダイプロ・Ｈｏｍｅ</t>
  </si>
  <si>
    <t>（株）臼杵環境センター</t>
  </si>
  <si>
    <t>（株）アストソイル</t>
  </si>
  <si>
    <t>（有）大分シグナルワンＦＵＪＩ</t>
  </si>
  <si>
    <t>（合）ＴＥＲＡＳＡＫＩ</t>
  </si>
  <si>
    <t>（株）優健</t>
  </si>
  <si>
    <t>（株）独艸園</t>
  </si>
  <si>
    <t>（株）誠産業</t>
  </si>
  <si>
    <t>梅林　伸伍</t>
  </si>
  <si>
    <t>立花　大輔</t>
  </si>
  <si>
    <t>川原　崇廣</t>
  </si>
  <si>
    <t>後藤　浩治</t>
  </si>
  <si>
    <t>織戸　裕樹</t>
  </si>
  <si>
    <t>長澤　義生</t>
  </si>
  <si>
    <t>江藤　ひとみ</t>
  </si>
  <si>
    <t>岩尾　裕純</t>
  </si>
  <si>
    <t>藤由　一成</t>
  </si>
  <si>
    <t>佐々木　博人</t>
  </si>
  <si>
    <t>篠原　大介</t>
  </si>
  <si>
    <t>元永　弘行</t>
  </si>
  <si>
    <t>三浦　洋照</t>
  </si>
  <si>
    <t>薬師寺　秀幸</t>
  </si>
  <si>
    <t>近藤　剛公</t>
  </si>
  <si>
    <t>渡邉　貴浩</t>
  </si>
  <si>
    <t>友清　絹代</t>
  </si>
  <si>
    <t>江藤　義光</t>
  </si>
  <si>
    <t>藤本　裕太郎</t>
  </si>
  <si>
    <t>今野　雅登</t>
  </si>
  <si>
    <t>岸　祐二朗</t>
  </si>
  <si>
    <t>緒方　純二</t>
  </si>
  <si>
    <t>神野　広志</t>
  </si>
  <si>
    <t>吉良　剛誉</t>
  </si>
  <si>
    <t>吉光　康朗</t>
  </si>
  <si>
    <t>森田　進</t>
  </si>
  <si>
    <t>齊藤　小次郎</t>
  </si>
  <si>
    <t>後藤　博子</t>
  </si>
  <si>
    <t>豊島　崇幸</t>
  </si>
  <si>
    <t>日野　義文</t>
  </si>
  <si>
    <t>坂本　龍一</t>
  </si>
  <si>
    <t>江本　純一</t>
  </si>
  <si>
    <t>高橋　明吉</t>
  </si>
  <si>
    <t>大久保　隆夫</t>
  </si>
  <si>
    <t>牧　孝一</t>
  </si>
  <si>
    <t>大塚　貴佳</t>
  </si>
  <si>
    <t>大神　康司</t>
  </si>
  <si>
    <t>尾上　理恵</t>
  </si>
  <si>
    <t>原田　樹</t>
  </si>
  <si>
    <t>荻野　理規</t>
  </si>
  <si>
    <t>小野　亮子</t>
  </si>
  <si>
    <t>手島　冠</t>
  </si>
  <si>
    <t>川野　誠治</t>
  </si>
  <si>
    <t>窪田　和典</t>
  </si>
  <si>
    <t>竹林　渡</t>
  </si>
  <si>
    <t>黒木　華奈江</t>
  </si>
  <si>
    <t>小川　智史</t>
  </si>
  <si>
    <t>深野　純</t>
  </si>
  <si>
    <t>瀧口　進</t>
  </si>
  <si>
    <t>浅野　千浪</t>
  </si>
  <si>
    <t>川原　康幹</t>
  </si>
  <si>
    <t>三浦　章吾</t>
  </si>
  <si>
    <t>中根　竜</t>
  </si>
  <si>
    <t>中元　億朗</t>
  </si>
  <si>
    <t>江里口　嘉紀</t>
  </si>
  <si>
    <t>川元　雄三</t>
  </si>
  <si>
    <t>阿部　真一</t>
  </si>
  <si>
    <t>霜田　春二</t>
  </si>
  <si>
    <t>竜田　聖子</t>
  </si>
  <si>
    <t>廣瀬　智幸</t>
  </si>
  <si>
    <t>佐藤　憲</t>
  </si>
  <si>
    <t>下平　貴之</t>
  </si>
  <si>
    <t>関　悦子</t>
  </si>
  <si>
    <t>三浦　甲城</t>
  </si>
  <si>
    <t>大屋　憲一</t>
  </si>
  <si>
    <t>林　澄香</t>
  </si>
  <si>
    <t>赤迫　弘幸</t>
  </si>
  <si>
    <t>野々下　祥二</t>
  </si>
  <si>
    <t>猪俣　俊雄</t>
  </si>
  <si>
    <t>佐藤　彰子</t>
  </si>
  <si>
    <t>草原　陵</t>
  </si>
  <si>
    <t>酒井　一樹</t>
  </si>
  <si>
    <t>川原　明香里</t>
  </si>
  <si>
    <t>幸　賢亮</t>
  </si>
  <si>
    <t>甲斐　祐樹</t>
  </si>
  <si>
    <t>河村　嘉則</t>
  </si>
  <si>
    <t>渡邉　義美</t>
  </si>
  <si>
    <t>清松　和也</t>
  </si>
  <si>
    <t>（有）真崎組</t>
  </si>
  <si>
    <t>（株）木崎工業</t>
  </si>
  <si>
    <t>（有）桑野組</t>
  </si>
  <si>
    <t>（有）野崎建築</t>
  </si>
  <si>
    <t>（株）ダイコー通信</t>
  </si>
  <si>
    <t>（有）鶴田建設</t>
  </si>
  <si>
    <t>（有）浜田建設工業</t>
  </si>
  <si>
    <t>（株）ＤＡＩ　ＴＷＯ</t>
  </si>
  <si>
    <t>（株）光徳産業</t>
  </si>
  <si>
    <t>（有）Ｌ．Ｃ．Ｓ九州</t>
  </si>
  <si>
    <t>（株）川崎工業</t>
  </si>
  <si>
    <t>（合）臺真興業</t>
  </si>
  <si>
    <t>尾崎　陽一</t>
  </si>
  <si>
    <t>真崎　誠</t>
  </si>
  <si>
    <t>濱崎　光章</t>
  </si>
  <si>
    <t>谷崎　昇</t>
  </si>
  <si>
    <t>小野　禎章</t>
  </si>
  <si>
    <t>渡辺　武</t>
  </si>
  <si>
    <t>岩崎　辰男</t>
  </si>
  <si>
    <t>浅岡　巧</t>
  </si>
  <si>
    <t>高崎　力</t>
  </si>
  <si>
    <t>衛藤　正太郎</t>
  </si>
  <si>
    <t>加來　浩祐</t>
  </si>
  <si>
    <t>小林　哲也</t>
  </si>
  <si>
    <t>山崎　賢太郎</t>
  </si>
  <si>
    <t>芝崎　一徳</t>
  </si>
  <si>
    <t>木崎　憲二</t>
  </si>
  <si>
    <t>徳丸　正美</t>
  </si>
  <si>
    <t>高橋　己年</t>
  </si>
  <si>
    <t>北崎　信也</t>
  </si>
  <si>
    <t>佐藤　玉徳</t>
  </si>
  <si>
    <t>桑野　博巳</t>
  </si>
  <si>
    <t>森崎　孝治</t>
  </si>
  <si>
    <t>黒田　雄司</t>
  </si>
  <si>
    <t>諫山　建次</t>
  </si>
  <si>
    <t>浜路　喜佐雄</t>
  </si>
  <si>
    <t>鶴田　節生</t>
  </si>
  <si>
    <t>浜田　順子</t>
  </si>
  <si>
    <t>内林　高徳</t>
  </si>
  <si>
    <t>寺崎　文紀</t>
  </si>
  <si>
    <t>高崎　保典</t>
  </si>
  <si>
    <t>曽根崎　一</t>
  </si>
  <si>
    <t>森崎　豪</t>
  </si>
  <si>
    <t>岩崎　正史</t>
  </si>
  <si>
    <t>徳丸　健太郎</t>
  </si>
  <si>
    <t>宮崎　幸男</t>
  </si>
  <si>
    <t>恒崎　昇己</t>
  </si>
  <si>
    <t>川崎　健吾</t>
  </si>
  <si>
    <t>臺野　真琴</t>
  </si>
  <si>
    <t>恒崎　伊吹</t>
  </si>
  <si>
    <t>　</t>
  </si>
  <si>
    <t>中津市大字是則１３０６</t>
  </si>
  <si>
    <t>豊後高田市香々地４０８９</t>
  </si>
  <si>
    <t>日田市大字上野６１４</t>
  </si>
  <si>
    <t>大分市大字海原字見休８０８</t>
  </si>
  <si>
    <t>竹田市大字拝田原６０８</t>
  </si>
  <si>
    <t>中津市大字大貞字中ノ林３８３</t>
  </si>
  <si>
    <t>大分市大字横田３１</t>
  </si>
  <si>
    <t>国東市武蔵町糸原ミナト１８７８</t>
  </si>
  <si>
    <t>大分市大字三佐字八幡島２０３４</t>
  </si>
  <si>
    <t>由布市庄内町東長宝４２５</t>
  </si>
  <si>
    <t>大分市大字竹中２７３０</t>
  </si>
  <si>
    <t>大分市大字一木１０９５</t>
  </si>
  <si>
    <t>由布市湯布院町川南８６８</t>
  </si>
  <si>
    <t>由布市湯布院町川上２３９３</t>
  </si>
  <si>
    <t>大分市中春日町４１</t>
  </si>
  <si>
    <t>由布市庄内町柿原２７０</t>
  </si>
  <si>
    <t>由布市湯布院町下湯平１６５３</t>
  </si>
  <si>
    <t>大分市大字南２９７</t>
  </si>
  <si>
    <t>速見郡日出町大字川崎５２３</t>
  </si>
  <si>
    <t>杵築市大字南杵築４５８</t>
  </si>
  <si>
    <t>別府市大字北石垣７１５</t>
  </si>
  <si>
    <t>豊後高田市来縄２８７０</t>
  </si>
  <si>
    <t>豊後高田市美和１７３９</t>
  </si>
  <si>
    <t>豊後高田市呉崎３１７９</t>
  </si>
  <si>
    <t>豊後高田市見目２３３</t>
  </si>
  <si>
    <t>豊後高田市払田１１０</t>
  </si>
  <si>
    <t>東国東郡姫島村２</t>
  </si>
  <si>
    <t>国東市武蔵町糸原２５３５</t>
  </si>
  <si>
    <t>国東市安岐町下原２４８０</t>
  </si>
  <si>
    <t>津久見市大字四浦５４５１</t>
  </si>
  <si>
    <t>臼杵市大字板知屋５３</t>
  </si>
  <si>
    <t>大分市大字佐賀関３０６８</t>
  </si>
  <si>
    <t>大分市大字馬場３２１</t>
  </si>
  <si>
    <t>大分市大字佐賀関３０５６</t>
  </si>
  <si>
    <t>臼杵市大字掻懐８０３</t>
  </si>
  <si>
    <t>大分市大字佐賀関３１０２</t>
  </si>
  <si>
    <t>佐伯市蒲江大字野々河内浦８３２</t>
  </si>
  <si>
    <t>佐伯市弥生大字門田８５８</t>
  </si>
  <si>
    <t>佐伯市宇目大字塩見園１８１７</t>
  </si>
  <si>
    <t>佐伯市弥生大字平井４１５ー１</t>
  </si>
  <si>
    <t>臼杵市野津町大字野津市４４０</t>
  </si>
  <si>
    <t>豊後大野市清川町砂田１６７１</t>
  </si>
  <si>
    <t>豊後大野市緒方町草深野６９０</t>
  </si>
  <si>
    <t>豊後大野市三重町赤嶺１１２６</t>
  </si>
  <si>
    <t>豊後大野市緒方町鮒川１００５</t>
  </si>
  <si>
    <t>竹田市大字平田２１８０</t>
  </si>
  <si>
    <t>玖珠郡九重町大字田野１５５１</t>
  </si>
  <si>
    <t>玖珠郡九重町大字野上１７</t>
  </si>
  <si>
    <t>玖珠郡九重町大字後野上１９１</t>
  </si>
  <si>
    <t>玖珠郡玖珠町大字綾垣１５３８</t>
  </si>
  <si>
    <t>玖珠郡九重町大字町田２６３０</t>
  </si>
  <si>
    <t>玖珠郡玖珠町大字山下１９８７</t>
  </si>
  <si>
    <t>日田市大字日高３０４０</t>
  </si>
  <si>
    <t>日田市三芳小渕町１６</t>
  </si>
  <si>
    <t>日田市大字有田６５４</t>
  </si>
  <si>
    <t>日田市大字三和５２</t>
  </si>
  <si>
    <t>中津市１５７２</t>
  </si>
  <si>
    <t>中津市大字大塚６５</t>
  </si>
  <si>
    <t>中津市耶馬溪町大字柿坂３５８</t>
  </si>
  <si>
    <t>宇佐市大字富山２８９</t>
  </si>
  <si>
    <t>中津市耶馬溪町大字大島２７８</t>
  </si>
  <si>
    <t>中津市大字高瀬１２３４</t>
  </si>
  <si>
    <t>中津市大字田尻２７２４</t>
  </si>
  <si>
    <t>中津市大字永添２８２８</t>
  </si>
  <si>
    <t>宇佐市大字江須賀４０３８</t>
  </si>
  <si>
    <t>宇佐市大字川部８９８</t>
  </si>
  <si>
    <t>宇佐市大字和気１０２３</t>
  </si>
  <si>
    <t>宇佐市大字四日市１３０１</t>
  </si>
  <si>
    <t>宇佐市大字長洲４８６</t>
  </si>
  <si>
    <t>宇佐市大字北宇佐４３５</t>
  </si>
  <si>
    <t>宇佐市大字高森７７７</t>
  </si>
  <si>
    <t>宇佐市大字下高１７２４</t>
  </si>
  <si>
    <t>宇佐市大字高森１３０２</t>
  </si>
  <si>
    <t>宇佐市大字城井４９２</t>
  </si>
  <si>
    <t>宇佐市大字森山２３１</t>
  </si>
  <si>
    <t>宇佐市大字木部１０４９</t>
  </si>
  <si>
    <t>宇佐市安心院町下毛１６８０</t>
  </si>
  <si>
    <t>宇佐市大字上庄１２９９</t>
  </si>
  <si>
    <t>宇佐市院内町上恵良７８０</t>
  </si>
  <si>
    <t>宇佐市大字江須賀１１２９</t>
  </si>
  <si>
    <t>宇佐市院内町御沓６３０</t>
  </si>
  <si>
    <t>大分市大字廻栖野２１９５</t>
  </si>
  <si>
    <t>大分市大字金谷迫６３４</t>
  </si>
  <si>
    <t>大分市大字中尾８６４</t>
  </si>
  <si>
    <t>大分市大字関園６５７</t>
  </si>
  <si>
    <t>杵築市大字大内３４２５</t>
  </si>
  <si>
    <t>杵築市大字相原２０６</t>
  </si>
  <si>
    <t>杵築市大字大内４５９１</t>
  </si>
  <si>
    <t>杵築市山香町大字久木野尾２０２７</t>
  </si>
  <si>
    <t>杵築市山香町大字野原４２１８</t>
  </si>
  <si>
    <t>杵築市山香町日指１６６</t>
  </si>
  <si>
    <t>杵築市山香町大字日指２７８０</t>
  </si>
  <si>
    <t>杵築市山香町大字野原９０５</t>
  </si>
  <si>
    <t>杵築市大字中２０９</t>
  </si>
  <si>
    <t>杵築市大字守江３０３７</t>
  </si>
  <si>
    <t>杵築市大字日野８３２</t>
  </si>
  <si>
    <t>大分市大字佐賀関２２６９</t>
  </si>
  <si>
    <t>佐伯市上浦大字最勝海浦３６８０</t>
  </si>
  <si>
    <t>佐伯市大字稲垣１２７８</t>
  </si>
  <si>
    <t>佐伯市蒲江大字猪串浦４２８</t>
  </si>
  <si>
    <t>佐伯市大字長谷６６９８</t>
  </si>
  <si>
    <t>佐伯市弥生大字山梨子６７４</t>
  </si>
  <si>
    <t>佐伯市大字長谷９０９９</t>
  </si>
  <si>
    <t>佐伯市米水津大字色利浦１２４９</t>
  </si>
  <si>
    <t>佐伯市大字長谷５７２７</t>
  </si>
  <si>
    <t>佐伯市大字上岡１５０７</t>
  </si>
  <si>
    <t>佐伯市直川大字下直見１９７１</t>
  </si>
  <si>
    <t>佐伯市弥生大字大坂本３６</t>
  </si>
  <si>
    <t>日田市大字友田３７６２</t>
  </si>
  <si>
    <t>日田市三芳小渕町１５１</t>
  </si>
  <si>
    <t>日田市天瀬町本城８１８</t>
  </si>
  <si>
    <t>玖珠郡玖珠町大字大隈７８</t>
  </si>
  <si>
    <t>玖珠郡玖珠町大字塚脇４７６</t>
  </si>
  <si>
    <t>玖珠郡九重町大字右田３０４５</t>
  </si>
  <si>
    <t>玖珠郡九重町大字田野１５１５</t>
  </si>
  <si>
    <t>玖珠郡玖珠町大字綾垣１１８６</t>
  </si>
  <si>
    <t>玖珠郡玖珠町大字古後３１４７</t>
  </si>
  <si>
    <t>玖珠郡玖珠町大字戸畑２８４７</t>
  </si>
  <si>
    <t>玖珠郡玖珠町大字山田２６７０</t>
  </si>
  <si>
    <t>大分市大字上宗方２２７</t>
  </si>
  <si>
    <t>大分市大字羽田６７３</t>
  </si>
  <si>
    <t>大分市大字八幡１６０１</t>
  </si>
  <si>
    <t>大分市大字竹中字大六１１４６</t>
  </si>
  <si>
    <t>由布市挾間町鬼瀬字大津留４２０</t>
  </si>
  <si>
    <t>由布市庄内町渕３４０７</t>
  </si>
  <si>
    <t>大分市大字中戸次５９３７</t>
  </si>
  <si>
    <t>大分市大字神崎１３２</t>
  </si>
  <si>
    <t>由布市庄内町野畑１８６６</t>
  </si>
  <si>
    <t>大分市大字小池原１４９９</t>
  </si>
  <si>
    <t>大分市大字永興１４８１</t>
  </si>
  <si>
    <t>由布市挾間町挾間１３８</t>
  </si>
  <si>
    <t>中津市８６５</t>
  </si>
  <si>
    <t>中津市大字今津９９３</t>
  </si>
  <si>
    <t>杵築市大字猪尾字井手下７０３</t>
  </si>
  <si>
    <t>国東市国東町安国寺７０３</t>
  </si>
  <si>
    <t>国東市国見町野田１５０５</t>
  </si>
  <si>
    <t>国東市国東町安国寺９１６</t>
  </si>
  <si>
    <t>国東市国東町小原２５９５</t>
  </si>
  <si>
    <t>大分市大字白木５３６ー１</t>
  </si>
  <si>
    <t>臼杵市大字末広字前田３０３７</t>
  </si>
  <si>
    <t>津久見市大字日見１１７０</t>
  </si>
  <si>
    <t>臼杵市大字板知屋１２５７</t>
  </si>
  <si>
    <t>臼杵市大字井村３０２９</t>
  </si>
  <si>
    <t>臼杵市野津町大字落谷２０８７</t>
  </si>
  <si>
    <t>臼杵市野津町大字宮原１２１８</t>
  </si>
  <si>
    <t>豊後大野市三重町内田７５３</t>
  </si>
  <si>
    <t>豊後大野市大野町藤北１２６９</t>
  </si>
  <si>
    <t>豊後大野市清川町砂田１８６</t>
  </si>
  <si>
    <t>臼杵市野津町大字白岩７０２</t>
  </si>
  <si>
    <t>豊後大野市緒方町馬場９１</t>
  </si>
  <si>
    <t>豊後大野市三重町川辺３０１０</t>
  </si>
  <si>
    <t>豊後大野市三重町内田９３５</t>
  </si>
  <si>
    <t>臼杵市野津町大字福良木１９７４</t>
  </si>
  <si>
    <t>豊後大野市大野町矢田４１</t>
  </si>
  <si>
    <t>豊後大野市緒方町徳田１２３３</t>
  </si>
  <si>
    <t>豊後大野市緒方町原尻２６９</t>
  </si>
  <si>
    <t>豊後大野市緒方町大石１０２０</t>
  </si>
  <si>
    <t>豊後大野市三重町松尾３５３９</t>
  </si>
  <si>
    <t>豊後大野市三重町内田７４３</t>
  </si>
  <si>
    <t>臼杵市野津町大字吉田３６４８</t>
  </si>
  <si>
    <t>豊後大野市大野町大原８８４</t>
  </si>
  <si>
    <t>豊後大野市三重町小坂１１２５</t>
  </si>
  <si>
    <t>豊後大野市大野町屋原３６２</t>
  </si>
  <si>
    <t>豊後高田市来縄２５７２</t>
  </si>
  <si>
    <t>杵築市大田沓掛２４９２</t>
  </si>
  <si>
    <t>豊後高田市新地１６７０</t>
  </si>
  <si>
    <t>豊後高田市美和２４２</t>
  </si>
  <si>
    <t>豊後高田市玉津２０１</t>
  </si>
  <si>
    <t>豊後高田市玉津１６１１</t>
  </si>
  <si>
    <t>豊後高田市大力６８４</t>
  </si>
  <si>
    <t>竹田市大字拝田原１８８</t>
  </si>
  <si>
    <t>竹田市大字枝１６６９</t>
  </si>
  <si>
    <t>竹田市直入町大字下田北５１１</t>
  </si>
  <si>
    <t>竹田市大字竹田町１４５</t>
  </si>
  <si>
    <t>竹田市久住町大字栢木６９３０</t>
  </si>
  <si>
    <t>杵築市山香町大字野原１６００</t>
  </si>
  <si>
    <t>中津市山国町小屋川８５２</t>
  </si>
  <si>
    <t>日田市大字石井４９８</t>
  </si>
  <si>
    <t>日田市大字西有田２９３８</t>
  </si>
  <si>
    <t>日田市大字求来里８４６</t>
  </si>
  <si>
    <t>日田市大字西有田１２２３</t>
  </si>
  <si>
    <t>日田市大字友田３７２５</t>
  </si>
  <si>
    <t>中津市本耶馬渓町多志田４３０</t>
  </si>
  <si>
    <t>中津市耶馬溪町大字大野１２５１</t>
  </si>
  <si>
    <t>大分市大字松岡７３</t>
  </si>
  <si>
    <t>大分市大字屋山５９５</t>
  </si>
  <si>
    <t>速見郡日出町大字大神４６１３</t>
  </si>
  <si>
    <t>杵築市大字日野１３２５</t>
  </si>
  <si>
    <t>杵築市大字片野３１２</t>
  </si>
  <si>
    <t>臼杵市大字市浜１５８</t>
  </si>
  <si>
    <t>臼杵市大字諏訪１７４８</t>
  </si>
  <si>
    <t>津久見市大字津久見７８９４</t>
  </si>
  <si>
    <t>大分市大字一尺屋３０１３</t>
  </si>
  <si>
    <t>臼杵市大字海添３５０</t>
  </si>
  <si>
    <t>臼杵市大字前田字西谷１２５３</t>
  </si>
  <si>
    <t>中津市本耶馬渓町西谷３５７</t>
  </si>
  <si>
    <t>中津市大字永添１４６８</t>
  </si>
  <si>
    <t>大分市大字三佐９８８</t>
  </si>
  <si>
    <t>由布市湯布院町中川６２０</t>
  </si>
  <si>
    <t>竹田市久住町大字栢木６６５７</t>
  </si>
  <si>
    <t>大分市大字三佐１９６７</t>
  </si>
  <si>
    <t>日田市大字有田４７１</t>
  </si>
  <si>
    <t>日田市天瀬町塚田１４４３</t>
  </si>
  <si>
    <t>日田市大字西有田１５３９</t>
  </si>
  <si>
    <t>日田市三芳小渕町３３</t>
  </si>
  <si>
    <t>日田市大字内河野１０１</t>
  </si>
  <si>
    <t>日田市大字友田３６６７</t>
  </si>
  <si>
    <t>国東市安岐町吉松３０２３</t>
  </si>
  <si>
    <t>国東市国見町中１２３２</t>
  </si>
  <si>
    <t>国東市国東町浜３７４７</t>
  </si>
  <si>
    <t>中津市大字永添８２０</t>
  </si>
  <si>
    <t>中津市大字高瀬４３５</t>
  </si>
  <si>
    <t>中津市本耶馬渓町曽木１７１３</t>
  </si>
  <si>
    <t>中津市大字相原３５８２</t>
  </si>
  <si>
    <t>中津市大字大悟法７９５</t>
  </si>
  <si>
    <t>中津市三光田口２０４</t>
  </si>
  <si>
    <t>中津市三光臼木３３９</t>
  </si>
  <si>
    <t>大分市大字賀来２８０３</t>
  </si>
  <si>
    <t>大分市大字福宗１１４９</t>
  </si>
  <si>
    <t>大分市大字中戸次４２１３</t>
  </si>
  <si>
    <t>大分市元町６</t>
  </si>
  <si>
    <t>由布市挾間町鬼崎字芝尾２５５９</t>
  </si>
  <si>
    <t>佐伯市大字長良９９８</t>
  </si>
  <si>
    <t>杵築市大字本庄１４１１</t>
  </si>
  <si>
    <t>別府市大字北石垣９３７</t>
  </si>
  <si>
    <t>別府市大字鉄輪１３０７</t>
  </si>
  <si>
    <t>速見郡日出町大字川崎４１８</t>
  </si>
  <si>
    <t>中津市大字一ツ松２１５</t>
  </si>
  <si>
    <t>佐伯市大字堅田４１６６</t>
  </si>
  <si>
    <t>佐伯市米水津大字色利浦４００</t>
  </si>
  <si>
    <t>佐伯市直川大字仁田原３０８６</t>
  </si>
  <si>
    <t>国東市安岐町瀬戸田７４４</t>
  </si>
  <si>
    <t>速見郡日出町大字大神２７１</t>
  </si>
  <si>
    <t>豊後大野市朝地町朝地９９１</t>
  </si>
  <si>
    <t>大分市大字海原８６７</t>
  </si>
  <si>
    <t>佐伯市大字青山６７２５</t>
  </si>
  <si>
    <t>竹田市荻町西福寺５６８６</t>
  </si>
  <si>
    <t>佐伯市直川大字赤木２３５６</t>
  </si>
  <si>
    <t>日田市天瀬町合田１９８５</t>
  </si>
  <si>
    <t>中津市大字今津６４９</t>
  </si>
  <si>
    <t>宇佐市大字蜷木１２９０</t>
  </si>
  <si>
    <t>玖珠郡九重町大字湯坪９４５</t>
  </si>
  <si>
    <t>佐伯市本匠大字波寄１７０５</t>
  </si>
  <si>
    <t>大分市大字福良４８３</t>
  </si>
  <si>
    <t>宇佐市大字蜷木１２４２</t>
  </si>
  <si>
    <t>竹田市大字挟田２５４１</t>
  </si>
  <si>
    <t>臼杵市野津町大字東谷６６６２</t>
  </si>
  <si>
    <t>豊後大野市清川町六種２６２１</t>
  </si>
  <si>
    <t>中津市大字万田５６５</t>
  </si>
  <si>
    <t>豊後大野市三重町内田１６１５</t>
  </si>
  <si>
    <t>国東市武蔵町古市１１７１</t>
  </si>
  <si>
    <t>豊後大野市三重町秋葉１４１８</t>
  </si>
  <si>
    <t>大分市大字迫８１７</t>
  </si>
  <si>
    <t>日田市天瀬町出口３３６５</t>
  </si>
  <si>
    <t>中津市本耶馬渓町落合１１７７</t>
  </si>
  <si>
    <t>佐伯市弥生大字門田１３１３</t>
  </si>
  <si>
    <t>大分市大字小池原字東谷３９４</t>
  </si>
  <si>
    <t>宇佐市安心院町筌ノ口１８１６</t>
  </si>
  <si>
    <t>大分市大字佐野４０８１</t>
  </si>
  <si>
    <t>大分市大字下郡９９６</t>
  </si>
  <si>
    <t>豊後大野市三重町市場４０５</t>
  </si>
  <si>
    <t>杵築市山香町大字野原３６３７</t>
  </si>
  <si>
    <t>竹田市久住町大字栢木１４４</t>
  </si>
  <si>
    <t>由布市湯布院町川北１８１２</t>
  </si>
  <si>
    <t>中津市大字高瀬３３６</t>
  </si>
  <si>
    <t>津久見市大字千怒３５８３</t>
  </si>
  <si>
    <t>宇佐市大字和気９７６</t>
  </si>
  <si>
    <t>佐伯市大字鶴望４９００</t>
  </si>
  <si>
    <t>日田市天瀬町馬原１６５７</t>
  </si>
  <si>
    <t>速見郡日出町３０５２</t>
  </si>
  <si>
    <t>佐伯市蒲江大字森崎浦２７５</t>
  </si>
  <si>
    <t>佐伯市大字上岡３４５</t>
  </si>
  <si>
    <t>宇佐市大字富山１８７</t>
  </si>
  <si>
    <t>宇佐市大字住江３９９</t>
  </si>
  <si>
    <t>日田市大字夜明１７４</t>
  </si>
  <si>
    <t>佐伯市蒲江大字楠本浦３２５</t>
  </si>
  <si>
    <t>竹田市大字門田９７６</t>
  </si>
  <si>
    <t>玖珠郡玖珠町大字綾垣１８２７</t>
  </si>
  <si>
    <t>臼杵市大字武山２２２７</t>
  </si>
  <si>
    <t>玖珠郡玖珠町大字四日市２４７２</t>
  </si>
  <si>
    <t>宇佐市大字荒木２８７</t>
  </si>
  <si>
    <t>由布市庄内町直野内山３３８</t>
  </si>
  <si>
    <t>豊後大野市犬飼町大寒２２１５</t>
  </si>
  <si>
    <t>中津市耶馬溪町大字樋山路３８</t>
  </si>
  <si>
    <t>豊後大野市朝地町上尾塚１８２４</t>
  </si>
  <si>
    <t>国東市安岐町瀬戸田１２９７</t>
  </si>
  <si>
    <t>日田市大字堂尾１３１０</t>
  </si>
  <si>
    <t>日田市中津江村栃野２９４１</t>
  </si>
  <si>
    <t>竹田市大字枝３１</t>
  </si>
  <si>
    <t>竹田市大字挟田６７０</t>
  </si>
  <si>
    <t>国東市安岐町馬場１２８８</t>
  </si>
  <si>
    <t>豊後高田市美和１９２</t>
  </si>
  <si>
    <t>豊後大野市緒方町草深野１４５７</t>
  </si>
  <si>
    <t>玖珠郡玖珠町大字岩室１８９</t>
  </si>
  <si>
    <t>佐伯市大字狩生３１６０</t>
  </si>
  <si>
    <t>日田市大字日高２７５７</t>
  </si>
  <si>
    <t>杵築市大字溝井４４４０</t>
  </si>
  <si>
    <t>臼杵市大字江無田２５１</t>
  </si>
  <si>
    <t>大分市大字片島５８１</t>
  </si>
  <si>
    <t>大分市大字下徳丸１５６</t>
  </si>
  <si>
    <t>大分市大字下戸次５００９</t>
  </si>
  <si>
    <t>大分市大字宮崎１２０３</t>
  </si>
  <si>
    <t>佐伯市大字池田１３２６</t>
  </si>
  <si>
    <t>佐伯市蒲江大字竹野浦河内９９１</t>
  </si>
  <si>
    <t>豊後高田市高田２８７８</t>
  </si>
  <si>
    <t>大分市大字志生木３１１１</t>
  </si>
  <si>
    <t>大分市大字種具７２８</t>
  </si>
  <si>
    <t>日田市大字内河野２２７</t>
  </si>
  <si>
    <t>大分市大字下宗方１４６８</t>
  </si>
  <si>
    <t>中津市大字上宮永１１２２</t>
  </si>
  <si>
    <t>中津市三光森山６３６</t>
  </si>
  <si>
    <t>竹田市大字挟田１５００</t>
  </si>
  <si>
    <t>佐伯市鶴見大字沖松浦６６９</t>
  </si>
  <si>
    <t>由布市庄内町柿原５１８</t>
  </si>
  <si>
    <t>由布市庄内町東長宝イバ元７８４</t>
  </si>
  <si>
    <t>竹田市大字飛田川２２４４</t>
  </si>
  <si>
    <t>由布市挾間町下市９０８</t>
  </si>
  <si>
    <t>中津市大字全徳３７３</t>
  </si>
  <si>
    <t>中津市大字植野９９８</t>
  </si>
  <si>
    <t>由布市湯布院町下湯平２３９８</t>
  </si>
  <si>
    <t>宇佐市大字住江６３５</t>
  </si>
  <si>
    <t>大分市大字中戸次４３９３</t>
  </si>
  <si>
    <t>大分市大字千歳１８４５</t>
  </si>
  <si>
    <t>臼杵市大字稲田２５２５</t>
  </si>
  <si>
    <t>玖珠郡玖珠町大字綾垣１０２８</t>
  </si>
  <si>
    <t>日田市大字高瀬１２４４</t>
  </si>
  <si>
    <t>佐伯市上浦大字浅海井浦２３９４</t>
  </si>
  <si>
    <t>宇佐市大字江須賀８１４</t>
  </si>
  <si>
    <t>大分市大字横瀬２９５</t>
  </si>
  <si>
    <t>日田市大字高瀬４０９９</t>
  </si>
  <si>
    <t>佐伯市宇目大字千束１９０１</t>
  </si>
  <si>
    <t>日田市大字花月３７３</t>
  </si>
  <si>
    <t>豊後大野市三重町市場８４７</t>
  </si>
  <si>
    <t>大分市大字片島７１１</t>
  </si>
  <si>
    <t>杵築市大字南杵築４３９</t>
  </si>
  <si>
    <t>佐伯市大字狩生３６５９</t>
  </si>
  <si>
    <t>豊後大野市三重町浅瀬乙黒４０１</t>
  </si>
  <si>
    <t>豊後大野市三重町浅瀬３２９６</t>
  </si>
  <si>
    <t>竹田市久住町大字久住３３１５</t>
  </si>
  <si>
    <t>大分市大字下判田１３８４</t>
  </si>
  <si>
    <t>国東市国東町川原２２３５</t>
  </si>
  <si>
    <t>大分市大字小池原５１７</t>
  </si>
  <si>
    <t>大分市大字下戸次３９６９</t>
  </si>
  <si>
    <t>玖珠郡九重町大字野上１５３９</t>
  </si>
  <si>
    <t>豊後大野市大野町屋原７０５</t>
  </si>
  <si>
    <t>佐伯市蒲江大字森崎浦１６９０</t>
  </si>
  <si>
    <t>由布市挾間町高崎２６０</t>
  </si>
  <si>
    <t>豊後大野市三重町赤嶺９２３</t>
  </si>
  <si>
    <t>佐伯市直川大字横川５３６</t>
  </si>
  <si>
    <t>宇佐市大字江須賀８１３</t>
  </si>
  <si>
    <t>豊後高田市新地１０７１</t>
  </si>
  <si>
    <t>別府市大字北石垣１１１１</t>
  </si>
  <si>
    <t>玖珠郡玖珠町大字山田１８８０</t>
  </si>
  <si>
    <t>別府市大字鶴見２９７９</t>
  </si>
  <si>
    <t>玖珠郡玖珠町大字森３６３４</t>
  </si>
  <si>
    <t>由布市湯布院町川西３６３</t>
  </si>
  <si>
    <t>佐伯市弥生大字井崎１７８５</t>
  </si>
  <si>
    <t>日田市大字羽田１４８０</t>
  </si>
  <si>
    <t>中津市大字蛎瀬３９１</t>
  </si>
  <si>
    <t>大分市大字上戸次３２９４</t>
  </si>
  <si>
    <t>中津市大字北原５９５</t>
  </si>
  <si>
    <t>大分市大字廻栖野２１８０</t>
  </si>
  <si>
    <t>臼杵市大字稲田１９４５</t>
  </si>
  <si>
    <t>佐伯市弥生大字井崎５０</t>
  </si>
  <si>
    <t>佐伯市大字長谷６２３０</t>
  </si>
  <si>
    <t>宇佐市大字南宇佐２４４３</t>
  </si>
  <si>
    <t>大分市大字八幡１３９０</t>
  </si>
  <si>
    <t>宇佐市大字北宇佐２０５３</t>
  </si>
  <si>
    <t>大分市大字屋山２２２４</t>
  </si>
  <si>
    <t>ＴＳＵＣＨＩＹＡ（株）</t>
  </si>
  <si>
    <t>（株）大電</t>
  </si>
  <si>
    <t>日本地研（株）</t>
  </si>
  <si>
    <t>（株）ヒラカワ</t>
  </si>
  <si>
    <t>（株）きんでん</t>
  </si>
  <si>
    <t>（株）駒井ハルテック</t>
  </si>
  <si>
    <t>住友電設（株）</t>
  </si>
  <si>
    <t>三井住友建設（株）</t>
  </si>
  <si>
    <t>日特建設（株）</t>
  </si>
  <si>
    <t>（株）日本ピーエス</t>
  </si>
  <si>
    <t>エクシオグループ（株）</t>
  </si>
  <si>
    <t>（株）大阪防水建設社</t>
  </si>
  <si>
    <t>日鉄パイプライン＆エンジニアリング（株）</t>
  </si>
  <si>
    <t>（株）古瀬組</t>
  </si>
  <si>
    <t>大成建設（株）</t>
  </si>
  <si>
    <t>日本オーチス・エレベータ（株）</t>
  </si>
  <si>
    <t>エム・エムブリッジ（株）</t>
  </si>
  <si>
    <t>ＪＲ九州電気システム（株）</t>
  </si>
  <si>
    <t>高田機工（株）</t>
  </si>
  <si>
    <t>ヤマハサウンドシステム（株）</t>
  </si>
  <si>
    <t>川崎地質（株）</t>
  </si>
  <si>
    <t>信号器材（株）</t>
  </si>
  <si>
    <t>佐藤工業（株）</t>
  </si>
  <si>
    <t>（株）菅原</t>
  </si>
  <si>
    <t>（株）九州日立システムズ</t>
  </si>
  <si>
    <t>岡本土木（株）</t>
  </si>
  <si>
    <t>ドーピー建設工業（株）</t>
  </si>
  <si>
    <t>日本エレベーター製造（株）</t>
  </si>
  <si>
    <t>日成ビルド工業（株）</t>
  </si>
  <si>
    <t>（株）酉島製作所</t>
  </si>
  <si>
    <t>三精テクノロジーズ（株）</t>
  </si>
  <si>
    <t>東洋熱工業（株）</t>
  </si>
  <si>
    <t>（株）上組</t>
  </si>
  <si>
    <t>（株）名村造船所</t>
  </si>
  <si>
    <t>半田電設工業（株）</t>
  </si>
  <si>
    <t>前澤工業（株）</t>
  </si>
  <si>
    <t>池上通信機（株）</t>
  </si>
  <si>
    <t>新光産業（株）</t>
  </si>
  <si>
    <t>昭和コンクリート工業（株）</t>
  </si>
  <si>
    <t>大成設備（株）</t>
  </si>
  <si>
    <t>寄神建設（株）</t>
  </si>
  <si>
    <t>大橋エアシステム（株）</t>
  </si>
  <si>
    <t>日新興業（株）</t>
  </si>
  <si>
    <t>九築工業（株）</t>
  </si>
  <si>
    <t>清本鉄工（株）</t>
  </si>
  <si>
    <t>（株）太平エンジニアリング</t>
  </si>
  <si>
    <t>丸茂電機（株）</t>
  </si>
  <si>
    <t>（株）ＳＹＳＫＥＮ</t>
  </si>
  <si>
    <t>日本国土開発（株）</t>
  </si>
  <si>
    <t>（株）乃村工藝社</t>
  </si>
  <si>
    <t>（株）佐電工</t>
  </si>
  <si>
    <t>野里電気工業（株）</t>
  </si>
  <si>
    <t>西松建設（株）</t>
  </si>
  <si>
    <t>シンフォニアエンジニアリング（株）</t>
  </si>
  <si>
    <t>五洋建設（株）</t>
  </si>
  <si>
    <t>（株）熊谷組</t>
  </si>
  <si>
    <t>広成建設（株）</t>
  </si>
  <si>
    <t>鉄建建設（株）</t>
  </si>
  <si>
    <t>朝日工業（株）</t>
  </si>
  <si>
    <t>ピーエス・コンストラクション（株）</t>
  </si>
  <si>
    <t>（株）ウォーターエージェンシー</t>
  </si>
  <si>
    <t>ショーボンド建設（株）</t>
  </si>
  <si>
    <t>豊国工業（株）</t>
  </si>
  <si>
    <t>（株）ＩＨＩインフラシステム</t>
  </si>
  <si>
    <t>飛島建設（株）</t>
  </si>
  <si>
    <t>岩田地崎建設（株）</t>
  </si>
  <si>
    <t>（株）かんでんエンジニアリング</t>
  </si>
  <si>
    <t>サンワコムシスエンジニアリング（株）</t>
  </si>
  <si>
    <t>川崎重工業（株）</t>
  </si>
  <si>
    <t>日本車輌製造（株）</t>
  </si>
  <si>
    <t>九州総合建設（株）</t>
  </si>
  <si>
    <t>（株）トーエネック</t>
  </si>
  <si>
    <t>ニシム電子工業（株）</t>
  </si>
  <si>
    <t>九州林産（株）</t>
  </si>
  <si>
    <t>大日本土木（株）</t>
  </si>
  <si>
    <t>（株）ガイアート</t>
  </si>
  <si>
    <t>呉共同機工（株）</t>
  </si>
  <si>
    <t>（株）ニチボー</t>
  </si>
  <si>
    <t>コーアツ工業（株）</t>
  </si>
  <si>
    <t>（株）不動テトラ</t>
  </si>
  <si>
    <t>西川計測（株）</t>
  </si>
  <si>
    <t>三建設備工業（株）</t>
  </si>
  <si>
    <t>日新電機（株）</t>
  </si>
  <si>
    <t>（株）弘電社</t>
  </si>
  <si>
    <t>九州建設（株）</t>
  </si>
  <si>
    <t>西部電機（株）</t>
  </si>
  <si>
    <t>東洋シヤッター（株）</t>
  </si>
  <si>
    <t>世紀東急工業（株）</t>
  </si>
  <si>
    <t>ＯＫＩクロステック（株）</t>
  </si>
  <si>
    <t>須賀工業（株）</t>
  </si>
  <si>
    <t>（株）中電工</t>
  </si>
  <si>
    <t>鹿島建設（株）</t>
  </si>
  <si>
    <t>西日本プラント工業（株）</t>
  </si>
  <si>
    <t>東興ジオテック（株）</t>
  </si>
  <si>
    <t>日本原料（株）</t>
  </si>
  <si>
    <t>（株）奥村組</t>
  </si>
  <si>
    <t>隔測計装（株）</t>
  </si>
  <si>
    <t>長谷川体育施設（株）</t>
  </si>
  <si>
    <t>（株）宮本工業所</t>
  </si>
  <si>
    <t>あおみ建設（株）</t>
  </si>
  <si>
    <t>（株）クボタ</t>
  </si>
  <si>
    <t>（株）富士ピー・エス</t>
  </si>
  <si>
    <t>前田道路（株）</t>
  </si>
  <si>
    <t>りんかい日産建設（株）</t>
  </si>
  <si>
    <t>（株）栗本鐵工所</t>
  </si>
  <si>
    <t>（株）荏原製作所</t>
  </si>
  <si>
    <t>西武建設（株）</t>
  </si>
  <si>
    <t>（株）鴻池組</t>
  </si>
  <si>
    <t>東洋建設（株）</t>
  </si>
  <si>
    <t>東亜建設工業（株）</t>
  </si>
  <si>
    <t>（株）淺沼組</t>
  </si>
  <si>
    <t>（株）岡部</t>
  </si>
  <si>
    <t>千代田興産（株）</t>
  </si>
  <si>
    <t>（株）九南</t>
  </si>
  <si>
    <t>（株）電業社機械製作所</t>
  </si>
  <si>
    <t>（株）本間組</t>
  </si>
  <si>
    <t>ダイダン（株）</t>
  </si>
  <si>
    <t>西部電気工業（株）</t>
  </si>
  <si>
    <t>（株）東京久栄</t>
  </si>
  <si>
    <t>佐藤鉄工（株）</t>
  </si>
  <si>
    <t>第一設備工業（株）</t>
  </si>
  <si>
    <t>大同電設（株）</t>
  </si>
  <si>
    <t>奥アンツーカ（株）</t>
  </si>
  <si>
    <t>（株）石垣</t>
  </si>
  <si>
    <t>明星電気（株）</t>
  </si>
  <si>
    <t>（株）安部日鋼工業</t>
  </si>
  <si>
    <t>川本工業（株）</t>
  </si>
  <si>
    <t>（株）大本組</t>
  </si>
  <si>
    <t>前田建設工業（株）</t>
  </si>
  <si>
    <t>東光電気工事（株）</t>
  </si>
  <si>
    <t>セイコー化工機（株）</t>
  </si>
  <si>
    <t>宇野重工（株）</t>
  </si>
  <si>
    <t>矢田工業（株）</t>
  </si>
  <si>
    <t>（株）竹中工務店</t>
  </si>
  <si>
    <t>山九（株）</t>
  </si>
  <si>
    <t>日本道路（株）</t>
  </si>
  <si>
    <t>（株）吉田組</t>
  </si>
  <si>
    <t>（株）藤木工務店</t>
  </si>
  <si>
    <t>（株）朝日工業社</t>
  </si>
  <si>
    <t>大成温調（株）</t>
  </si>
  <si>
    <t>極東興和（株）</t>
  </si>
  <si>
    <t>（株）京三製作所</t>
  </si>
  <si>
    <t>青木あすなろ建設（株）</t>
  </si>
  <si>
    <t>サノヤス・エンテック（株）</t>
  </si>
  <si>
    <t>川田工業（株）</t>
  </si>
  <si>
    <t>ニッタン（株）</t>
  </si>
  <si>
    <t>（株）新井組</t>
  </si>
  <si>
    <t>（株）日さく</t>
  </si>
  <si>
    <t>（株）楢崎製作所</t>
  </si>
  <si>
    <t>松尾建設（株）</t>
  </si>
  <si>
    <t>日本電設工業（株）</t>
  </si>
  <si>
    <t>（株）大林組</t>
  </si>
  <si>
    <t>矢作建設工業（株）</t>
  </si>
  <si>
    <t>阿比野建設（株）</t>
  </si>
  <si>
    <t>（株）福田組</t>
  </si>
  <si>
    <t>（株）テクノ菱和</t>
  </si>
  <si>
    <t>愛知時計電機（株）</t>
  </si>
  <si>
    <t>日本空調サービス（株）</t>
  </si>
  <si>
    <t>東亜グラウト工業（株）</t>
  </si>
  <si>
    <t>日本ドライケミカル（株）</t>
  </si>
  <si>
    <t>三菱電機（株）</t>
  </si>
  <si>
    <t>新生テクノス（株）</t>
  </si>
  <si>
    <t>清水建設（株）</t>
  </si>
  <si>
    <t>栗原工業（株）</t>
  </si>
  <si>
    <t>フジタ道路（株）</t>
  </si>
  <si>
    <t>シンフォニアテクノロジー（株）</t>
  </si>
  <si>
    <t>東亜道路工業（株）</t>
  </si>
  <si>
    <t>（株）錢高組</t>
  </si>
  <si>
    <t>壽化工機（株）</t>
  </si>
  <si>
    <t>西田鉄工（株）</t>
  </si>
  <si>
    <t>松井建設（株）</t>
  </si>
  <si>
    <t>東芝エレベータ（株）</t>
  </si>
  <si>
    <t>おべ工業（株）</t>
  </si>
  <si>
    <t>カナデビア（株）</t>
  </si>
  <si>
    <t>富士電機Ｅ＆Ｃ（株）</t>
  </si>
  <si>
    <t>（株）大氣社</t>
  </si>
  <si>
    <t>瀧上工業（株）</t>
  </si>
  <si>
    <t>新菱冷熱工業（株）</t>
  </si>
  <si>
    <t>宇部工業（株）</t>
  </si>
  <si>
    <t>三球電機（株）</t>
  </si>
  <si>
    <t>宮地エンジニアリング（株）</t>
  </si>
  <si>
    <t>機動建設工業（株）</t>
  </si>
  <si>
    <t>月島ＪＦＥアクアソリューション（株）</t>
  </si>
  <si>
    <t>東芝プラントシステム（株）</t>
  </si>
  <si>
    <t>（株）淺川組</t>
  </si>
  <si>
    <t>（株）三冷社</t>
  </si>
  <si>
    <t>（株）明電舎</t>
  </si>
  <si>
    <t>（株）丸島アクアシステム</t>
  </si>
  <si>
    <t>若築建設（株）</t>
  </si>
  <si>
    <t>（株）クリマテック</t>
  </si>
  <si>
    <t>ライト工業（株）</t>
  </si>
  <si>
    <t>奥村組土木興業（株）</t>
  </si>
  <si>
    <t>（株）西原ネオ</t>
  </si>
  <si>
    <t>（株）竹中土木</t>
  </si>
  <si>
    <t>九鉄工業（株）</t>
  </si>
  <si>
    <t>荏原実業（株）</t>
  </si>
  <si>
    <t>（株）東和</t>
  </si>
  <si>
    <t>日東河川工業（株）</t>
  </si>
  <si>
    <t>（株）フソウ</t>
  </si>
  <si>
    <t>（株）ムラヤマ</t>
  </si>
  <si>
    <t>戸田建設（株）</t>
  </si>
  <si>
    <t>藤吉工業（株）</t>
  </si>
  <si>
    <t>日本自動機工（株）</t>
  </si>
  <si>
    <t>（株）イチケン</t>
  </si>
  <si>
    <t>積水アクアシステム（株）</t>
  </si>
  <si>
    <t>（株）関電工</t>
  </si>
  <si>
    <t>徳倉建設（株）</t>
  </si>
  <si>
    <t>オルガノ（株）</t>
  </si>
  <si>
    <t>川田建設（株）</t>
  </si>
  <si>
    <t>村本建設（株）</t>
  </si>
  <si>
    <t>日比谷総合設備（株）</t>
  </si>
  <si>
    <t>川北電気工業（株）</t>
  </si>
  <si>
    <t>日本ケーブル（株）</t>
  </si>
  <si>
    <t>ジョンソンコントロールズ（株）</t>
  </si>
  <si>
    <t>（株）工材社</t>
  </si>
  <si>
    <t>オリエンタル白石（株）</t>
  </si>
  <si>
    <t>斎久工業（株）</t>
  </si>
  <si>
    <t>（株）ナカボーテック</t>
  </si>
  <si>
    <t>アイサワ工業（株）</t>
  </si>
  <si>
    <t>（株）神鋼環境ソリューション</t>
  </si>
  <si>
    <t>都築電気（株）</t>
  </si>
  <si>
    <t>（株）ミゾタ</t>
  </si>
  <si>
    <t>日本無線（株）</t>
  </si>
  <si>
    <t>日本工営エナジーソリューションズ（株）</t>
  </si>
  <si>
    <t>日本サミコン（株）</t>
  </si>
  <si>
    <t>ホーチキ（株）</t>
  </si>
  <si>
    <t>日本製紙総合開発（株）</t>
  </si>
  <si>
    <t>新明和工業（株）</t>
  </si>
  <si>
    <t>三機工業（株）</t>
  </si>
  <si>
    <t>水道機工（株）</t>
  </si>
  <si>
    <t>八千代電設工業（株）</t>
  </si>
  <si>
    <t>（株）ＮＨＫテクノロジーズ</t>
  </si>
  <si>
    <t>東京計器（株）</t>
  </si>
  <si>
    <t>深田サルベージ建設（株）</t>
  </si>
  <si>
    <t>三菱電機システムサービス（株）</t>
  </si>
  <si>
    <t>美津濃（株）</t>
  </si>
  <si>
    <t>富士通Ｊａｐａｎ（株）</t>
  </si>
  <si>
    <t>東邦電気工業（株）</t>
  </si>
  <si>
    <t>日本防蝕工業（株）</t>
  </si>
  <si>
    <t>（株）ナカノフドー建設</t>
  </si>
  <si>
    <t>日本信号（株）</t>
  </si>
  <si>
    <t>国土防災技術（株）</t>
  </si>
  <si>
    <t>（株）菱熱</t>
  </si>
  <si>
    <t>（株）巴コーポレーション</t>
  </si>
  <si>
    <t>フジテック（株）</t>
  </si>
  <si>
    <t>ＪＦＥエンジニアリング（株）</t>
  </si>
  <si>
    <t>（株）日立製作所</t>
  </si>
  <si>
    <t>（株）クマヒラ</t>
  </si>
  <si>
    <t>日本ファブテック（株）</t>
  </si>
  <si>
    <t>共和化工（株）</t>
  </si>
  <si>
    <t>名古屋電機工業（株）</t>
  </si>
  <si>
    <t>三軌建設（株）</t>
  </si>
  <si>
    <t>東洋ホイスト（株）</t>
  </si>
  <si>
    <t>電気興業（株）</t>
  </si>
  <si>
    <t>（株）ノバック</t>
  </si>
  <si>
    <t>東テク（株）</t>
  </si>
  <si>
    <t>扶桑電通（株）</t>
  </si>
  <si>
    <t>（株）森田鉄工所</t>
  </si>
  <si>
    <t>（株）内藤ハウス</t>
  </si>
  <si>
    <t>巴工業（株）</t>
  </si>
  <si>
    <t>三菱化工機（株）</t>
  </si>
  <si>
    <t>東芝ライテック（株）</t>
  </si>
  <si>
    <t>沖電気工業（株）</t>
  </si>
  <si>
    <t>能美防災（株）</t>
  </si>
  <si>
    <t>大和ハウス工業（株）</t>
  </si>
  <si>
    <t>（株）日立プラントサービス</t>
  </si>
  <si>
    <t>ＪＦＥプラントエンジ（株）</t>
  </si>
  <si>
    <t>三菱電機ビルソリューションズ（株）</t>
  </si>
  <si>
    <t>日本乾溜工業（株）</t>
  </si>
  <si>
    <t>（株）ミライト・ワン</t>
  </si>
  <si>
    <t>極東開発工業（株）</t>
  </si>
  <si>
    <t>アズビル（株）</t>
  </si>
  <si>
    <t>空研工業（株）</t>
  </si>
  <si>
    <t>（株）水機テクノス</t>
  </si>
  <si>
    <t>（株）西海建設</t>
  </si>
  <si>
    <t>新菱工業（株）</t>
  </si>
  <si>
    <t>（株）日立ビルシステム</t>
  </si>
  <si>
    <t>東海プラントエンジニアリング（株）</t>
  </si>
  <si>
    <t>（株）松村電機製作所</t>
  </si>
  <si>
    <t>ドリコ（株）</t>
  </si>
  <si>
    <t>（株）ＨＹＳエンジニアリングサービス</t>
  </si>
  <si>
    <t>みらい建設工業（株）</t>
  </si>
  <si>
    <t>大栄開発（株）</t>
  </si>
  <si>
    <t>理水化学（株）</t>
  </si>
  <si>
    <t>高砂熱学工業（株）</t>
  </si>
  <si>
    <t>ＮＥＣネッツエスアイ（株）</t>
  </si>
  <si>
    <t>（株）カナデン</t>
  </si>
  <si>
    <t>（株）千代田組</t>
  </si>
  <si>
    <t>（株）ＩＨＩ回転機械エンジニアリング</t>
  </si>
  <si>
    <t>管清工業（株）</t>
  </si>
  <si>
    <t>大和リース（株）</t>
  </si>
  <si>
    <t>日東工営（株）</t>
  </si>
  <si>
    <t>オムロンフィールドエンジニアリング（株）</t>
  </si>
  <si>
    <t>（株）三進ろ過工業</t>
  </si>
  <si>
    <t>（株）大仙</t>
  </si>
  <si>
    <t>（株）ケーネス</t>
  </si>
  <si>
    <t>ジャトー（株）</t>
  </si>
  <si>
    <t>カナデビアＥ＆Ｅ（株）</t>
  </si>
  <si>
    <t>（株）タクマ</t>
  </si>
  <si>
    <t>（株）加藤建設</t>
  </si>
  <si>
    <t>今別府産業（株）</t>
  </si>
  <si>
    <t>ヒビノスペーステック（株）</t>
  </si>
  <si>
    <t>（株）田中衡機工業所</t>
  </si>
  <si>
    <t>泉陽興業（株）</t>
  </si>
  <si>
    <t>ＴＳＰ太陽（株）</t>
  </si>
  <si>
    <t>日本体育施設（株）</t>
  </si>
  <si>
    <t>郡リース（株）</t>
  </si>
  <si>
    <t>三精工事サービス（株）</t>
  </si>
  <si>
    <t>東海リース（株）</t>
  </si>
  <si>
    <t>三桜電気工業（株）</t>
  </si>
  <si>
    <t>トータリゼータエンジニアリング（株）</t>
  </si>
  <si>
    <t>三菱重工環境・化学エンジニアリング（株）</t>
  </si>
  <si>
    <t>（株）瀬口組</t>
  </si>
  <si>
    <t>（株）山田商会</t>
  </si>
  <si>
    <t>千代田計装（株）</t>
  </si>
  <si>
    <t>王子エンジニアリング（株）</t>
  </si>
  <si>
    <t>大成機工（株）</t>
  </si>
  <si>
    <t>（株）キューオキ</t>
  </si>
  <si>
    <t>（株）乗富鉄工所</t>
  </si>
  <si>
    <t>九州ニチレキ工事（株）</t>
  </si>
  <si>
    <t>フコク電興（株）</t>
  </si>
  <si>
    <t>三晃工業（株）</t>
  </si>
  <si>
    <t>（株）大和エンジニヤリング</t>
  </si>
  <si>
    <t>（株）若港</t>
  </si>
  <si>
    <t>（株）スポーツテクノ和広</t>
  </si>
  <si>
    <t>日本コムシス（株）</t>
  </si>
  <si>
    <t>エコー電子工業（株）</t>
  </si>
  <si>
    <t>（株）丹青社</t>
  </si>
  <si>
    <t>（株）荏原電産</t>
  </si>
  <si>
    <t>石垣メンテナンス（株）</t>
  </si>
  <si>
    <t>（株）ファビルス</t>
  </si>
  <si>
    <t>三菱プレシジョン（株）</t>
  </si>
  <si>
    <t>（株）環境開発</t>
  </si>
  <si>
    <t>日本ギア工業（株）</t>
  </si>
  <si>
    <t>（株）拓和</t>
  </si>
  <si>
    <t>（株）三井三池製作所</t>
  </si>
  <si>
    <t>（株）明興テクノス</t>
  </si>
  <si>
    <t>（株）鶴見製作所</t>
  </si>
  <si>
    <t>（株）ＪＰＦ</t>
  </si>
  <si>
    <t>三菱化工機アドバンス（株）</t>
  </si>
  <si>
    <t>三井住友建設鉄構エンジニアリング（株）</t>
  </si>
  <si>
    <t>古野電気（株）</t>
  </si>
  <si>
    <t>クボタ環境エンジニアリング（株）</t>
  </si>
  <si>
    <t>パナソニックコネクト（株）</t>
  </si>
  <si>
    <t>日本基礎技術（株）</t>
  </si>
  <si>
    <t>明電プラントシステムズ（株）</t>
  </si>
  <si>
    <t>三菱電機プラントエンジニアリング（株）</t>
  </si>
  <si>
    <t>大同機工（株）</t>
  </si>
  <si>
    <t>オルガノプラントサービス（株）</t>
  </si>
  <si>
    <t>（株）サンケン・エンジニアリング</t>
  </si>
  <si>
    <t>九州日植（株）</t>
  </si>
  <si>
    <t>（株）コンステック</t>
  </si>
  <si>
    <t>雪印種苗（株）</t>
  </si>
  <si>
    <t>西戸崎興産（株）</t>
  </si>
  <si>
    <t>飯塚電機工業（株）</t>
  </si>
  <si>
    <t>（株）コトブキ</t>
  </si>
  <si>
    <t>富士建設工業（株）</t>
  </si>
  <si>
    <t>光伸（株）</t>
  </si>
  <si>
    <t>（株）ＩＨＩ汎用ボイラ</t>
  </si>
  <si>
    <t>パナソニック環境エンジニアリング（株）</t>
  </si>
  <si>
    <t>（株）共和テック</t>
  </si>
  <si>
    <t>森平舞台機構（株）</t>
  </si>
  <si>
    <t>浅野アタカ（株）</t>
  </si>
  <si>
    <t>（株）ＧＳユアサフィールディングス</t>
  </si>
  <si>
    <t>セイコータイムクリエーション（株）</t>
  </si>
  <si>
    <t>日本海上工事（株）</t>
  </si>
  <si>
    <t>（株）塩浜工業</t>
  </si>
  <si>
    <t>（株）川北電工</t>
  </si>
  <si>
    <t>富士産業（株）</t>
  </si>
  <si>
    <t>（株）西原環境</t>
  </si>
  <si>
    <t>ＩＨＩ運搬機械（株）</t>
  </si>
  <si>
    <t>（株）カナデビアエンジニアリング</t>
  </si>
  <si>
    <t>イオンディライト（株）</t>
  </si>
  <si>
    <t>ミナモト通信（株）</t>
  </si>
  <si>
    <t>オリエントハウス（株）</t>
  </si>
  <si>
    <t>東海物産（株）</t>
  </si>
  <si>
    <t>（株）磯村</t>
  </si>
  <si>
    <t>溝江建設（株）</t>
  </si>
  <si>
    <t>芦森エンジニアリング（株）</t>
  </si>
  <si>
    <t>アイム電機工業（株）</t>
  </si>
  <si>
    <t>（株）塩月工業</t>
  </si>
  <si>
    <t>（株）サンコービルド</t>
  </si>
  <si>
    <t>金剛（株）</t>
  </si>
  <si>
    <t>（株）ジャクエツ</t>
  </si>
  <si>
    <t>開成工業（株）</t>
  </si>
  <si>
    <t>（株）ニシコー</t>
  </si>
  <si>
    <t>西南電気（株）</t>
  </si>
  <si>
    <t>タニコー（株）</t>
  </si>
  <si>
    <t>オリエント産業（株）</t>
  </si>
  <si>
    <t>（株）オーツボ</t>
  </si>
  <si>
    <t>小柳建設（株）</t>
  </si>
  <si>
    <t>（株）アサヒファシリティズ</t>
  </si>
  <si>
    <t>（株）有電社</t>
  </si>
  <si>
    <t>月島ジェイテクノメンテサービス（株）</t>
  </si>
  <si>
    <t>日米電子（株）</t>
  </si>
  <si>
    <t>（株）くちき</t>
  </si>
  <si>
    <t>（株）協和製作所</t>
  </si>
  <si>
    <t>パナソニックＥＷエンジニアリング（株）</t>
  </si>
  <si>
    <t>（株）筑豊製作所</t>
  </si>
  <si>
    <t>（株）ウォーターデザイン</t>
  </si>
  <si>
    <t>（株）博電舎</t>
  </si>
  <si>
    <t>（株）久保工務店</t>
  </si>
  <si>
    <t>表示灯（株）</t>
  </si>
  <si>
    <t>日本昇降機（株）</t>
  </si>
  <si>
    <t>日本メンテナスエンジニヤリング（株）</t>
  </si>
  <si>
    <t>ＮＥＣプラットフォームズ（株）</t>
  </si>
  <si>
    <t>（株）大島造船所</t>
  </si>
  <si>
    <t>テクノシステム（株）</t>
  </si>
  <si>
    <t>鎌田バイオ・エンジニアリング（株）</t>
  </si>
  <si>
    <t>ゼニヤ海洋サービス（株）</t>
  </si>
  <si>
    <t>文化シヤッターサービス（株）</t>
  </si>
  <si>
    <t>日鉄防食（株）</t>
  </si>
  <si>
    <t>（株）コモンテックス</t>
  </si>
  <si>
    <t>飯田鉄工（株）</t>
  </si>
  <si>
    <t>協和機電工業（株）</t>
  </si>
  <si>
    <t>（株）福岡九州クボタ</t>
  </si>
  <si>
    <t>近畿工業（株）</t>
  </si>
  <si>
    <t>ＮＥＣフィールディング（株）</t>
  </si>
  <si>
    <t>（株）北洋建設</t>
  </si>
  <si>
    <t>（株）正興電機製作所</t>
  </si>
  <si>
    <t>森松工業（株）</t>
  </si>
  <si>
    <t>（株）テクアノーツ</t>
  </si>
  <si>
    <t>（株）トーケミ</t>
  </si>
  <si>
    <t>イノチオアグリ（株）</t>
  </si>
  <si>
    <t>共栄環境開発（株）</t>
  </si>
  <si>
    <t>（株）日本電子</t>
  </si>
  <si>
    <t>旭防災設備（株）</t>
  </si>
  <si>
    <t>西日本オートメーション（株）</t>
  </si>
  <si>
    <t>綿半ソリューションズ（株）</t>
  </si>
  <si>
    <t>住友電工システムソリューション（株）</t>
  </si>
  <si>
    <t>（株）ウォーターテック</t>
  </si>
  <si>
    <t>リュウテック昇降機（株）</t>
  </si>
  <si>
    <t>（株）クリタス</t>
  </si>
  <si>
    <t>（株）安成工務店</t>
  </si>
  <si>
    <t>メタウォーター（株）</t>
  </si>
  <si>
    <t>（株）ウチダテクノ</t>
  </si>
  <si>
    <t>富士通ネットワークソリューションズ（株）</t>
  </si>
  <si>
    <t>丸島産業（株）</t>
  </si>
  <si>
    <t>（株）創電</t>
  </si>
  <si>
    <t>（株）エフワンエヌ</t>
  </si>
  <si>
    <t>（株）前澤エンジニアリングサービス</t>
  </si>
  <si>
    <t>三機アクアテック（株）</t>
  </si>
  <si>
    <t>島津システムソリューションズ（株）</t>
  </si>
  <si>
    <t>東海鋼管（株）</t>
  </si>
  <si>
    <t>シンク・エンジニアリング（株）</t>
  </si>
  <si>
    <t>タカオ（株）</t>
  </si>
  <si>
    <t>東和スポーツ施設（株）</t>
  </si>
  <si>
    <t>（株）豊国エンジニアリング</t>
  </si>
  <si>
    <t>日水産業（株）</t>
  </si>
  <si>
    <t>ＵＢＥマシナリー（株）</t>
  </si>
  <si>
    <t>日軽エンジニアリング（株）</t>
  </si>
  <si>
    <t>横河ソリューションサービス（株）</t>
  </si>
  <si>
    <t>エヌ・ティ・ティ・データ・カスタマサービス（株）</t>
  </si>
  <si>
    <t>（株）トータルメディア開発研究所</t>
  </si>
  <si>
    <t>阪神動力機械（株）</t>
  </si>
  <si>
    <t>九昭電設工業（株）</t>
  </si>
  <si>
    <t>（株）カワサキマシンシステムズ</t>
  </si>
  <si>
    <t>（株）旺計社</t>
  </si>
  <si>
    <t>第二建設（株）</t>
  </si>
  <si>
    <t>（株）興電舎</t>
  </si>
  <si>
    <t>アマノ（株）</t>
  </si>
  <si>
    <t>（株）エヌケーエス</t>
  </si>
  <si>
    <t>渡辺パイプ（株）</t>
  </si>
  <si>
    <t>東芝ＥＩコントロールシステム（株）</t>
  </si>
  <si>
    <t>ダイキンエアテクノ（株）</t>
  </si>
  <si>
    <t>アイテック（株）</t>
  </si>
  <si>
    <t>酒井工業（株）</t>
  </si>
  <si>
    <t>（株）フジタ</t>
  </si>
  <si>
    <t>旭イノベックス（株）</t>
  </si>
  <si>
    <t>パナソニック建設エンジニアリング（株）</t>
  </si>
  <si>
    <t>ボンドエンジニアリング（株）</t>
  </si>
  <si>
    <t>（株）ＩＨＩ原動機</t>
  </si>
  <si>
    <t>荏原冷熱システム（株）</t>
  </si>
  <si>
    <t>東急建設（株）</t>
  </si>
  <si>
    <t>（株）日本シューター</t>
  </si>
  <si>
    <t>（株）安藤・間</t>
  </si>
  <si>
    <t>コウフ・フィールド（株）</t>
  </si>
  <si>
    <t>（株）環境施設</t>
  </si>
  <si>
    <t>（株）森本組</t>
  </si>
  <si>
    <t>四国環境整備興業（株）</t>
  </si>
  <si>
    <t>八江グリーンポート（株）</t>
  </si>
  <si>
    <t>（株）前田産業</t>
  </si>
  <si>
    <t>（株）ＧＳユアサ</t>
  </si>
  <si>
    <t>新明和アクアテクサービス（株）</t>
  </si>
  <si>
    <t>ユニアデックス（株）</t>
  </si>
  <si>
    <t>（株）プランテック</t>
  </si>
  <si>
    <t>ＪＦＥ環境テクノロジー（株）</t>
  </si>
  <si>
    <t>古河産機システムズ（株）</t>
  </si>
  <si>
    <t>日本建設（株）</t>
  </si>
  <si>
    <t>（株）ダイキアクシス</t>
  </si>
  <si>
    <t>（株）金剛組</t>
  </si>
  <si>
    <t>極東サービス（株）</t>
  </si>
  <si>
    <t>（株）東洋システム</t>
  </si>
  <si>
    <t>荏原環境プラント（株）</t>
  </si>
  <si>
    <t>日鉄エンジニアリング（株）</t>
  </si>
  <si>
    <t>（株）ナガワ</t>
  </si>
  <si>
    <t>住友重機械エンバイロメント（株）</t>
  </si>
  <si>
    <t>安川オートメーション・ドライブ（株）</t>
  </si>
  <si>
    <t>ＪＦＥテクノス（株）</t>
  </si>
  <si>
    <t>三和シヤッター工業（株）</t>
  </si>
  <si>
    <t>（株）横河ブリッジ</t>
  </si>
  <si>
    <t>メタウォーターサービス（株）</t>
  </si>
  <si>
    <t>（株）前川製作所</t>
  </si>
  <si>
    <t>（株）ＳＮＣ</t>
  </si>
  <si>
    <t>（株）森川鑿泉工業所</t>
  </si>
  <si>
    <t>（株）ベルテクノ</t>
  </si>
  <si>
    <t>アクアインテック（株）</t>
  </si>
  <si>
    <t>テスコ（株）</t>
  </si>
  <si>
    <t>東伸エンジニアリング（株）</t>
  </si>
  <si>
    <t>（株）サン電工社</t>
  </si>
  <si>
    <t>（株）横河ＮＳエンジニアリング</t>
  </si>
  <si>
    <t>八光海運（株）</t>
  </si>
  <si>
    <t>（株）西鉄グリーン土木</t>
  </si>
  <si>
    <t>ネットワンシステムズ（株）</t>
  </si>
  <si>
    <t>パナソニック産機システムズ（株）</t>
  </si>
  <si>
    <t>日本鉄塔工業（株）</t>
  </si>
  <si>
    <t>（株）ディグ工業</t>
  </si>
  <si>
    <t>（株）福島製作所</t>
  </si>
  <si>
    <t>ＪＲＣシステムサービス（株）</t>
  </si>
  <si>
    <t>セコム（株）</t>
  </si>
  <si>
    <t>コトブキシーティング（株）</t>
  </si>
  <si>
    <t>富士電機（株）</t>
  </si>
  <si>
    <t>横浜ゴムＭＢジャパン（株）</t>
  </si>
  <si>
    <t>（株）アセック</t>
  </si>
  <si>
    <t>東芝テリー（株）</t>
  </si>
  <si>
    <t>大機工業（株）</t>
  </si>
  <si>
    <t>鉱研工業（株）</t>
  </si>
  <si>
    <t>オムロンソーシアルソリューションズ（株）</t>
  </si>
  <si>
    <t>（株）日立プラントメカニクス</t>
  </si>
  <si>
    <t>（株）江藤建設工業</t>
  </si>
  <si>
    <t>（株）エース・ウォーター</t>
  </si>
  <si>
    <t>コイト電工（株）</t>
  </si>
  <si>
    <t>九電テクノシステムズ（株）</t>
  </si>
  <si>
    <t>栫築炉工業（株）</t>
  </si>
  <si>
    <t>日本メディコム（株）</t>
  </si>
  <si>
    <t>三菱重工パワーインダストリー（株）</t>
  </si>
  <si>
    <t>内田工業（株）</t>
  </si>
  <si>
    <t>石田工業（株）</t>
  </si>
  <si>
    <t>津福工業（株）</t>
  </si>
  <si>
    <t>松山建設（株）</t>
  </si>
  <si>
    <t>（株）明電エンジニアリング</t>
  </si>
  <si>
    <t>弘安建設（株）</t>
  </si>
  <si>
    <t>（株）東光高岳</t>
  </si>
  <si>
    <t>エナジーウィズ（株）</t>
  </si>
  <si>
    <t>日本橋梁（株）</t>
  </si>
  <si>
    <t>電協産業（株）</t>
  </si>
  <si>
    <t>田中機電工業（株）</t>
  </si>
  <si>
    <t>（株）ＪＶＣケンウッド・公共産業システム</t>
  </si>
  <si>
    <t>（株）川崎技研</t>
  </si>
  <si>
    <t>（株）炉研</t>
  </si>
  <si>
    <t>月島ジェイアクアサービス機器（株）</t>
  </si>
  <si>
    <t>（株）真興</t>
  </si>
  <si>
    <t>東芝エネルギーシステムズ（株）</t>
  </si>
  <si>
    <t>（株）日本管財環境サービス</t>
  </si>
  <si>
    <t>三菱重工交通・建設エンジニアリング（株）</t>
  </si>
  <si>
    <t>（株）三井Ｅ＆Ｓ</t>
  </si>
  <si>
    <t>（株）九州テン</t>
  </si>
  <si>
    <t>ＮＥＣソリューションイノベータ（株）</t>
  </si>
  <si>
    <t>水ｉｎｇエンジニアリング（株）</t>
  </si>
  <si>
    <t>（株）日立インダストリアルプロダクツ</t>
  </si>
  <si>
    <t>（株）アセント</t>
  </si>
  <si>
    <t>キュウセツＡＱＵＡ（株）</t>
  </si>
  <si>
    <t>マーク建設（株）</t>
  </si>
  <si>
    <t>（株）下野建設</t>
  </si>
  <si>
    <t>カヤバＣＳ（株）</t>
  </si>
  <si>
    <t>（株）消防防災</t>
  </si>
  <si>
    <t>ＮＴＴビジネスソリューションズ（株）</t>
  </si>
  <si>
    <t>ソニーマーケティング（株）</t>
  </si>
  <si>
    <t>共和メンテナンス（株）</t>
  </si>
  <si>
    <t>西日本三建サービス（株）</t>
  </si>
  <si>
    <t>ＫＳＳ（株）</t>
  </si>
  <si>
    <t>（株）伊藤鐵工所</t>
  </si>
  <si>
    <t>三井造船特機エンジニアリング（株）</t>
  </si>
  <si>
    <t>日本電気（株）</t>
  </si>
  <si>
    <t>安川メカトレック末松九機（株）</t>
  </si>
  <si>
    <t>（株）リケン環境システム</t>
  </si>
  <si>
    <t>（株）富士ダイナミクス</t>
  </si>
  <si>
    <t>日本トーター（株）</t>
  </si>
  <si>
    <t>（株）ＮＴＴデータ</t>
  </si>
  <si>
    <t>（株）善興社</t>
  </si>
  <si>
    <t>（株）五藤光学研究所</t>
  </si>
  <si>
    <t>コニカミノルタプラネタリウム（株）</t>
  </si>
  <si>
    <t>ヴェオリア・ジェネッツ（株）</t>
  </si>
  <si>
    <t>ヨコトク（株）</t>
  </si>
  <si>
    <t>ヒカリ（株）</t>
  </si>
  <si>
    <t>ナカダ産業（株）</t>
  </si>
  <si>
    <t>ネットワーク（株）</t>
  </si>
  <si>
    <t>（株）松村工務店</t>
  </si>
  <si>
    <t>（株）ファイン</t>
  </si>
  <si>
    <t>（株）栗田機械製作所</t>
  </si>
  <si>
    <t>ジッポウ工業（株）</t>
  </si>
  <si>
    <t>（株）ニューテック</t>
  </si>
  <si>
    <t>ＮＤネットサービス（有）</t>
  </si>
  <si>
    <t>三広工業（株）</t>
  </si>
  <si>
    <t>虹技（株）</t>
  </si>
  <si>
    <t>（株）島井組プラント</t>
  </si>
  <si>
    <t>内海プラント（株）</t>
  </si>
  <si>
    <t>（株）東洋機工エンジニアリング</t>
  </si>
  <si>
    <t>（株）御池鐵工所</t>
  </si>
  <si>
    <t>（株）理舎</t>
  </si>
  <si>
    <t>イームル工業（株）</t>
  </si>
  <si>
    <t>鎌長製衡（株）</t>
  </si>
  <si>
    <t>シマ（株）</t>
  </si>
  <si>
    <t>（株）ベネアス</t>
  </si>
  <si>
    <t>（株）ＥＥＳ</t>
  </si>
  <si>
    <t>東機械工業（株）</t>
  </si>
  <si>
    <t>（株）上野製作所</t>
  </si>
  <si>
    <t>（株）嘉穂製作所</t>
  </si>
  <si>
    <t>（株）ケイ・イー・エス</t>
  </si>
  <si>
    <t>九有電子工業（株）</t>
  </si>
  <si>
    <t>蔵田工業（株）</t>
  </si>
  <si>
    <t>（株）研進産業</t>
  </si>
  <si>
    <t>光陽無線（株）</t>
  </si>
  <si>
    <t>（株）秀電社</t>
  </si>
  <si>
    <t>正興電気建設（株）</t>
  </si>
  <si>
    <t>（株）テクネ</t>
  </si>
  <si>
    <t>日新産業（株）</t>
  </si>
  <si>
    <t>西日本クリスタル（株）</t>
  </si>
  <si>
    <t>半田建設（株）</t>
  </si>
  <si>
    <t>（株）ハダ工芸社</t>
  </si>
  <si>
    <t>福岡芝浦電子（株）</t>
  </si>
  <si>
    <t>（株）行橋玄洋社</t>
  </si>
  <si>
    <t>（株）小山社寺工業所</t>
  </si>
  <si>
    <t>（株）大川鉄工</t>
  </si>
  <si>
    <t>上内電気（株）</t>
  </si>
  <si>
    <t>イーエレクス（株）</t>
  </si>
  <si>
    <t>双葉工業（株）</t>
  </si>
  <si>
    <t>（株）ハッセイ</t>
  </si>
  <si>
    <t>北九州ユアサ産業電池（株）</t>
  </si>
  <si>
    <t>環境エンヂニアリング（株）</t>
  </si>
  <si>
    <t>（株）カブード</t>
  </si>
  <si>
    <t>福岡日信電子（株）</t>
  </si>
  <si>
    <t>（株）ブイメンテ</t>
  </si>
  <si>
    <t>佐和屋産業（株）</t>
  </si>
  <si>
    <t>（株）ウノシマ</t>
  </si>
  <si>
    <t>（株）大千</t>
  </si>
  <si>
    <t>太平ビルサービス（株）</t>
  </si>
  <si>
    <t>サノ・テクノ（株）</t>
  </si>
  <si>
    <t>（株）エフ・テクノ</t>
  </si>
  <si>
    <t>（株）テクノユース</t>
  </si>
  <si>
    <t>亜細亜建設工業（株）</t>
  </si>
  <si>
    <t>（株）秀建</t>
  </si>
  <si>
    <t>カナデビア九州サービス（株）</t>
  </si>
  <si>
    <t>大新産業（株）</t>
  </si>
  <si>
    <t>（株）エヌ・ティ・ティ・データ九州</t>
  </si>
  <si>
    <t>太新工業（株）</t>
  </si>
  <si>
    <t>第一警備保障（株）</t>
  </si>
  <si>
    <t>宮川建設（株）</t>
  </si>
  <si>
    <t>太陽築炉工業（株）</t>
  </si>
  <si>
    <t>遊景産業（株）</t>
  </si>
  <si>
    <t>（株）才田組</t>
  </si>
  <si>
    <t>箱崎プラント工業（株）</t>
  </si>
  <si>
    <t>（株）環境技研</t>
  </si>
  <si>
    <t>ユージーエンジニアリング（株）</t>
  </si>
  <si>
    <t>（株）白海</t>
  </si>
  <si>
    <t>（株）ＷＥＬＭＡ</t>
  </si>
  <si>
    <t>（株）トレス</t>
  </si>
  <si>
    <t>平井スポーツ建設（株）</t>
  </si>
  <si>
    <t>飯田建設（株）</t>
  </si>
  <si>
    <t>（株）ＴＳＳ</t>
  </si>
  <si>
    <t>（株）ＴＩＥＳ</t>
  </si>
  <si>
    <t>（株）ツヅイテック</t>
  </si>
  <si>
    <t>九州化工建設（株）</t>
  </si>
  <si>
    <t>（株）ウィートライズ</t>
  </si>
  <si>
    <t>ホシザキ北九（株）</t>
  </si>
  <si>
    <t>（株）海洋開発技術研究所</t>
  </si>
  <si>
    <t>山口産業（株）</t>
  </si>
  <si>
    <t>大菱電気工業（株）</t>
  </si>
  <si>
    <t>宮本電機（株）</t>
  </si>
  <si>
    <t>（有）トータスコーポレーション</t>
  </si>
  <si>
    <t>前畑造船（株）</t>
  </si>
  <si>
    <t>（有）大友地下ボーリング</t>
  </si>
  <si>
    <t>九州日商興業（株）</t>
  </si>
  <si>
    <t>プライムシステム（株）</t>
  </si>
  <si>
    <t>（株）中央精機</t>
  </si>
  <si>
    <t>九州テクニカルメンテナンス（株）</t>
  </si>
  <si>
    <t>丸昭建設（株）</t>
  </si>
  <si>
    <t>アルコ電機（株）</t>
  </si>
  <si>
    <t>ニシダテクノサービス（株）</t>
  </si>
  <si>
    <t>（株）静岡塗装組</t>
  </si>
  <si>
    <t>日本ピー・シー・テー建設（株）</t>
  </si>
  <si>
    <t>（株）花菱塗装技研工業</t>
  </si>
  <si>
    <t>（株）延岡十電舎</t>
  </si>
  <si>
    <t>ナンテック（株）</t>
  </si>
  <si>
    <t>（株）中野管理</t>
  </si>
  <si>
    <t>南日本興業（株）</t>
  </si>
  <si>
    <t>アボック（株）</t>
  </si>
  <si>
    <t>ユニーズ工業（株）</t>
  </si>
  <si>
    <t>（株）プランテムタナカ</t>
  </si>
  <si>
    <t>（株）サニタリー</t>
  </si>
  <si>
    <t>川幸産業（株）</t>
  </si>
  <si>
    <t>土屋　智義</t>
  </si>
  <si>
    <t>岡本　浩志</t>
  </si>
  <si>
    <t>田口　修</t>
  </si>
  <si>
    <t>上坂　隆勇</t>
  </si>
  <si>
    <t>中村　貴任</t>
  </si>
  <si>
    <t>谷　信</t>
  </si>
  <si>
    <t>柴田　敏雄</t>
  </si>
  <si>
    <t>和田　康夫</t>
  </si>
  <si>
    <t>有馬　浩史</t>
  </si>
  <si>
    <t>宇賀　良太</t>
  </si>
  <si>
    <t>鈴木　隆</t>
  </si>
  <si>
    <t>小田　真也</t>
  </si>
  <si>
    <t>相川　善郎</t>
  </si>
  <si>
    <t>馬越　直仁</t>
  </si>
  <si>
    <t>池浦　正裕</t>
  </si>
  <si>
    <t>大石　和弘</t>
  </si>
  <si>
    <t>宮崎　修</t>
  </si>
  <si>
    <t>中村　達郎</t>
  </si>
  <si>
    <t>栃本　泰浩</t>
  </si>
  <si>
    <t>徳野　修一</t>
  </si>
  <si>
    <t>平間　宏</t>
  </si>
  <si>
    <t>古江　訓雄</t>
  </si>
  <si>
    <t>荒井　正純</t>
  </si>
  <si>
    <t>前田　英明</t>
  </si>
  <si>
    <t>八木橋　浩隆</t>
  </si>
  <si>
    <t>千足　邦男</t>
  </si>
  <si>
    <t>木村　明文</t>
  </si>
  <si>
    <t>原田　耕太郎</t>
  </si>
  <si>
    <t>谷口　昌伸</t>
  </si>
  <si>
    <t>深井　義博</t>
  </si>
  <si>
    <t>名村　建介</t>
  </si>
  <si>
    <t>半田　愼一郎</t>
  </si>
  <si>
    <t>宮川　多正</t>
  </si>
  <si>
    <t>清森　洋祐</t>
  </si>
  <si>
    <t>沖　将介</t>
  </si>
  <si>
    <t>村瀬　大一郎</t>
  </si>
  <si>
    <t>田行　啓一</t>
  </si>
  <si>
    <t>井上　久行</t>
  </si>
  <si>
    <t>吉川　真人</t>
  </si>
  <si>
    <t>山田　泰郎</t>
  </si>
  <si>
    <t>清本　邦夫</t>
  </si>
  <si>
    <t>後藤　悟志</t>
  </si>
  <si>
    <t>丸茂　英津子</t>
  </si>
  <si>
    <t>上村　幸太郎</t>
  </si>
  <si>
    <t>林　伊佐雄</t>
  </si>
  <si>
    <t>奥本　清孝</t>
  </si>
  <si>
    <t>岩下　雅之</t>
  </si>
  <si>
    <t>藤川　雅浩</t>
  </si>
  <si>
    <t>細川　雅一</t>
  </si>
  <si>
    <t>永井　博幸</t>
  </si>
  <si>
    <t>清水　琢三</t>
  </si>
  <si>
    <t>上田　真</t>
  </si>
  <si>
    <t>伊藤　泰司</t>
  </si>
  <si>
    <t>内山　克博</t>
  </si>
  <si>
    <t>森　拓也</t>
  </si>
  <si>
    <t>榊原　秀明</t>
  </si>
  <si>
    <t>岸本　達也</t>
  </si>
  <si>
    <t>金谷　俊宗</t>
  </si>
  <si>
    <t>岩田　圭剛</t>
  </si>
  <si>
    <t>大久保　昌利</t>
  </si>
  <si>
    <t>大内　宏之</t>
  </si>
  <si>
    <t>橋本　康彦</t>
  </si>
  <si>
    <t>田中　守</t>
  </si>
  <si>
    <t>河本　裕一</t>
  </si>
  <si>
    <t>山科　秀之</t>
  </si>
  <si>
    <t>小塩　正己</t>
  </si>
  <si>
    <t>石橋　和幸</t>
  </si>
  <si>
    <t>松　雅彦</t>
  </si>
  <si>
    <t>八幡　信孝</t>
  </si>
  <si>
    <t>石塚　周平</t>
  </si>
  <si>
    <t>入交　太郎</t>
  </si>
  <si>
    <t>出口　稔</t>
  </si>
  <si>
    <t>奧田　眞也</t>
  </si>
  <si>
    <t>田中　勝彦</t>
  </si>
  <si>
    <t>松井　栄一</t>
  </si>
  <si>
    <t>梶川　裕司</t>
  </si>
  <si>
    <t>井山　裕</t>
  </si>
  <si>
    <t>税所　幸一</t>
  </si>
  <si>
    <t>岡田　敏夫</t>
  </si>
  <si>
    <t>平　喜一</t>
  </si>
  <si>
    <t>冨澤　博志</t>
  </si>
  <si>
    <t>津田　端孝</t>
  </si>
  <si>
    <t>重藤　隆文</t>
  </si>
  <si>
    <t>豊嶋　直幸</t>
  </si>
  <si>
    <t>瀬高　末広</t>
  </si>
  <si>
    <t>齋藤　安弘</t>
  </si>
  <si>
    <t>奥村　太加典</t>
  </si>
  <si>
    <t>西野　和彦</t>
  </si>
  <si>
    <t>仁ノ平　俊和</t>
  </si>
  <si>
    <t>宮本　芳樹</t>
  </si>
  <si>
    <t>河邊　知之</t>
  </si>
  <si>
    <t>堤　忠彦</t>
  </si>
  <si>
    <t>今泉　保彦</t>
  </si>
  <si>
    <t>永尾　秀司</t>
  </si>
  <si>
    <t>菊本　一高</t>
  </si>
  <si>
    <t>渡津　弘己</t>
  </si>
  <si>
    <t>吉田　裕司</t>
  </si>
  <si>
    <t>中村　龍由</t>
  </si>
  <si>
    <t>早川　毅</t>
  </si>
  <si>
    <t>浅沼　誠</t>
  </si>
  <si>
    <t>岡部　竜一</t>
  </si>
  <si>
    <t>黒川　浩之</t>
  </si>
  <si>
    <t>彦坂　典男</t>
  </si>
  <si>
    <t>山中　康宏</t>
  </si>
  <si>
    <t>坂口　隆冨美</t>
  </si>
  <si>
    <t>森下　覚恵</t>
  </si>
  <si>
    <t>高月　邦夫</t>
  </si>
  <si>
    <t>坂本　良文</t>
  </si>
  <si>
    <t>田島　久男</t>
  </si>
  <si>
    <t>織田　正見</t>
  </si>
  <si>
    <t>奥　洋彦</t>
  </si>
  <si>
    <t>石垣　真</t>
  </si>
  <si>
    <t>夏明　正伸</t>
  </si>
  <si>
    <t>井手口　哲朗</t>
  </si>
  <si>
    <t>川本　守彦</t>
  </si>
  <si>
    <t>三宅　啓一</t>
  </si>
  <si>
    <t>前田　操治</t>
  </si>
  <si>
    <t>山本　隆洋</t>
  </si>
  <si>
    <t>宇野　雄介</t>
  </si>
  <si>
    <t>成田　正樹</t>
  </si>
  <si>
    <t>佐々木　正人</t>
  </si>
  <si>
    <t>中村　公大</t>
  </si>
  <si>
    <t>石井　敏行</t>
  </si>
  <si>
    <t>壺阪　博昭</t>
  </si>
  <si>
    <t>村井　豪</t>
  </si>
  <si>
    <t>藤木　玄三</t>
  </si>
  <si>
    <t>高須　康有</t>
  </si>
  <si>
    <t>水谷　憲一</t>
  </si>
  <si>
    <t>山根　隆志</t>
  </si>
  <si>
    <t>國澤　良治</t>
  </si>
  <si>
    <t>浅尾　洋光</t>
  </si>
  <si>
    <t>川田　忠裕</t>
  </si>
  <si>
    <t>沖　昌徳</t>
  </si>
  <si>
    <t>馬場　公勝</t>
  </si>
  <si>
    <t>若林　直樹</t>
  </si>
  <si>
    <t>梶　宏人</t>
  </si>
  <si>
    <t>松尾　哲吾</t>
  </si>
  <si>
    <t>安田　一成</t>
  </si>
  <si>
    <t>高柳　充広</t>
  </si>
  <si>
    <t>阿比野　剛</t>
  </si>
  <si>
    <t>荒明　正紀</t>
  </si>
  <si>
    <t>加藤　雅也</t>
  </si>
  <si>
    <t>國島　賢治</t>
  </si>
  <si>
    <t>依藤　敏明</t>
  </si>
  <si>
    <t>山口　乃理夫</t>
  </si>
  <si>
    <t>亀井　正文</t>
  </si>
  <si>
    <t>漆間　啓</t>
  </si>
  <si>
    <t>長田　豊</t>
  </si>
  <si>
    <t>吉川　英二</t>
  </si>
  <si>
    <t>平野　新一</t>
  </si>
  <si>
    <t>森下　協一</t>
  </si>
  <si>
    <t>銭高　久善</t>
  </si>
  <si>
    <t>佐藤　淳平</t>
  </si>
  <si>
    <t>松井　隆弘</t>
  </si>
  <si>
    <t>鈴木　正広</t>
  </si>
  <si>
    <t>尾部　光太郎</t>
  </si>
  <si>
    <t>桑原　道</t>
  </si>
  <si>
    <t>日下　高</t>
  </si>
  <si>
    <t>長田　雅士</t>
  </si>
  <si>
    <t>瀧上　晶義</t>
  </si>
  <si>
    <t>加賀美　猛</t>
  </si>
  <si>
    <t>河野　剛志</t>
  </si>
  <si>
    <t>笠原　建樹</t>
  </si>
  <si>
    <t>中野　正明</t>
  </si>
  <si>
    <t>鷹取　啓太</t>
  </si>
  <si>
    <t>小西　崇夫</t>
  </si>
  <si>
    <t>西口　伸</t>
  </si>
  <si>
    <t>是常　博</t>
  </si>
  <si>
    <t>井上　晃夫</t>
  </si>
  <si>
    <t>島岡　秀和</t>
  </si>
  <si>
    <t>烏田　克彦</t>
  </si>
  <si>
    <t>前原　邦彦</t>
  </si>
  <si>
    <t>阿久津　和浩</t>
  </si>
  <si>
    <t>奥村　安正</t>
  </si>
  <si>
    <t>月橋　伸夫</t>
  </si>
  <si>
    <t>竹中　祥悟</t>
  </si>
  <si>
    <t>石井　孝</t>
  </si>
  <si>
    <t>吉水　清文</t>
  </si>
  <si>
    <t>向阪　敬</t>
  </si>
  <si>
    <t>角　尚宣</t>
  </si>
  <si>
    <t>齋木　透匡</t>
  </si>
  <si>
    <t>大谷　清介</t>
  </si>
  <si>
    <t>加藤　靖始</t>
  </si>
  <si>
    <t>古屋　久昭</t>
  </si>
  <si>
    <t>長谷川　博之</t>
  </si>
  <si>
    <t>今川　明</t>
  </si>
  <si>
    <t>徳倉　克己</t>
  </si>
  <si>
    <t>山田　正幸</t>
  </si>
  <si>
    <t>川田　琢哉</t>
  </si>
  <si>
    <t>久米　生泰</t>
  </si>
  <si>
    <t>中北　英孝</t>
  </si>
  <si>
    <t>大津　正己</t>
  </si>
  <si>
    <t>大久保　俊吾</t>
  </si>
  <si>
    <t>竹村　圭一</t>
  </si>
  <si>
    <t>大野　達也</t>
  </si>
  <si>
    <t>柏葉　浩一</t>
  </si>
  <si>
    <t>逢澤　寛人</t>
  </si>
  <si>
    <t>井田　建</t>
  </si>
  <si>
    <t>小洗　健</t>
  </si>
  <si>
    <t>横田　裕史</t>
  </si>
  <si>
    <t>石塚　仁</t>
  </si>
  <si>
    <t>細井　元</t>
  </si>
  <si>
    <t>五十川　龍之</t>
  </si>
  <si>
    <t>石田　博一</t>
  </si>
  <si>
    <t>古川　徹</t>
  </si>
  <si>
    <t>冨永　昌雄</t>
  </si>
  <si>
    <t>山口　太一</t>
  </si>
  <si>
    <t>安藤　毅</t>
  </si>
  <si>
    <t>鈴木　聡</t>
  </si>
  <si>
    <t>水野　明人</t>
  </si>
  <si>
    <t>長堀　泉</t>
  </si>
  <si>
    <t>小保方　剛</t>
  </si>
  <si>
    <t>佐藤　元彦</t>
  </si>
  <si>
    <t>飯塚　隆</t>
  </si>
  <si>
    <t>塚本　英彦</t>
  </si>
  <si>
    <t>東　康治</t>
  </si>
  <si>
    <t>柚須　亮太郎</t>
  </si>
  <si>
    <t>深沢　隆</t>
  </si>
  <si>
    <t>原田　政佳</t>
  </si>
  <si>
    <t>福田　一美</t>
  </si>
  <si>
    <t>渡邉　秀隆</t>
  </si>
  <si>
    <t>吉村　俊治</t>
  </si>
  <si>
    <t>服部　高明</t>
  </si>
  <si>
    <t>前川　聡幸</t>
  </si>
  <si>
    <t>東谷　卓哉</t>
  </si>
  <si>
    <t>近藤　忠登史</t>
  </si>
  <si>
    <t>立花　充</t>
  </si>
  <si>
    <t>有冨　英治</t>
  </si>
  <si>
    <t>佐久間　嘉一郎</t>
  </si>
  <si>
    <t>高橋　礼</t>
  </si>
  <si>
    <t>内藤　篤</t>
  </si>
  <si>
    <t>玉井　章友</t>
  </si>
  <si>
    <t>田中　利一</t>
  </si>
  <si>
    <t>西原　隆史</t>
  </si>
  <si>
    <t>森　孝廣</t>
  </si>
  <si>
    <t>岡村　武士</t>
  </si>
  <si>
    <t>風間　裕介</t>
  </si>
  <si>
    <t>澤田　宏</t>
  </si>
  <si>
    <t>織田　巌</t>
  </si>
  <si>
    <t>兼田　智仁</t>
  </si>
  <si>
    <t>布原　達也</t>
  </si>
  <si>
    <t>山本　清博</t>
  </si>
  <si>
    <t>楢木　隆</t>
  </si>
  <si>
    <t>寺澤　孝憲</t>
  </si>
  <si>
    <t>寺垣　彰雄</t>
  </si>
  <si>
    <t>佐藤　孝弘</t>
  </si>
  <si>
    <t>松村　秀一</t>
  </si>
  <si>
    <t>鮫島　修</t>
  </si>
  <si>
    <t>石橋　宏樹</t>
  </si>
  <si>
    <t>折原　尚司</t>
  </si>
  <si>
    <t>森川　浩</t>
  </si>
  <si>
    <t>小島　和人</t>
  </si>
  <si>
    <t>大野　道生</t>
  </si>
  <si>
    <t>綱崎　一成</t>
  </si>
  <si>
    <t>増田　幸司</t>
  </si>
  <si>
    <t>堀田　佳伸</t>
  </si>
  <si>
    <t>森川　圭一</t>
  </si>
  <si>
    <t>長谷川　健司</t>
  </si>
  <si>
    <t>北　哲弥</t>
  </si>
  <si>
    <t>立石　泰輔</t>
  </si>
  <si>
    <t>柳下　宙士</t>
  </si>
  <si>
    <t>鈴木　健嗣</t>
  </si>
  <si>
    <t>二階堂　義則</t>
  </si>
  <si>
    <t>小野　謙治</t>
  </si>
  <si>
    <t>加藤　明</t>
  </si>
  <si>
    <t>鵜狩　正信</t>
  </si>
  <si>
    <t>勝又　康浩</t>
  </si>
  <si>
    <t>田中　康之</t>
  </si>
  <si>
    <t>山田　勇作</t>
  </si>
  <si>
    <t>池澤　嘉悟</t>
  </si>
  <si>
    <t>千種　成一郎</t>
  </si>
  <si>
    <t>越後　幸太郎</t>
  </si>
  <si>
    <t>郡　龍一郎</t>
  </si>
  <si>
    <t>畑中　祐介</t>
  </si>
  <si>
    <t>塚本　博亮</t>
  </si>
  <si>
    <t>大野　信介</t>
  </si>
  <si>
    <t>中三川　和則</t>
  </si>
  <si>
    <t>野口　能弘</t>
  </si>
  <si>
    <t>瀬口　憲一</t>
  </si>
  <si>
    <t>山本　拓史</t>
  </si>
  <si>
    <t>谷川　雅幸</t>
  </si>
  <si>
    <t>村田　英司</t>
  </si>
  <si>
    <t>中村　稔</t>
  </si>
  <si>
    <t>廣島　将登</t>
  </si>
  <si>
    <t>乘冨　賢蔵</t>
  </si>
  <si>
    <t>桐原　敦</t>
  </si>
  <si>
    <t>林　忠彦</t>
  </si>
  <si>
    <t>山梶　章</t>
  </si>
  <si>
    <t>後藤　浩美</t>
  </si>
  <si>
    <t>六田　啓二</t>
  </si>
  <si>
    <t>高松　保雄</t>
  </si>
  <si>
    <t>田辺　博</t>
  </si>
  <si>
    <t>小林　啓太</t>
  </si>
  <si>
    <t>小林　統</t>
  </si>
  <si>
    <t>川本　栄治</t>
  </si>
  <si>
    <t>野田　太</t>
  </si>
  <si>
    <t>牟田　義彦</t>
  </si>
  <si>
    <t>寺田　治夫</t>
  </si>
  <si>
    <t>奥田　慎二</t>
  </si>
  <si>
    <t>中村　元彦</t>
  </si>
  <si>
    <t>山ノ内　元治</t>
  </si>
  <si>
    <t>辻本　治</t>
  </si>
  <si>
    <t>渡辺　俊太郎</t>
  </si>
  <si>
    <t>徳田　紳二</t>
  </si>
  <si>
    <t>古野　幸男</t>
  </si>
  <si>
    <t>樋口　泰行</t>
  </si>
  <si>
    <t>中原　巖</t>
  </si>
  <si>
    <t>古田　隆</t>
  </si>
  <si>
    <t>市川　誠</t>
  </si>
  <si>
    <t>徳永　光昭</t>
  </si>
  <si>
    <t>竹内　政典</t>
  </si>
  <si>
    <t>茶家　義明</t>
  </si>
  <si>
    <t>永田　誠</t>
  </si>
  <si>
    <t>松尾　修一</t>
  </si>
  <si>
    <t>深澤　幸郎</t>
  </si>
  <si>
    <t>鳴海　利彦</t>
  </si>
  <si>
    <t>川崎　義徳</t>
  </si>
  <si>
    <t>高柳　英司</t>
  </si>
  <si>
    <t>小野　勝</t>
  </si>
  <si>
    <t>山口　輝喜</t>
  </si>
  <si>
    <t>森　健輔</t>
  </si>
  <si>
    <t>大黒田　一人</t>
  </si>
  <si>
    <t>伊星　一俊</t>
  </si>
  <si>
    <t>塩浜　都広</t>
  </si>
  <si>
    <t>田中　陽一郎</t>
  </si>
  <si>
    <t>栗田　隆志</t>
  </si>
  <si>
    <t>西原　幸志</t>
  </si>
  <si>
    <t>赤松　真生</t>
  </si>
  <si>
    <t>森本　智</t>
  </si>
  <si>
    <t>濱田　和成</t>
  </si>
  <si>
    <t>川畑　善広</t>
  </si>
  <si>
    <t>青木　貴行</t>
  </si>
  <si>
    <t>磯村　豪佑</t>
  </si>
  <si>
    <t>溝江　弘</t>
  </si>
  <si>
    <t>上田　泰裕</t>
  </si>
  <si>
    <t>小野　隆二郎</t>
  </si>
  <si>
    <t>塩月　啓司</t>
  </si>
  <si>
    <t>松川　伸太郎</t>
  </si>
  <si>
    <t>田中　稔彦</t>
  </si>
  <si>
    <t>徳本　達郎</t>
  </si>
  <si>
    <t>谷冨　安博</t>
  </si>
  <si>
    <t>園田　利美津</t>
  </si>
  <si>
    <t>甲斐　祐二</t>
  </si>
  <si>
    <t>谷口　秀一</t>
  </si>
  <si>
    <t>島田　太郎</t>
  </si>
  <si>
    <t>高柳　史郎</t>
  </si>
  <si>
    <t>大坪　とも子</t>
  </si>
  <si>
    <t>小柳　卓蔵</t>
  </si>
  <si>
    <t>藤永　弘</t>
  </si>
  <si>
    <t>伊藤　道夫</t>
  </si>
  <si>
    <t>湯淺　米男</t>
  </si>
  <si>
    <t>朽木　大貴</t>
  </si>
  <si>
    <t>藤井　道博</t>
  </si>
  <si>
    <t>麻生　英樹</t>
  </si>
  <si>
    <t>荒川　展幸</t>
  </si>
  <si>
    <t>谷井　一博</t>
  </si>
  <si>
    <t>久保　珠美</t>
  </si>
  <si>
    <t>徳毛　孝裕</t>
  </si>
  <si>
    <t>河村　厚男</t>
  </si>
  <si>
    <t>梅田　公平</t>
  </si>
  <si>
    <t>鎌田　博文</t>
  </si>
  <si>
    <t>竹安　正</t>
  </si>
  <si>
    <t>中島　省吾</t>
  </si>
  <si>
    <t>萬ヶ谷　鉄也</t>
  </si>
  <si>
    <t>鈴木　洋康</t>
  </si>
  <si>
    <t>飯田　康雄</t>
  </si>
  <si>
    <t>坂井　崇俊</t>
  </si>
  <si>
    <t>久保　雄司</t>
  </si>
  <si>
    <t>中邨　義英</t>
  </si>
  <si>
    <t>形山　嘉浩</t>
  </si>
  <si>
    <t>脇山　章太</t>
  </si>
  <si>
    <t>添田　英俊</t>
  </si>
  <si>
    <t>松久　浩幸</t>
  </si>
  <si>
    <t>三門　克彰</t>
  </si>
  <si>
    <t>細谷　卓也</t>
  </si>
  <si>
    <t>石黒　信生</t>
  </si>
  <si>
    <t>久留須　智子</t>
  </si>
  <si>
    <t>梅本　享祐</t>
  </si>
  <si>
    <t>渡邉　淳一</t>
  </si>
  <si>
    <t>小貫　順</t>
  </si>
  <si>
    <t>野原　勇</t>
  </si>
  <si>
    <t>鷲見　公一</t>
  </si>
  <si>
    <t>花川　因</t>
  </si>
  <si>
    <t>赤星　隆幸</t>
  </si>
  <si>
    <t>鎌田　裕久</t>
  </si>
  <si>
    <t>安成　信次</t>
  </si>
  <si>
    <t>山口　賢二</t>
  </si>
  <si>
    <t>五木田　行男</t>
  </si>
  <si>
    <t>服部　勝哉</t>
  </si>
  <si>
    <t>南崎　裕樹</t>
  </si>
  <si>
    <t>福原　忠彦</t>
  </si>
  <si>
    <t>絹笠　淳</t>
  </si>
  <si>
    <t>松本　昌彦</t>
  </si>
  <si>
    <t>桑原　隆</t>
  </si>
  <si>
    <t>乾　公昭</t>
  </si>
  <si>
    <t>岡村　勝也</t>
  </si>
  <si>
    <t>高尾　典秀</t>
  </si>
  <si>
    <t>川谷　真輝</t>
  </si>
  <si>
    <t>北村　亮太</t>
  </si>
  <si>
    <t>小島　克重</t>
  </si>
  <si>
    <t>上原　一郎</t>
  </si>
  <si>
    <t>松岡　哲也</t>
  </si>
  <si>
    <t>黒田　和久</t>
  </si>
  <si>
    <t>宮内　浩典</t>
  </si>
  <si>
    <t>入山　豊</t>
  </si>
  <si>
    <t>沖村　幸彦</t>
  </si>
  <si>
    <t>山村　健一郎</t>
  </si>
  <si>
    <t>田中　渉</t>
  </si>
  <si>
    <t>池上　秀一</t>
  </si>
  <si>
    <t>寺田　朋嗣</t>
  </si>
  <si>
    <t>入江　健太郎</t>
  </si>
  <si>
    <t>甲斐　稔康</t>
  </si>
  <si>
    <t>山崎　学</t>
  </si>
  <si>
    <t>半田　勝彦</t>
  </si>
  <si>
    <t>渡辺　圭祐</t>
  </si>
  <si>
    <t>郡　博敏</t>
  </si>
  <si>
    <t>桑山　隆</t>
  </si>
  <si>
    <t>仲辻　浩一</t>
  </si>
  <si>
    <t>奥村　洋治</t>
  </si>
  <si>
    <t>星野　幹宏</t>
  </si>
  <si>
    <t>南畑　亮</t>
  </si>
  <si>
    <t>加藤　恭一</t>
  </si>
  <si>
    <t>寺田　光宏</t>
  </si>
  <si>
    <t>国谷　一彦</t>
  </si>
  <si>
    <t>加治木　英隆</t>
  </si>
  <si>
    <t>田中　直継</t>
  </si>
  <si>
    <t>横尾　徹</t>
  </si>
  <si>
    <t>青野　通久</t>
  </si>
  <si>
    <t>八江　一弘</t>
  </si>
  <si>
    <t>阿部　貴志</t>
  </si>
  <si>
    <t>田中　建</t>
  </si>
  <si>
    <t>勝井　基明</t>
  </si>
  <si>
    <t>秋山　裕久</t>
  </si>
  <si>
    <t>岩間　和義</t>
  </si>
  <si>
    <t>大亀　裕貴</t>
  </si>
  <si>
    <t>大槻　純一郎</t>
  </si>
  <si>
    <t>島田　直弥</t>
  </si>
  <si>
    <t>山田　浩之</t>
  </si>
  <si>
    <t>石倭　行人</t>
  </si>
  <si>
    <t>新村　亮</t>
  </si>
  <si>
    <t>永井　貴徳</t>
  </si>
  <si>
    <t>八木田　正樹</t>
  </si>
  <si>
    <t>能登　隆</t>
  </si>
  <si>
    <t>高山　盟司</t>
  </si>
  <si>
    <t>中村　譲</t>
  </si>
  <si>
    <t>纐纈　孝義</t>
  </si>
  <si>
    <t>前川　真</t>
  </si>
  <si>
    <t>二川　敏明</t>
  </si>
  <si>
    <t>森川　俊英</t>
  </si>
  <si>
    <t>高橋　博文</t>
  </si>
  <si>
    <t>江崎　大輔</t>
  </si>
  <si>
    <t>土井　隆太郎</t>
  </si>
  <si>
    <t>足立　敏己</t>
  </si>
  <si>
    <t>財部　幸司</t>
  </si>
  <si>
    <t>竹下　隆史</t>
  </si>
  <si>
    <t>右近　貞治</t>
  </si>
  <si>
    <t>有田　陽太</t>
  </si>
  <si>
    <t>太田　光一</t>
  </si>
  <si>
    <t>田代　浩治</t>
  </si>
  <si>
    <t>吉田　保幸</t>
  </si>
  <si>
    <t>深澤　重幸</t>
  </si>
  <si>
    <t>近藤　史郎</t>
  </si>
  <si>
    <t>吉本　幸造</t>
  </si>
  <si>
    <t>荒木　宣人</t>
  </si>
  <si>
    <t>仲尾　好生</t>
  </si>
  <si>
    <t>木山　隆二郎</t>
  </si>
  <si>
    <t>四方　克弘</t>
  </si>
  <si>
    <t>鈴木　章弘</t>
  </si>
  <si>
    <t>久恒　一修</t>
  </si>
  <si>
    <t>川島　潤一郎</t>
  </si>
  <si>
    <t>廣瀬　仁士</t>
  </si>
  <si>
    <t>岡松　宏治</t>
  </si>
  <si>
    <t>栫　勝次</t>
  </si>
  <si>
    <t>甲斐　敏一</t>
  </si>
  <si>
    <t>小林　雅浩</t>
  </si>
  <si>
    <t>津福　一宏</t>
  </si>
  <si>
    <t>松山　孝義</t>
  </si>
  <si>
    <t>塩尻　眞人</t>
  </si>
  <si>
    <t>池上　元一</t>
  </si>
  <si>
    <t>一ノ瀬　貴士</t>
  </si>
  <si>
    <t>吉田　誠人</t>
  </si>
  <si>
    <t>日野　雄介</t>
  </si>
  <si>
    <t>田中　一郎</t>
  </si>
  <si>
    <t>上原　輝久</t>
  </si>
  <si>
    <t>田中　秀任</t>
  </si>
  <si>
    <t>三浦　亨</t>
  </si>
  <si>
    <t>大橋　一聡</t>
  </si>
  <si>
    <t>山本　奈実</t>
  </si>
  <si>
    <t>徳山　良一</t>
  </si>
  <si>
    <t>高橋　岳之</t>
  </si>
  <si>
    <t>前田　一郎</t>
  </si>
  <si>
    <t>石井　力</t>
  </si>
  <si>
    <t>須山　晃延</t>
  </si>
  <si>
    <t>木越　健二</t>
  </si>
  <si>
    <t>大野　征博</t>
  </si>
  <si>
    <t>藤木　伸次</t>
  </si>
  <si>
    <t>下野　善和</t>
  </si>
  <si>
    <t>大前　聡</t>
  </si>
  <si>
    <t>成良　仁志</t>
  </si>
  <si>
    <t>粂川　滋</t>
  </si>
  <si>
    <t>橋本　正明</t>
  </si>
  <si>
    <t>平兮　一英</t>
  </si>
  <si>
    <t>後藤　大輔</t>
  </si>
  <si>
    <t>林　利昌</t>
  </si>
  <si>
    <t>森田　隆之</t>
  </si>
  <si>
    <t>栄　則一</t>
  </si>
  <si>
    <t>遠藤　直輝</t>
  </si>
  <si>
    <t>山本　竜彦</t>
  </si>
  <si>
    <t>川北　孝</t>
  </si>
  <si>
    <t>五藤　信隆</t>
  </si>
  <si>
    <t>本　由美子</t>
  </si>
  <si>
    <t>内野　一尋</t>
  </si>
  <si>
    <t>並木　則夫</t>
  </si>
  <si>
    <t>伊藤　國夫</t>
  </si>
  <si>
    <t>蓑川　的人</t>
  </si>
  <si>
    <t>黒田　英己</t>
  </si>
  <si>
    <t>松村　正徳</t>
  </si>
  <si>
    <t>栗田　佳直</t>
  </si>
  <si>
    <t>藤森　穂高</t>
  </si>
  <si>
    <t>大西　誠司</t>
  </si>
  <si>
    <t>鈴木　宏隆</t>
  </si>
  <si>
    <t>庄井　弘樹</t>
  </si>
  <si>
    <t>和田　知樹</t>
  </si>
  <si>
    <t>山本　幹雄</t>
  </si>
  <si>
    <t>小松　玲子</t>
  </si>
  <si>
    <t>安東　佳子</t>
  </si>
  <si>
    <t>山本　鐡郎</t>
  </si>
  <si>
    <t>小林　秀匡</t>
  </si>
  <si>
    <t>岡田　政也</t>
  </si>
  <si>
    <t>鎌田　長明</t>
  </si>
  <si>
    <t>島　直幹</t>
  </si>
  <si>
    <t>南條　忠彦</t>
  </si>
  <si>
    <t>重松　潤子</t>
  </si>
  <si>
    <t>永安　勉</t>
  </si>
  <si>
    <t>上野　茂一</t>
  </si>
  <si>
    <t>西川　達人</t>
  </si>
  <si>
    <t>飯野　一義</t>
  </si>
  <si>
    <t>吉村　祐一</t>
  </si>
  <si>
    <t>蔵田　崇晴</t>
  </si>
  <si>
    <t>高木　英範</t>
  </si>
  <si>
    <t>若松　哲司</t>
  </si>
  <si>
    <t>秀嶋　克仁</t>
  </si>
  <si>
    <t>原　崇</t>
  </si>
  <si>
    <t>辻　隆一郎</t>
  </si>
  <si>
    <t>福島　誠司</t>
  </si>
  <si>
    <t>半田　利通</t>
  </si>
  <si>
    <t>波田　英次</t>
  </si>
  <si>
    <t>藤原　與司</t>
  </si>
  <si>
    <t>原　俊行</t>
  </si>
  <si>
    <t>小山　眞人</t>
  </si>
  <si>
    <t>三砂　豊博</t>
  </si>
  <si>
    <t>山根　秀樹</t>
  </si>
  <si>
    <t>星子　洋満</t>
  </si>
  <si>
    <t>樋口　和宏</t>
  </si>
  <si>
    <t>橋本　恒幸</t>
  </si>
  <si>
    <t>近藤　観司</t>
  </si>
  <si>
    <t>眞鍋　朋美</t>
  </si>
  <si>
    <t>磯永　優二</t>
  </si>
  <si>
    <t>原　亮</t>
  </si>
  <si>
    <t>狩野　伸彌</t>
  </si>
  <si>
    <t>佐野　千恵美</t>
  </si>
  <si>
    <t>中村　公義</t>
  </si>
  <si>
    <t>脇山　一春</t>
  </si>
  <si>
    <t>田中　丈夫</t>
  </si>
  <si>
    <t>平井　貴裕</t>
  </si>
  <si>
    <t>土橋　一幸</t>
  </si>
  <si>
    <t>上田　新治</t>
  </si>
  <si>
    <t>常磐　圭史</t>
  </si>
  <si>
    <t>大水　静雄</t>
  </si>
  <si>
    <t>宮原　和貴</t>
  </si>
  <si>
    <t>宮川　土成</t>
  </si>
  <si>
    <t>江口　正司</t>
  </si>
  <si>
    <t>佐田　直樹</t>
  </si>
  <si>
    <t>才田　善之</t>
  </si>
  <si>
    <t>野村　健志</t>
  </si>
  <si>
    <t>原　正泰</t>
  </si>
  <si>
    <t>石橋　敬</t>
  </si>
  <si>
    <t>藤瀬　吉博</t>
  </si>
  <si>
    <t>黒木　圭</t>
  </si>
  <si>
    <t>平井　秀文</t>
  </si>
  <si>
    <t>宮木　義高</t>
  </si>
  <si>
    <t>後藤　哲也</t>
  </si>
  <si>
    <t>山口　耕平</t>
  </si>
  <si>
    <t>永崎　耕三郎</t>
  </si>
  <si>
    <t>中本　悟</t>
  </si>
  <si>
    <t>中村　隆裕</t>
  </si>
  <si>
    <t>三浦　雄一郎</t>
  </si>
  <si>
    <t>田村　秀行</t>
  </si>
  <si>
    <t>山口　篤樹</t>
  </si>
  <si>
    <t>山中　仁</t>
  </si>
  <si>
    <t>宮本　憲</t>
  </si>
  <si>
    <t>亀井　誠</t>
  </si>
  <si>
    <t>北村　與志郎</t>
  </si>
  <si>
    <t>大友　一雄</t>
  </si>
  <si>
    <t>北里　慶祐</t>
  </si>
  <si>
    <t>前田　大貴</t>
  </si>
  <si>
    <t>田上　大</t>
  </si>
  <si>
    <t>酒井　喜代司</t>
  </si>
  <si>
    <t>松村　陽一郎</t>
  </si>
  <si>
    <t>吉見　胤</t>
  </si>
  <si>
    <t>前田　優</t>
  </si>
  <si>
    <t>木下　顕</t>
  </si>
  <si>
    <t>大神　英次郎</t>
  </si>
  <si>
    <t>稲田　健</t>
  </si>
  <si>
    <t>牛島　宏</t>
  </si>
  <si>
    <t>中園　英邦</t>
  </si>
  <si>
    <t>久保田　真樹</t>
  </si>
  <si>
    <t>柊山　菜穂子</t>
  </si>
  <si>
    <t>安在　翔一</t>
  </si>
  <si>
    <t>田中　義郎</t>
  </si>
  <si>
    <t>尾方　洋輔</t>
  </si>
  <si>
    <t>川原　義幸</t>
  </si>
  <si>
    <t>九州支店</t>
  </si>
  <si>
    <t>西部支店</t>
  </si>
  <si>
    <t>大分支店</t>
  </si>
  <si>
    <t>福岡営業所</t>
  </si>
  <si>
    <t>九州支社</t>
  </si>
  <si>
    <t>九州営業所</t>
  </si>
  <si>
    <t>大分営業所</t>
  </si>
  <si>
    <t>中津本店</t>
  </si>
  <si>
    <t>佐賀営業所</t>
  </si>
  <si>
    <t>中津支店</t>
  </si>
  <si>
    <t>大分事業所</t>
  </si>
  <si>
    <t>福岡支店</t>
  </si>
  <si>
    <t>インフラ営業部　福岡営業所</t>
  </si>
  <si>
    <t>新大分事業所</t>
  </si>
  <si>
    <t>関西支店</t>
  </si>
  <si>
    <t>大阪営業所</t>
  </si>
  <si>
    <t>西日本支店</t>
  </si>
  <si>
    <t>インフラ事業推進部　西日本事業所</t>
  </si>
  <si>
    <t>大分支社</t>
  </si>
  <si>
    <t>中九州営業所</t>
  </si>
  <si>
    <t>九州事務所</t>
  </si>
  <si>
    <t>大阪支店</t>
  </si>
  <si>
    <t>熊本営業所</t>
  </si>
  <si>
    <t>流体事業部営業本部九州支店</t>
  </si>
  <si>
    <t>福岡総支社</t>
  </si>
  <si>
    <t>大阪支社</t>
  </si>
  <si>
    <t>西日本営業部</t>
  </si>
  <si>
    <t>九州営業支店</t>
  </si>
  <si>
    <t>関西営業部</t>
  </si>
  <si>
    <t>西日本支社</t>
  </si>
  <si>
    <t>ビルシステムカンパニー九州支店</t>
  </si>
  <si>
    <t>工事部</t>
  </si>
  <si>
    <t>九州情報通信ネットワーク営業部</t>
  </si>
  <si>
    <t>福岡事業所</t>
  </si>
  <si>
    <t>大分テクノセンタ</t>
  </si>
  <si>
    <t>日南事業部</t>
  </si>
  <si>
    <t>中津営業所</t>
  </si>
  <si>
    <t>現場ソリューションカンパニー九州社</t>
  </si>
  <si>
    <t>九州本部</t>
  </si>
  <si>
    <t>九州事業所</t>
  </si>
  <si>
    <t>東京事業所</t>
  </si>
  <si>
    <t>九州事業部</t>
  </si>
  <si>
    <t>北九州支店</t>
  </si>
  <si>
    <t>福岡支社</t>
  </si>
  <si>
    <t>九州サービス支店</t>
  </si>
  <si>
    <t>九州沖縄営業所</t>
  </si>
  <si>
    <t>九州営業部</t>
  </si>
  <si>
    <t>関西事業所</t>
  </si>
  <si>
    <t>統括本部ガスタービンサービス本部西部事業所</t>
  </si>
  <si>
    <t>九州センター</t>
  </si>
  <si>
    <t>九州出張所</t>
  </si>
  <si>
    <t>事業推進本部　西日本営業部</t>
  </si>
  <si>
    <t>別府支店</t>
  </si>
  <si>
    <t>大阪営業部</t>
  </si>
  <si>
    <t>熊本支店</t>
  </si>
  <si>
    <t>北九州営業所</t>
  </si>
  <si>
    <t>下関営業所</t>
  </si>
  <si>
    <t>南九州営業所</t>
  </si>
  <si>
    <t>九州支店　大分営業所</t>
  </si>
  <si>
    <t>西日本営業所</t>
  </si>
  <si>
    <t>国内営業統括部　九州・電力部</t>
  </si>
  <si>
    <t>交通・機器事業部</t>
  </si>
  <si>
    <t>システムソリューション事業本部</t>
  </si>
  <si>
    <t>営業統括本部</t>
  </si>
  <si>
    <t>大分本店</t>
  </si>
  <si>
    <t>大分ビジネス営業部</t>
  </si>
  <si>
    <t>大分市大字小池原１１５３　ＣＡＢＩＮ東九１　２０１号室</t>
  </si>
  <si>
    <t>中津市８６６</t>
  </si>
  <si>
    <t>大分市大字中戸次字中津留上４８２２</t>
  </si>
  <si>
    <t>大分市大字西ノ洲１</t>
  </si>
  <si>
    <t>大分市日吉原３</t>
  </si>
  <si>
    <t>宮崎県宮崎市城ケ崎４ー１６ー１４</t>
  </si>
  <si>
    <t>宮崎県延岡市塩浜町３ー１７５２ー２２</t>
  </si>
  <si>
    <t>鹿児島県鹿児島市七ツ島１ー１ー２６</t>
  </si>
  <si>
    <t>鹿児島県鹿児島市東谷山５ー２０ー１１</t>
  </si>
  <si>
    <t>鹿児島県鹿児島市田上町４３５１</t>
  </si>
  <si>
    <t>代表取締役社長</t>
  </si>
  <si>
    <t>代表取締役</t>
  </si>
  <si>
    <t>取締役</t>
  </si>
  <si>
    <t>代表者</t>
  </si>
  <si>
    <t>代表社員</t>
  </si>
  <si>
    <t>事業主</t>
  </si>
  <si>
    <t>取締役社長</t>
  </si>
  <si>
    <t>代表理事</t>
  </si>
  <si>
    <t>代表</t>
  </si>
  <si>
    <t>代表取締役　取締役社長</t>
  </si>
  <si>
    <t>代表取締役　社長執行役員</t>
  </si>
  <si>
    <t>代表取締役社長執行役員</t>
  </si>
  <si>
    <t>代表執行役社長</t>
  </si>
  <si>
    <t>代表取締役社長　社長執行役員</t>
  </si>
  <si>
    <t>代表執行役</t>
  </si>
  <si>
    <t>執行役員社長</t>
  </si>
  <si>
    <t>代表取締役執行役員社長</t>
  </si>
  <si>
    <t>代表取締役取締役社長</t>
  </si>
  <si>
    <t>執行役社長</t>
  </si>
  <si>
    <t>代表取締役執行役員プレジデント</t>
  </si>
  <si>
    <t>取締役代表執行役社長</t>
  </si>
  <si>
    <t>代表者役職</t>
    <phoneticPr fontId="2"/>
  </si>
  <si>
    <t>　　配置技術者となりうる資格がわかる資料（免許の写し等）を添付すること。</t>
    <phoneticPr fontId="2"/>
  </si>
  <si>
    <t>※　直接的な雇用関係を確認するため、健康保険・厚生年金被保険者標準報酬決定</t>
    <rPh sb="2" eb="4">
      <t>チョクセツ</t>
    </rPh>
    <rPh sb="23" eb="27">
      <t>コウセイネンキン</t>
    </rPh>
    <rPh sb="27" eb="31">
      <t>ヒホケンシャ</t>
    </rPh>
    <rPh sb="31" eb="37">
      <t>ヒョウジュンホウシュウケッテイ</t>
    </rPh>
    <phoneticPr fontId="2"/>
  </si>
  <si>
    <t>職名</t>
    <rPh sb="0" eb="2">
      <t>ショクメイ</t>
    </rPh>
    <phoneticPr fontId="2"/>
  </si>
  <si>
    <t>土木建築部　公共工事入札管理室</t>
    <rPh sb="6" eb="15">
      <t>コウキョウコウジニュウサツカンリシツ</t>
    </rPh>
    <phoneticPr fontId="2"/>
  </si>
  <si>
    <t>土木建築部　道路建設課</t>
    <rPh sb="6" eb="11">
      <t>ドウロケンセツカ</t>
    </rPh>
    <phoneticPr fontId="2"/>
  </si>
  <si>
    <t>土木建築部　道路保全課</t>
    <rPh sb="6" eb="11">
      <t>ドウロホゼンカ</t>
    </rPh>
    <phoneticPr fontId="2"/>
  </si>
  <si>
    <t>土木建築部　河川課</t>
    <rPh sb="6" eb="9">
      <t>カセンカ</t>
    </rPh>
    <phoneticPr fontId="2"/>
  </si>
  <si>
    <t>土木建築部　港湾課</t>
    <rPh sb="6" eb="9">
      <t>コウワンカ</t>
    </rPh>
    <phoneticPr fontId="2"/>
  </si>
  <si>
    <t>土木建築部　砂防課</t>
    <rPh sb="6" eb="9">
      <t>サボウカ</t>
    </rPh>
    <phoneticPr fontId="2"/>
  </si>
  <si>
    <t>土木建築部　都市・まちづくり推進課</t>
    <rPh sb="6" eb="8">
      <t>トシ</t>
    </rPh>
    <rPh sb="14" eb="17">
      <t>スイシンカ</t>
    </rPh>
    <phoneticPr fontId="2"/>
  </si>
  <si>
    <t>土木建築部　用地対策課</t>
    <rPh sb="6" eb="11">
      <t>ヨウチタイサクカ</t>
    </rPh>
    <phoneticPr fontId="2"/>
  </si>
  <si>
    <t>土木建築部　建築住宅課</t>
    <rPh sb="6" eb="11">
      <t>ケンチクジュウタクカ</t>
    </rPh>
    <phoneticPr fontId="2"/>
  </si>
  <si>
    <t>土木建築部　公営住宅室</t>
    <rPh sb="6" eb="10">
      <t>コウエイジュウタク</t>
    </rPh>
    <rPh sb="10" eb="11">
      <t>シツ</t>
    </rPh>
    <phoneticPr fontId="2"/>
  </si>
  <si>
    <t>土木建築部　施設整備課</t>
    <rPh sb="6" eb="11">
      <t>シセツセイビカ</t>
    </rPh>
    <phoneticPr fontId="2"/>
  </si>
  <si>
    <t>土木建築部　建設政策課</t>
    <rPh sb="6" eb="11">
      <t>ケンセツセイサクカ</t>
    </rPh>
    <phoneticPr fontId="2"/>
  </si>
  <si>
    <t>土木建築部　工事検査室</t>
    <rPh sb="6" eb="11">
      <t>コウジケンサシツ</t>
    </rPh>
    <phoneticPr fontId="2"/>
  </si>
  <si>
    <t>土木建築部　公園・生活排水課</t>
    <rPh sb="6" eb="8">
      <t>コウエン</t>
    </rPh>
    <rPh sb="9" eb="14">
      <t>セイカツハイスイカ</t>
    </rPh>
    <phoneticPr fontId="2"/>
  </si>
  <si>
    <t>総務部　東部振興局</t>
  </si>
  <si>
    <t>総務部　日出水利耕地事務所</t>
    <rPh sb="4" eb="6">
      <t>ヒジ</t>
    </rPh>
    <rPh sb="6" eb="8">
      <t>スイリ</t>
    </rPh>
    <rPh sb="8" eb="10">
      <t>コウチ</t>
    </rPh>
    <rPh sb="10" eb="13">
      <t>ジムショ</t>
    </rPh>
    <phoneticPr fontId="1"/>
  </si>
  <si>
    <t>総務部　中部振興局</t>
    <rPh sb="4" eb="9">
      <t>チュウブシンコウキョク</t>
    </rPh>
    <phoneticPr fontId="1"/>
  </si>
  <si>
    <t>総務部　南部振興局</t>
  </si>
  <si>
    <t>総務部　豊肥振興局</t>
    <rPh sb="4" eb="9">
      <t>ホウヒシンコウキョク</t>
    </rPh>
    <phoneticPr fontId="1"/>
  </si>
  <si>
    <t>総務部　大野川上流開発事業事務所</t>
    <rPh sb="4" eb="7">
      <t>オオノガワ</t>
    </rPh>
    <rPh sb="7" eb="9">
      <t>ジョウリュウ</t>
    </rPh>
    <rPh sb="9" eb="16">
      <t>カイハツジギョウジムショ</t>
    </rPh>
    <phoneticPr fontId="1"/>
  </si>
  <si>
    <t>総務部　西部振興局</t>
    <rPh sb="4" eb="9">
      <t>セイブシンコウキョク</t>
    </rPh>
    <phoneticPr fontId="1"/>
  </si>
  <si>
    <t>総務部　北部振興局</t>
    <rPh sb="4" eb="9">
      <t>ホクブシンコウキョク</t>
    </rPh>
    <phoneticPr fontId="1"/>
  </si>
  <si>
    <t>総務部　豊後大野水利耕地事務所</t>
    <rPh sb="4" eb="8">
      <t>ブンゴオオノ</t>
    </rPh>
    <rPh sb="8" eb="10">
      <t>スイリ</t>
    </rPh>
    <rPh sb="10" eb="12">
      <t>コウチ</t>
    </rPh>
    <rPh sb="12" eb="15">
      <t>ジムショ</t>
    </rPh>
    <phoneticPr fontId="1"/>
  </si>
  <si>
    <t>末廣　理</t>
  </si>
  <si>
    <t>農林水産部　農林水産企画課</t>
    <rPh sb="6" eb="13">
      <t>ノウリンスイサンキカクカ</t>
    </rPh>
    <phoneticPr fontId="1"/>
  </si>
  <si>
    <t>大分県知事</t>
    <rPh sb="0" eb="3">
      <t>オオイタケン</t>
    </rPh>
    <rPh sb="3" eb="5">
      <t>チジ</t>
    </rPh>
    <phoneticPr fontId="1"/>
  </si>
  <si>
    <t>農林水産部　工事技術管理室</t>
    <rPh sb="6" eb="13">
      <t>コウジギジュツカンリシツ</t>
    </rPh>
    <phoneticPr fontId="1"/>
  </si>
  <si>
    <t>農林水産部　畜産振興課</t>
    <rPh sb="6" eb="11">
      <t>チクサンシンコウカ</t>
    </rPh>
    <phoneticPr fontId="1"/>
  </si>
  <si>
    <t>農林水産部　畜産技術室</t>
    <rPh sb="6" eb="11">
      <t>チクサンギジュツシツ</t>
    </rPh>
    <phoneticPr fontId="1"/>
  </si>
  <si>
    <t>農林水産部　農地計画課</t>
    <rPh sb="6" eb="11">
      <t>ノウチケイカクカ</t>
    </rPh>
    <phoneticPr fontId="1"/>
  </si>
  <si>
    <t>農林水産部　農地・農村整備課</t>
  </si>
  <si>
    <t>農林水産部　林務管理課</t>
    <rPh sb="6" eb="11">
      <t>リンムカンリカ</t>
    </rPh>
    <phoneticPr fontId="1"/>
  </si>
  <si>
    <t>農林水産部　林産振興室</t>
    <rPh sb="6" eb="11">
      <t>リンサンシンコウシツ</t>
    </rPh>
    <phoneticPr fontId="1"/>
  </si>
  <si>
    <t>農林水産部　森林保全課</t>
    <rPh sb="6" eb="11">
      <t>シンリンホゼンカ</t>
    </rPh>
    <phoneticPr fontId="1"/>
  </si>
  <si>
    <t>農林水産部　森との共生推進室</t>
    <rPh sb="6" eb="7">
      <t>モリ</t>
    </rPh>
    <rPh sb="9" eb="11">
      <t>キョウセイ</t>
    </rPh>
    <rPh sb="11" eb="14">
      <t>スイシンシツ</t>
    </rPh>
    <phoneticPr fontId="1"/>
  </si>
  <si>
    <t>農林水産部　森林整備室</t>
    <rPh sb="6" eb="11">
      <t>シンリンセイビシツ</t>
    </rPh>
    <phoneticPr fontId="1"/>
  </si>
  <si>
    <t>農林水産部　漁業管理課</t>
    <rPh sb="6" eb="11">
      <t>ギョギョウカンリカ</t>
    </rPh>
    <phoneticPr fontId="1"/>
  </si>
  <si>
    <t>農林水産部　水産振興課</t>
  </si>
  <si>
    <t>農林水産部　漁港漁村整備課</t>
    <rPh sb="6" eb="13">
      <t>ギョコウギョソンセイビカ</t>
    </rPh>
    <phoneticPr fontId="1"/>
  </si>
  <si>
    <t>課(免)税期間</t>
    <rPh sb="0" eb="1">
      <t>カ</t>
    </rPh>
    <rPh sb="2" eb="3">
      <t>メン</t>
    </rPh>
    <rPh sb="4" eb="5">
      <t>ゼイ</t>
    </rPh>
    <rPh sb="5" eb="7">
      <t>キカン</t>
    </rPh>
    <phoneticPr fontId="2"/>
  </si>
  <si>
    <t>２　受注者は、前項の規定による保険証券の寄託に代えて、電子情報処理組織を使用する方法その他の情報通信の技術を利用す</t>
    <phoneticPr fontId="2"/>
  </si>
  <si>
    <t>　る方法（以下「電磁的方法」という｡ ）であって、当該履行保証保険契約の相手方が定め、発注者が認めた措置を講ずること</t>
    <phoneticPr fontId="2"/>
  </si>
  <si>
    <t>　ができる。この場合において、受注者は、当該保険証券を寄託したものとみなす。</t>
    <phoneticPr fontId="2"/>
  </si>
  <si>
    <t>　分の１以上としなければならない。</t>
    <phoneticPr fontId="2"/>
  </si>
  <si>
    <t>２　前項の規定にかかわらず、受注者は、当該建設業者と下請契約を締結しなければ工事の施工が困難となる場合その他の特別</t>
    <phoneticPr fontId="2"/>
  </si>
  <si>
    <t>　の事情があると発注者が認める場合は、社会保険等未加入建設業者を下請契約の相手方とすることができる。この場合におい</t>
    <phoneticPr fontId="2"/>
  </si>
  <si>
    <t>　ることのできる書類（以下「確認書類」という。）を発注者に提出しなければならない。</t>
    <phoneticPr fontId="2"/>
  </si>
  <si>
    <t>　て、受注者は、発注者の指定する期間内に、当該社会保険等未加入建設業者が前項各号に掲げる届出をし、当該事実を確認す</t>
    <phoneticPr fontId="2"/>
  </si>
  <si>
    <t>第12条　発注者は、現場代理人がその職務（監理技術者等又は専門技術者と兼任する現場代理人にあっては、それらの者の職務</t>
    <phoneticPr fontId="2"/>
  </si>
  <si>
    <t>　るべきことを請求することができる。</t>
    <phoneticPr fontId="2"/>
  </si>
  <si>
    <t>　を含む｡)の執行につき著しく不適当と認められるときは、受注者に対して、その理由を明示した書面により、必要な措置をと</t>
    <phoneticPr fontId="2"/>
  </si>
  <si>
    <t>２　発注者又は監督員は、監理技術者等又は専門技術者（これらの者と現場代理人を兼任する者を除く｡)その他受注者が工事を</t>
    <phoneticPr fontId="2"/>
  </si>
  <si>
    <t>　受注者に対して、その理由を明示した書面により、必要な措置をとるべきことを請求することができる。</t>
    <phoneticPr fontId="2"/>
  </si>
  <si>
    <t>　施工するために使用している下請負人、労働者等で工事の施工又は管理につき著しく不適当と認められるものがあるときは、</t>
    <phoneticPr fontId="2"/>
  </si>
  <si>
    <t>　れるよう、やむを得ない事由により工事等の実施が困難であると見込まれる日数等を考慮しなければならない。</t>
    <phoneticPr fontId="2"/>
  </si>
  <si>
    <t>第20条の２　発注者は、工期の延長又は短縮を行うときは、この工事に従事する者の労働時間その他の労働条件が適正に確保さ</t>
    <phoneticPr fontId="2"/>
  </si>
  <si>
    <t>２　受注者は、前項の規定による保証証書の寄託に代えて、電磁的方法であって、当該保証契約の相手方たる保証事業会社が定</t>
    <phoneticPr fontId="2"/>
  </si>
  <si>
    <t>　め、発注者が認めた措置を講ずることができる。この場合において、受注者は、当該保証証書を寄託したものとみなす。</t>
    <phoneticPr fontId="2"/>
  </si>
  <si>
    <t>第35条　受注者は、前条第１項の規定により前払金の支払を受けた後、保証事業会社と中間前払金に関し、契約書記載の工事完</t>
    <phoneticPr fontId="2"/>
  </si>
  <si>
    <t>　成の時期を保証期限とする保証契約を締結し、その保証証書を発注者に寄託して、請負代金額の10分の２以内の中間前払金の</t>
    <phoneticPr fontId="2"/>
  </si>
  <si>
    <t>　払に係る認定を受けなければならない。この場合において、発注者又は発注者の指定する者は、受注者の請求があったときは、</t>
    <phoneticPr fontId="2"/>
  </si>
  <si>
    <t>第37条　受注者は、前払金をこの工事の材料費、労務費、機械器具の賃借料、機械購入費（この工事において償却される割合に</t>
    <phoneticPr fontId="2"/>
  </si>
  <si>
    <t>　相当する額に限る｡)、動力費、支払運賃、修繕費、仮設費、労働者災害補償保険料及び保証料に相当する額として必要な経費</t>
    <phoneticPr fontId="2"/>
  </si>
  <si>
    <t>　　取引分野に該当するものであるとき。</t>
    <phoneticPr fontId="2"/>
  </si>
  <si>
    <t>　　計算の基礎である当該違反する行為の実行期間を除く｡)に入札（見積書の提出を含む｡)が行われたものであり、かつ、当該</t>
    <phoneticPr fontId="2"/>
  </si>
  <si>
    <t>　請求権その他の債権と相殺することができる。</t>
    <phoneticPr fontId="2"/>
  </si>
  <si>
    <t>第58条　発注者は、受注者に対して有する金銭債権があるときは、受注者が発注者に対して有する保証金返還請求権、請負代金</t>
    <phoneticPr fontId="2"/>
  </si>
  <si>
    <t>２　前項の場合において、相殺して、なお不足があるときは、受注者は、発注者の指定する期間内に当該不足額を支払わなけれ</t>
    <phoneticPr fontId="2"/>
  </si>
  <si>
    <t>　含む｡)の規定による引渡し（以下この条において単に「引渡し」という｡)を受けた日から２年以内でなければ、契約不適合を</t>
    <phoneticPr fontId="2"/>
  </si>
  <si>
    <t>　をすることができない。</t>
    <phoneticPr fontId="2"/>
  </si>
  <si>
    <t>　理由とした履行の追完の請求、損害賠償の請求、代金の減額の請求又は契約の解除（以下この条において「請求等」という。）</t>
    <phoneticPr fontId="2"/>
  </si>
  <si>
    <t>　以外の支払に充当してはならない。ただし、前払金の100分の25を超える額及び中間前払金を除き、この工事の現場管理費及</t>
    <rPh sb="28" eb="29">
      <t>ブン</t>
    </rPh>
    <phoneticPr fontId="2"/>
  </si>
  <si>
    <t>　び一般管理費等のうちこの工事の施工に要する費用に係る支払に充当することができる。</t>
    <phoneticPr fontId="2"/>
  </si>
  <si>
    <t>［ 監理技術者資格者証の交付を受けた 　　　］監理技術者</t>
    <rPh sb="23" eb="25">
      <t>カンリ</t>
    </rPh>
    <rPh sb="25" eb="28">
      <t>ギジュツシャ</t>
    </rPh>
    <phoneticPr fontId="2"/>
  </si>
  <si>
    <t>　三　専門技術者（建設業法（昭和24年法律第100号）第26条の２に規定する技術者をいう。以下同じ。）</t>
    <phoneticPr fontId="2"/>
  </si>
  <si>
    <t>　返還をする日までの期間について、その日数に応じ、政府契約の支払遅延防止等に関する法律（昭和24年法律第256号）第８条</t>
    <phoneticPr fontId="2"/>
  </si>
  <si>
    <t>　を請求することができる。</t>
    <phoneticPr fontId="2"/>
  </si>
  <si>
    <t>　第１項の規定により財務大臣が決定する率（以下「財務大臣の決定する率」という。）の割合で計算した額の遅延利息の支払</t>
    <phoneticPr fontId="2"/>
  </si>
  <si>
    <t>３　受注者は、前２項の規定による保証証書の寄託に代えて、電磁的方法であって、当該保証契約の相手方たる保証事業会社が</t>
    <rPh sb="7" eb="8">
      <t>マエ</t>
    </rPh>
    <phoneticPr fontId="2"/>
  </si>
  <si>
    <t>　定め、発注者が認めた措置を講ずることができる。この場合において、受注者は、当該保証証書を寄託したものとみなす。</t>
    <phoneticPr fontId="2"/>
  </si>
  <si>
    <t>　　部分払金の額≦第１項の請負代金相当額×（（９／10）－（前払金額／請負代金額））</t>
    <phoneticPr fontId="2"/>
  </si>
  <si>
    <t>　　部分引渡しに係る請負代金の額＝指定部分に相応する請負代金の額×（１－（前払金額／請負代金額））</t>
    <phoneticPr fontId="2"/>
  </si>
  <si>
    <t>　　部分払金の額≦請負代金相当額×（９／10）－（前会計年度までの支払金額＋当該会計年度の部分払金額）－{請負代金相当</t>
    <phoneticPr fontId="2"/>
  </si>
  <si>
    <t>　　額－（前会計年度までの出来高予定額＋出来高超過額）}×（当該会計年度前払金額／当該会計年度の出来高予定額）</t>
    <phoneticPr fontId="2"/>
  </si>
  <si>
    <t>　　ニ　役員等が、暴力団又は暴力団員であることを知りながらこれを不当に利用するなどしていると認められるとき。</t>
    <phoneticPr fontId="2"/>
  </si>
  <si>
    <t>　　ホ　役員等が、暴力団又は暴力団員と社会的に非難されるべき関係を有していると認められるとき。</t>
    <phoneticPr fontId="2"/>
  </si>
  <si>
    <t>　　イ　役員等（受注者が個人である場合にはその者その他経営に実質的に関与している者を、受注者が法人である場合にはそ</t>
    <phoneticPr fontId="2"/>
  </si>
  <si>
    <t>　　　以下この号において同じ。）が、暴力団又は暴力団員であると認められるとき。</t>
    <phoneticPr fontId="2"/>
  </si>
  <si>
    <t>　　　の役員、その支店又は常時建設工事の請負契約を締結する事務所の代表者その他経営に実質的に関与している者をいう。</t>
    <phoneticPr fontId="2"/>
  </si>
  <si>
    <t>　　　力団員を利用するなどしていると認められるとき。</t>
    <phoneticPr fontId="2"/>
  </si>
  <si>
    <t>　　ロ　役員等が、自己、自社若しくは第三者の不正の利益を図る目的又は第三者に損害を加える目的をもって、暴力団又は暴</t>
    <phoneticPr fontId="2"/>
  </si>
  <si>
    <t>　　ハ　役員等が、暴力団又は暴力団員に対して資金等を供給し、又は便宜を供与するなど直接的あるいは積極的に暴力団の維</t>
    <phoneticPr fontId="2"/>
  </si>
  <si>
    <t>　　　持、運営に協力し、若しくは関与していると認められるとき。</t>
    <phoneticPr fontId="2"/>
  </si>
  <si>
    <t>　　　知りながら、当該者と契約を締結したと認められるとき。</t>
    <phoneticPr fontId="2"/>
  </si>
  <si>
    <t>　　ヘ　下請契約又は資材、原材料の購入契約その他の契約に当たり、その相手方がイからホまでのいずれかに該当することを</t>
    <phoneticPr fontId="2"/>
  </si>
  <si>
    <t>　　ト　受注者が、イからホまでのいずれかに該当する者を下請契約又は資材、原材料の購入契約その他の契約の相手方として</t>
    <phoneticPr fontId="2"/>
  </si>
  <si>
    <t>　　　とき。</t>
    <phoneticPr fontId="2"/>
  </si>
  <si>
    <t>　　　いた場合（へに該当する場合を除く｡)に、発注者が受注者に対して当該契約の解除を求め、受注者がこれに従わなかった</t>
    <phoneticPr fontId="2"/>
  </si>
  <si>
    <t>佐藤　樹一郎</t>
  </si>
  <si>
    <t>大分県東部振興局長</t>
    <rPh sb="0" eb="3">
      <t>オオイタケン</t>
    </rPh>
    <rPh sb="8" eb="9">
      <t>チョウ</t>
    </rPh>
    <phoneticPr fontId="1"/>
  </si>
  <si>
    <t>大分県東部振興局日出水利耕地事務所長</t>
    <rPh sb="17" eb="18">
      <t>チョウ</t>
    </rPh>
    <phoneticPr fontId="1"/>
  </si>
  <si>
    <t>大分県中部振興局長</t>
    <rPh sb="0" eb="3">
      <t>オオイタケン</t>
    </rPh>
    <rPh sb="8" eb="9">
      <t>チョウ</t>
    </rPh>
    <phoneticPr fontId="1"/>
  </si>
  <si>
    <t>大分県南部振興局長</t>
    <rPh sb="0" eb="3">
      <t>オオイタケン</t>
    </rPh>
    <rPh sb="8" eb="9">
      <t>チョウ</t>
    </rPh>
    <phoneticPr fontId="1"/>
  </si>
  <si>
    <t>大分県豊肥振興局長</t>
    <rPh sb="0" eb="3">
      <t>オオイタケン</t>
    </rPh>
    <rPh sb="8" eb="9">
      <t>チョウ</t>
    </rPh>
    <phoneticPr fontId="1"/>
  </si>
  <si>
    <t>大分県豊肥振興局豊後大野水利耕地事務所長</t>
    <rPh sb="19" eb="20">
      <t>チョウ</t>
    </rPh>
    <phoneticPr fontId="1"/>
  </si>
  <si>
    <t>大分県豊肥振興局大野川上流開発事業事務所長</t>
    <rPh sb="20" eb="21">
      <t>チョウ</t>
    </rPh>
    <phoneticPr fontId="1"/>
  </si>
  <si>
    <t>大分県西部振興局長</t>
    <rPh sb="0" eb="3">
      <t>オオイタケン</t>
    </rPh>
    <rPh sb="8" eb="9">
      <t>チョウ</t>
    </rPh>
    <phoneticPr fontId="1"/>
  </si>
  <si>
    <t>髙木　政幸</t>
    <rPh sb="0" eb="2">
      <t>タカギ</t>
    </rPh>
    <phoneticPr fontId="1"/>
  </si>
  <si>
    <t>大分県北部振興局長</t>
    <rPh sb="0" eb="3">
      <t>オオイタケン</t>
    </rPh>
    <rPh sb="8" eb="9">
      <t>チョウ</t>
    </rPh>
    <phoneticPr fontId="1"/>
  </si>
  <si>
    <t>３　第１項の保証に係る契約保証金の額、保証金額又は保険金額（第６項において「保証の額」という。）は、請負代金額の10</t>
    <rPh sb="2" eb="3">
      <t>ダイ</t>
    </rPh>
    <rPh sb="4" eb="5">
      <t>コウ</t>
    </rPh>
    <phoneticPr fontId="2"/>
  </si>
  <si>
    <t>４　受注者が第１項第３号から第５号までのいずれかに掲げる保証を付す場合は、当該保証は第56条第３項各号に規定する者に</t>
    <phoneticPr fontId="2"/>
  </si>
  <si>
    <t>５　第１項の規定により、受注者が同項第２号又は第３号に掲げる保証を付したときは、当該保証は契約保証金に代わる担保の</t>
    <phoneticPr fontId="2"/>
  </si>
  <si>
    <t>６　請負代金額の変更があった場合には、保証の額が変更後の請負代金額の10分の１に達するまで、発注者は、保証の額の増額</t>
    <phoneticPr fontId="2"/>
  </si>
  <si>
    <t>３　発注者は、第１項の規定による請求があったときは、請求を受けた日から20日以内に前払金を支払わなければならない。</t>
    <rPh sb="7" eb="8">
      <t>ダイ</t>
    </rPh>
    <phoneticPr fontId="2"/>
  </si>
  <si>
    <t>４　受注者は、請負代金額が著しく増額された場合においては、その増額後の請負代金額の10分の４から受領済みの前払金額を</t>
    <phoneticPr fontId="2"/>
  </si>
  <si>
    <t>５　受注者は、請負代金額が著しく減額された場合において、受領済みの前払金額が減額後の請負代金額の10分の５を超えると</t>
    <phoneticPr fontId="2"/>
  </si>
  <si>
    <t>６　前項の超過額が相当の額に達し、返還することが前払金の使用状況からみて著しく不適当であると認められるときは、発注</t>
    <phoneticPr fontId="2"/>
  </si>
  <si>
    <t>７　発注者は、受注者が第５項の期間内に超過額を返還しなかったときは、その未返還額につき、同項の期間を経過した日から</t>
    <phoneticPr fontId="2"/>
  </si>
  <si>
    <t>　支払を発注者に請求することができる。この場合においては、前条第３項の規定を準用する。</t>
    <phoneticPr fontId="2"/>
  </si>
  <si>
    <t>３　受注者は、第１項の中間前払金の支払を請求しようとするときは、あらかじめ、発注者又は発注者の指定する者の中間前金</t>
    <rPh sb="7" eb="8">
      <t>ダイ</t>
    </rPh>
    <phoneticPr fontId="2"/>
  </si>
  <si>
    <t>４　前条第４項から第７項までの規定は、受注者が中間前払金の支払を受けた場合について準用する。この場合において、同条</t>
    <phoneticPr fontId="2"/>
  </si>
  <si>
    <t>　第４項中「10分の４」とあるのは「10分の６」と、「前払金額」とあるのは「前払金額（中間前払金額を含む｡)」と、「前払</t>
    <phoneticPr fontId="2"/>
  </si>
  <si>
    <t>　金」とあるのは「前払金（中間前払金を含む。）」と、同条第５項中「前払金額」とあるのは「前払金額（中間前払金額を含</t>
    <phoneticPr fontId="2"/>
  </si>
  <si>
    <t>　む｡)」と、「10分の５」とあるのは「10分の６」と、同条第６項中「前払金」とあるのは「前払金（中間前払金を含む｡)」</t>
    <phoneticPr fontId="2"/>
  </si>
  <si>
    <t>第36条　受注者は、第34条第４項の規定により（前条第４項の規定により準用する場合を含む。）受領済みの前払金（中間前払</t>
    <phoneticPr fontId="2"/>
  </si>
  <si>
    <t>４　受注者は、前払金額（中間前払金額を含む。以下同じ。）の変更を伴わない工期の変更が行われた場合には、発注者に代わ</t>
    <phoneticPr fontId="2"/>
  </si>
  <si>
    <t>　額が当該出来高予定額に達するまで前払金の保証期限を延長するものとする。この場合においては、第36条第４項の規定を準</t>
    <phoneticPr fontId="2"/>
  </si>
  <si>
    <t>土</t>
    <rPh sb="0" eb="1">
      <t>ド</t>
    </rPh>
    <phoneticPr fontId="2"/>
  </si>
  <si>
    <t>建</t>
    <rPh sb="0" eb="1">
      <t>ケン</t>
    </rPh>
    <phoneticPr fontId="2"/>
  </si>
  <si>
    <t>大</t>
    <rPh sb="0" eb="1">
      <t>ダイ</t>
    </rPh>
    <phoneticPr fontId="2"/>
  </si>
  <si>
    <t>左</t>
    <rPh sb="0" eb="1">
      <t>ヒダリ</t>
    </rPh>
    <phoneticPr fontId="2"/>
  </si>
  <si>
    <t>と</t>
    <phoneticPr fontId="2"/>
  </si>
  <si>
    <t>石</t>
    <rPh sb="0" eb="1">
      <t>イシ</t>
    </rPh>
    <phoneticPr fontId="2"/>
  </si>
  <si>
    <t>屋</t>
    <rPh sb="0" eb="1">
      <t>ヤ</t>
    </rPh>
    <phoneticPr fontId="2"/>
  </si>
  <si>
    <t>電</t>
    <rPh sb="0" eb="1">
      <t>デン</t>
    </rPh>
    <phoneticPr fontId="2"/>
  </si>
  <si>
    <t>管</t>
    <rPh sb="0" eb="1">
      <t>カン</t>
    </rPh>
    <phoneticPr fontId="2"/>
  </si>
  <si>
    <t>タ</t>
    <phoneticPr fontId="2"/>
  </si>
  <si>
    <t>鋼</t>
    <rPh sb="0" eb="1">
      <t>ハガネ</t>
    </rPh>
    <phoneticPr fontId="2"/>
  </si>
  <si>
    <t>筋</t>
    <rPh sb="0" eb="1">
      <t>スジ</t>
    </rPh>
    <phoneticPr fontId="2"/>
  </si>
  <si>
    <t>舗</t>
    <rPh sb="0" eb="1">
      <t>ホ</t>
    </rPh>
    <phoneticPr fontId="2"/>
  </si>
  <si>
    <t>しゆ</t>
    <phoneticPr fontId="2"/>
  </si>
  <si>
    <t>板</t>
    <rPh sb="0" eb="1">
      <t>イタ</t>
    </rPh>
    <phoneticPr fontId="2"/>
  </si>
  <si>
    <t>ガ</t>
    <phoneticPr fontId="2"/>
  </si>
  <si>
    <t>塗</t>
    <rPh sb="0" eb="1">
      <t>ヌリ</t>
    </rPh>
    <phoneticPr fontId="2"/>
  </si>
  <si>
    <t>防</t>
    <rPh sb="0" eb="1">
      <t>ボウ</t>
    </rPh>
    <phoneticPr fontId="2"/>
  </si>
  <si>
    <t>内</t>
    <rPh sb="0" eb="1">
      <t>ナイ</t>
    </rPh>
    <phoneticPr fontId="2"/>
  </si>
  <si>
    <t>機</t>
    <rPh sb="0" eb="1">
      <t>キ</t>
    </rPh>
    <phoneticPr fontId="2"/>
  </si>
  <si>
    <t>絶</t>
    <rPh sb="0" eb="1">
      <t>ゼツ</t>
    </rPh>
    <phoneticPr fontId="2"/>
  </si>
  <si>
    <t>通</t>
    <rPh sb="0" eb="1">
      <t>ツウ</t>
    </rPh>
    <phoneticPr fontId="2"/>
  </si>
  <si>
    <t>園</t>
    <rPh sb="0" eb="1">
      <t>エン</t>
    </rPh>
    <phoneticPr fontId="2"/>
  </si>
  <si>
    <t>井</t>
    <rPh sb="0" eb="1">
      <t>イ</t>
    </rPh>
    <phoneticPr fontId="2"/>
  </si>
  <si>
    <t>具</t>
    <rPh sb="0" eb="1">
      <t>グ</t>
    </rPh>
    <phoneticPr fontId="2"/>
  </si>
  <si>
    <t>水</t>
    <rPh sb="0" eb="1">
      <t>ミズ</t>
    </rPh>
    <phoneticPr fontId="2"/>
  </si>
  <si>
    <t>消</t>
    <rPh sb="0" eb="1">
      <t>ケ</t>
    </rPh>
    <phoneticPr fontId="2"/>
  </si>
  <si>
    <t>清</t>
    <rPh sb="0" eb="1">
      <t>キヨ</t>
    </rPh>
    <phoneticPr fontId="2"/>
  </si>
  <si>
    <t>解</t>
    <rPh sb="0" eb="1">
      <t>カイ</t>
    </rPh>
    <phoneticPr fontId="2"/>
  </si>
  <si>
    <t>業者コード</t>
  </si>
  <si>
    <t>業者名称カナ</t>
  </si>
  <si>
    <t>業者名称漢字</t>
  </si>
  <si>
    <t>代表者役職漢字</t>
  </si>
  <si>
    <t>代表者氏名漢字</t>
  </si>
  <si>
    <t>本店郵便番号</t>
  </si>
  <si>
    <t>本店住所</t>
  </si>
  <si>
    <t>00000429</t>
  </si>
  <si>
    <t>ユタカケンセツコウギョウ</t>
  </si>
  <si>
    <t>871-0003</t>
  </si>
  <si>
    <t>00000849</t>
  </si>
  <si>
    <t>トキワデンキコウジ</t>
  </si>
  <si>
    <t>871-0021</t>
  </si>
  <si>
    <t>00001459</t>
  </si>
  <si>
    <t>スガグミ</t>
  </si>
  <si>
    <t>872-1202</t>
  </si>
  <si>
    <t>00002036</t>
  </si>
  <si>
    <t>ウメバヤシケンセツ</t>
  </si>
  <si>
    <t>870-0044</t>
  </si>
  <si>
    <t>00003917</t>
  </si>
  <si>
    <t>アサヒコウギョウテクノス</t>
  </si>
  <si>
    <t>870-0018</t>
  </si>
  <si>
    <t>00004988</t>
  </si>
  <si>
    <t>サイキケンセツ</t>
  </si>
  <si>
    <t>870-8611</t>
  </si>
  <si>
    <t>00007221</t>
  </si>
  <si>
    <t>カワハラコウギョウ</t>
  </si>
  <si>
    <t>877-0062</t>
  </si>
  <si>
    <t>00007853</t>
  </si>
  <si>
    <t>オニヅカデンキコウジ</t>
  </si>
  <si>
    <t>870-0930</t>
  </si>
  <si>
    <t>00010503</t>
  </si>
  <si>
    <t>ダイニチ</t>
  </si>
  <si>
    <t>877-0055</t>
  </si>
  <si>
    <t>00014916</t>
  </si>
  <si>
    <t>ダイワボーリングコウギョウ</t>
  </si>
  <si>
    <t>877-0301</t>
  </si>
  <si>
    <t>00017721</t>
  </si>
  <si>
    <t>ティーシージャパン</t>
  </si>
  <si>
    <t>870-0107</t>
  </si>
  <si>
    <t>00019011</t>
  </si>
  <si>
    <t>ナガノ</t>
  </si>
  <si>
    <t>871-0024</t>
  </si>
  <si>
    <t>00019698</t>
  </si>
  <si>
    <t>ケントコウギョウ</t>
  </si>
  <si>
    <t>870-0905</t>
  </si>
  <si>
    <t>00020458</t>
  </si>
  <si>
    <t>877-0081</t>
  </si>
  <si>
    <t>00020459</t>
  </si>
  <si>
    <t>ナガソエ</t>
  </si>
  <si>
    <t>00021903</t>
  </si>
  <si>
    <t>アイビック</t>
  </si>
  <si>
    <t>870-0137</t>
  </si>
  <si>
    <t>00022955</t>
  </si>
  <si>
    <t>ホウナンデンコウ</t>
  </si>
  <si>
    <t>879-2421</t>
  </si>
  <si>
    <t>00023154</t>
  </si>
  <si>
    <t>サンオブサンエージェンシー</t>
  </si>
  <si>
    <t>870-0917</t>
  </si>
  <si>
    <t>00024183</t>
  </si>
  <si>
    <t>サンシンサンギョウ</t>
  </si>
  <si>
    <t>870-0911</t>
  </si>
  <si>
    <t>00024605</t>
  </si>
  <si>
    <t>シゲマツグミ</t>
  </si>
  <si>
    <t>879-6113</t>
  </si>
  <si>
    <t>00024625</t>
  </si>
  <si>
    <t>ニホンセツビコウギョウ</t>
  </si>
  <si>
    <t>00024730</t>
  </si>
  <si>
    <t>モリタケンセツ</t>
  </si>
  <si>
    <t>872-0001</t>
  </si>
  <si>
    <t>00025328</t>
  </si>
  <si>
    <t>ベツダイ</t>
  </si>
  <si>
    <t>870-0904</t>
  </si>
  <si>
    <t>00025406</t>
  </si>
  <si>
    <t>オオイタサービス</t>
  </si>
  <si>
    <t>870-0901</t>
  </si>
  <si>
    <t>00026251</t>
  </si>
  <si>
    <t>キュウシュウタイイクシセツ</t>
  </si>
  <si>
    <t>877-0053</t>
  </si>
  <si>
    <t>00026254</t>
  </si>
  <si>
    <t>タカヤマグミ</t>
  </si>
  <si>
    <t>878-0025</t>
  </si>
  <si>
    <t>00027115</t>
  </si>
  <si>
    <t>シンヤコウギョウ</t>
  </si>
  <si>
    <t>871-0078</t>
  </si>
  <si>
    <t>00027319</t>
  </si>
  <si>
    <t>ショウエイ</t>
  </si>
  <si>
    <t>871-0152</t>
  </si>
  <si>
    <t>00027446</t>
  </si>
  <si>
    <t>キュウコウケンセツ</t>
  </si>
  <si>
    <t>870-0823</t>
  </si>
  <si>
    <t>00028392</t>
  </si>
  <si>
    <t>マコトケンセツ</t>
  </si>
  <si>
    <t>870-0126</t>
  </si>
  <si>
    <t>00028574</t>
  </si>
  <si>
    <t>ウスキコウハンコウギョウショ</t>
  </si>
  <si>
    <t>875-0062</t>
  </si>
  <si>
    <t>00029333</t>
  </si>
  <si>
    <t>ワダグミ</t>
  </si>
  <si>
    <t>874-0919</t>
  </si>
  <si>
    <t>44000011</t>
  </si>
  <si>
    <t>トネケンセツ</t>
  </si>
  <si>
    <t>870-0844</t>
  </si>
  <si>
    <t>44000012</t>
  </si>
  <si>
    <t>エトウサンソ</t>
  </si>
  <si>
    <t>870-0198</t>
  </si>
  <si>
    <t>44000013</t>
  </si>
  <si>
    <t>タケウチコウムテン</t>
  </si>
  <si>
    <t>44000023</t>
  </si>
  <si>
    <t>タシマサンギョウ</t>
  </si>
  <si>
    <t>870-0263</t>
  </si>
  <si>
    <t>44000048</t>
  </si>
  <si>
    <t>オオタコウムテン</t>
  </si>
  <si>
    <t>879-5102</t>
  </si>
  <si>
    <t>44000049</t>
  </si>
  <si>
    <t>オオイタトソウコウギョウ</t>
  </si>
  <si>
    <t>870-0017</t>
  </si>
  <si>
    <t>44000050</t>
  </si>
  <si>
    <t>シュトウセツビコウギョウ</t>
  </si>
  <si>
    <t>870-0933</t>
  </si>
  <si>
    <t>44000060</t>
  </si>
  <si>
    <t>オオノトソウコウギョウ</t>
  </si>
  <si>
    <t>870-0927</t>
  </si>
  <si>
    <t>44000089</t>
  </si>
  <si>
    <t>ウエダスイドウコウギョウ</t>
  </si>
  <si>
    <t>870-0832</t>
  </si>
  <si>
    <t>44000095</t>
  </si>
  <si>
    <t>エトウセツビ</t>
  </si>
  <si>
    <t>44000097</t>
  </si>
  <si>
    <t>シライシケンセツ</t>
  </si>
  <si>
    <t>870-0921</t>
  </si>
  <si>
    <t>44000100</t>
  </si>
  <si>
    <t>キョウワコウギョウ</t>
  </si>
  <si>
    <t>870-0906</t>
  </si>
  <si>
    <t>44000104</t>
  </si>
  <si>
    <t>ダイトクデンギョウ</t>
  </si>
  <si>
    <t>870-0924</t>
  </si>
  <si>
    <t>44000114</t>
  </si>
  <si>
    <t>タシマグミ</t>
  </si>
  <si>
    <t>870-0008</t>
  </si>
  <si>
    <t>44000125</t>
  </si>
  <si>
    <t>サンノミヤコウザイ</t>
  </si>
  <si>
    <t>44000126</t>
  </si>
  <si>
    <t>アキヨシグミ</t>
  </si>
  <si>
    <t>44000135</t>
  </si>
  <si>
    <t>キュウシュウサンギョウセツビ</t>
  </si>
  <si>
    <t>870-0153</t>
  </si>
  <si>
    <t>44000138</t>
  </si>
  <si>
    <t>カクエイケンセツコウギョウ</t>
  </si>
  <si>
    <t>870-0108</t>
  </si>
  <si>
    <t>44000144</t>
  </si>
  <si>
    <t>シムラデンセツ</t>
  </si>
  <si>
    <t>873-0421</t>
  </si>
  <si>
    <t>44000145</t>
  </si>
  <si>
    <t>コミヤコウギョウ</t>
  </si>
  <si>
    <t>870-0951</t>
  </si>
  <si>
    <t>44000157</t>
  </si>
  <si>
    <t>ヒラヤマドボク</t>
  </si>
  <si>
    <t>879-7764</t>
  </si>
  <si>
    <t>44000166</t>
  </si>
  <si>
    <t>キュウシュウカコウ</t>
  </si>
  <si>
    <t>870-0146</t>
  </si>
  <si>
    <t>44000197</t>
  </si>
  <si>
    <t>アベデンギョウシャ</t>
  </si>
  <si>
    <t>870-0846</t>
  </si>
  <si>
    <t>44000198</t>
  </si>
  <si>
    <t>イケダグミ</t>
  </si>
  <si>
    <t>870-0016</t>
  </si>
  <si>
    <t>44000200</t>
  </si>
  <si>
    <t>サンコウエン</t>
  </si>
  <si>
    <t>44000213</t>
  </si>
  <si>
    <t>ミカジリデンギョウシャ</t>
  </si>
  <si>
    <t>870-0031</t>
  </si>
  <si>
    <t>44000222</t>
  </si>
  <si>
    <t>ツチヤデンキ</t>
  </si>
  <si>
    <t>870-0025</t>
  </si>
  <si>
    <t>44000255</t>
  </si>
  <si>
    <t>ニホンデンコウ</t>
  </si>
  <si>
    <t>44000274</t>
  </si>
  <si>
    <t>ヤナイデンキコウギョウ</t>
  </si>
  <si>
    <t>44000287</t>
  </si>
  <si>
    <t>ジョーナン</t>
  </si>
  <si>
    <t>870-0883</t>
  </si>
  <si>
    <t>44000288</t>
  </si>
  <si>
    <t>ヒラクラケンセツ</t>
  </si>
  <si>
    <t>870-0049</t>
  </si>
  <si>
    <t>44000290</t>
  </si>
  <si>
    <t>アベケンセツ</t>
  </si>
  <si>
    <t>879-5103</t>
  </si>
  <si>
    <t>44000297</t>
  </si>
  <si>
    <t>カトウグミ</t>
  </si>
  <si>
    <t>870-0886</t>
  </si>
  <si>
    <t>44000317</t>
  </si>
  <si>
    <t>オオイタデンセツ</t>
  </si>
  <si>
    <t>870-0903</t>
  </si>
  <si>
    <t>44000321</t>
  </si>
  <si>
    <t>フジケンセツ</t>
  </si>
  <si>
    <t>870-0932</t>
  </si>
  <si>
    <t>44000325</t>
  </si>
  <si>
    <t>カワノデンキ</t>
  </si>
  <si>
    <t>870-0816</t>
  </si>
  <si>
    <t>44000330</t>
  </si>
  <si>
    <t>サトウドボク</t>
  </si>
  <si>
    <t>44000333</t>
  </si>
  <si>
    <t>エイワケンセツ</t>
  </si>
  <si>
    <t>870-1203</t>
  </si>
  <si>
    <t>44000335</t>
  </si>
  <si>
    <t>サンドウコウアンシャ</t>
  </si>
  <si>
    <t>870-0318</t>
  </si>
  <si>
    <t>44000348</t>
  </si>
  <si>
    <t>フジモトコウギョウ</t>
  </si>
  <si>
    <t>870-0022</t>
  </si>
  <si>
    <t>44000350</t>
  </si>
  <si>
    <t>クニザネスイドウ</t>
  </si>
  <si>
    <t>870-0131</t>
  </si>
  <si>
    <t>44000371</t>
  </si>
  <si>
    <t>ヤマシタグミ</t>
  </si>
  <si>
    <t>879-5405</t>
  </si>
  <si>
    <t>44000373</t>
  </si>
  <si>
    <t>セイト</t>
  </si>
  <si>
    <t>870-0106</t>
  </si>
  <si>
    <t>44000385</t>
  </si>
  <si>
    <t>ゴトウソウゴウコウギョウ</t>
  </si>
  <si>
    <t>879-7501</t>
  </si>
  <si>
    <t>44000386</t>
  </si>
  <si>
    <t>ツツミケンセツコウギョウ</t>
  </si>
  <si>
    <t>44000392</t>
  </si>
  <si>
    <t>オオイタジュシボウスイ</t>
  </si>
  <si>
    <t>870-0030</t>
  </si>
  <si>
    <t>44000396</t>
  </si>
  <si>
    <t>ニシサンコウギョウ</t>
  </si>
  <si>
    <t>870-0820</t>
  </si>
  <si>
    <t>44000404</t>
  </si>
  <si>
    <t>コナガワドボク</t>
  </si>
  <si>
    <t>870-0125</t>
  </si>
  <si>
    <t>44000419</t>
  </si>
  <si>
    <t>ソウワケンセツ</t>
  </si>
  <si>
    <t>870-0316</t>
  </si>
  <si>
    <t>44000425</t>
  </si>
  <si>
    <t>ホウコクケンセツ</t>
  </si>
  <si>
    <t>870-0045</t>
  </si>
  <si>
    <t>44000427</t>
  </si>
  <si>
    <t>サンキョウトソウテン</t>
  </si>
  <si>
    <t>870-0005</t>
  </si>
  <si>
    <t>44000430</t>
  </si>
  <si>
    <t>タイヨウデンセツ</t>
  </si>
  <si>
    <t>870-0839</t>
  </si>
  <si>
    <t>44000439</t>
  </si>
  <si>
    <t>ユフドボク</t>
  </si>
  <si>
    <t>44000451</t>
  </si>
  <si>
    <t>フジヨシスイドウ</t>
  </si>
  <si>
    <t>870-0109</t>
  </si>
  <si>
    <t>44000470</t>
  </si>
  <si>
    <t>カトウスイドウ</t>
  </si>
  <si>
    <t>44000495</t>
  </si>
  <si>
    <t>シュトウケンセツ</t>
  </si>
  <si>
    <t>879-5502</t>
  </si>
  <si>
    <t>44000526</t>
  </si>
  <si>
    <t>シンエイセツビ</t>
  </si>
  <si>
    <t>870-0317</t>
  </si>
  <si>
    <t>44000535</t>
  </si>
  <si>
    <t>オニヅカサンギョウ</t>
  </si>
  <si>
    <t>44000536</t>
  </si>
  <si>
    <t>オオイタコウギョウ</t>
  </si>
  <si>
    <t>870-0278</t>
  </si>
  <si>
    <t>44000549</t>
  </si>
  <si>
    <t>コイデケンセツ</t>
  </si>
  <si>
    <t>879-7761</t>
  </si>
  <si>
    <t>44000561</t>
  </si>
  <si>
    <t>フジワラトソウ</t>
  </si>
  <si>
    <t>870-0039</t>
  </si>
  <si>
    <t>44000592</t>
  </si>
  <si>
    <t>ハヤシケンセツ</t>
  </si>
  <si>
    <t>44000596</t>
  </si>
  <si>
    <t>キュウカンリョクチケンセツ</t>
  </si>
  <si>
    <t>870-0955</t>
  </si>
  <si>
    <t>44000600</t>
  </si>
  <si>
    <t>シバタケンセツ</t>
  </si>
  <si>
    <t>870-1113</t>
  </si>
  <si>
    <t>44000604</t>
  </si>
  <si>
    <t>フクダコウギョウ</t>
  </si>
  <si>
    <t>870-0032</t>
  </si>
  <si>
    <t>44000608</t>
  </si>
  <si>
    <t>カクダケンセツ</t>
  </si>
  <si>
    <t>879-5421</t>
  </si>
  <si>
    <t>44000611</t>
  </si>
  <si>
    <t>ユキケンセツ</t>
  </si>
  <si>
    <t>44000627</t>
  </si>
  <si>
    <t>マツムラガラステン</t>
  </si>
  <si>
    <t>44000629</t>
  </si>
  <si>
    <t>ヤマチュウショウテン</t>
  </si>
  <si>
    <t>44000647</t>
  </si>
  <si>
    <t>コウノグミ</t>
  </si>
  <si>
    <t>879-5111</t>
  </si>
  <si>
    <t>44000652</t>
  </si>
  <si>
    <t>メノケンセツ</t>
  </si>
  <si>
    <t>44000662</t>
  </si>
  <si>
    <t>コウロギケンセツ</t>
  </si>
  <si>
    <t>879-5114</t>
  </si>
  <si>
    <t>44000663</t>
  </si>
  <si>
    <t>シミズソウショクコウギョウ</t>
  </si>
  <si>
    <t>870-1141</t>
  </si>
  <si>
    <t>44000673</t>
  </si>
  <si>
    <t>ハザマセツビ</t>
  </si>
  <si>
    <t>870-0117</t>
  </si>
  <si>
    <t>44000696</t>
  </si>
  <si>
    <t>ヤマダケンセツ</t>
  </si>
  <si>
    <t>870-0308</t>
  </si>
  <si>
    <t>44000744</t>
  </si>
  <si>
    <t>ミウラケンセツコウギョウ</t>
  </si>
  <si>
    <t>875-0061</t>
  </si>
  <si>
    <t>44000750</t>
  </si>
  <si>
    <t>シンワデンコウ</t>
  </si>
  <si>
    <t>44000765</t>
  </si>
  <si>
    <t>カイケンセツコウギョウ</t>
  </si>
  <si>
    <t>870-0305</t>
  </si>
  <si>
    <t>44000800</t>
  </si>
  <si>
    <t>タジマセツビコウギョウ</t>
  </si>
  <si>
    <t>870-0912</t>
  </si>
  <si>
    <t>44000805</t>
  </si>
  <si>
    <t>ヨウコウケンセツ</t>
  </si>
  <si>
    <t>874-0820</t>
  </si>
  <si>
    <t>44000807</t>
  </si>
  <si>
    <t>コウエイデンキコウジ</t>
  </si>
  <si>
    <t>44000808</t>
  </si>
  <si>
    <t>アサノケンセツ</t>
  </si>
  <si>
    <t>879-1505</t>
  </si>
  <si>
    <t>44000829</t>
  </si>
  <si>
    <t>キツキケンセツ</t>
  </si>
  <si>
    <t>873-0002</t>
  </si>
  <si>
    <t>44000835</t>
  </si>
  <si>
    <t>ダイコウツウシンケンセツ</t>
  </si>
  <si>
    <t>879-0456</t>
  </si>
  <si>
    <t>44000850</t>
  </si>
  <si>
    <t>44000861</t>
  </si>
  <si>
    <t>ゴトウコウムテン</t>
  </si>
  <si>
    <t>874-0930</t>
  </si>
  <si>
    <t>44000863</t>
  </si>
  <si>
    <t>エトウコウギョウ</t>
  </si>
  <si>
    <t>44000878</t>
  </si>
  <si>
    <t>ウラマツケンセツ</t>
  </si>
  <si>
    <t>874-0833</t>
  </si>
  <si>
    <t>44000887</t>
  </si>
  <si>
    <t>ニッポウコウギョウ</t>
  </si>
  <si>
    <t>879-1503</t>
  </si>
  <si>
    <t>44000893</t>
  </si>
  <si>
    <t>サンコウケンセツコウギョウ</t>
  </si>
  <si>
    <t>874-0938</t>
  </si>
  <si>
    <t>44000896</t>
  </si>
  <si>
    <t>ヤマモトデンギョウシャ</t>
  </si>
  <si>
    <t>44000927</t>
  </si>
  <si>
    <t>クニモトグミ</t>
  </si>
  <si>
    <t>874-0033</t>
  </si>
  <si>
    <t>44000928</t>
  </si>
  <si>
    <t>サノドボクケンセツ</t>
  </si>
  <si>
    <t>879-1502</t>
  </si>
  <si>
    <t>44000930</t>
  </si>
  <si>
    <t>アベグミ</t>
  </si>
  <si>
    <t>874-0926</t>
  </si>
  <si>
    <t>44000945</t>
  </si>
  <si>
    <t>オザキトソウテン</t>
  </si>
  <si>
    <t>874-0842</t>
  </si>
  <si>
    <t>44000951</t>
  </si>
  <si>
    <t>イワオショウジ</t>
  </si>
  <si>
    <t>879-1506</t>
  </si>
  <si>
    <t>44000980</t>
  </si>
  <si>
    <t>アナングミ</t>
  </si>
  <si>
    <t>873-0006</t>
  </si>
  <si>
    <t>44000983</t>
  </si>
  <si>
    <t>イシダ</t>
  </si>
  <si>
    <t>874-0841</t>
  </si>
  <si>
    <t>44000990</t>
  </si>
  <si>
    <t>シロヤマケンセツ</t>
  </si>
  <si>
    <t>873-0001</t>
  </si>
  <si>
    <t>44000991</t>
  </si>
  <si>
    <t>アシカリトソウ</t>
  </si>
  <si>
    <t>874-0022</t>
  </si>
  <si>
    <t>44001011</t>
  </si>
  <si>
    <t>シュトウジュウキケンセツ</t>
  </si>
  <si>
    <t>874-0921</t>
  </si>
  <si>
    <t>44001023</t>
  </si>
  <si>
    <t>ジョウトウケンセツ</t>
  </si>
  <si>
    <t>874-0836</t>
  </si>
  <si>
    <t>44001036</t>
  </si>
  <si>
    <t>ベッテツサッシコウギョウ</t>
  </si>
  <si>
    <t>44001102</t>
  </si>
  <si>
    <t>マタマケンセツ</t>
  </si>
  <si>
    <t>872-1101</t>
  </si>
  <si>
    <t>44001113</t>
  </si>
  <si>
    <t>ミアケコウムテン</t>
  </si>
  <si>
    <t>879-0615</t>
  </si>
  <si>
    <t>44001114</t>
  </si>
  <si>
    <t>オオイタソウゴウケンセツ</t>
  </si>
  <si>
    <t>879-0604</t>
  </si>
  <si>
    <t>44001122</t>
  </si>
  <si>
    <t>ヤマダコウサン</t>
  </si>
  <si>
    <t>872-1107</t>
  </si>
  <si>
    <t>44001125</t>
  </si>
  <si>
    <t>ジロウマルケンセツ</t>
  </si>
  <si>
    <t>879-0614</t>
  </si>
  <si>
    <t>44001132</t>
  </si>
  <si>
    <t>ユーロード</t>
  </si>
  <si>
    <t>879-1304</t>
  </si>
  <si>
    <t>44001135</t>
  </si>
  <si>
    <t>タカダケンセツ</t>
  </si>
  <si>
    <t>879-0617</t>
  </si>
  <si>
    <t>44001144</t>
  </si>
  <si>
    <t>ナカムラセツビサービス</t>
  </si>
  <si>
    <t>879-0627</t>
  </si>
  <si>
    <t>44001155</t>
  </si>
  <si>
    <t>ササキケンセツ</t>
  </si>
  <si>
    <t>44001159</t>
  </si>
  <si>
    <t>カツラケンセツ</t>
  </si>
  <si>
    <t>44001175</t>
  </si>
  <si>
    <t>ミナミセツビコウギョウ</t>
  </si>
  <si>
    <t>872-1207</t>
  </si>
  <si>
    <t>44001176</t>
  </si>
  <si>
    <t>ヒラノケンザイテン</t>
  </si>
  <si>
    <t>44001178</t>
  </si>
  <si>
    <t>サトカケンセツコウギョウ</t>
  </si>
  <si>
    <t>879-0608</t>
  </si>
  <si>
    <t>44001180</t>
  </si>
  <si>
    <t>イワナガコウムテン</t>
  </si>
  <si>
    <t>879-0606</t>
  </si>
  <si>
    <t>44001187</t>
  </si>
  <si>
    <t>フタゴ</t>
  </si>
  <si>
    <t>44001188</t>
  </si>
  <si>
    <t>サカモトケンセツ</t>
  </si>
  <si>
    <t>44001196</t>
  </si>
  <si>
    <t>オクダケンセツ</t>
  </si>
  <si>
    <t>879-0602</t>
  </si>
  <si>
    <t>44001206</t>
  </si>
  <si>
    <t>アサダケンセツ</t>
  </si>
  <si>
    <t>873-0405</t>
  </si>
  <si>
    <t>44001213</t>
  </si>
  <si>
    <t>ヤマグチスイドウコウギョウ</t>
  </si>
  <si>
    <t>873-0502</t>
  </si>
  <si>
    <t>44001217</t>
  </si>
  <si>
    <t>キツキデンキコウジ</t>
  </si>
  <si>
    <t>873-0221</t>
  </si>
  <si>
    <t>44001220</t>
  </si>
  <si>
    <t>ヒメシマケンセツ</t>
  </si>
  <si>
    <t>872-1501</t>
  </si>
  <si>
    <t>44001223</t>
  </si>
  <si>
    <t>ダイプロホーム</t>
  </si>
  <si>
    <t>873-0643</t>
  </si>
  <si>
    <t>44001226</t>
  </si>
  <si>
    <t>アキタケンセツコウギョウ</t>
  </si>
  <si>
    <t>872-1403</t>
  </si>
  <si>
    <t>44001235</t>
  </si>
  <si>
    <t>タキグチショウジ</t>
  </si>
  <si>
    <t>873-0412</t>
  </si>
  <si>
    <t>44001238</t>
  </si>
  <si>
    <t>イトウグミ</t>
  </si>
  <si>
    <t>873-0351</t>
  </si>
  <si>
    <t>44001242</t>
  </si>
  <si>
    <t>ホウエイケンセツ</t>
  </si>
  <si>
    <t>872-1651</t>
  </si>
  <si>
    <t>44001246</t>
  </si>
  <si>
    <t>ミヤサコケンセツ</t>
  </si>
  <si>
    <t>44001261</t>
  </si>
  <si>
    <t>ザイゼングミ</t>
  </si>
  <si>
    <t>873-0511</t>
  </si>
  <si>
    <t>44001264</t>
  </si>
  <si>
    <t>ノダサンギョウ</t>
  </si>
  <si>
    <t>873-0212</t>
  </si>
  <si>
    <t>44001268</t>
  </si>
  <si>
    <t>ミウラケンセツ</t>
  </si>
  <si>
    <t>873-0503</t>
  </si>
  <si>
    <t>44001272</t>
  </si>
  <si>
    <t>ベッショショウジ</t>
  </si>
  <si>
    <t>873-0231</t>
  </si>
  <si>
    <t>44001305</t>
  </si>
  <si>
    <t>カイケンセツ</t>
  </si>
  <si>
    <t>879-2683</t>
  </si>
  <si>
    <t>44001306</t>
  </si>
  <si>
    <t>ササキコウムテン</t>
  </si>
  <si>
    <t>875-0052</t>
  </si>
  <si>
    <t>44001315</t>
  </si>
  <si>
    <t>タイホウケンセツ</t>
  </si>
  <si>
    <t>875-0034</t>
  </si>
  <si>
    <t>44001317</t>
  </si>
  <si>
    <t>ツカモトケンセツ</t>
  </si>
  <si>
    <t>879-2457</t>
  </si>
  <si>
    <t>44001318</t>
  </si>
  <si>
    <t>セキドケン</t>
  </si>
  <si>
    <t>879-2201</t>
  </si>
  <si>
    <t>44001320</t>
  </si>
  <si>
    <t>ゴトウセツビテッコウ</t>
  </si>
  <si>
    <t>879-2454</t>
  </si>
  <si>
    <t>44001322</t>
  </si>
  <si>
    <t>ミウラコクドケンセツ</t>
  </si>
  <si>
    <t>870-0945</t>
  </si>
  <si>
    <t>875-0041</t>
  </si>
  <si>
    <t>44001340</t>
  </si>
  <si>
    <t>アサヒサンギョウ</t>
  </si>
  <si>
    <t>44001343</t>
  </si>
  <si>
    <t>44001348</t>
  </si>
  <si>
    <t>カワノグミ</t>
  </si>
  <si>
    <t>875-0042</t>
  </si>
  <si>
    <t>44001350</t>
  </si>
  <si>
    <t>879-2432</t>
  </si>
  <si>
    <t>44001355</t>
  </si>
  <si>
    <t>キュウホウドケン</t>
  </si>
  <si>
    <t>875-0023</t>
  </si>
  <si>
    <t>44001357</t>
  </si>
  <si>
    <t>オオシタケンセツコウギョウ</t>
  </si>
  <si>
    <t>879-2461</t>
  </si>
  <si>
    <t>44001365</t>
  </si>
  <si>
    <t>ヒナゴケンセツ</t>
  </si>
  <si>
    <t>875-0001</t>
  </si>
  <si>
    <t>44001370</t>
  </si>
  <si>
    <t>エイケイキカク</t>
  </si>
  <si>
    <t>879-2112</t>
  </si>
  <si>
    <t>44001371</t>
  </si>
  <si>
    <t>コウセイケンセツコウギョウ</t>
  </si>
  <si>
    <t>875-0022</t>
  </si>
  <si>
    <t>44001374</t>
  </si>
  <si>
    <t>コウワコウギョウ</t>
  </si>
  <si>
    <t>44001376</t>
  </si>
  <si>
    <t>アンドウケンセツ</t>
  </si>
  <si>
    <t>879-2202</t>
  </si>
  <si>
    <t>44001382</t>
  </si>
  <si>
    <t>サンソウドボク</t>
  </si>
  <si>
    <t>875-0011</t>
  </si>
  <si>
    <t>44001388</t>
  </si>
  <si>
    <t>ツクミケンセツ</t>
  </si>
  <si>
    <t>879-2445</t>
  </si>
  <si>
    <t>44001399</t>
  </si>
  <si>
    <t>サトウトソウコウギョウ</t>
  </si>
  <si>
    <t>44001412</t>
  </si>
  <si>
    <t>ダルマヤスイドウ</t>
  </si>
  <si>
    <t>44001415</t>
  </si>
  <si>
    <t>ワタナベモッコウショ</t>
  </si>
  <si>
    <t>44001423</t>
  </si>
  <si>
    <t>シンコウケンセツ</t>
  </si>
  <si>
    <t>879-2435</t>
  </si>
  <si>
    <t>44001425</t>
  </si>
  <si>
    <t>トウワケンセツ</t>
  </si>
  <si>
    <t>44001426</t>
  </si>
  <si>
    <t>オノケンセツコウギョウ</t>
  </si>
  <si>
    <t>875-0073</t>
  </si>
  <si>
    <t>44001427</t>
  </si>
  <si>
    <t>ショウヨウ</t>
  </si>
  <si>
    <t>875-0004</t>
  </si>
  <si>
    <t>44001428</t>
  </si>
  <si>
    <t>ヤクシジケンセツ</t>
  </si>
  <si>
    <t>879-2441</t>
  </si>
  <si>
    <t>44001429</t>
  </si>
  <si>
    <t>カメイスイドウコウギョウショ</t>
  </si>
  <si>
    <t>879-2401</t>
  </si>
  <si>
    <t>44001430</t>
  </si>
  <si>
    <t>コシロチクロコウギョウ</t>
  </si>
  <si>
    <t>879-2458</t>
  </si>
  <si>
    <t>44001431</t>
  </si>
  <si>
    <t>タクシュウケンセツ</t>
  </si>
  <si>
    <t>44001459</t>
  </si>
  <si>
    <t>オオイタエンテツ</t>
  </si>
  <si>
    <t>44001496</t>
  </si>
  <si>
    <t>ヒガシキュウシュウテレビジョウホウカイハツ</t>
  </si>
  <si>
    <t>879-2442</t>
  </si>
  <si>
    <t>44001508</t>
  </si>
  <si>
    <t>ニッポウデンセツ</t>
  </si>
  <si>
    <t>876-2403</t>
  </si>
  <si>
    <t>44001518</t>
  </si>
  <si>
    <t>イシダドボク</t>
  </si>
  <si>
    <t>876-0814</t>
  </si>
  <si>
    <t>44001522</t>
  </si>
  <si>
    <t>タジマケンセツ</t>
  </si>
  <si>
    <t>876-1201</t>
  </si>
  <si>
    <t>44001524</t>
  </si>
  <si>
    <t>ナカノケンセツコウギョウ</t>
  </si>
  <si>
    <t>876-0122</t>
  </si>
  <si>
    <t>44001533</t>
  </si>
  <si>
    <t>クボタスイドウコウジ</t>
  </si>
  <si>
    <t>876-0813</t>
  </si>
  <si>
    <t>44001585</t>
  </si>
  <si>
    <t>サイキデンギョウシャ</t>
  </si>
  <si>
    <t>876-0823</t>
  </si>
  <si>
    <t>44001592</t>
  </si>
  <si>
    <t>オダカイハツコウギョウ</t>
  </si>
  <si>
    <t>876-1105</t>
  </si>
  <si>
    <t>44001593</t>
  </si>
  <si>
    <t>ウメドケン</t>
  </si>
  <si>
    <t>879-3205</t>
  </si>
  <si>
    <t>44001601</t>
  </si>
  <si>
    <t>カワヒデグミ</t>
  </si>
  <si>
    <t>44001608</t>
  </si>
  <si>
    <t>ヤヨイセキザイ</t>
  </si>
  <si>
    <t>876-0856</t>
  </si>
  <si>
    <t>44001613</t>
  </si>
  <si>
    <t>タニガワグミ</t>
  </si>
  <si>
    <t>44001615</t>
  </si>
  <si>
    <t>アマコグミ</t>
  </si>
  <si>
    <t>879-3203</t>
  </si>
  <si>
    <t>44001616</t>
  </si>
  <si>
    <t>スガアツグミ</t>
  </si>
  <si>
    <t>876-0833</t>
  </si>
  <si>
    <t>44001630</t>
  </si>
  <si>
    <t>カマエドケン</t>
  </si>
  <si>
    <t>876-2401</t>
  </si>
  <si>
    <t>44001635</t>
  </si>
  <si>
    <t>ヘイワドボク</t>
  </si>
  <si>
    <t>876-0835</t>
  </si>
  <si>
    <t>44001645</t>
  </si>
  <si>
    <t>ヤマヤケンセツ</t>
  </si>
  <si>
    <t>879-2602</t>
  </si>
  <si>
    <t>44001650</t>
  </si>
  <si>
    <t>ヒキタデンキコウジ</t>
  </si>
  <si>
    <t>クドウケンセツ</t>
  </si>
  <si>
    <t>876-0843</t>
  </si>
  <si>
    <t>44001679</t>
  </si>
  <si>
    <t>ミタライジュウセツ</t>
  </si>
  <si>
    <t>44001722</t>
  </si>
  <si>
    <t>ミエケンセツコウギョウ</t>
  </si>
  <si>
    <t>879-7111</t>
  </si>
  <si>
    <t>44001759</t>
  </si>
  <si>
    <t>カザトコウムテン</t>
  </si>
  <si>
    <t>876-0125</t>
  </si>
  <si>
    <t>44001760</t>
  </si>
  <si>
    <t>トミナガケンセツ</t>
  </si>
  <si>
    <t>876-0123</t>
  </si>
  <si>
    <t>44001781</t>
  </si>
  <si>
    <t>ヒロセケンセツ</t>
  </si>
  <si>
    <t>876-0025</t>
  </si>
  <si>
    <t>44001788</t>
  </si>
  <si>
    <t>マルワドボク</t>
  </si>
  <si>
    <t>44001818</t>
  </si>
  <si>
    <t>ミチワキケンセツ</t>
  </si>
  <si>
    <t>875-0201</t>
  </si>
  <si>
    <t>44001826</t>
  </si>
  <si>
    <t>カワベコウギョウ</t>
  </si>
  <si>
    <t>879-7102</t>
  </si>
  <si>
    <t>44001831</t>
  </si>
  <si>
    <t>ヤマムラデンセツコウギョウ</t>
  </si>
  <si>
    <t>879-7125</t>
  </si>
  <si>
    <t>44001835</t>
  </si>
  <si>
    <t>トモオカグミ</t>
  </si>
  <si>
    <t>879-6433</t>
  </si>
  <si>
    <t>44001865</t>
  </si>
  <si>
    <t>エトウケンセツ</t>
  </si>
  <si>
    <t>879-7404</t>
  </si>
  <si>
    <t>44001895</t>
  </si>
  <si>
    <t>キヨカワサンギョウ</t>
  </si>
  <si>
    <t>879-6903</t>
  </si>
  <si>
    <t>879-6213</t>
  </si>
  <si>
    <t>44001908</t>
  </si>
  <si>
    <t>アダチケンセツ</t>
  </si>
  <si>
    <t>879-6641</t>
  </si>
  <si>
    <t>44001941</t>
  </si>
  <si>
    <t>ムラカミデンキコウジ</t>
  </si>
  <si>
    <t>879-7305</t>
  </si>
  <si>
    <t>44001949</t>
  </si>
  <si>
    <t>ミエソウゴウケンセツコウギョウ</t>
  </si>
  <si>
    <t>44001955</t>
  </si>
  <si>
    <t>タツモトグミ</t>
  </si>
  <si>
    <t>879-7306</t>
  </si>
  <si>
    <t>44001985</t>
  </si>
  <si>
    <t>ミヤマ</t>
  </si>
  <si>
    <t>878-0202</t>
  </si>
  <si>
    <t>44001994</t>
  </si>
  <si>
    <t>イヌカイコウムテン</t>
  </si>
  <si>
    <t>879-7302</t>
  </si>
  <si>
    <t>44001995</t>
  </si>
  <si>
    <t>ミエデンセツ</t>
  </si>
  <si>
    <t>44001997</t>
  </si>
  <si>
    <t>シーテック</t>
  </si>
  <si>
    <t>879-6615</t>
  </si>
  <si>
    <t>44002001</t>
  </si>
  <si>
    <t>カワイデンキコウジ</t>
  </si>
  <si>
    <t>878-0013</t>
  </si>
  <si>
    <t>44002009</t>
  </si>
  <si>
    <t>トモシゲケンセツ</t>
  </si>
  <si>
    <t>878-0026</t>
  </si>
  <si>
    <t>44002013</t>
  </si>
  <si>
    <t>ダイマルケンセツ</t>
  </si>
  <si>
    <t>878-0011</t>
  </si>
  <si>
    <t>44002028</t>
  </si>
  <si>
    <t>メイジケンセツ</t>
  </si>
  <si>
    <t>878-0001</t>
  </si>
  <si>
    <t>44002038</t>
  </si>
  <si>
    <t>トモオカケンセツ</t>
  </si>
  <si>
    <t>44002040</t>
  </si>
  <si>
    <t>コウイキケンセツ</t>
  </si>
  <si>
    <t>878-0006</t>
  </si>
  <si>
    <t>44002050</t>
  </si>
  <si>
    <t>タイコウケンセツ</t>
  </si>
  <si>
    <t>878-0023</t>
  </si>
  <si>
    <t>44002055</t>
  </si>
  <si>
    <t>ユウキ</t>
  </si>
  <si>
    <t>870-0133</t>
  </si>
  <si>
    <t>44002072</t>
  </si>
  <si>
    <t>モリグミ</t>
  </si>
  <si>
    <t>44002074</t>
  </si>
  <si>
    <t>44002076</t>
  </si>
  <si>
    <t>カツキケンセツ</t>
  </si>
  <si>
    <t>878-0201</t>
  </si>
  <si>
    <t>44002077</t>
  </si>
  <si>
    <t>ユジケンセツ</t>
  </si>
  <si>
    <t>44002080</t>
  </si>
  <si>
    <t>チュウオウケンセツ</t>
  </si>
  <si>
    <t>878-0024</t>
  </si>
  <si>
    <t>44002100</t>
  </si>
  <si>
    <t>コウヨウケンセツ</t>
  </si>
  <si>
    <t>878-0034</t>
  </si>
  <si>
    <t>44002101</t>
  </si>
  <si>
    <t>イハラグミ</t>
  </si>
  <si>
    <t>879-4801</t>
  </si>
  <si>
    <t>44002102</t>
  </si>
  <si>
    <t>ミトマグミ</t>
  </si>
  <si>
    <t>879-4601</t>
  </si>
  <si>
    <t>44002107</t>
  </si>
  <si>
    <t>オグラケンセツ</t>
  </si>
  <si>
    <t>879-4723</t>
  </si>
  <si>
    <t>44002112</t>
  </si>
  <si>
    <t>ホウシュウケンセツ</t>
  </si>
  <si>
    <t>879-4911</t>
  </si>
  <si>
    <t>44002118</t>
  </si>
  <si>
    <t>ノギグミ</t>
  </si>
  <si>
    <t>44002121</t>
  </si>
  <si>
    <t>ハセベ</t>
  </si>
  <si>
    <t>879-4414</t>
  </si>
  <si>
    <t>44002125</t>
  </si>
  <si>
    <t>キュウエイケンセツ</t>
  </si>
  <si>
    <t>879-4403</t>
  </si>
  <si>
    <t>44002130</t>
  </si>
  <si>
    <t>ウメキコウムテン</t>
  </si>
  <si>
    <t>879-4802</t>
  </si>
  <si>
    <t>44002133</t>
  </si>
  <si>
    <t>879-4803</t>
  </si>
  <si>
    <t>44002135</t>
  </si>
  <si>
    <t>ソノダグミ</t>
  </si>
  <si>
    <t>879-4402</t>
  </si>
  <si>
    <t>44002136</t>
  </si>
  <si>
    <t>ヤマダ</t>
  </si>
  <si>
    <t>879-4331</t>
  </si>
  <si>
    <t>44002145</t>
  </si>
  <si>
    <t>ミツヤマ</t>
  </si>
  <si>
    <t>44002158</t>
  </si>
  <si>
    <t>ダイトウケンセツ</t>
  </si>
  <si>
    <t>44002160</t>
  </si>
  <si>
    <t>44002164</t>
  </si>
  <si>
    <t>アソウケンセツ</t>
  </si>
  <si>
    <t>44002195</t>
  </si>
  <si>
    <t>879-4522</t>
  </si>
  <si>
    <t>44002201</t>
  </si>
  <si>
    <t>タナカケンセツ</t>
  </si>
  <si>
    <t>44002203</t>
  </si>
  <si>
    <t>タニグミ</t>
  </si>
  <si>
    <t>877-0032</t>
  </si>
  <si>
    <t>44002217</t>
  </si>
  <si>
    <t>ハラダドボク</t>
  </si>
  <si>
    <t>877-0077</t>
  </si>
  <si>
    <t>44002218</t>
  </si>
  <si>
    <t>イケベドボク</t>
  </si>
  <si>
    <t>877-0004</t>
  </si>
  <si>
    <t>44002221</t>
  </si>
  <si>
    <t>イサヤマコウムショ</t>
  </si>
  <si>
    <t>877-0025</t>
  </si>
  <si>
    <t>44002230</t>
  </si>
  <si>
    <t>ダイワケンセツ</t>
  </si>
  <si>
    <t>877-0036</t>
  </si>
  <si>
    <t>877-0038</t>
  </si>
  <si>
    <t>44002236</t>
  </si>
  <si>
    <t>キュウシュウデンコウ</t>
  </si>
  <si>
    <t>877-1365</t>
  </si>
  <si>
    <t>44002239</t>
  </si>
  <si>
    <t>イデノケンセツ</t>
  </si>
  <si>
    <t>877-1234</t>
  </si>
  <si>
    <t>44002259</t>
  </si>
  <si>
    <t>ハセベスイドウ</t>
  </si>
  <si>
    <t>877-0082</t>
  </si>
  <si>
    <t>44002263</t>
  </si>
  <si>
    <t>サンヨウリョクカ</t>
  </si>
  <si>
    <t>877-1363</t>
  </si>
  <si>
    <t>44002273</t>
  </si>
  <si>
    <t>トーケイ</t>
  </si>
  <si>
    <t>879-4202</t>
  </si>
  <si>
    <t>44002281</t>
  </si>
  <si>
    <t>フジスイドウ</t>
  </si>
  <si>
    <t>44002282</t>
  </si>
  <si>
    <t>タカセエンジニアリング</t>
  </si>
  <si>
    <t>877-0037</t>
  </si>
  <si>
    <t>44002284</t>
  </si>
  <si>
    <t>チュウオウセツビ</t>
  </si>
  <si>
    <t>44002288</t>
  </si>
  <si>
    <t>エトウコウムテン</t>
  </si>
  <si>
    <t>44002290</t>
  </si>
  <si>
    <t>チハラデンキコウジ</t>
  </si>
  <si>
    <t>877-0046</t>
  </si>
  <si>
    <t>44002307</t>
  </si>
  <si>
    <t>タイトケンセツ</t>
  </si>
  <si>
    <t>877-0076</t>
  </si>
  <si>
    <t>44002312</t>
  </si>
  <si>
    <t>ハノケンセツ</t>
  </si>
  <si>
    <t>877-0078</t>
  </si>
  <si>
    <t>44002325</t>
  </si>
  <si>
    <t>アステック</t>
  </si>
  <si>
    <t>879-6202</t>
  </si>
  <si>
    <t>44002330</t>
  </si>
  <si>
    <t>タカセコウムテン</t>
  </si>
  <si>
    <t>877-0056</t>
  </si>
  <si>
    <t>877-0003</t>
  </si>
  <si>
    <t>44002405</t>
  </si>
  <si>
    <t>タイホウドウロ</t>
  </si>
  <si>
    <t>871-0006</t>
  </si>
  <si>
    <t>44002425</t>
  </si>
  <si>
    <t>キョウシンデンキ</t>
  </si>
  <si>
    <t>879-0124</t>
  </si>
  <si>
    <t>44002427</t>
  </si>
  <si>
    <t>マツヤマショウカイ</t>
  </si>
  <si>
    <t>871-0051</t>
  </si>
  <si>
    <t>44002429</t>
  </si>
  <si>
    <t>アベデンカンコウギョウ</t>
  </si>
  <si>
    <t>871-0008</t>
  </si>
  <si>
    <t>44002432</t>
  </si>
  <si>
    <t>フクハラグミ</t>
  </si>
  <si>
    <t>871-0405</t>
  </si>
  <si>
    <t>44002445</t>
  </si>
  <si>
    <t>タカムレケンセツ</t>
  </si>
  <si>
    <t>879-0164</t>
  </si>
  <si>
    <t>44002452</t>
  </si>
  <si>
    <t>マツモトソウゴウセツビ</t>
  </si>
  <si>
    <t>871-0012</t>
  </si>
  <si>
    <t>44002455</t>
  </si>
  <si>
    <t>タカノケンセツ</t>
  </si>
  <si>
    <t>871-0025</t>
  </si>
  <si>
    <t>44002471</t>
  </si>
  <si>
    <t>ニシハタケンセツ</t>
  </si>
  <si>
    <t>871-0431</t>
  </si>
  <si>
    <t>44002473</t>
  </si>
  <si>
    <t>フベケンセツ</t>
  </si>
  <si>
    <t>871-0027</t>
  </si>
  <si>
    <t>44002480</t>
  </si>
  <si>
    <t>ナカツドケン</t>
  </si>
  <si>
    <t>871-0015</t>
  </si>
  <si>
    <t>44002500</t>
  </si>
  <si>
    <t>ササハラケンセツ</t>
  </si>
  <si>
    <t>871-0026</t>
  </si>
  <si>
    <t>44002533</t>
  </si>
  <si>
    <t>ムラモトコウムテン</t>
  </si>
  <si>
    <t>871-0011</t>
  </si>
  <si>
    <t>44002545</t>
  </si>
  <si>
    <t>タネムラサンギョウ</t>
  </si>
  <si>
    <t>879-0123</t>
  </si>
  <si>
    <t>44002551</t>
  </si>
  <si>
    <t>イナマスカイラクエン</t>
  </si>
  <si>
    <t>871-0162</t>
  </si>
  <si>
    <t>44002557</t>
  </si>
  <si>
    <t>ワカクサコウムテン</t>
  </si>
  <si>
    <t>44002597</t>
  </si>
  <si>
    <t>マツバケンセツ</t>
  </si>
  <si>
    <t>44002605</t>
  </si>
  <si>
    <t>イワカネセツビコウギョウ</t>
  </si>
  <si>
    <t>879-0467</t>
  </si>
  <si>
    <t>44002611</t>
  </si>
  <si>
    <t>エガワコウムテン</t>
  </si>
  <si>
    <t>879-0442</t>
  </si>
  <si>
    <t>44002618</t>
  </si>
  <si>
    <t>オクダグミ</t>
  </si>
  <si>
    <t>879-0462</t>
  </si>
  <si>
    <t>44002622</t>
  </si>
  <si>
    <t>イワオグミ</t>
  </si>
  <si>
    <t>872-0318</t>
  </si>
  <si>
    <t>44002626</t>
  </si>
  <si>
    <t>シモムラケンセツ</t>
  </si>
  <si>
    <t>872-0521</t>
  </si>
  <si>
    <t>44002660</t>
  </si>
  <si>
    <t>スエムネケンセツ</t>
  </si>
  <si>
    <t>872-0032</t>
  </si>
  <si>
    <t>44002664</t>
  </si>
  <si>
    <t>ヤマヒサコウギョウ</t>
  </si>
  <si>
    <t>872-0015</t>
  </si>
  <si>
    <t>44002670</t>
  </si>
  <si>
    <t>ウェルテック</t>
  </si>
  <si>
    <t>879-0452</t>
  </si>
  <si>
    <t>44002672</t>
  </si>
  <si>
    <t>ヨウショウケンセツ</t>
  </si>
  <si>
    <t>879-0311</t>
  </si>
  <si>
    <t>44002685</t>
  </si>
  <si>
    <t>スエムネグミ</t>
  </si>
  <si>
    <t>879-1135</t>
  </si>
  <si>
    <t>44002688</t>
  </si>
  <si>
    <t>モトヨシケンセツコウギョウ</t>
  </si>
  <si>
    <t>879-0471</t>
  </si>
  <si>
    <t>44002692</t>
  </si>
  <si>
    <t>トヨダケンセツ</t>
  </si>
  <si>
    <t>44002695</t>
  </si>
  <si>
    <t>マルタカケンセツ</t>
  </si>
  <si>
    <t>872-0502</t>
  </si>
  <si>
    <t>44002701</t>
  </si>
  <si>
    <t>ニッポウコウジ</t>
  </si>
  <si>
    <t>879-0453</t>
  </si>
  <si>
    <t>44002705</t>
  </si>
  <si>
    <t>ユイコウボウ</t>
  </si>
  <si>
    <t>44002707</t>
  </si>
  <si>
    <t>イマチョウグミ</t>
  </si>
  <si>
    <t>879-0474</t>
  </si>
  <si>
    <t>44002729</t>
  </si>
  <si>
    <t>ミゾベコウギョウ</t>
  </si>
  <si>
    <t>872-0513</t>
  </si>
  <si>
    <t>44002749</t>
  </si>
  <si>
    <t>オオユミケンセツ</t>
  </si>
  <si>
    <t>872-0302</t>
  </si>
  <si>
    <t>44002754</t>
  </si>
  <si>
    <t>ウサデンセツ</t>
  </si>
  <si>
    <t>879-0308</t>
  </si>
  <si>
    <t>44002759</t>
  </si>
  <si>
    <t>スミテック</t>
  </si>
  <si>
    <t>44002771</t>
  </si>
  <si>
    <t>マスハラカイハツ</t>
  </si>
  <si>
    <t>872-0103</t>
  </si>
  <si>
    <t>44002778</t>
  </si>
  <si>
    <t>カワノセツビコウギョウ</t>
  </si>
  <si>
    <t>872-0504</t>
  </si>
  <si>
    <t>44002786</t>
  </si>
  <si>
    <t>ウサケンセツ</t>
  </si>
  <si>
    <t>872-0507</t>
  </si>
  <si>
    <t>44002801</t>
  </si>
  <si>
    <t>カワタトソウ</t>
  </si>
  <si>
    <t>44002802</t>
  </si>
  <si>
    <t>ウサリョクチケンセツ</t>
  </si>
  <si>
    <t>872-0101</t>
  </si>
  <si>
    <t>44002805</t>
  </si>
  <si>
    <t>ニシカワケンセツ</t>
  </si>
  <si>
    <t>44002815</t>
  </si>
  <si>
    <t>シマダセツビ</t>
  </si>
  <si>
    <t>44002816</t>
  </si>
  <si>
    <t>キョーワソウショク</t>
  </si>
  <si>
    <t>44002820</t>
  </si>
  <si>
    <t>キムラデンケンコウギョウ</t>
  </si>
  <si>
    <t>44002825</t>
  </si>
  <si>
    <t>エトウグミ</t>
  </si>
  <si>
    <t>872-0511</t>
  </si>
  <si>
    <t>44002826</t>
  </si>
  <si>
    <t>ユウワケンセツコウギョウ</t>
  </si>
  <si>
    <t>44002828</t>
  </si>
  <si>
    <t>タクホウケンセツ</t>
  </si>
  <si>
    <t>872-0023</t>
  </si>
  <si>
    <t>44002841</t>
  </si>
  <si>
    <t>ヤマスエケンセツ</t>
  </si>
  <si>
    <t>879-0317</t>
  </si>
  <si>
    <t>44002843</t>
  </si>
  <si>
    <t>サトウリョクカケンセツ</t>
  </si>
  <si>
    <t>44002848</t>
  </si>
  <si>
    <t>トウキュウチケンコウギョウ</t>
  </si>
  <si>
    <t>44002862</t>
  </si>
  <si>
    <t>ドイグミ</t>
  </si>
  <si>
    <t>44002864</t>
  </si>
  <si>
    <t>ノムラケンセツ</t>
  </si>
  <si>
    <t>872-0481</t>
  </si>
  <si>
    <t>44002877</t>
  </si>
  <si>
    <t>タカハシトソウテン</t>
  </si>
  <si>
    <t>44002888</t>
  </si>
  <si>
    <t>ダイニチコウギョウ</t>
  </si>
  <si>
    <t>44002903</t>
  </si>
  <si>
    <t>タカハシコウギョウ</t>
  </si>
  <si>
    <t>44002910</t>
  </si>
  <si>
    <t>セイブケンセツ</t>
  </si>
  <si>
    <t>879-0235</t>
  </si>
  <si>
    <t>44002922</t>
  </si>
  <si>
    <t>フジデンセツコウギョウ</t>
  </si>
  <si>
    <t>44002928</t>
  </si>
  <si>
    <t>シンコウサンギョウ</t>
  </si>
  <si>
    <t>872-0312</t>
  </si>
  <si>
    <t>44002929</t>
  </si>
  <si>
    <t>ダイイチケンセツ</t>
  </si>
  <si>
    <t>44002934</t>
  </si>
  <si>
    <t>オノダケンセツ</t>
  </si>
  <si>
    <t>879-0153</t>
  </si>
  <si>
    <t>44002935</t>
  </si>
  <si>
    <t>ヤハタクウチョウセツビ</t>
  </si>
  <si>
    <t>44002936</t>
  </si>
  <si>
    <t>ミロクセツビ</t>
  </si>
  <si>
    <t>44002937</t>
  </si>
  <si>
    <t>コモリケンセツ</t>
  </si>
  <si>
    <t>872-0675</t>
  </si>
  <si>
    <t>44002938</t>
  </si>
  <si>
    <t>ノバタケンセツ</t>
  </si>
  <si>
    <t>872-0484</t>
  </si>
  <si>
    <t>44002940</t>
  </si>
  <si>
    <t>カワノケンセツ</t>
  </si>
  <si>
    <t>872-0333</t>
  </si>
  <si>
    <t>44002959</t>
  </si>
  <si>
    <t>ヘイワデンセツ</t>
  </si>
  <si>
    <t>879-0313</t>
  </si>
  <si>
    <t>44002962</t>
  </si>
  <si>
    <t>ウサジュウキ</t>
  </si>
  <si>
    <t>872-0703</t>
  </si>
  <si>
    <t>44002968</t>
  </si>
  <si>
    <t>ヨシモトホンケセキザイテン</t>
  </si>
  <si>
    <t>タカハシ</t>
  </si>
  <si>
    <t>44002984</t>
  </si>
  <si>
    <t>マツナガグミ</t>
  </si>
  <si>
    <t>44002990</t>
  </si>
  <si>
    <t>アカネケンセツコウギョウ</t>
  </si>
  <si>
    <t>879-0472</t>
  </si>
  <si>
    <t>44002993</t>
  </si>
  <si>
    <t>ヒサツナサンギョウ</t>
  </si>
  <si>
    <t>872-0301</t>
  </si>
  <si>
    <t>44003006</t>
  </si>
  <si>
    <t>サトウトコウ</t>
  </si>
  <si>
    <t>44003027</t>
  </si>
  <si>
    <t>アダチカコウキ</t>
  </si>
  <si>
    <t>870-0274</t>
  </si>
  <si>
    <t>44003052</t>
  </si>
  <si>
    <t>ゴトウタイキ</t>
  </si>
  <si>
    <t>870-0242</t>
  </si>
  <si>
    <t>44003078</t>
  </si>
  <si>
    <t>マサキグミ</t>
  </si>
  <si>
    <t>44003105</t>
  </si>
  <si>
    <t>アベブンカコウギョウ</t>
  </si>
  <si>
    <t>44003110</t>
  </si>
  <si>
    <t>フソウコウギョウ</t>
  </si>
  <si>
    <t>870-0157</t>
  </si>
  <si>
    <t>44003140</t>
  </si>
  <si>
    <t>サンキデンツウ</t>
  </si>
  <si>
    <t>44003141</t>
  </si>
  <si>
    <t>エスケープラス</t>
  </si>
  <si>
    <t>870-1153</t>
  </si>
  <si>
    <t>44003146</t>
  </si>
  <si>
    <t>ヤマナミコウギョウ</t>
  </si>
  <si>
    <t>870-0141</t>
  </si>
  <si>
    <t>44003162</t>
  </si>
  <si>
    <t>ユーエイ</t>
  </si>
  <si>
    <t>870-0942</t>
  </si>
  <si>
    <t>44003216</t>
  </si>
  <si>
    <t>テラジコウギョウ</t>
  </si>
  <si>
    <t>870-0267</t>
  </si>
  <si>
    <t>44003224</t>
  </si>
  <si>
    <t>アサヒケイソウ</t>
  </si>
  <si>
    <t>44003227</t>
  </si>
  <si>
    <t>オオクマデンセツ</t>
  </si>
  <si>
    <t>870-1132</t>
  </si>
  <si>
    <t>44003239</t>
  </si>
  <si>
    <t>ダイエイケンセツコウギョウ</t>
  </si>
  <si>
    <t>870-1201</t>
  </si>
  <si>
    <t>44003298</t>
  </si>
  <si>
    <t>オンスイキサンギョウ</t>
  </si>
  <si>
    <t>870-0848</t>
  </si>
  <si>
    <t>44003300</t>
  </si>
  <si>
    <t>オオイタサンダイン</t>
  </si>
  <si>
    <t>870-0140</t>
  </si>
  <si>
    <t>44003309</t>
  </si>
  <si>
    <t>ニッケンコウギョウ</t>
  </si>
  <si>
    <t>870-0306</t>
  </si>
  <si>
    <t>44003312</t>
  </si>
  <si>
    <t>オノセツビコウギョウ</t>
  </si>
  <si>
    <t>870-0879</t>
  </si>
  <si>
    <t>44003322</t>
  </si>
  <si>
    <t>ヒガシキュウシュウデンセツ</t>
  </si>
  <si>
    <t>44003335</t>
  </si>
  <si>
    <t>ミマタケンセツコウギョウ</t>
  </si>
  <si>
    <t>44003344</t>
  </si>
  <si>
    <t>タキオスイドウ</t>
  </si>
  <si>
    <t>44003349</t>
  </si>
  <si>
    <t>トウキュウ</t>
  </si>
  <si>
    <t>870-1143</t>
  </si>
  <si>
    <t>44003350</t>
  </si>
  <si>
    <t>システムフナイ</t>
  </si>
  <si>
    <t>870-0268</t>
  </si>
  <si>
    <t>44003356</t>
  </si>
  <si>
    <t>オオイタワコー</t>
  </si>
  <si>
    <t>44003391</t>
  </si>
  <si>
    <t>カクセツビ</t>
  </si>
  <si>
    <t>870-0862</t>
  </si>
  <si>
    <t>44003427</t>
  </si>
  <si>
    <t>コテガワデンギョウ</t>
  </si>
  <si>
    <t>870-0115</t>
  </si>
  <si>
    <t>44003436</t>
  </si>
  <si>
    <t>カズタカコウギョウ</t>
  </si>
  <si>
    <t>870-0954</t>
  </si>
  <si>
    <t>44003440</t>
  </si>
  <si>
    <t>ニノミヤサンギョウ</t>
  </si>
  <si>
    <t>44003490</t>
  </si>
  <si>
    <t>キュウシュウブタイ</t>
  </si>
  <si>
    <t>44003502</t>
  </si>
  <si>
    <t>カネコグミ</t>
  </si>
  <si>
    <t>874-0906</t>
  </si>
  <si>
    <t>44003508</t>
  </si>
  <si>
    <t>ツルミコウギョウ</t>
  </si>
  <si>
    <t>44003567</t>
  </si>
  <si>
    <t>モリモトケンセツ</t>
  </si>
  <si>
    <t>874-0044</t>
  </si>
  <si>
    <t>44003589</t>
  </si>
  <si>
    <t>マツオケンセツ</t>
  </si>
  <si>
    <t>44003635</t>
  </si>
  <si>
    <t>フジヨシケンセツ</t>
  </si>
  <si>
    <t>874-0831</t>
  </si>
  <si>
    <t>44003640</t>
  </si>
  <si>
    <t>ナカムラ</t>
  </si>
  <si>
    <t>874-0905</t>
  </si>
  <si>
    <t>44003656</t>
  </si>
  <si>
    <t>ウエスギケンセツコウギョウ</t>
  </si>
  <si>
    <t>873-0011</t>
  </si>
  <si>
    <t>44003657</t>
  </si>
  <si>
    <t>ハタテケンチク</t>
  </si>
  <si>
    <t>44003659</t>
  </si>
  <si>
    <t>シンワ</t>
  </si>
  <si>
    <t>874-0942</t>
  </si>
  <si>
    <t>44003680</t>
  </si>
  <si>
    <t>マツダケンチク</t>
  </si>
  <si>
    <t>874-0016</t>
  </si>
  <si>
    <t>44003682</t>
  </si>
  <si>
    <t>タカイシドボク</t>
  </si>
  <si>
    <t>874-0902</t>
  </si>
  <si>
    <t>44003683</t>
  </si>
  <si>
    <t>モリコウキ</t>
  </si>
  <si>
    <t>874-0838</t>
  </si>
  <si>
    <t>44003687</t>
  </si>
  <si>
    <t>ヒラノコウムテン</t>
  </si>
  <si>
    <t>44003734</t>
  </si>
  <si>
    <t>オオイタツウシン</t>
  </si>
  <si>
    <t>879-4122</t>
  </si>
  <si>
    <t>44003742</t>
  </si>
  <si>
    <t>フジモトショウカイ</t>
  </si>
  <si>
    <t>44003743</t>
  </si>
  <si>
    <t>ジョウグミ</t>
  </si>
  <si>
    <t>879-1504</t>
  </si>
  <si>
    <t>44003748</t>
  </si>
  <si>
    <t>ワタナベケンセツ</t>
  </si>
  <si>
    <t>879-1313</t>
  </si>
  <si>
    <t>44003769</t>
  </si>
  <si>
    <t>ソノダデンキショウカイ</t>
  </si>
  <si>
    <t>874-0914</t>
  </si>
  <si>
    <t>44003777</t>
  </si>
  <si>
    <t>カジワラドボクコウギョウ</t>
  </si>
  <si>
    <t>44003792</t>
  </si>
  <si>
    <t>オオイタミライケンセツ</t>
  </si>
  <si>
    <t>44003794</t>
  </si>
  <si>
    <t>キモトデンセツ</t>
  </si>
  <si>
    <t>873-0005</t>
  </si>
  <si>
    <t>44003799</t>
  </si>
  <si>
    <t>ヤマガスイドウ</t>
  </si>
  <si>
    <t>879-1307</t>
  </si>
  <si>
    <t>44003810</t>
  </si>
  <si>
    <t>アベコウギョウ</t>
  </si>
  <si>
    <t>879-1507</t>
  </si>
  <si>
    <t>44003830</t>
  </si>
  <si>
    <t>ウエノケンセツ</t>
  </si>
  <si>
    <t>44003842</t>
  </si>
  <si>
    <t>ワコウネッセツコウギョウ</t>
  </si>
  <si>
    <t>44003845</t>
  </si>
  <si>
    <t>ソノコウギョウ</t>
  </si>
  <si>
    <t>879-1312</t>
  </si>
  <si>
    <t>44003850</t>
  </si>
  <si>
    <t>ヤマワキカナモノテン</t>
  </si>
  <si>
    <t>874-0933</t>
  </si>
  <si>
    <t>44003858</t>
  </si>
  <si>
    <t>ヨコイケンセツ</t>
  </si>
  <si>
    <t>874-0013</t>
  </si>
  <si>
    <t>44003862</t>
  </si>
  <si>
    <t>ノナカデンキ</t>
  </si>
  <si>
    <t>44003883</t>
  </si>
  <si>
    <t>オオシマデンセツ</t>
  </si>
  <si>
    <t>874-0923</t>
  </si>
  <si>
    <t>44003891</t>
  </si>
  <si>
    <t>サトウケンセツ</t>
  </si>
  <si>
    <t>44003900</t>
  </si>
  <si>
    <t>ヨシヒロケンセツ</t>
  </si>
  <si>
    <t>44003924</t>
  </si>
  <si>
    <t>44003939</t>
  </si>
  <si>
    <t>タカハラケンセツ</t>
  </si>
  <si>
    <t>873-0012</t>
  </si>
  <si>
    <t>44003950</t>
  </si>
  <si>
    <t>サンコウデンキ</t>
  </si>
  <si>
    <t>44003975</t>
  </si>
  <si>
    <t>ヤマモトグミ</t>
  </si>
  <si>
    <t>873-0033</t>
  </si>
  <si>
    <t>44003976</t>
  </si>
  <si>
    <t>サンエイ</t>
  </si>
  <si>
    <t>874-0924</t>
  </si>
  <si>
    <t>44003994</t>
  </si>
  <si>
    <t>カジワラショウフウエン</t>
  </si>
  <si>
    <t>874-0910</t>
  </si>
  <si>
    <t>44003999</t>
  </si>
  <si>
    <t>トミクゾウエンドボク</t>
  </si>
  <si>
    <t>873-0013</t>
  </si>
  <si>
    <t>44004016</t>
  </si>
  <si>
    <t>ヒメノコウムテン</t>
  </si>
  <si>
    <t>44004029</t>
  </si>
  <si>
    <t>オカモト</t>
  </si>
  <si>
    <t>44004033</t>
  </si>
  <si>
    <t>フタムラバンキンコウサクショ</t>
  </si>
  <si>
    <t>44004037</t>
  </si>
  <si>
    <t>カワモトケンセツ</t>
  </si>
  <si>
    <t>44004045</t>
  </si>
  <si>
    <t>アソウデンギョウ</t>
  </si>
  <si>
    <t>44004058</t>
  </si>
  <si>
    <t>キュウシュウデンセツ</t>
  </si>
  <si>
    <t>44004099</t>
  </si>
  <si>
    <t>ヤクテツ</t>
  </si>
  <si>
    <t>879-2475</t>
  </si>
  <si>
    <t>44004112</t>
  </si>
  <si>
    <t>シンワケンセツ</t>
  </si>
  <si>
    <t>876-0834</t>
  </si>
  <si>
    <t>876-1402</t>
  </si>
  <si>
    <t>44004181</t>
  </si>
  <si>
    <t>ナカガワデンセツコウギョウ</t>
  </si>
  <si>
    <t>876-0012</t>
  </si>
  <si>
    <t>44004187</t>
  </si>
  <si>
    <t>カワモトケンセツコウギョウ</t>
  </si>
  <si>
    <t>879-2603</t>
  </si>
  <si>
    <t>44004194</t>
  </si>
  <si>
    <t>ナンキュウケンセツ</t>
  </si>
  <si>
    <t>44004200</t>
  </si>
  <si>
    <t>ショウジケンセツコウギョウ</t>
  </si>
  <si>
    <t>44004212</t>
  </si>
  <si>
    <t>カガワケンセツ</t>
  </si>
  <si>
    <t>876-0042</t>
  </si>
  <si>
    <t>44004213</t>
  </si>
  <si>
    <t>ワジョウケンセツコウギョウ</t>
  </si>
  <si>
    <t>876-2402</t>
  </si>
  <si>
    <t>44004220</t>
  </si>
  <si>
    <t>ハヤセゾウエン</t>
  </si>
  <si>
    <t>876-0037</t>
  </si>
  <si>
    <t>44004225</t>
  </si>
  <si>
    <t>ヒキダケンチク</t>
  </si>
  <si>
    <t>44004234</t>
  </si>
  <si>
    <t>879-3301</t>
  </si>
  <si>
    <t>44004237</t>
  </si>
  <si>
    <t>メイケン</t>
  </si>
  <si>
    <t>876-0111</t>
  </si>
  <si>
    <t>44004240</t>
  </si>
  <si>
    <t>ゴトウケンチク</t>
  </si>
  <si>
    <t>876-0113</t>
  </si>
  <si>
    <t>44004244</t>
  </si>
  <si>
    <t>コウエイケンセツ</t>
  </si>
  <si>
    <t>876-1202</t>
  </si>
  <si>
    <t>44004250</t>
  </si>
  <si>
    <t>トウエイケンセツ</t>
  </si>
  <si>
    <t>44004260</t>
  </si>
  <si>
    <t>ツルミスイドウコウジ</t>
  </si>
  <si>
    <t>44004270</t>
  </si>
  <si>
    <t>アダチケンチク</t>
  </si>
  <si>
    <t>44004280</t>
  </si>
  <si>
    <t>サイキカンキョウセンター</t>
  </si>
  <si>
    <t>44004285</t>
  </si>
  <si>
    <t>サイキケンコウ</t>
  </si>
  <si>
    <t>44004289</t>
  </si>
  <si>
    <t>イシマルケンザイシャ</t>
  </si>
  <si>
    <t>876-0844</t>
  </si>
  <si>
    <t>44004318</t>
  </si>
  <si>
    <t>イソダリョクチ</t>
  </si>
  <si>
    <t>44004319</t>
  </si>
  <si>
    <t>44004322</t>
  </si>
  <si>
    <t>タケオテック</t>
  </si>
  <si>
    <t>44004331</t>
  </si>
  <si>
    <t>キラデンセツ</t>
  </si>
  <si>
    <t>44004339</t>
  </si>
  <si>
    <t>モリタグミ</t>
  </si>
  <si>
    <t>876-0121</t>
  </si>
  <si>
    <t>44004343</t>
  </si>
  <si>
    <t>ミタライスイドウコウジ</t>
  </si>
  <si>
    <t>876-1511</t>
  </si>
  <si>
    <t>44004344</t>
  </si>
  <si>
    <t>スミヨシコウギョウ</t>
  </si>
  <si>
    <t>44004349</t>
  </si>
  <si>
    <t>イワモト</t>
  </si>
  <si>
    <t>876-0822</t>
  </si>
  <si>
    <t>876-2201</t>
  </si>
  <si>
    <t>44004366</t>
  </si>
  <si>
    <t>モトスギケンセツ</t>
  </si>
  <si>
    <t>876-0022</t>
  </si>
  <si>
    <t>44004373</t>
  </si>
  <si>
    <t>アベデンセツコウジ</t>
  </si>
  <si>
    <t>876-0045</t>
  </si>
  <si>
    <t>44004377</t>
  </si>
  <si>
    <t>ヒロセデンキコウジ</t>
  </si>
  <si>
    <t>44004384</t>
  </si>
  <si>
    <t>876-1401</t>
  </si>
  <si>
    <t>44004391</t>
  </si>
  <si>
    <t>シイハラトソウ</t>
  </si>
  <si>
    <t>44004399</t>
  </si>
  <si>
    <t>ワコウジュウキ</t>
  </si>
  <si>
    <t>879-3103</t>
  </si>
  <si>
    <t>44004400</t>
  </si>
  <si>
    <t>ヤマトトミナガコウムテン</t>
  </si>
  <si>
    <t>876-0101</t>
  </si>
  <si>
    <t>44004421</t>
  </si>
  <si>
    <t>ワタナベコウムテン</t>
  </si>
  <si>
    <t>44004435</t>
  </si>
  <si>
    <t>ヒノケンセツ</t>
  </si>
  <si>
    <t>877-0021</t>
  </si>
  <si>
    <t>44004451</t>
  </si>
  <si>
    <t>ダイニチデンキ</t>
  </si>
  <si>
    <t>44004452</t>
  </si>
  <si>
    <t>インテリアハル</t>
  </si>
  <si>
    <t>44004467</t>
  </si>
  <si>
    <t>シモトクサンギョウ</t>
  </si>
  <si>
    <t>44004476</t>
  </si>
  <si>
    <t>スイゴウドボク</t>
  </si>
  <si>
    <t>877-0071</t>
  </si>
  <si>
    <t>44004486</t>
  </si>
  <si>
    <t>ホリドボク</t>
  </si>
  <si>
    <t>44004491</t>
  </si>
  <si>
    <t>カワヅケンセツ</t>
  </si>
  <si>
    <t>44004495</t>
  </si>
  <si>
    <t>ササクラコウムテン</t>
  </si>
  <si>
    <t>44004504</t>
  </si>
  <si>
    <t>アンヨウジケンセツ</t>
  </si>
  <si>
    <t>877-0054</t>
  </si>
  <si>
    <t>44004506</t>
  </si>
  <si>
    <t>マツノドボク</t>
  </si>
  <si>
    <t>44004525</t>
  </si>
  <si>
    <t>ニホンシャッターサンギョウ</t>
  </si>
  <si>
    <t>877-0002</t>
  </si>
  <si>
    <t>44004526</t>
  </si>
  <si>
    <t>リョクチカンリジギョウダン</t>
  </si>
  <si>
    <t>877-0061</t>
  </si>
  <si>
    <t>44004540</t>
  </si>
  <si>
    <t>コヤマフェンス</t>
  </si>
  <si>
    <t>44004541</t>
  </si>
  <si>
    <t>シノノメバンキンコウギョウショ</t>
  </si>
  <si>
    <t>877-0035</t>
  </si>
  <si>
    <t>44004545</t>
  </si>
  <si>
    <t>ヒタデンキ</t>
  </si>
  <si>
    <t>877-0008</t>
  </si>
  <si>
    <t>44004564</t>
  </si>
  <si>
    <t>カジワラトソウシャ</t>
  </si>
  <si>
    <t>44004571</t>
  </si>
  <si>
    <t>フジワラケンセツ</t>
  </si>
  <si>
    <t>877-0112</t>
  </si>
  <si>
    <t>44004600</t>
  </si>
  <si>
    <t>ドウロシセツ</t>
  </si>
  <si>
    <t>877-0031</t>
  </si>
  <si>
    <t>44004608</t>
  </si>
  <si>
    <t>クスコウムテン</t>
  </si>
  <si>
    <t>44004610</t>
  </si>
  <si>
    <t>44004630</t>
  </si>
  <si>
    <t>キュウダイデンセツ</t>
  </si>
  <si>
    <t>879-4413</t>
  </si>
  <si>
    <t>44004639</t>
  </si>
  <si>
    <t>クスデンキコウジ</t>
  </si>
  <si>
    <t>44004644</t>
  </si>
  <si>
    <t>44004662</t>
  </si>
  <si>
    <t>カラシマグミ</t>
  </si>
  <si>
    <t>44004665</t>
  </si>
  <si>
    <t>ウメノグミ</t>
  </si>
  <si>
    <t>44004678</t>
  </si>
  <si>
    <t>ヨシタケケンセツ</t>
  </si>
  <si>
    <t>879-4632</t>
  </si>
  <si>
    <t>44004680</t>
  </si>
  <si>
    <t>アソウショウテン</t>
  </si>
  <si>
    <t>44004696</t>
  </si>
  <si>
    <t>ヨコヤマグミ</t>
  </si>
  <si>
    <t>879-4523</t>
  </si>
  <si>
    <t>44004698</t>
  </si>
  <si>
    <t>シキツコウムテン</t>
  </si>
  <si>
    <t>44004704</t>
  </si>
  <si>
    <t>セトコウギョウ</t>
  </si>
  <si>
    <t>44004708</t>
  </si>
  <si>
    <t>タガワケンセツ</t>
  </si>
  <si>
    <t>44004709</t>
  </si>
  <si>
    <t>タカイラケンソウ</t>
  </si>
  <si>
    <t>44004722</t>
  </si>
  <si>
    <t>オクムラドボク</t>
  </si>
  <si>
    <t>44004725</t>
  </si>
  <si>
    <t>ワカタケジツギョウ</t>
  </si>
  <si>
    <t>44004727</t>
  </si>
  <si>
    <t>44004729</t>
  </si>
  <si>
    <t>879-4412</t>
  </si>
  <si>
    <t>44004732</t>
  </si>
  <si>
    <t>トウブリョクカサンギョウ</t>
  </si>
  <si>
    <t>44004736</t>
  </si>
  <si>
    <t>オバタトソウ</t>
  </si>
  <si>
    <t>44004738</t>
  </si>
  <si>
    <t>ココノエリョッカサンギョウ</t>
  </si>
  <si>
    <t>44004741</t>
  </si>
  <si>
    <t>スガコウムテン</t>
  </si>
  <si>
    <t>879-4721</t>
  </si>
  <si>
    <t>44004801</t>
  </si>
  <si>
    <t>キュウケンテクノス</t>
  </si>
  <si>
    <t>44004809</t>
  </si>
  <si>
    <t>870-0142</t>
  </si>
  <si>
    <t>44004810</t>
  </si>
  <si>
    <t>ヘイワケンセツ</t>
  </si>
  <si>
    <t>870-0304</t>
  </si>
  <si>
    <t>44004862</t>
  </si>
  <si>
    <t>44004877</t>
  </si>
  <si>
    <t>ウチダコウサン</t>
  </si>
  <si>
    <t>44004879</t>
  </si>
  <si>
    <t>クマノケンセツ</t>
  </si>
  <si>
    <t>870-0822</t>
  </si>
  <si>
    <t>44004928</t>
  </si>
  <si>
    <t>ダイワクウチョウサービス</t>
  </si>
  <si>
    <t>870-0915</t>
  </si>
  <si>
    <t>44004944</t>
  </si>
  <si>
    <t>オオイタトウメイコウギョウ</t>
  </si>
  <si>
    <t>44004969</t>
  </si>
  <si>
    <t>ニッシンテクノ</t>
  </si>
  <si>
    <t>870-1152</t>
  </si>
  <si>
    <t>44004979</t>
  </si>
  <si>
    <t>トバテッコウ</t>
  </si>
  <si>
    <t>870-0941</t>
  </si>
  <si>
    <t>44004988</t>
  </si>
  <si>
    <t>アナンデンセツコウギョウ</t>
  </si>
  <si>
    <t>44005007</t>
  </si>
  <si>
    <t>ミヤワキケンセツ</t>
  </si>
  <si>
    <t>44005014</t>
  </si>
  <si>
    <t>ジンノコウムテン</t>
  </si>
  <si>
    <t>870-1115</t>
  </si>
  <si>
    <t>44005028</t>
  </si>
  <si>
    <t>オオイタオンキョウ</t>
  </si>
  <si>
    <t>44005046</t>
  </si>
  <si>
    <t>ダイユウケンセツ</t>
  </si>
  <si>
    <t>879-5516</t>
  </si>
  <si>
    <t>44005064</t>
  </si>
  <si>
    <t>ドウロキカク</t>
  </si>
  <si>
    <t>877-0075</t>
  </si>
  <si>
    <t>44005087</t>
  </si>
  <si>
    <t>ミヤマデンキ</t>
  </si>
  <si>
    <t>44005089</t>
  </si>
  <si>
    <t>シンワジュウキケンセツ</t>
  </si>
  <si>
    <t>44005093</t>
  </si>
  <si>
    <t>オオイタボウサイコウギョウ</t>
  </si>
  <si>
    <t>870-0150</t>
  </si>
  <si>
    <t>44005094</t>
  </si>
  <si>
    <t>ショウエイデンセツコウギョウ</t>
  </si>
  <si>
    <t>44005097</t>
  </si>
  <si>
    <t>ピーエムコウギョウ</t>
  </si>
  <si>
    <t>44005099</t>
  </si>
  <si>
    <t>アイワサンギョウ</t>
  </si>
  <si>
    <t>870-0943</t>
  </si>
  <si>
    <t>44005118</t>
  </si>
  <si>
    <t>フジキモッコウセイサクショ</t>
  </si>
  <si>
    <t>44005146</t>
  </si>
  <si>
    <t>トウホウコウギョウ</t>
  </si>
  <si>
    <t>44005151</t>
  </si>
  <si>
    <t>サンシールコウギョウ</t>
  </si>
  <si>
    <t>870-0147</t>
  </si>
  <si>
    <t>44005164</t>
  </si>
  <si>
    <t>キョウエイケンセツ</t>
  </si>
  <si>
    <t>44005203</t>
  </si>
  <si>
    <t>ミウラリョクカ</t>
  </si>
  <si>
    <t>870-0130</t>
  </si>
  <si>
    <t>44005207</t>
  </si>
  <si>
    <t>フジソウゴウボウサイ</t>
  </si>
  <si>
    <t>44005212</t>
  </si>
  <si>
    <t>ホウユウケンセツ</t>
  </si>
  <si>
    <t>44005218</t>
  </si>
  <si>
    <t>グリーンカイハツ</t>
  </si>
  <si>
    <t>44005231</t>
  </si>
  <si>
    <t>オオイタカンコウジセンター</t>
  </si>
  <si>
    <t>44005232</t>
  </si>
  <si>
    <t>オオイタシャッター</t>
  </si>
  <si>
    <t>870-1121</t>
  </si>
  <si>
    <t>44005237</t>
  </si>
  <si>
    <t>シキソウゴウケンセツ</t>
  </si>
  <si>
    <t>870-0807</t>
  </si>
  <si>
    <t>44005267</t>
  </si>
  <si>
    <t>サンシコウギョウ</t>
  </si>
  <si>
    <t>44005296</t>
  </si>
  <si>
    <t>チュウオウデンセツ</t>
  </si>
  <si>
    <t>44005297</t>
  </si>
  <si>
    <t>トヨミツコウギョウ</t>
  </si>
  <si>
    <t>44005298</t>
  </si>
  <si>
    <t>タカダセツビ</t>
  </si>
  <si>
    <t>870-1185</t>
  </si>
  <si>
    <t>44005299</t>
  </si>
  <si>
    <t>カワイグミ</t>
  </si>
  <si>
    <t>870-0128</t>
  </si>
  <si>
    <t>44005311</t>
  </si>
  <si>
    <t>カワノデンセツコウギョウ</t>
  </si>
  <si>
    <t>870-0860</t>
  </si>
  <si>
    <t>44005320</t>
  </si>
  <si>
    <t>マルキコウギョウ</t>
  </si>
  <si>
    <t>879-5521</t>
  </si>
  <si>
    <t>44005344</t>
  </si>
  <si>
    <t>ミツヤ</t>
  </si>
  <si>
    <t>878-0021</t>
  </si>
  <si>
    <t>44005350</t>
  </si>
  <si>
    <t>クボタフドウサンケンセツ</t>
  </si>
  <si>
    <t>870-0034</t>
  </si>
  <si>
    <t>44005374</t>
  </si>
  <si>
    <t>シンニホンショウボウセツビ</t>
  </si>
  <si>
    <t>44005379</t>
  </si>
  <si>
    <t>ニットウキカイコウギョウ</t>
  </si>
  <si>
    <t>870-0138</t>
  </si>
  <si>
    <t>44005385</t>
  </si>
  <si>
    <t>アポロエンジニアリング</t>
  </si>
  <si>
    <t>870-0925</t>
  </si>
  <si>
    <t>44005415</t>
  </si>
  <si>
    <t>ニッシンケンセツ</t>
  </si>
  <si>
    <t>870-0813</t>
  </si>
  <si>
    <t>44005416</t>
  </si>
  <si>
    <t>シュトウドボク</t>
  </si>
  <si>
    <t>44005434</t>
  </si>
  <si>
    <t>チヨダトソウ</t>
  </si>
  <si>
    <t>870-0143</t>
  </si>
  <si>
    <t>44005440</t>
  </si>
  <si>
    <t>カクユー</t>
  </si>
  <si>
    <t>879-5422</t>
  </si>
  <si>
    <t>44005443</t>
  </si>
  <si>
    <t>アソウケンセツコウギョウ</t>
  </si>
  <si>
    <t>879-5425</t>
  </si>
  <si>
    <t>44005449</t>
  </si>
  <si>
    <t>フジタコウムテン</t>
  </si>
  <si>
    <t>870-0001</t>
  </si>
  <si>
    <t>44005476</t>
  </si>
  <si>
    <t>キョウドウデンキコウジ</t>
  </si>
  <si>
    <t>44005485</t>
  </si>
  <si>
    <t>モリヤマコウムテン</t>
  </si>
  <si>
    <t>44005492</t>
  </si>
  <si>
    <t>チュウオウコウギョウ</t>
  </si>
  <si>
    <t>44005493</t>
  </si>
  <si>
    <t>カワノコウギョウ</t>
  </si>
  <si>
    <t>870-0805</t>
  </si>
  <si>
    <t>44005497</t>
  </si>
  <si>
    <t>ミエノコウギョウ</t>
  </si>
  <si>
    <t>44005501</t>
  </si>
  <si>
    <t>ツウシン</t>
  </si>
  <si>
    <t>870-0918</t>
  </si>
  <si>
    <t>44005517</t>
  </si>
  <si>
    <t>タイヨウテック</t>
  </si>
  <si>
    <t>870-0113</t>
  </si>
  <si>
    <t>44005522</t>
  </si>
  <si>
    <t>アソウトソウ</t>
  </si>
  <si>
    <t>870-1114</t>
  </si>
  <si>
    <t>44005540</t>
  </si>
  <si>
    <t>ヒロセ</t>
  </si>
  <si>
    <t>44005550</t>
  </si>
  <si>
    <t>アベジュウキケンセツ</t>
  </si>
  <si>
    <t>44005577</t>
  </si>
  <si>
    <t>ヤクシンケンセツコウギョウ</t>
  </si>
  <si>
    <t>870-0913</t>
  </si>
  <si>
    <t>44005586</t>
  </si>
  <si>
    <t>アバンテクノス</t>
  </si>
  <si>
    <t>870-0849</t>
  </si>
  <si>
    <t>44005587</t>
  </si>
  <si>
    <t>タイキケンセツ</t>
  </si>
  <si>
    <t>44005626</t>
  </si>
  <si>
    <t>ホーチキオオイタ</t>
  </si>
  <si>
    <t>44005634</t>
  </si>
  <si>
    <t>アサクノコウムテン</t>
  </si>
  <si>
    <t>870-0855</t>
  </si>
  <si>
    <t>44005652</t>
  </si>
  <si>
    <t>ナカオゾウエン</t>
  </si>
  <si>
    <t>44005661</t>
  </si>
  <si>
    <t>キュウシュウマルボウセツビ</t>
  </si>
  <si>
    <t>870-0003</t>
  </si>
  <si>
    <t>44005668</t>
  </si>
  <si>
    <t>トウワアンゼンサンギョウ</t>
  </si>
  <si>
    <t>870-0864</t>
  </si>
  <si>
    <t>44005672</t>
  </si>
  <si>
    <t>オオイタクリーンサンギョウ</t>
  </si>
  <si>
    <t>44005683</t>
  </si>
  <si>
    <t>ミカワケンセツ</t>
  </si>
  <si>
    <t>870-1154</t>
  </si>
  <si>
    <t>44005684</t>
  </si>
  <si>
    <t>シントウケンセツ</t>
  </si>
  <si>
    <t>44005692</t>
  </si>
  <si>
    <t>ヒガシキュウシュウサンギョウ</t>
  </si>
  <si>
    <t>870-0919</t>
  </si>
  <si>
    <t>44005706</t>
  </si>
  <si>
    <t>セキジュコウエンケンセツ</t>
  </si>
  <si>
    <t>870-1123</t>
  </si>
  <si>
    <t>44005711</t>
  </si>
  <si>
    <t>ロードテクノス</t>
  </si>
  <si>
    <t>870-0114</t>
  </si>
  <si>
    <t>44005756</t>
  </si>
  <si>
    <t>アサヒライズ</t>
  </si>
  <si>
    <t>44005770</t>
  </si>
  <si>
    <t>ファスニングケンセツコウギョウ</t>
  </si>
  <si>
    <t>44005772</t>
  </si>
  <si>
    <t>ニッショウサンギョウ</t>
  </si>
  <si>
    <t>44005775</t>
  </si>
  <si>
    <t>879-5511</t>
  </si>
  <si>
    <t>44005782</t>
  </si>
  <si>
    <t>ワタナベゾウエンドボク</t>
  </si>
  <si>
    <t>870-0134</t>
  </si>
  <si>
    <t>44005784</t>
  </si>
  <si>
    <t>キュウシュウグリーンサービス</t>
  </si>
  <si>
    <t>44005798</t>
  </si>
  <si>
    <t>サンアイ</t>
  </si>
  <si>
    <t>870-0882</t>
  </si>
  <si>
    <t>44005806</t>
  </si>
  <si>
    <t>カクユウサンギョウ</t>
  </si>
  <si>
    <t>44005830</t>
  </si>
  <si>
    <t>メンテナンス</t>
  </si>
  <si>
    <t>870-0155</t>
  </si>
  <si>
    <t>44005832</t>
  </si>
  <si>
    <t>マツダトソウコウギョウ</t>
  </si>
  <si>
    <t>44005839</t>
  </si>
  <si>
    <t>ショウナイケンセツ</t>
  </si>
  <si>
    <t>44005845</t>
  </si>
  <si>
    <t>ニッポウギケンコウギョウ</t>
  </si>
  <si>
    <t>870-1131</t>
  </si>
  <si>
    <t>44005846</t>
  </si>
  <si>
    <t>タナベカンキョウコウガク</t>
  </si>
  <si>
    <t>870-1117</t>
  </si>
  <si>
    <t>44005877</t>
  </si>
  <si>
    <t>ニチデンツウシンコウギョウ</t>
  </si>
  <si>
    <t>44005880</t>
  </si>
  <si>
    <t>タイヨウキザイ</t>
  </si>
  <si>
    <t>870-0136</t>
  </si>
  <si>
    <t>44005882</t>
  </si>
  <si>
    <t>カクシントソウ</t>
  </si>
  <si>
    <t>44005909</t>
  </si>
  <si>
    <t>インテリアオオイタ</t>
  </si>
  <si>
    <t>44005912</t>
  </si>
  <si>
    <t>キョウエイサービス</t>
  </si>
  <si>
    <t>44005914</t>
  </si>
  <si>
    <t>ホウシュウウエキ</t>
  </si>
  <si>
    <t>44005918</t>
  </si>
  <si>
    <t>ニホンハウジング</t>
  </si>
  <si>
    <t>44005923</t>
  </si>
  <si>
    <t>ヒノケンセツコウギョウ</t>
  </si>
  <si>
    <t>879-5406</t>
  </si>
  <si>
    <t>44005925</t>
  </si>
  <si>
    <t>オオイタカンキョウクリーナー</t>
  </si>
  <si>
    <t>44005928</t>
  </si>
  <si>
    <t>ヤガワケンセツ</t>
  </si>
  <si>
    <t>879-5506</t>
  </si>
  <si>
    <t>44005939</t>
  </si>
  <si>
    <t>オオタカグミ</t>
  </si>
  <si>
    <t>44005991</t>
  </si>
  <si>
    <t>イノウエケンセツ</t>
  </si>
  <si>
    <t>44006005</t>
  </si>
  <si>
    <t>エイダイプラントサービス</t>
  </si>
  <si>
    <t>44006009</t>
  </si>
  <si>
    <t>キュウシュウドウロシセツ</t>
  </si>
  <si>
    <t>44006015</t>
  </si>
  <si>
    <t>ハッセンサンギョウ</t>
  </si>
  <si>
    <t>44006017</t>
  </si>
  <si>
    <t>スホーデンキ</t>
  </si>
  <si>
    <t>871-0068</t>
  </si>
  <si>
    <t>44006029</t>
  </si>
  <si>
    <t>ホウタクケンセツコウギョウ</t>
  </si>
  <si>
    <t>879-0112</t>
  </si>
  <si>
    <t>44006036</t>
  </si>
  <si>
    <t>44006058</t>
  </si>
  <si>
    <t>ナカツガーデン</t>
  </si>
  <si>
    <t>879-0101</t>
  </si>
  <si>
    <t>44006061</t>
  </si>
  <si>
    <t>クボグミ</t>
  </si>
  <si>
    <t>871-0311</t>
  </si>
  <si>
    <t>44006078</t>
  </si>
  <si>
    <t>ヒラバルグミ</t>
  </si>
  <si>
    <t>44006081</t>
  </si>
  <si>
    <t>オオガケンセツ</t>
  </si>
  <si>
    <t>871-0091</t>
  </si>
  <si>
    <t>44006088</t>
  </si>
  <si>
    <t>シュウシンケンキ</t>
  </si>
  <si>
    <t>871-0433</t>
  </si>
  <si>
    <t>44006097</t>
  </si>
  <si>
    <t>ミヨシレイダンボウ</t>
  </si>
  <si>
    <t>879-0103</t>
  </si>
  <si>
    <t>44006102</t>
  </si>
  <si>
    <t>イチマルケンセツ</t>
  </si>
  <si>
    <t>44006104</t>
  </si>
  <si>
    <t>ホリタサンギョウ</t>
  </si>
  <si>
    <t>872-1324</t>
  </si>
  <si>
    <t>44006113</t>
  </si>
  <si>
    <t>クニサキハントウセツビ</t>
  </si>
  <si>
    <t>44006126</t>
  </si>
  <si>
    <t>ゴトウショウカイ</t>
  </si>
  <si>
    <t>873-0504</t>
  </si>
  <si>
    <t>44006135</t>
  </si>
  <si>
    <t>コウハラグミ</t>
  </si>
  <si>
    <t>44006136</t>
  </si>
  <si>
    <t>44006139</t>
  </si>
  <si>
    <t>クニミコウサン</t>
  </si>
  <si>
    <t>44006141</t>
  </si>
  <si>
    <t>カワタデンキショウカイ</t>
  </si>
  <si>
    <t>873-0202</t>
  </si>
  <si>
    <t>44006142</t>
  </si>
  <si>
    <t>ミヤサコジュウキ</t>
  </si>
  <si>
    <t>44006149</t>
  </si>
  <si>
    <t>ウツノミヤケンセツ</t>
  </si>
  <si>
    <t>873-0203</t>
  </si>
  <si>
    <t>44006160</t>
  </si>
  <si>
    <t>タハラケンセツ</t>
  </si>
  <si>
    <t>44006169</t>
  </si>
  <si>
    <t>クニサキケンセツ</t>
  </si>
  <si>
    <t>44006175</t>
  </si>
  <si>
    <t>ヤマサキケンセツコウギョウ</t>
  </si>
  <si>
    <t>44006187</t>
  </si>
  <si>
    <t>44006188</t>
  </si>
  <si>
    <t>トクマルゾウエンリョクチ</t>
  </si>
  <si>
    <t>44006189</t>
  </si>
  <si>
    <t>キュウシュウカイハツ</t>
  </si>
  <si>
    <t>44006190</t>
  </si>
  <si>
    <t>873-0642</t>
  </si>
  <si>
    <t>44006195</t>
  </si>
  <si>
    <t>テラカワケンセツ</t>
  </si>
  <si>
    <t>44006196</t>
  </si>
  <si>
    <t>ミゾベデンキセツビ</t>
  </si>
  <si>
    <t>44006197</t>
  </si>
  <si>
    <t>エモトグミ</t>
  </si>
  <si>
    <t>872-1401</t>
  </si>
  <si>
    <t>44006213</t>
  </si>
  <si>
    <t>ホウセイケンセツ</t>
  </si>
  <si>
    <t>44006214</t>
  </si>
  <si>
    <t>フジサワケンセツ</t>
  </si>
  <si>
    <t>44006221</t>
  </si>
  <si>
    <t>カワノタテグテン</t>
  </si>
  <si>
    <t>875-0083</t>
  </si>
  <si>
    <t>44006223</t>
  </si>
  <si>
    <t>ショウエイケンセツ</t>
  </si>
  <si>
    <t>44006224</t>
  </si>
  <si>
    <t>シバオグミ</t>
  </si>
  <si>
    <t>44006225</t>
  </si>
  <si>
    <t>ヒカリケンセツコウギョウ</t>
  </si>
  <si>
    <t>44006230</t>
  </si>
  <si>
    <t>マルキグミ</t>
  </si>
  <si>
    <t>879-2681</t>
  </si>
  <si>
    <t>44006231</t>
  </si>
  <si>
    <t>ミヤコゾウエンドボク</t>
  </si>
  <si>
    <t>44006236</t>
  </si>
  <si>
    <t>キョウワサンギョウ</t>
  </si>
  <si>
    <t>44006244</t>
  </si>
  <si>
    <t>マルヒラケンセツ</t>
  </si>
  <si>
    <t>44006245</t>
  </si>
  <si>
    <t>ノナカコウギョウ</t>
  </si>
  <si>
    <t>44006248</t>
  </si>
  <si>
    <t>ハラジリケンセツ</t>
  </si>
  <si>
    <t>44006249</t>
  </si>
  <si>
    <t>トウカイケンセツ</t>
  </si>
  <si>
    <t>877-0201</t>
  </si>
  <si>
    <t>44006253</t>
  </si>
  <si>
    <t>トウヨウコウサン</t>
  </si>
  <si>
    <t>44006268</t>
  </si>
  <si>
    <t>サンヨウケンセツ</t>
  </si>
  <si>
    <t>44006277</t>
  </si>
  <si>
    <t>カワノコウギョウショ</t>
  </si>
  <si>
    <t>44006289</t>
  </si>
  <si>
    <t>ダイヤコウサン</t>
  </si>
  <si>
    <t>44006294</t>
  </si>
  <si>
    <t>タイヘイコウジ</t>
  </si>
  <si>
    <t>44006299</t>
  </si>
  <si>
    <t>44006301</t>
  </si>
  <si>
    <t>ニッコウコウギョウ</t>
  </si>
  <si>
    <t>875-0051</t>
  </si>
  <si>
    <t>44006316</t>
  </si>
  <si>
    <t>ハダノグミ</t>
  </si>
  <si>
    <t>879-6612</t>
  </si>
  <si>
    <t>44006333</t>
  </si>
  <si>
    <t>イマサトケンセツ</t>
  </si>
  <si>
    <t>875-0224</t>
  </si>
  <si>
    <t>44006338</t>
  </si>
  <si>
    <t>セキヤグミ</t>
  </si>
  <si>
    <t>875-0342</t>
  </si>
  <si>
    <t>44006342</t>
  </si>
  <si>
    <t>ノツジュウケン</t>
  </si>
  <si>
    <t>875-0233</t>
  </si>
  <si>
    <t>44006343</t>
  </si>
  <si>
    <t>879-7414</t>
  </si>
  <si>
    <t>44006352</t>
  </si>
  <si>
    <t>フカタケンセツ</t>
  </si>
  <si>
    <t>44006364</t>
  </si>
  <si>
    <t>サンノミヤグミ</t>
  </si>
  <si>
    <t>879-6442</t>
  </si>
  <si>
    <t>44006370</t>
  </si>
  <si>
    <t>ムラタケンセツ</t>
  </si>
  <si>
    <t>44006371</t>
  </si>
  <si>
    <t>トモトシコウギョウ</t>
  </si>
  <si>
    <t>875-0344</t>
  </si>
  <si>
    <t>44006374</t>
  </si>
  <si>
    <t>879-6632</t>
  </si>
  <si>
    <t>44006382</t>
  </si>
  <si>
    <t>ゴトウ</t>
  </si>
  <si>
    <t>879-6601</t>
  </si>
  <si>
    <t>44006385</t>
  </si>
  <si>
    <t>ムラカミケンセツ</t>
  </si>
  <si>
    <t>875-0234</t>
  </si>
  <si>
    <t>44006390</t>
  </si>
  <si>
    <t>879-7154</t>
  </si>
  <si>
    <t>44006406</t>
  </si>
  <si>
    <t>ミヤナリコウムテン</t>
  </si>
  <si>
    <t>44006411</t>
  </si>
  <si>
    <t>ハクサンケンセツ</t>
  </si>
  <si>
    <t>44006416</t>
  </si>
  <si>
    <t>カワノソウゴウドボク</t>
  </si>
  <si>
    <t>44006419</t>
  </si>
  <si>
    <t>イタイケンセツ</t>
  </si>
  <si>
    <t>879-6635</t>
  </si>
  <si>
    <t>44006421</t>
  </si>
  <si>
    <t>ヒキダグミ</t>
  </si>
  <si>
    <t>875-0214</t>
  </si>
  <si>
    <t>44006423</t>
  </si>
  <si>
    <t>チトセコウギョウ</t>
  </si>
  <si>
    <t>879-7401</t>
  </si>
  <si>
    <t>44006424</t>
  </si>
  <si>
    <t>ゴトウドケン</t>
  </si>
  <si>
    <t>879-6423</t>
  </si>
  <si>
    <t>44006428</t>
  </si>
  <si>
    <t>879-6756</t>
  </si>
  <si>
    <t>44006430</t>
  </si>
  <si>
    <t>ウスキキギョウ</t>
  </si>
  <si>
    <t>44006433</t>
  </si>
  <si>
    <t>879-6901</t>
  </si>
  <si>
    <t>44006439</t>
  </si>
  <si>
    <t>アールケイ</t>
  </si>
  <si>
    <t>879-6631</t>
  </si>
  <si>
    <t>44006443</t>
  </si>
  <si>
    <t>ゴトウケンセツコウギョウ</t>
  </si>
  <si>
    <t>879-6759</t>
  </si>
  <si>
    <t>44006445</t>
  </si>
  <si>
    <t>879-7123</t>
  </si>
  <si>
    <t>44006452</t>
  </si>
  <si>
    <t>センダイドボク</t>
  </si>
  <si>
    <t>879-6431</t>
  </si>
  <si>
    <t>44006453</t>
  </si>
  <si>
    <t>アシカリコウギョウ</t>
  </si>
  <si>
    <t>44006454</t>
  </si>
  <si>
    <t>トクマルケンセツ</t>
  </si>
  <si>
    <t>875-0211</t>
  </si>
  <si>
    <t>44006459</t>
  </si>
  <si>
    <t>エトウデンセツ</t>
  </si>
  <si>
    <t>879-6444</t>
  </si>
  <si>
    <t>44006460</t>
  </si>
  <si>
    <t>タダケンセツ</t>
  </si>
  <si>
    <t>44006464</t>
  </si>
  <si>
    <t>ノツショウジ</t>
  </si>
  <si>
    <t>875-0222</t>
  </si>
  <si>
    <t>44006465</t>
  </si>
  <si>
    <t>セイコウケンセツ</t>
  </si>
  <si>
    <t>44006475</t>
  </si>
  <si>
    <t>サタケコウギョウ</t>
  </si>
  <si>
    <t>879-7104</t>
  </si>
  <si>
    <t>44006476</t>
  </si>
  <si>
    <t>879-7413</t>
  </si>
  <si>
    <t>44006477</t>
  </si>
  <si>
    <t>ヒラヤマケンセツ</t>
  </si>
  <si>
    <t>44006481</t>
  </si>
  <si>
    <t>キュウシュウツウシンケンセツ</t>
  </si>
  <si>
    <t>879-6432</t>
  </si>
  <si>
    <t>44006483</t>
  </si>
  <si>
    <t>キュウケンセツビコウジ</t>
  </si>
  <si>
    <t>44006484</t>
  </si>
  <si>
    <t>ヤマムラケンセツ</t>
  </si>
  <si>
    <t>879-6643</t>
  </si>
  <si>
    <t>44006506</t>
  </si>
  <si>
    <t>ソウコクケンセツ</t>
  </si>
  <si>
    <t>44006508</t>
  </si>
  <si>
    <t>サンシンケンセツ</t>
  </si>
  <si>
    <t>44006510</t>
  </si>
  <si>
    <t>ゴトウケンセツ</t>
  </si>
  <si>
    <t>879-0902</t>
  </si>
  <si>
    <t>44006519</t>
  </si>
  <si>
    <t>ナカムラキコウ</t>
  </si>
  <si>
    <t>44006521</t>
  </si>
  <si>
    <t>ミワドケン</t>
  </si>
  <si>
    <t>879-0603</t>
  </si>
  <si>
    <t>44006523</t>
  </si>
  <si>
    <t>ウルシマケンセツコウギョウ</t>
  </si>
  <si>
    <t>44006525</t>
  </si>
  <si>
    <t>ダイコウデンセツ</t>
  </si>
  <si>
    <t>44006527</t>
  </si>
  <si>
    <t>カシワコウギョウ</t>
  </si>
  <si>
    <t>44006529</t>
  </si>
  <si>
    <t>コンドウケンセツ</t>
  </si>
  <si>
    <t>44006538</t>
  </si>
  <si>
    <t>オオタケンセツ</t>
  </si>
  <si>
    <t>879-0901</t>
  </si>
  <si>
    <t>44006545</t>
  </si>
  <si>
    <t>ヤマモリコウギョウ</t>
  </si>
  <si>
    <t>879-0842</t>
  </si>
  <si>
    <t>44006546</t>
  </si>
  <si>
    <t>イトウケンソウ</t>
  </si>
  <si>
    <t>44006550</t>
  </si>
  <si>
    <t>シモセ</t>
  </si>
  <si>
    <t>44006551</t>
  </si>
  <si>
    <t>コウノテイエン</t>
  </si>
  <si>
    <t>879-0732</t>
  </si>
  <si>
    <t>44006701</t>
  </si>
  <si>
    <t>ホウヒデンセツ</t>
  </si>
  <si>
    <t>44006706</t>
  </si>
  <si>
    <t>クドウショウテン</t>
  </si>
  <si>
    <t>44006713</t>
  </si>
  <si>
    <t>マツイグミ</t>
  </si>
  <si>
    <t>44006720</t>
  </si>
  <si>
    <t>クジュウサンギョウ</t>
  </si>
  <si>
    <t>878-0204</t>
  </si>
  <si>
    <t>44006721</t>
  </si>
  <si>
    <t>オカモトケンセツ</t>
  </si>
  <si>
    <t>878-0002</t>
  </si>
  <si>
    <t>44006724</t>
  </si>
  <si>
    <t>タケタジュウキケンセツコウギョウ</t>
  </si>
  <si>
    <t>44006727</t>
  </si>
  <si>
    <t>オオモリカイハツ</t>
  </si>
  <si>
    <t>44006732</t>
  </si>
  <si>
    <t>ホウヒサンギョウ</t>
  </si>
  <si>
    <t>44006734</t>
  </si>
  <si>
    <t>878-0404</t>
  </si>
  <si>
    <t>44006745</t>
  </si>
  <si>
    <t>エガミセツビキギョウ</t>
  </si>
  <si>
    <t>878-0012</t>
  </si>
  <si>
    <t>44006755</t>
  </si>
  <si>
    <t>ダイゾウジュウキ</t>
  </si>
  <si>
    <t>878-0007</t>
  </si>
  <si>
    <t>44006756</t>
  </si>
  <si>
    <t>オカジョウコウギョウ</t>
  </si>
  <si>
    <t>44006768</t>
  </si>
  <si>
    <t>カクトソウ</t>
  </si>
  <si>
    <t>44006769</t>
  </si>
  <si>
    <t>ミウラセキザイ</t>
  </si>
  <si>
    <t>44006772</t>
  </si>
  <si>
    <t>サンキ</t>
  </si>
  <si>
    <t>44006776</t>
  </si>
  <si>
    <t>サカタケンセツ</t>
  </si>
  <si>
    <t>878-0205</t>
  </si>
  <si>
    <t>44006785</t>
  </si>
  <si>
    <t>ウエムラコウギョウ</t>
  </si>
  <si>
    <t>879-6115</t>
  </si>
  <si>
    <t>44006787</t>
  </si>
  <si>
    <t>オオクラサンギョウ</t>
  </si>
  <si>
    <t>879-6135</t>
  </si>
  <si>
    <t>44006789</t>
  </si>
  <si>
    <t>マルショウグミ</t>
  </si>
  <si>
    <t>44006810</t>
  </si>
  <si>
    <t>トヨダリョクカ</t>
  </si>
  <si>
    <t>874-0847</t>
  </si>
  <si>
    <t>44006813</t>
  </si>
  <si>
    <t>ショウワケンセツコウギョウ</t>
  </si>
  <si>
    <t>44006823</t>
  </si>
  <si>
    <t>ハシモトデンセツ</t>
  </si>
  <si>
    <t>44006830</t>
  </si>
  <si>
    <t>874-0907</t>
  </si>
  <si>
    <t>44006838</t>
  </si>
  <si>
    <t>イトナガゾウエン</t>
  </si>
  <si>
    <t>44006857</t>
  </si>
  <si>
    <t>ササキセツビ</t>
  </si>
  <si>
    <t>44006859</t>
  </si>
  <si>
    <t>ショウワリョウケンセツ</t>
  </si>
  <si>
    <t>874-0922</t>
  </si>
  <si>
    <t>44006862</t>
  </si>
  <si>
    <t>ニミヤデンコウ</t>
  </si>
  <si>
    <t>44006864</t>
  </si>
  <si>
    <t>カメガワセツビコウギョウ</t>
  </si>
  <si>
    <t>44006869</t>
  </si>
  <si>
    <t>オマタデンセツコウギョウ</t>
  </si>
  <si>
    <t>44006871</t>
  </si>
  <si>
    <t>44006873</t>
  </si>
  <si>
    <t>サイトウドボク</t>
  </si>
  <si>
    <t>874-0829</t>
  </si>
  <si>
    <t>44006887</t>
  </si>
  <si>
    <t>カトウボーリングコウギョウ</t>
  </si>
  <si>
    <t>874-0849</t>
  </si>
  <si>
    <t>44006892</t>
  </si>
  <si>
    <t>オオツカグミ</t>
  </si>
  <si>
    <t>44006908</t>
  </si>
  <si>
    <t>ワタナベドボク</t>
  </si>
  <si>
    <t>44006916</t>
  </si>
  <si>
    <t>ヘイセイケンセツ</t>
  </si>
  <si>
    <t>879-1311</t>
  </si>
  <si>
    <t>44006918</t>
  </si>
  <si>
    <t>873-0004</t>
  </si>
  <si>
    <t>44006924</t>
  </si>
  <si>
    <t>オオイタガス</t>
  </si>
  <si>
    <t>874-0928</t>
  </si>
  <si>
    <t>44006927</t>
  </si>
  <si>
    <t>ダイトウゾウエン</t>
  </si>
  <si>
    <t>874-0844</t>
  </si>
  <si>
    <t>44006928</t>
  </si>
  <si>
    <t>シンセイサンギョウ</t>
  </si>
  <si>
    <t>874-0835</t>
  </si>
  <si>
    <t>44006930</t>
  </si>
  <si>
    <t>オオガミケンセツ</t>
  </si>
  <si>
    <t>873-0014</t>
  </si>
  <si>
    <t>44006932</t>
  </si>
  <si>
    <t>コマツケンセツ</t>
  </si>
  <si>
    <t>44006998</t>
  </si>
  <si>
    <t>イシカワケンセツ</t>
  </si>
  <si>
    <t>44007001</t>
  </si>
  <si>
    <t>イトウケンセツ</t>
  </si>
  <si>
    <t>871-0032</t>
  </si>
  <si>
    <t>44007002</t>
  </si>
  <si>
    <t>クマガエグミ</t>
  </si>
  <si>
    <t>871-0703</t>
  </si>
  <si>
    <t>44007003</t>
  </si>
  <si>
    <t>ナカイチケンセツ</t>
  </si>
  <si>
    <t>871-0112</t>
  </si>
  <si>
    <t>44007004</t>
  </si>
  <si>
    <t>ムラモトジュウキコウ</t>
  </si>
  <si>
    <t>44007012</t>
  </si>
  <si>
    <t>ニッシン</t>
  </si>
  <si>
    <t>879-0105</t>
  </si>
  <si>
    <t>44007034</t>
  </si>
  <si>
    <t>ホウシン</t>
  </si>
  <si>
    <t>871-0712</t>
  </si>
  <si>
    <t>44007063</t>
  </si>
  <si>
    <t>トモマツサンギョウ</t>
  </si>
  <si>
    <t>879-0122</t>
  </si>
  <si>
    <t>44007064</t>
  </si>
  <si>
    <t>スミサンギョウ</t>
  </si>
  <si>
    <t>879-0113</t>
  </si>
  <si>
    <t>44007077</t>
  </si>
  <si>
    <t>ヒラバルドボク</t>
  </si>
  <si>
    <t>44007078</t>
  </si>
  <si>
    <t>トウショウジケンセツ</t>
  </si>
  <si>
    <t>871-0030</t>
  </si>
  <si>
    <t>44007088</t>
  </si>
  <si>
    <t>ニホウドケン</t>
  </si>
  <si>
    <t>44007092</t>
  </si>
  <si>
    <t>ナカツカワタトソウ</t>
  </si>
  <si>
    <t>44007107</t>
  </si>
  <si>
    <t>フタミコウムテン</t>
  </si>
  <si>
    <t>877-1353</t>
  </si>
  <si>
    <t>44007116</t>
  </si>
  <si>
    <t>カジワラコウギョウ</t>
  </si>
  <si>
    <t>44007123</t>
  </si>
  <si>
    <t>コバヤシゾウエン</t>
  </si>
  <si>
    <t>44007129</t>
  </si>
  <si>
    <t>ミクマゾウエン</t>
  </si>
  <si>
    <t>44007138</t>
  </si>
  <si>
    <t>44007145</t>
  </si>
  <si>
    <t>アリタコウケン</t>
  </si>
  <si>
    <t>877-1352</t>
  </si>
  <si>
    <t>44007148</t>
  </si>
  <si>
    <t>オオクラジュウキ</t>
  </si>
  <si>
    <t>877-0083</t>
  </si>
  <si>
    <t>44007153</t>
  </si>
  <si>
    <t>ウメキドシャ</t>
  </si>
  <si>
    <t>44007158</t>
  </si>
  <si>
    <t>ニシニホンフルサトゾウエン</t>
  </si>
  <si>
    <t>877-0089</t>
  </si>
  <si>
    <t>44007163</t>
  </si>
  <si>
    <t>877-1351</t>
  </si>
  <si>
    <t>44007179</t>
  </si>
  <si>
    <t>トウブケンセツ</t>
  </si>
  <si>
    <t>44007181</t>
  </si>
  <si>
    <t>エースデンセツ</t>
  </si>
  <si>
    <t>877-0045</t>
  </si>
  <si>
    <t>44007190</t>
  </si>
  <si>
    <t>カワナミグミ</t>
  </si>
  <si>
    <t>44007196</t>
  </si>
  <si>
    <t>ミゾタコウムテン</t>
  </si>
  <si>
    <t>44007201</t>
  </si>
  <si>
    <t>ノナカエンタプライズ</t>
  </si>
  <si>
    <t>44007203</t>
  </si>
  <si>
    <t>ウスキカンキョウセンター</t>
  </si>
  <si>
    <t>44007204</t>
  </si>
  <si>
    <t>ゲンダイケンセツ</t>
  </si>
  <si>
    <t>44007213</t>
  </si>
  <si>
    <t>タカノデンキ</t>
  </si>
  <si>
    <t>44007249</t>
  </si>
  <si>
    <t>44007251</t>
  </si>
  <si>
    <t>オクヒサグミ</t>
  </si>
  <si>
    <t>871-0203</t>
  </si>
  <si>
    <t>44007254</t>
  </si>
  <si>
    <t>オガタグミ</t>
  </si>
  <si>
    <t>871-0413</t>
  </si>
  <si>
    <t>44007259</t>
  </si>
  <si>
    <t>ツネヒロ</t>
  </si>
  <si>
    <t>44007261</t>
  </si>
  <si>
    <t>オキダイケンセツコウギョウ</t>
  </si>
  <si>
    <t>44007269</t>
  </si>
  <si>
    <t>サンコウケンセツ</t>
  </si>
  <si>
    <t>871-0105</t>
  </si>
  <si>
    <t>44007276</t>
  </si>
  <si>
    <t>トウキュウコウギョウ</t>
  </si>
  <si>
    <t>44007326</t>
  </si>
  <si>
    <t>アサミドボク</t>
  </si>
  <si>
    <t>44007327</t>
  </si>
  <si>
    <t>ユキサンギョウ</t>
  </si>
  <si>
    <t>44007331</t>
  </si>
  <si>
    <t>イワケンジュウタク</t>
  </si>
  <si>
    <t>44007346</t>
  </si>
  <si>
    <t>ニシノスカンキョウ</t>
  </si>
  <si>
    <t>44007349</t>
  </si>
  <si>
    <t>トーテルケンセツ</t>
  </si>
  <si>
    <t>44007372</t>
  </si>
  <si>
    <t>ハノジュウケン</t>
  </si>
  <si>
    <t>870-1182</t>
  </si>
  <si>
    <t>44007377</t>
  </si>
  <si>
    <t>イッコウケンセツ</t>
  </si>
  <si>
    <t>44007382</t>
  </si>
  <si>
    <t>オオイタノーミ</t>
  </si>
  <si>
    <t>870-0856</t>
  </si>
  <si>
    <t>44007385</t>
  </si>
  <si>
    <t>ヒメケンセツ</t>
  </si>
  <si>
    <t>44007388</t>
  </si>
  <si>
    <t>ドウロサービス</t>
  </si>
  <si>
    <t>870-0946</t>
  </si>
  <si>
    <t>44007398</t>
  </si>
  <si>
    <t>ヒノデンコウ</t>
  </si>
  <si>
    <t>44007400</t>
  </si>
  <si>
    <t>キュウダイデンセツコウギョウ</t>
  </si>
  <si>
    <t>44007406</t>
  </si>
  <si>
    <t>キュウシュウカンツウ</t>
  </si>
  <si>
    <t>870-0829</t>
  </si>
  <si>
    <t>44007407</t>
  </si>
  <si>
    <t>エンカイカイハツコウギョウ</t>
  </si>
  <si>
    <t>870-0851</t>
  </si>
  <si>
    <t>44007413</t>
  </si>
  <si>
    <t>ゲンブデンセツ</t>
  </si>
  <si>
    <t>44007437</t>
  </si>
  <si>
    <t>ヨネヤマセツビコウギョウ</t>
  </si>
  <si>
    <t>44007438</t>
  </si>
  <si>
    <t>キザキコウギョウ</t>
  </si>
  <si>
    <t>870-0313</t>
  </si>
  <si>
    <t>44007443</t>
  </si>
  <si>
    <t>フコクデンキ</t>
  </si>
  <si>
    <t>44007445</t>
  </si>
  <si>
    <t>イズミデンセツ</t>
  </si>
  <si>
    <t>44007453</t>
  </si>
  <si>
    <t>オオイタレイキ</t>
  </si>
  <si>
    <t>44007462</t>
  </si>
  <si>
    <t>オフィスコミニケーションサービス</t>
  </si>
  <si>
    <t>44007464</t>
  </si>
  <si>
    <t>サンワテック</t>
  </si>
  <si>
    <t>44007482</t>
  </si>
  <si>
    <t>トヨナカケンセツ</t>
  </si>
  <si>
    <t>877-0057</t>
  </si>
  <si>
    <t>44007492</t>
  </si>
  <si>
    <t>サンショウコウ</t>
  </si>
  <si>
    <t>44007502</t>
  </si>
  <si>
    <t>タケバヤシケンセツ</t>
  </si>
  <si>
    <t>879-1306</t>
  </si>
  <si>
    <t>44007516</t>
  </si>
  <si>
    <t>マツモトサンギョウ</t>
  </si>
  <si>
    <t>44007521</t>
  </si>
  <si>
    <t>コウシンデンキコウジ</t>
  </si>
  <si>
    <t>873-0015</t>
  </si>
  <si>
    <t>44007529</t>
  </si>
  <si>
    <t>44007532</t>
  </si>
  <si>
    <t>スガケンザイコウギョウ</t>
  </si>
  <si>
    <t>44007543</t>
  </si>
  <si>
    <t>エーイーデー</t>
  </si>
  <si>
    <t>874-0932</t>
  </si>
  <si>
    <t>44007548</t>
  </si>
  <si>
    <t>ウエスギドボク</t>
  </si>
  <si>
    <t>44007549</t>
  </si>
  <si>
    <t>アベコウムテン</t>
  </si>
  <si>
    <t>44007550</t>
  </si>
  <si>
    <t>トウホウケンセツ</t>
  </si>
  <si>
    <t>873-0007</t>
  </si>
  <si>
    <t>44007556</t>
  </si>
  <si>
    <t>44007565</t>
  </si>
  <si>
    <t>イイダドボク</t>
  </si>
  <si>
    <t>874-0824</t>
  </si>
  <si>
    <t>44007575</t>
  </si>
  <si>
    <t>ナガノコウムテン</t>
  </si>
  <si>
    <t>874-0913</t>
  </si>
  <si>
    <t>44007579</t>
  </si>
  <si>
    <t>フジセツビコウギョウ</t>
  </si>
  <si>
    <t>874-0917</t>
  </si>
  <si>
    <t>44007604</t>
  </si>
  <si>
    <t>アベドボク</t>
  </si>
  <si>
    <t>44007609</t>
  </si>
  <si>
    <t>チネツワールドコウギョウ</t>
  </si>
  <si>
    <t>874-0846</t>
  </si>
  <si>
    <t>44007611</t>
  </si>
  <si>
    <t>イタイソウショク</t>
  </si>
  <si>
    <t>44007613</t>
  </si>
  <si>
    <t>ムライケンセツ</t>
  </si>
  <si>
    <t>874-0845</t>
  </si>
  <si>
    <t>44007615</t>
  </si>
  <si>
    <t>サンタナカ</t>
  </si>
  <si>
    <t>874-0834</t>
  </si>
  <si>
    <t>44007621</t>
  </si>
  <si>
    <t>アーク</t>
  </si>
  <si>
    <t>874-0920</t>
  </si>
  <si>
    <t>44007624</t>
  </si>
  <si>
    <t>ヒグチケンセツ</t>
  </si>
  <si>
    <t>44007632</t>
  </si>
  <si>
    <t>オオツカボーリングコウギョウ</t>
  </si>
  <si>
    <t>44007635</t>
  </si>
  <si>
    <t>トモナガセツビコウギョウ</t>
  </si>
  <si>
    <t>874-0041</t>
  </si>
  <si>
    <t>44007641</t>
  </si>
  <si>
    <t>キヨモリケンセツ</t>
  </si>
  <si>
    <t>874-0832</t>
  </si>
  <si>
    <t>44007685</t>
  </si>
  <si>
    <t>トータルハウジングカワノケンギョウ</t>
  </si>
  <si>
    <t>44007690</t>
  </si>
  <si>
    <t>アベイサムケンセツ</t>
  </si>
  <si>
    <t>874-0840</t>
  </si>
  <si>
    <t>44007695</t>
  </si>
  <si>
    <t>ゴトーゾウエンクリエイト</t>
  </si>
  <si>
    <t>44007705</t>
  </si>
  <si>
    <t>ユタカサンギョウ</t>
  </si>
  <si>
    <t>44007710</t>
  </si>
  <si>
    <t>コサカセツビコウギョウ</t>
  </si>
  <si>
    <t>44007717</t>
  </si>
  <si>
    <t>ウスキゾウセンショ</t>
  </si>
  <si>
    <t>44007726</t>
  </si>
  <si>
    <t>エンドウスイドウ</t>
  </si>
  <si>
    <t>44007728</t>
  </si>
  <si>
    <t>ウスキセツビ</t>
  </si>
  <si>
    <t>44007731</t>
  </si>
  <si>
    <t>イタイリンギョウ</t>
  </si>
  <si>
    <t>44007737</t>
  </si>
  <si>
    <t>マルカツグミ</t>
  </si>
  <si>
    <t>44007747</t>
  </si>
  <si>
    <t>マサエイケンセツコウギョウ</t>
  </si>
  <si>
    <t>44007752</t>
  </si>
  <si>
    <t>ウスキリョクチ</t>
  </si>
  <si>
    <t>44007754</t>
  </si>
  <si>
    <t>ニホンコクドカイハツ</t>
  </si>
  <si>
    <t>875-0053</t>
  </si>
  <si>
    <t>44007761</t>
  </si>
  <si>
    <t>ヒエダケンセツコウギョウ</t>
  </si>
  <si>
    <t>44007763</t>
  </si>
  <si>
    <t>ライフテックイノウエ</t>
  </si>
  <si>
    <t>879-2203</t>
  </si>
  <si>
    <t>44007770</t>
  </si>
  <si>
    <t>カクケンコウサン</t>
  </si>
  <si>
    <t>44007771</t>
  </si>
  <si>
    <t>44007776</t>
  </si>
  <si>
    <t>フジサワコウギョウ</t>
  </si>
  <si>
    <t>875-0003</t>
  </si>
  <si>
    <t>44007820</t>
  </si>
  <si>
    <t>ミヨシデンキ</t>
  </si>
  <si>
    <t>44007823</t>
  </si>
  <si>
    <t>アサヒケンセツ</t>
  </si>
  <si>
    <t>871-0404</t>
  </si>
  <si>
    <t>44007834</t>
  </si>
  <si>
    <t>タテイシケンセツコウギョウ</t>
  </si>
  <si>
    <t>871-0153</t>
  </si>
  <si>
    <t>44007839</t>
  </si>
  <si>
    <t>トップインターナショナル</t>
  </si>
  <si>
    <t>871-0058</t>
  </si>
  <si>
    <t>44007840</t>
  </si>
  <si>
    <t>ナガタケンセツ</t>
  </si>
  <si>
    <t>871-0314</t>
  </si>
  <si>
    <t>44007842</t>
  </si>
  <si>
    <t>オノケンセツ</t>
  </si>
  <si>
    <t>44007846</t>
  </si>
  <si>
    <t>ヘイセイコウギョウ</t>
  </si>
  <si>
    <t>871-0023</t>
  </si>
  <si>
    <t>44007848</t>
  </si>
  <si>
    <t>カッパーカセイ</t>
  </si>
  <si>
    <t>44007851</t>
  </si>
  <si>
    <t>ナカノスケンセツコウギョウ</t>
  </si>
  <si>
    <t>44007860</t>
  </si>
  <si>
    <t>キョウエイコウギョウ</t>
  </si>
  <si>
    <t>44007866</t>
  </si>
  <si>
    <t>イナバデンキコウジ</t>
  </si>
  <si>
    <t>879-5104</t>
  </si>
  <si>
    <t>44007891</t>
  </si>
  <si>
    <t>オオツカデンセツサンギョウ</t>
  </si>
  <si>
    <t>44007892</t>
  </si>
  <si>
    <t>サカイケンセツ</t>
  </si>
  <si>
    <t>870-0116</t>
  </si>
  <si>
    <t>44007903</t>
  </si>
  <si>
    <t>ナンブデンキコウジ</t>
  </si>
  <si>
    <t>44007904</t>
  </si>
  <si>
    <t>ユニティーシステム</t>
  </si>
  <si>
    <t>870-0854</t>
  </si>
  <si>
    <t>44007930</t>
  </si>
  <si>
    <t>アンドウケンザイテン</t>
  </si>
  <si>
    <t>870-0936</t>
  </si>
  <si>
    <t>44007947</t>
  </si>
  <si>
    <t>トミオオオイタ</t>
  </si>
  <si>
    <t>870-0172</t>
  </si>
  <si>
    <t>44007957</t>
  </si>
  <si>
    <t>オオイタロード</t>
  </si>
  <si>
    <t>872-0311</t>
  </si>
  <si>
    <t>44007958</t>
  </si>
  <si>
    <t>ミツイエアーテック</t>
  </si>
  <si>
    <t>870-0301</t>
  </si>
  <si>
    <t>44007965</t>
  </si>
  <si>
    <t>ヒラノケンセツ</t>
  </si>
  <si>
    <t>44007966</t>
  </si>
  <si>
    <t>ケンソウカイハツ</t>
  </si>
  <si>
    <t>44007973</t>
  </si>
  <si>
    <t>マイカン</t>
  </si>
  <si>
    <t>870-0952</t>
  </si>
  <si>
    <t>44007993</t>
  </si>
  <si>
    <t>ニシコウギョウ</t>
  </si>
  <si>
    <t>44007998</t>
  </si>
  <si>
    <t>ホリボウスイコウジ</t>
  </si>
  <si>
    <t>44008004</t>
  </si>
  <si>
    <t>サイモトドケン</t>
  </si>
  <si>
    <t>44008005</t>
  </si>
  <si>
    <t>マツモトドボク</t>
  </si>
  <si>
    <t>44008015</t>
  </si>
  <si>
    <t>マツオカガーデン</t>
  </si>
  <si>
    <t>877-0087</t>
  </si>
  <si>
    <t>44008016</t>
  </si>
  <si>
    <t>スエヒロドボク</t>
  </si>
  <si>
    <t>44008022</t>
  </si>
  <si>
    <t>タイセイサンギョウ</t>
  </si>
  <si>
    <t>877-0113</t>
  </si>
  <si>
    <t>44008025</t>
  </si>
  <si>
    <t>44008026</t>
  </si>
  <si>
    <t>オオヤマケンセツ</t>
  </si>
  <si>
    <t>44008029</t>
  </si>
  <si>
    <t>サンワドケン</t>
  </si>
  <si>
    <t>44008040</t>
  </si>
  <si>
    <t>タカクラスレートコウギョウ</t>
  </si>
  <si>
    <t>877-1231</t>
  </si>
  <si>
    <t>44008049</t>
  </si>
  <si>
    <t>リョウショウケンセツ</t>
  </si>
  <si>
    <t>44008053</t>
  </si>
  <si>
    <t>ゴトウデンキセツビ</t>
  </si>
  <si>
    <t>877-0022</t>
  </si>
  <si>
    <t>44008055</t>
  </si>
  <si>
    <t>タカクラサンギョウ</t>
  </si>
  <si>
    <t>44008059</t>
  </si>
  <si>
    <t>ヒグチボウスイ</t>
  </si>
  <si>
    <t>877-0068</t>
  </si>
  <si>
    <t>44008060</t>
  </si>
  <si>
    <t>ギケン</t>
  </si>
  <si>
    <t>877-1224</t>
  </si>
  <si>
    <t>44008073</t>
  </si>
  <si>
    <t>サトウデンキショウカイ</t>
  </si>
  <si>
    <t>44008075</t>
  </si>
  <si>
    <t>ハクイケンセツ</t>
  </si>
  <si>
    <t>877-1361</t>
  </si>
  <si>
    <t>44008076</t>
  </si>
  <si>
    <t>キノシタケンセツ</t>
  </si>
  <si>
    <t>877-0059</t>
  </si>
  <si>
    <t>44008077</t>
  </si>
  <si>
    <t>クマガエスイドウ</t>
  </si>
  <si>
    <t>44008080</t>
  </si>
  <si>
    <t>カトウデンコウ</t>
  </si>
  <si>
    <t>877-0044</t>
  </si>
  <si>
    <t>44008081</t>
  </si>
  <si>
    <t>テシマケンセツ</t>
  </si>
  <si>
    <t>44008088</t>
  </si>
  <si>
    <t>44008094</t>
  </si>
  <si>
    <t>ヨシノケンセツ</t>
  </si>
  <si>
    <t>877-0202</t>
  </si>
  <si>
    <t>44008300</t>
  </si>
  <si>
    <t>マルマン</t>
  </si>
  <si>
    <t>44008302</t>
  </si>
  <si>
    <t>ゴトウグミ</t>
  </si>
  <si>
    <t>873-0201</t>
  </si>
  <si>
    <t>44008305</t>
  </si>
  <si>
    <t>トクマルソウゴウケンセツ</t>
  </si>
  <si>
    <t>873-0204</t>
  </si>
  <si>
    <t>44008307</t>
  </si>
  <si>
    <t>アサヒコウギョウ</t>
  </si>
  <si>
    <t>872-1402</t>
  </si>
  <si>
    <t>44008309</t>
  </si>
  <si>
    <t>キタザキデンキショウカイ</t>
  </si>
  <si>
    <t>44008311</t>
  </si>
  <si>
    <t>アナミケンセツ</t>
  </si>
  <si>
    <t>873-0401</t>
  </si>
  <si>
    <t>44008501</t>
  </si>
  <si>
    <t>ナカイワケンセツ</t>
  </si>
  <si>
    <t>44008505</t>
  </si>
  <si>
    <t>クマガエジュウキ</t>
  </si>
  <si>
    <t>44008511</t>
  </si>
  <si>
    <t>サント</t>
  </si>
  <si>
    <t>44008516</t>
  </si>
  <si>
    <t>スエナガガラス</t>
  </si>
  <si>
    <t>44008520</t>
  </si>
  <si>
    <t>リュウデンセツ</t>
  </si>
  <si>
    <t>44008522</t>
  </si>
  <si>
    <t>ニッショウケンセツ</t>
  </si>
  <si>
    <t>44008523</t>
  </si>
  <si>
    <t>クロツチケンセツ</t>
  </si>
  <si>
    <t>44008527</t>
  </si>
  <si>
    <t>ミヤコケンセツ</t>
  </si>
  <si>
    <t>44008536</t>
  </si>
  <si>
    <t>コイケセキザイ</t>
  </si>
  <si>
    <t>871-0202</t>
  </si>
  <si>
    <t>44008540</t>
  </si>
  <si>
    <t>キタムラジュウケン</t>
  </si>
  <si>
    <t>44008545</t>
  </si>
  <si>
    <t>バイコウエン</t>
  </si>
  <si>
    <t>871-0022</t>
  </si>
  <si>
    <t>44008547</t>
  </si>
  <si>
    <t>ナカオフスマセイサクショ</t>
  </si>
  <si>
    <t>44008551</t>
  </si>
  <si>
    <t>カジワラグミ</t>
  </si>
  <si>
    <t>44008556</t>
  </si>
  <si>
    <t>シマザキセツビコウギョウ</t>
  </si>
  <si>
    <t>44008559</t>
  </si>
  <si>
    <t>フジデン</t>
  </si>
  <si>
    <t>871-0151</t>
  </si>
  <si>
    <t>44008563</t>
  </si>
  <si>
    <t>サイカイケンセツ</t>
  </si>
  <si>
    <t>879-0121</t>
  </si>
  <si>
    <t>44008564</t>
  </si>
  <si>
    <t>ミヤココウギョウ</t>
  </si>
  <si>
    <t>44008567</t>
  </si>
  <si>
    <t>コウセイケイザイ</t>
  </si>
  <si>
    <t>871-0103</t>
  </si>
  <si>
    <t>44008568</t>
  </si>
  <si>
    <t>コカジグミ</t>
  </si>
  <si>
    <t>44008571</t>
  </si>
  <si>
    <t>ショウホウケンセツ</t>
  </si>
  <si>
    <t>44008572</t>
  </si>
  <si>
    <t>ヤツギデンキコウジ</t>
  </si>
  <si>
    <t>44009001</t>
  </si>
  <si>
    <t>オオイタケンソウテン</t>
  </si>
  <si>
    <t>44009012</t>
  </si>
  <si>
    <t>オオイタシンセツ</t>
  </si>
  <si>
    <t>870-0118</t>
  </si>
  <si>
    <t>44009015</t>
  </si>
  <si>
    <t>マツオキキサンギョウ</t>
  </si>
  <si>
    <t>44009036</t>
  </si>
  <si>
    <t>エアシステム</t>
  </si>
  <si>
    <t>44009052</t>
  </si>
  <si>
    <t>カワノセツビ</t>
  </si>
  <si>
    <t>44009055</t>
  </si>
  <si>
    <t>クリキセイカエン</t>
  </si>
  <si>
    <t>870-0024</t>
  </si>
  <si>
    <t>44009063</t>
  </si>
  <si>
    <t>サンワキコウ</t>
  </si>
  <si>
    <t>44009065</t>
  </si>
  <si>
    <t>カワキタコウギョウ</t>
  </si>
  <si>
    <t>44009066</t>
  </si>
  <si>
    <t>コクヨウケンセツコウギョウ</t>
  </si>
  <si>
    <t>870-0273</t>
  </si>
  <si>
    <t>44009069</t>
  </si>
  <si>
    <t>ニノミヤセキザイ</t>
  </si>
  <si>
    <t>870-0861</t>
  </si>
  <si>
    <t>44009080</t>
  </si>
  <si>
    <t>トウワセキザイ</t>
  </si>
  <si>
    <t>44009083</t>
  </si>
  <si>
    <t>エトウサンギョウ</t>
  </si>
  <si>
    <t>870-0145</t>
  </si>
  <si>
    <t>44009106</t>
  </si>
  <si>
    <t>ダイトウセンカン</t>
  </si>
  <si>
    <t>44009121</t>
  </si>
  <si>
    <t>ビアールコウギョウ</t>
  </si>
  <si>
    <t>870-0127</t>
  </si>
  <si>
    <t>44009127</t>
  </si>
  <si>
    <t>44009160</t>
  </si>
  <si>
    <t>ニッショー</t>
  </si>
  <si>
    <t>44009165</t>
  </si>
  <si>
    <t>チュウオウセツビコウギョウ</t>
  </si>
  <si>
    <t>44009166</t>
  </si>
  <si>
    <t>キョウワカンキョウ</t>
  </si>
  <si>
    <t>44009173</t>
  </si>
  <si>
    <t>タイシンサンギヨウ</t>
  </si>
  <si>
    <t>870-0877</t>
  </si>
  <si>
    <t>44009202</t>
  </si>
  <si>
    <t>コーリンケンセツ</t>
  </si>
  <si>
    <t>870-1136</t>
  </si>
  <si>
    <t>44009214</t>
  </si>
  <si>
    <t>キュウイチケンセツコウギョウ</t>
  </si>
  <si>
    <t>44009223</t>
  </si>
  <si>
    <t>カスガリョッカ</t>
  </si>
  <si>
    <t>44009241</t>
  </si>
  <si>
    <t>コゾノジュウキケンセツ</t>
  </si>
  <si>
    <t>870-1205</t>
  </si>
  <si>
    <t>44009246</t>
  </si>
  <si>
    <t>コクドケンセツコウギョウ</t>
  </si>
  <si>
    <t>870-0934</t>
  </si>
  <si>
    <t>44009248</t>
  </si>
  <si>
    <t>エンワ</t>
  </si>
  <si>
    <t>44009278</t>
  </si>
  <si>
    <t>コウインリョクカドボク</t>
  </si>
  <si>
    <t>870-0871</t>
  </si>
  <si>
    <t>44009286</t>
  </si>
  <si>
    <t>クイックコウギョウ</t>
  </si>
  <si>
    <t>44009304</t>
  </si>
  <si>
    <t>シンワウンユ</t>
  </si>
  <si>
    <t>44009312</t>
  </si>
  <si>
    <t>キヅサンギョウ</t>
  </si>
  <si>
    <t>44009321</t>
  </si>
  <si>
    <t>ソウカ</t>
  </si>
  <si>
    <t>44009332</t>
  </si>
  <si>
    <t>カンキョウプラント</t>
  </si>
  <si>
    <t>44009335</t>
  </si>
  <si>
    <t>アラマキコウギョウ</t>
  </si>
  <si>
    <t>44009338</t>
  </si>
  <si>
    <t>エーオーアイユニタン</t>
  </si>
  <si>
    <t>44009342</t>
  </si>
  <si>
    <t>ユタカツウシン</t>
  </si>
  <si>
    <t>870-0275</t>
  </si>
  <si>
    <t>44009352</t>
  </si>
  <si>
    <t>フジシステムセツビ</t>
  </si>
  <si>
    <t>870-0843</t>
  </si>
  <si>
    <t>44009356</t>
  </si>
  <si>
    <t>ブンドウセキザイ</t>
  </si>
  <si>
    <t>879-5501</t>
  </si>
  <si>
    <t>44009365</t>
  </si>
  <si>
    <t>セイデンシャ</t>
  </si>
  <si>
    <t>44009373</t>
  </si>
  <si>
    <t>イワモトソウゴウセツビ</t>
  </si>
  <si>
    <t>44009376</t>
  </si>
  <si>
    <t>インテリアコスモ</t>
  </si>
  <si>
    <t>44009381</t>
  </si>
  <si>
    <t>コウナンデンセツ</t>
  </si>
  <si>
    <t>44009393</t>
  </si>
  <si>
    <t>システムデンケン</t>
  </si>
  <si>
    <t>44009395</t>
  </si>
  <si>
    <t>リョウワコウギョウ</t>
  </si>
  <si>
    <t>44009399</t>
  </si>
  <si>
    <t>コトブキカイハツ</t>
  </si>
  <si>
    <t>44009400</t>
  </si>
  <si>
    <t>アミナカスイドウ</t>
  </si>
  <si>
    <t>870-0852</t>
  </si>
  <si>
    <t>44009404</t>
  </si>
  <si>
    <t>サカグチサンギョウ</t>
  </si>
  <si>
    <t>44009418</t>
  </si>
  <si>
    <t>ツツイコウムテン</t>
  </si>
  <si>
    <t>870-0326</t>
  </si>
  <si>
    <t>44009421</t>
  </si>
  <si>
    <t>ヒラタコウギョウ</t>
  </si>
  <si>
    <t>44009422</t>
  </si>
  <si>
    <t>キムラセツビ</t>
  </si>
  <si>
    <t>44009428</t>
  </si>
  <si>
    <t>ランドスケープベツダイ</t>
  </si>
  <si>
    <t>44009430</t>
  </si>
  <si>
    <t>タカチホコウギョウ</t>
  </si>
  <si>
    <t>44009433</t>
  </si>
  <si>
    <t>シンヨウコウジ</t>
  </si>
  <si>
    <t>44009503</t>
  </si>
  <si>
    <t>エースエンジニアリング</t>
  </si>
  <si>
    <t>44009509</t>
  </si>
  <si>
    <t>オオイタボンドケンセツ</t>
  </si>
  <si>
    <t>44009523</t>
  </si>
  <si>
    <t>ヨシマサケンセツ</t>
  </si>
  <si>
    <t>44009527</t>
  </si>
  <si>
    <t>カワセイケンセツ</t>
  </si>
  <si>
    <t>44009532</t>
  </si>
  <si>
    <t>ジンエイコウギョウ</t>
  </si>
  <si>
    <t>876-2405</t>
  </si>
  <si>
    <t>44009538</t>
  </si>
  <si>
    <t>ミタライグミ</t>
  </si>
  <si>
    <t>44009542</t>
  </si>
  <si>
    <t>オオツルケンセツ</t>
  </si>
  <si>
    <t>44009548</t>
  </si>
  <si>
    <t>マルソウコウギョウ</t>
  </si>
  <si>
    <t>44009558</t>
  </si>
  <si>
    <t>ゴトウキミケンチク</t>
  </si>
  <si>
    <t>44009700</t>
  </si>
  <si>
    <t>キタムラケンセツ</t>
  </si>
  <si>
    <t>44009703</t>
  </si>
  <si>
    <t>カンピケンセツ</t>
  </si>
  <si>
    <t>44009706</t>
  </si>
  <si>
    <t>ツーバイツー</t>
  </si>
  <si>
    <t>44009707</t>
  </si>
  <si>
    <t>ナカノケンザイ</t>
  </si>
  <si>
    <t>44009714</t>
  </si>
  <si>
    <t>カジワラゾウエン</t>
  </si>
  <si>
    <t>874-0037</t>
  </si>
  <si>
    <t>44009716</t>
  </si>
  <si>
    <t>フジミヤサカデンキ</t>
  </si>
  <si>
    <t>874-0034</t>
  </si>
  <si>
    <t>44009718</t>
  </si>
  <si>
    <t>トウコウケンセツ</t>
  </si>
  <si>
    <t>874-0915</t>
  </si>
  <si>
    <t>44009720</t>
  </si>
  <si>
    <t>オオノボーリングコウギヨウ</t>
  </si>
  <si>
    <t>44009721</t>
  </si>
  <si>
    <t>ナカムラケンセツ</t>
  </si>
  <si>
    <t>44009729</t>
  </si>
  <si>
    <t>スミノケンセツ</t>
  </si>
  <si>
    <t>44009733</t>
  </si>
  <si>
    <t>44009745</t>
  </si>
  <si>
    <t>ヤマガドボク</t>
  </si>
  <si>
    <t>44009760</t>
  </si>
  <si>
    <t>ヒダカショウカイ</t>
  </si>
  <si>
    <t>871-0014</t>
  </si>
  <si>
    <t>44009761</t>
  </si>
  <si>
    <t>44009771</t>
  </si>
  <si>
    <t>シノハラコウギョウ</t>
  </si>
  <si>
    <t>44009773</t>
  </si>
  <si>
    <t>イッシンコウサン</t>
  </si>
  <si>
    <t>44009777</t>
  </si>
  <si>
    <t>ヨシイケンセツ</t>
  </si>
  <si>
    <t>872-0022</t>
  </si>
  <si>
    <t>44009778</t>
  </si>
  <si>
    <t>オカヤマコウムテン</t>
  </si>
  <si>
    <t>44009790</t>
  </si>
  <si>
    <t>876-1512</t>
  </si>
  <si>
    <t>44009791</t>
  </si>
  <si>
    <t>ヨノウヅスイドウ</t>
  </si>
  <si>
    <t>44009799</t>
  </si>
  <si>
    <t>ミタライコウギョウ</t>
  </si>
  <si>
    <t>879-3104</t>
  </si>
  <si>
    <t>44009808</t>
  </si>
  <si>
    <t>タカハシケンセツ</t>
  </si>
  <si>
    <t>44009810</t>
  </si>
  <si>
    <t>ノツデンセツコウギョウ</t>
  </si>
  <si>
    <t>44009813</t>
  </si>
  <si>
    <t>シゲタデンキ</t>
  </si>
  <si>
    <t>44009819</t>
  </si>
  <si>
    <t>ホリウチショウカイキツキキュウユジョ</t>
  </si>
  <si>
    <t>44009820</t>
  </si>
  <si>
    <t>オオイエジュウケン</t>
  </si>
  <si>
    <t>44009821</t>
  </si>
  <si>
    <t>ヘミン</t>
  </si>
  <si>
    <t>44009825</t>
  </si>
  <si>
    <t>サトウサンギョウ</t>
  </si>
  <si>
    <t>44009842</t>
  </si>
  <si>
    <t>タカセコウギョウ</t>
  </si>
  <si>
    <t>877-1244</t>
  </si>
  <si>
    <t>44009853</t>
  </si>
  <si>
    <t>ワタナベセキチョウコウボウ</t>
  </si>
  <si>
    <t>877-0024</t>
  </si>
  <si>
    <t>44009860</t>
  </si>
  <si>
    <t>アクアギケン</t>
  </si>
  <si>
    <t>874-0011</t>
  </si>
  <si>
    <t>44009874</t>
  </si>
  <si>
    <t>マルハチケンセツ</t>
  </si>
  <si>
    <t>44009876</t>
  </si>
  <si>
    <t>コウノケンセツ</t>
  </si>
  <si>
    <t>44009884</t>
  </si>
  <si>
    <t>サンシンショウジ</t>
  </si>
  <si>
    <t>44009894</t>
  </si>
  <si>
    <t>サンシンドウロ</t>
  </si>
  <si>
    <t>44009896</t>
  </si>
  <si>
    <t>タマダセキザイテン</t>
  </si>
  <si>
    <t>44009904</t>
  </si>
  <si>
    <t>ヒヤカワコウケン</t>
  </si>
  <si>
    <t>44009914</t>
  </si>
  <si>
    <t>タマイコウギョウ</t>
  </si>
  <si>
    <t>44009919</t>
  </si>
  <si>
    <t>ニシニホンケンセツ</t>
  </si>
  <si>
    <t>44009921</t>
  </si>
  <si>
    <t>フルゾノリョクチケンセツ</t>
  </si>
  <si>
    <t>44009924</t>
  </si>
  <si>
    <t>サンライン</t>
  </si>
  <si>
    <t>870-0314</t>
  </si>
  <si>
    <t>44009926</t>
  </si>
  <si>
    <t>ロードサイン</t>
  </si>
  <si>
    <t>870-0244</t>
  </si>
  <si>
    <t>44009933</t>
  </si>
  <si>
    <t>アドサイン</t>
  </si>
  <si>
    <t>44009938</t>
  </si>
  <si>
    <t>44009944</t>
  </si>
  <si>
    <t>ヒジクレーンコウギョウ</t>
  </si>
  <si>
    <t>44009950</t>
  </si>
  <si>
    <t>オオイタレジンコウギョウ</t>
  </si>
  <si>
    <t>44009951</t>
  </si>
  <si>
    <t>キュウダイエンジニア</t>
  </si>
  <si>
    <t>44009955</t>
  </si>
  <si>
    <t>フジセツ</t>
  </si>
  <si>
    <t>44009956</t>
  </si>
  <si>
    <t>マツオリョクチケンセツ</t>
  </si>
  <si>
    <t>44009962</t>
  </si>
  <si>
    <t>コウエイコウムテン</t>
  </si>
  <si>
    <t>874-0014</t>
  </si>
  <si>
    <t>44009963</t>
  </si>
  <si>
    <t>ベップコウギョウ</t>
  </si>
  <si>
    <t>874-0000</t>
  </si>
  <si>
    <t>44009976</t>
  </si>
  <si>
    <t>マツキジュウキ</t>
  </si>
  <si>
    <t>877-0212</t>
  </si>
  <si>
    <t>44009979</t>
  </si>
  <si>
    <t>ヨシダセキザイテン</t>
  </si>
  <si>
    <t>44009987</t>
  </si>
  <si>
    <t>ジャパングリッド</t>
  </si>
  <si>
    <t>44009996</t>
  </si>
  <si>
    <t>カワノドボク</t>
  </si>
  <si>
    <t>44010016</t>
  </si>
  <si>
    <t>ソウビシャ</t>
  </si>
  <si>
    <t>870-0026</t>
  </si>
  <si>
    <t>44010026</t>
  </si>
  <si>
    <t>カトウケンセツ</t>
  </si>
  <si>
    <t>44010030</t>
  </si>
  <si>
    <t>シンセイケンセツ</t>
  </si>
  <si>
    <t>44010031</t>
  </si>
  <si>
    <t>フジウラ</t>
  </si>
  <si>
    <t>879-6222</t>
  </si>
  <si>
    <t>44010033</t>
  </si>
  <si>
    <t>ヒガシキュウシュウキカイコウギョウ</t>
  </si>
  <si>
    <t>44010043</t>
  </si>
  <si>
    <t>サトウセツビ</t>
  </si>
  <si>
    <t>879-0466</t>
  </si>
  <si>
    <t>44010045</t>
  </si>
  <si>
    <t>44010052</t>
  </si>
  <si>
    <t>オノコウギョウ</t>
  </si>
  <si>
    <t>876-1513</t>
  </si>
  <si>
    <t>44010071</t>
  </si>
  <si>
    <t>カイセイケンセツコウギョウ</t>
  </si>
  <si>
    <t>872-0724</t>
  </si>
  <si>
    <t>44010074</t>
  </si>
  <si>
    <t>アキノリケンセツ</t>
  </si>
  <si>
    <t>874-0848</t>
  </si>
  <si>
    <t>44010079</t>
  </si>
  <si>
    <t>セイコウサンギョウ</t>
  </si>
  <si>
    <t>879-6132</t>
  </si>
  <si>
    <t>44010093</t>
  </si>
  <si>
    <t>テンショウケンセツコウギョウ</t>
  </si>
  <si>
    <t>44010094</t>
  </si>
  <si>
    <t>フクダイケンセツ</t>
  </si>
  <si>
    <t>44010096</t>
  </si>
  <si>
    <t>コクエイエンジニアリング</t>
  </si>
  <si>
    <t>44010099</t>
  </si>
  <si>
    <t>オオノデンセツコウギヨウ</t>
  </si>
  <si>
    <t>44010104</t>
  </si>
  <si>
    <t>アカギケンセツ</t>
  </si>
  <si>
    <t>879-3101</t>
  </si>
  <si>
    <t>44010106</t>
  </si>
  <si>
    <t>イイダコウムテン</t>
  </si>
  <si>
    <t>44010116</t>
  </si>
  <si>
    <t>ボウサイサービス</t>
  </si>
  <si>
    <t>870-1183</t>
  </si>
  <si>
    <t>44010131</t>
  </si>
  <si>
    <t>オガワコウギョウ</t>
  </si>
  <si>
    <t>44010134</t>
  </si>
  <si>
    <t>トヨクラ</t>
  </si>
  <si>
    <t>876-0112</t>
  </si>
  <si>
    <t>44010137</t>
  </si>
  <si>
    <t>モウリコウギョウ</t>
  </si>
  <si>
    <t>44010147</t>
  </si>
  <si>
    <t>トウヨウリョクカ</t>
  </si>
  <si>
    <t>44010150</t>
  </si>
  <si>
    <t>タナカソウゴウケンセツ</t>
  </si>
  <si>
    <t>44010152</t>
  </si>
  <si>
    <t>ジェイエフエンジニアリング</t>
  </si>
  <si>
    <t>44010161</t>
  </si>
  <si>
    <t>センスイリョクカサンギョウ</t>
  </si>
  <si>
    <t>879-4912</t>
  </si>
  <si>
    <t>44010163</t>
  </si>
  <si>
    <t>ヤノガラステン</t>
  </si>
  <si>
    <t>44010167</t>
  </si>
  <si>
    <t>ドイ</t>
  </si>
  <si>
    <t>44010170</t>
  </si>
  <si>
    <t>アサヒケンセツコウギョウ</t>
  </si>
  <si>
    <t>876-0205</t>
  </si>
  <si>
    <t>44010175</t>
  </si>
  <si>
    <t>イノウエトソウ</t>
  </si>
  <si>
    <t>877-1371</t>
  </si>
  <si>
    <t>44010176</t>
  </si>
  <si>
    <t>ノガミコウムテン</t>
  </si>
  <si>
    <t>44010191</t>
  </si>
  <si>
    <t>ゴウヤゾウエン</t>
  </si>
  <si>
    <t>44010204</t>
  </si>
  <si>
    <t>ケンソウ</t>
  </si>
  <si>
    <t>44010207</t>
  </si>
  <si>
    <t>トヨダショウカイ</t>
  </si>
  <si>
    <t>870-0935</t>
  </si>
  <si>
    <t>44010214</t>
  </si>
  <si>
    <t>エトウセイサクショ</t>
  </si>
  <si>
    <t>44010226</t>
  </si>
  <si>
    <t>イズミデンキ</t>
  </si>
  <si>
    <t>870-0105</t>
  </si>
  <si>
    <t>44010227</t>
  </si>
  <si>
    <t>44010234</t>
  </si>
  <si>
    <t>シュウシンケンセツ</t>
  </si>
  <si>
    <t>879-7874</t>
  </si>
  <si>
    <t>44010236</t>
  </si>
  <si>
    <t>イトウスイドウコウギョウショ</t>
  </si>
  <si>
    <t>44010255</t>
  </si>
  <si>
    <t>ノガミジュウケン</t>
  </si>
  <si>
    <t>44010276</t>
  </si>
  <si>
    <t>コジマケンセツ</t>
  </si>
  <si>
    <t>876-2406</t>
  </si>
  <si>
    <t>44010281</t>
  </si>
  <si>
    <t>ダイゼンコウギョウ</t>
  </si>
  <si>
    <t>44010289</t>
  </si>
  <si>
    <t>クワノグミ</t>
  </si>
  <si>
    <t>44010291</t>
  </si>
  <si>
    <t>ヒメーンヤマゾノ</t>
  </si>
  <si>
    <t>44010294</t>
  </si>
  <si>
    <t>ウサゾウエン</t>
  </si>
  <si>
    <t>44010295</t>
  </si>
  <si>
    <t>シンコウデンセツ</t>
  </si>
  <si>
    <t>44010309</t>
  </si>
  <si>
    <t>ダイショウコウサン</t>
  </si>
  <si>
    <t>878-0005</t>
  </si>
  <si>
    <t>44010312</t>
  </si>
  <si>
    <t>カッターアバンセ</t>
  </si>
  <si>
    <t>44010320</t>
  </si>
  <si>
    <t>レイネツギケン</t>
  </si>
  <si>
    <t>44010325</t>
  </si>
  <si>
    <t>44010335</t>
  </si>
  <si>
    <t>アサクノデンギョウシャ</t>
  </si>
  <si>
    <t>44010337</t>
  </si>
  <si>
    <t>カワケンコウギョウ</t>
  </si>
  <si>
    <t>870-1161</t>
  </si>
  <si>
    <t>44010339</t>
  </si>
  <si>
    <t>ホリデンキ</t>
  </si>
  <si>
    <t>44010348</t>
  </si>
  <si>
    <t>44010374</t>
  </si>
  <si>
    <t>ケンナンケンセツコウギョウ</t>
  </si>
  <si>
    <t>44010376</t>
  </si>
  <si>
    <t>ワタナベスイドウ</t>
  </si>
  <si>
    <t>44010377</t>
  </si>
  <si>
    <t>ダイソウ</t>
  </si>
  <si>
    <t>44010382</t>
  </si>
  <si>
    <t>エトウスイドウセツビ</t>
  </si>
  <si>
    <t>879-6912</t>
  </si>
  <si>
    <t>44010392</t>
  </si>
  <si>
    <t>セイワ</t>
  </si>
  <si>
    <t>44010412</t>
  </si>
  <si>
    <t>サンワスイコウ</t>
  </si>
  <si>
    <t>44010417</t>
  </si>
  <si>
    <t>ハチマンセツビ</t>
  </si>
  <si>
    <t>872-0102</t>
  </si>
  <si>
    <t>44010419</t>
  </si>
  <si>
    <t>イシカワコウギョウ</t>
  </si>
  <si>
    <t>44010420</t>
  </si>
  <si>
    <t>イケベゾウエン</t>
  </si>
  <si>
    <t>870-0327</t>
  </si>
  <si>
    <t>44010434</t>
  </si>
  <si>
    <t>カワショウ</t>
  </si>
  <si>
    <t>44010437</t>
  </si>
  <si>
    <t>サンコウ</t>
  </si>
  <si>
    <t>44010461</t>
  </si>
  <si>
    <t>ヒガシオオイタノヴェル</t>
  </si>
  <si>
    <t>44010468</t>
  </si>
  <si>
    <t>ヒロケンセツ</t>
  </si>
  <si>
    <t>44010472</t>
  </si>
  <si>
    <t>トリゴエケンセツ</t>
  </si>
  <si>
    <t>44010477</t>
  </si>
  <si>
    <t>カンダサンギョウ</t>
  </si>
  <si>
    <t>44010491</t>
  </si>
  <si>
    <t>ミドリサンギョウ</t>
  </si>
  <si>
    <t>44010492</t>
  </si>
  <si>
    <t>オーエムケイ</t>
  </si>
  <si>
    <t>44010494</t>
  </si>
  <si>
    <t>パシックデンコウ</t>
  </si>
  <si>
    <t>44010499</t>
  </si>
  <si>
    <t>マツオセツビ</t>
  </si>
  <si>
    <t>44010502</t>
  </si>
  <si>
    <t>サナダコウムテン</t>
  </si>
  <si>
    <t>44010506</t>
  </si>
  <si>
    <t>クスリョクカケンセツ</t>
  </si>
  <si>
    <t>44010507</t>
  </si>
  <si>
    <t>サガラデンキショウカイ</t>
  </si>
  <si>
    <t>44010509</t>
  </si>
  <si>
    <t>セイブカイハツ</t>
  </si>
  <si>
    <t>44010518</t>
  </si>
  <si>
    <t>ニッポウコウギョウシャ</t>
  </si>
  <si>
    <t>44010520</t>
  </si>
  <si>
    <t>ハサマカンコウ</t>
  </si>
  <si>
    <t>44010526</t>
  </si>
  <si>
    <t>ミサトデンセツ</t>
  </si>
  <si>
    <t>871-0716</t>
  </si>
  <si>
    <t>44010546</t>
  </si>
  <si>
    <t>ヤマムラセツビコウギョウ</t>
  </si>
  <si>
    <t>870-0926</t>
  </si>
  <si>
    <t>44010549</t>
  </si>
  <si>
    <t>シュトウゾウエン</t>
  </si>
  <si>
    <t>44010554</t>
  </si>
  <si>
    <t>オノコウムテン</t>
  </si>
  <si>
    <t>44010560</t>
  </si>
  <si>
    <t>オオイタイジ</t>
  </si>
  <si>
    <t>870-0154</t>
  </si>
  <si>
    <t>44010572</t>
  </si>
  <si>
    <t>ガイナンコウギョウ</t>
  </si>
  <si>
    <t>44010579</t>
  </si>
  <si>
    <t>ムサシケンセツ</t>
  </si>
  <si>
    <t>44010580</t>
  </si>
  <si>
    <t>コムレケンセツ</t>
  </si>
  <si>
    <t>879-6201</t>
  </si>
  <si>
    <t>44010582</t>
  </si>
  <si>
    <t>シンエイケンセツコウギョウ</t>
  </si>
  <si>
    <t>879-0111</t>
  </si>
  <si>
    <t>44010587</t>
  </si>
  <si>
    <t>エムシー</t>
  </si>
  <si>
    <t>44010588</t>
  </si>
  <si>
    <t>キョウエイケンセツコウギョウ</t>
  </si>
  <si>
    <t>872-0104</t>
  </si>
  <si>
    <t>44010589</t>
  </si>
  <si>
    <t>ダイトクサンギョウ</t>
  </si>
  <si>
    <t>879-7141</t>
  </si>
  <si>
    <t>44010591</t>
  </si>
  <si>
    <t>キラコウギョウショ</t>
  </si>
  <si>
    <t>44010598</t>
  </si>
  <si>
    <t>ヒガシオオイタガーデン</t>
  </si>
  <si>
    <t>870-0271</t>
  </si>
  <si>
    <t>44010603</t>
  </si>
  <si>
    <t>シュトウコウムテン</t>
  </si>
  <si>
    <t>44010605</t>
  </si>
  <si>
    <t>タカフジ</t>
  </si>
  <si>
    <t>44010607</t>
  </si>
  <si>
    <t>キノシタチクロ</t>
  </si>
  <si>
    <t>870-0272</t>
  </si>
  <si>
    <t>44010608</t>
  </si>
  <si>
    <t>キョウワケンセツコウギョウ</t>
  </si>
  <si>
    <t>879-0233</t>
  </si>
  <si>
    <t>44010615</t>
  </si>
  <si>
    <t>ムクノコウムテン</t>
  </si>
  <si>
    <t>871-0007</t>
  </si>
  <si>
    <t>44010622</t>
  </si>
  <si>
    <t>ヒキダデンコウ</t>
  </si>
  <si>
    <t>875-0063</t>
  </si>
  <si>
    <t>44010631</t>
  </si>
  <si>
    <t>サンスポーツコウギョウ</t>
  </si>
  <si>
    <t>44010635</t>
  </si>
  <si>
    <t>メイヨウコウムテン</t>
  </si>
  <si>
    <t>44010649</t>
  </si>
  <si>
    <t>ツインデック</t>
  </si>
  <si>
    <t>44010650</t>
  </si>
  <si>
    <t>イノウエコウギョウ</t>
  </si>
  <si>
    <t>44010656</t>
  </si>
  <si>
    <t>シンキュウシュウ</t>
  </si>
  <si>
    <t>44010657</t>
  </si>
  <si>
    <t>ヤノギケン</t>
  </si>
  <si>
    <t>879-4722</t>
  </si>
  <si>
    <t>44010658</t>
  </si>
  <si>
    <t>フジモトシセツ</t>
  </si>
  <si>
    <t>44010675</t>
  </si>
  <si>
    <t>フカノケンセツ</t>
  </si>
  <si>
    <t>44010677</t>
  </si>
  <si>
    <t>イッセイコウムテン</t>
  </si>
  <si>
    <t>44010682</t>
  </si>
  <si>
    <t>オオイタエージェンシー</t>
  </si>
  <si>
    <t>870-0171</t>
  </si>
  <si>
    <t>44010683</t>
  </si>
  <si>
    <t>ベップシカンコウジ</t>
  </si>
  <si>
    <t>44010686</t>
  </si>
  <si>
    <t>テラワキサンギョウ</t>
  </si>
  <si>
    <t>44010689</t>
  </si>
  <si>
    <t>コウセイサンギョウ</t>
  </si>
  <si>
    <t>44010696</t>
  </si>
  <si>
    <t>サカイコウギョウ</t>
  </si>
  <si>
    <t>877-0114</t>
  </si>
  <si>
    <t>44010697</t>
  </si>
  <si>
    <t>イトウボーリング</t>
  </si>
  <si>
    <t>44010705</t>
  </si>
  <si>
    <t>ワダデンキコウジ</t>
  </si>
  <si>
    <t>870-1130</t>
  </si>
  <si>
    <t>44010712</t>
  </si>
  <si>
    <t>オオイタカオクカイタイ</t>
  </si>
  <si>
    <t>870-0853</t>
  </si>
  <si>
    <t>44010729</t>
  </si>
  <si>
    <t>トーコーケンセツ</t>
  </si>
  <si>
    <t>871-0313</t>
  </si>
  <si>
    <t>44010734</t>
  </si>
  <si>
    <t>オールマイト</t>
  </si>
  <si>
    <t>44010739</t>
  </si>
  <si>
    <t>タカモトグミ</t>
  </si>
  <si>
    <t>44010740</t>
  </si>
  <si>
    <t>ニッシンケンセツコウギョウ</t>
  </si>
  <si>
    <t>879-1302</t>
  </si>
  <si>
    <t>44010741</t>
  </si>
  <si>
    <t>ヒガシキュウシュウフェンスコウギョウ</t>
  </si>
  <si>
    <t>879-0304</t>
  </si>
  <si>
    <t>44010744</t>
  </si>
  <si>
    <t>メイワジオテック</t>
  </si>
  <si>
    <t>870-0245</t>
  </si>
  <si>
    <t>44010747</t>
  </si>
  <si>
    <t>ブンゴケンセツ</t>
  </si>
  <si>
    <t>44010760</t>
  </si>
  <si>
    <t>ベツデンコウギョウ</t>
  </si>
  <si>
    <t>44010766</t>
  </si>
  <si>
    <t>アイワフドウサンケンセツ</t>
  </si>
  <si>
    <t>44010769</t>
  </si>
  <si>
    <t>ミヤゾノデンソウ</t>
  </si>
  <si>
    <t>870-0885</t>
  </si>
  <si>
    <t>44010778</t>
  </si>
  <si>
    <t>マツダテイエン</t>
  </si>
  <si>
    <t>44010780</t>
  </si>
  <si>
    <t>サンシンスイドウ</t>
  </si>
  <si>
    <t>44010782</t>
  </si>
  <si>
    <t>キクチデンキコウギョウ</t>
  </si>
  <si>
    <t>876-0836</t>
  </si>
  <si>
    <t>44010785</t>
  </si>
  <si>
    <t>アイネット</t>
  </si>
  <si>
    <t>44010796</t>
  </si>
  <si>
    <t>ショウワコウギョウ</t>
  </si>
  <si>
    <t>44010802</t>
  </si>
  <si>
    <t>ニホンハイカン</t>
  </si>
  <si>
    <t>44010804</t>
  </si>
  <si>
    <t>キュウケンシセツ</t>
  </si>
  <si>
    <t>872-0471</t>
  </si>
  <si>
    <t>44010810</t>
  </si>
  <si>
    <t>カイカンコウジ</t>
  </si>
  <si>
    <t>44010831</t>
  </si>
  <si>
    <t>ヨシオカトソウ</t>
  </si>
  <si>
    <t>44010834</t>
  </si>
  <si>
    <t>サンエイケンセツコウギョウ</t>
  </si>
  <si>
    <t>44010836</t>
  </si>
  <si>
    <t>ナカシマギケンコウギョウ</t>
  </si>
  <si>
    <t>870-1126</t>
  </si>
  <si>
    <t>44010842</t>
  </si>
  <si>
    <t>ツカサ</t>
  </si>
  <si>
    <t>879-4123</t>
  </si>
  <si>
    <t>44010852</t>
  </si>
  <si>
    <t>マルフジコウギョウ</t>
  </si>
  <si>
    <t>44010857</t>
  </si>
  <si>
    <t>クリーンアップ</t>
  </si>
  <si>
    <t>44010860</t>
  </si>
  <si>
    <t>クロダケンショウ</t>
  </si>
  <si>
    <t>44010861</t>
  </si>
  <si>
    <t>サトウグリーン</t>
  </si>
  <si>
    <t>872-0843</t>
  </si>
  <si>
    <t>44010867</t>
  </si>
  <si>
    <t>オオイタニホンムセンサービス</t>
  </si>
  <si>
    <t>44010875</t>
  </si>
  <si>
    <t>ノザキケンチク</t>
  </si>
  <si>
    <t>44010877</t>
  </si>
  <si>
    <t>サンワエンジニアリング</t>
  </si>
  <si>
    <t>44010893</t>
  </si>
  <si>
    <t>コクヨウサンギョウ</t>
  </si>
  <si>
    <t>44010896</t>
  </si>
  <si>
    <t>サンプラス</t>
  </si>
  <si>
    <t>44010905</t>
  </si>
  <si>
    <t>トミマツケンセツ</t>
  </si>
  <si>
    <t>44010910</t>
  </si>
  <si>
    <t>カトウドボク</t>
  </si>
  <si>
    <t>44010911</t>
  </si>
  <si>
    <t>ヤマモトハツリコウギョウ</t>
  </si>
  <si>
    <t>874-0032</t>
  </si>
  <si>
    <t>44010921</t>
  </si>
  <si>
    <t>ワタナベサンギョウ</t>
  </si>
  <si>
    <t>870-0315</t>
  </si>
  <si>
    <t>44010925</t>
  </si>
  <si>
    <t>ヤマシタリョクカ</t>
  </si>
  <si>
    <t>44010928</t>
  </si>
  <si>
    <t>ファイバーテクノス</t>
  </si>
  <si>
    <t>877-1232</t>
  </si>
  <si>
    <t>44010937</t>
  </si>
  <si>
    <t>ダイトー</t>
  </si>
  <si>
    <t>879-7131</t>
  </si>
  <si>
    <t>44010960</t>
  </si>
  <si>
    <t>サトウテッコウ</t>
  </si>
  <si>
    <t>879-5532</t>
  </si>
  <si>
    <t>44010967</t>
  </si>
  <si>
    <t>ニホンコウジコウコク</t>
  </si>
  <si>
    <t>44010968</t>
  </si>
  <si>
    <t>モリグチデンセツ</t>
  </si>
  <si>
    <t>44010976</t>
  </si>
  <si>
    <t>ワカヤマデンセツ</t>
  </si>
  <si>
    <t>44010979</t>
  </si>
  <si>
    <t>アダチキコウ</t>
  </si>
  <si>
    <t>870-0041</t>
  </si>
  <si>
    <t>44010984</t>
  </si>
  <si>
    <t>サンキョウセツビ</t>
  </si>
  <si>
    <t>44010988</t>
  </si>
  <si>
    <t>ハレヤケンチクコウボウイッキュウケンチクシジムショ</t>
  </si>
  <si>
    <t>44010992</t>
  </si>
  <si>
    <t>ツツイゾウエンドボク</t>
  </si>
  <si>
    <t>870-0325</t>
  </si>
  <si>
    <t>44010999</t>
  </si>
  <si>
    <t>テルコウギョウ</t>
  </si>
  <si>
    <t>44011002</t>
  </si>
  <si>
    <t>アペックスコウギョウ</t>
  </si>
  <si>
    <t>44011012</t>
  </si>
  <si>
    <t>フクコー</t>
  </si>
  <si>
    <t>44011013</t>
  </si>
  <si>
    <t>カンセイ</t>
  </si>
  <si>
    <t>877-0026</t>
  </si>
  <si>
    <t>44011018</t>
  </si>
  <si>
    <t>オオバトソウ</t>
  </si>
  <si>
    <t>879-4203</t>
  </si>
  <si>
    <t>44011019</t>
  </si>
  <si>
    <t>ミック</t>
  </si>
  <si>
    <t>44011031</t>
  </si>
  <si>
    <t>ウエダカンキョウエイセイ</t>
  </si>
  <si>
    <t>44011033</t>
  </si>
  <si>
    <t>44011041</t>
  </si>
  <si>
    <t>エスエスリョッカサンギョウ</t>
  </si>
  <si>
    <t>44011049</t>
  </si>
  <si>
    <t>タイシン</t>
  </si>
  <si>
    <t>44011052</t>
  </si>
  <si>
    <t>ワコーエンジニアリング</t>
  </si>
  <si>
    <t>870-0916</t>
  </si>
  <si>
    <t>44011053</t>
  </si>
  <si>
    <t>キムラドボク</t>
  </si>
  <si>
    <t>44011062</t>
  </si>
  <si>
    <t>シンセイコウギョウ</t>
  </si>
  <si>
    <t>44011075</t>
  </si>
  <si>
    <t>ハーモニーリョクカエン</t>
  </si>
  <si>
    <t>44011077</t>
  </si>
  <si>
    <t>サンエイジュウキケンセツ</t>
  </si>
  <si>
    <t>879-5518</t>
  </si>
  <si>
    <t>44011105</t>
  </si>
  <si>
    <t>ナラギケン</t>
  </si>
  <si>
    <t>879-0473</t>
  </si>
  <si>
    <t>44011106</t>
  </si>
  <si>
    <t>サンキューアート</t>
  </si>
  <si>
    <t>870-1173</t>
  </si>
  <si>
    <t>44011107</t>
  </si>
  <si>
    <t>タイチ</t>
  </si>
  <si>
    <t>870-0872</t>
  </si>
  <si>
    <t>44011108</t>
  </si>
  <si>
    <t>44011109</t>
  </si>
  <si>
    <t>タイセイコウギョウ</t>
  </si>
  <si>
    <t>44011122</t>
  </si>
  <si>
    <t>ティエイセツビ</t>
  </si>
  <si>
    <t>44011129</t>
  </si>
  <si>
    <t>ホウヒシャッターメンテナンス</t>
  </si>
  <si>
    <t>879-7152</t>
  </si>
  <si>
    <t>44011136</t>
  </si>
  <si>
    <t>キノカイハツ</t>
  </si>
  <si>
    <t>44011138</t>
  </si>
  <si>
    <t>フジイコウムテン</t>
  </si>
  <si>
    <t>44011142</t>
  </si>
  <si>
    <t>タイヨウ</t>
  </si>
  <si>
    <t>44011145</t>
  </si>
  <si>
    <t>ミウラデンギョウシャ</t>
  </si>
  <si>
    <t>44011148</t>
  </si>
  <si>
    <t>アトダケンセツ</t>
  </si>
  <si>
    <t>44011161</t>
  </si>
  <si>
    <t>44011165</t>
  </si>
  <si>
    <t>サンキョウノウエンザイ</t>
  </si>
  <si>
    <t>44011171</t>
  </si>
  <si>
    <t>カワナカケンセツ</t>
  </si>
  <si>
    <t>44011186</t>
  </si>
  <si>
    <t>44011188</t>
  </si>
  <si>
    <t>44011190</t>
  </si>
  <si>
    <t>ナカニシケンセツコウギョウ</t>
  </si>
  <si>
    <t>879-2682</t>
  </si>
  <si>
    <t>44011199</t>
  </si>
  <si>
    <t>カワムカイコウギョウ</t>
  </si>
  <si>
    <t>44011213</t>
  </si>
  <si>
    <t>ルーテツク</t>
  </si>
  <si>
    <t>44011214</t>
  </si>
  <si>
    <t>キュウケン</t>
  </si>
  <si>
    <t>44011227</t>
  </si>
  <si>
    <t>アンドウセツビ</t>
  </si>
  <si>
    <t>879-0601</t>
  </si>
  <si>
    <t>44011232</t>
  </si>
  <si>
    <t>ミウラゾウセンショ</t>
  </si>
  <si>
    <t>876-0011</t>
  </si>
  <si>
    <t>44011252</t>
  </si>
  <si>
    <t>ヒガシケンセツ</t>
  </si>
  <si>
    <t>878-0035</t>
  </si>
  <si>
    <t>44011256</t>
  </si>
  <si>
    <t>イワシタソウゴウケンセツ</t>
  </si>
  <si>
    <t>879-4121</t>
  </si>
  <si>
    <t>44011257</t>
  </si>
  <si>
    <t>オノヤ</t>
  </si>
  <si>
    <t>44011258</t>
  </si>
  <si>
    <t>エイティーキコウ</t>
  </si>
  <si>
    <t>44011263</t>
  </si>
  <si>
    <t>シンデンギョウ</t>
  </si>
  <si>
    <t>876-2404</t>
  </si>
  <si>
    <t>44011266</t>
  </si>
  <si>
    <t>ウエダコウギョウ</t>
  </si>
  <si>
    <t>44011274</t>
  </si>
  <si>
    <t>トウキュウサービス</t>
  </si>
  <si>
    <t>44011279</t>
  </si>
  <si>
    <t>フウゲンドボク</t>
  </si>
  <si>
    <t>44011281</t>
  </si>
  <si>
    <t>ナイトウグミ</t>
  </si>
  <si>
    <t>875-0231</t>
  </si>
  <si>
    <t>44011282</t>
  </si>
  <si>
    <t>フジモトグミ</t>
  </si>
  <si>
    <t>44011285</t>
  </si>
  <si>
    <t>キュウカンツウ</t>
  </si>
  <si>
    <t>44011287</t>
  </si>
  <si>
    <t>コウダイコウサン</t>
  </si>
  <si>
    <t>44011289</t>
  </si>
  <si>
    <t>キョウリツコウギョウ</t>
  </si>
  <si>
    <t>44011298</t>
  </si>
  <si>
    <t>ナカノケンセツ</t>
  </si>
  <si>
    <t>872-0044</t>
  </si>
  <si>
    <t>44011311</t>
  </si>
  <si>
    <t>キュウケンクラフト</t>
  </si>
  <si>
    <t>44011312</t>
  </si>
  <si>
    <t>ダイイチコウギョウ</t>
  </si>
  <si>
    <t>44011328</t>
  </si>
  <si>
    <t>カワノデンキコウジ</t>
  </si>
  <si>
    <t>44011333</t>
  </si>
  <si>
    <t>クスダカイハツコウギョウ</t>
  </si>
  <si>
    <t>44011343</t>
  </si>
  <si>
    <t>モリヤマケンセツ</t>
  </si>
  <si>
    <t>877-1111</t>
  </si>
  <si>
    <t>44011344</t>
  </si>
  <si>
    <t>ナカムラケンザイテン</t>
  </si>
  <si>
    <t>44011351</t>
  </si>
  <si>
    <t>ハマジデンキ</t>
  </si>
  <si>
    <t>44011358</t>
  </si>
  <si>
    <t>エムアールエー</t>
  </si>
  <si>
    <t>44011362</t>
  </si>
  <si>
    <t>シンエイデンセツ</t>
  </si>
  <si>
    <t>875-0237</t>
  </si>
  <si>
    <t>44011369</t>
  </si>
  <si>
    <t>イナオケンセツ</t>
  </si>
  <si>
    <t>879-2111</t>
  </si>
  <si>
    <t>44011370</t>
  </si>
  <si>
    <t>アイエヌシーワース</t>
  </si>
  <si>
    <t>44011374</t>
  </si>
  <si>
    <t>カメイデンキコウジ</t>
  </si>
  <si>
    <t>873-0031</t>
  </si>
  <si>
    <t>44011403</t>
  </si>
  <si>
    <t>タケウチケンチク</t>
  </si>
  <si>
    <t>44011405</t>
  </si>
  <si>
    <t>ココノエフジギケン</t>
  </si>
  <si>
    <t>44011406</t>
  </si>
  <si>
    <t>カワゾエデンコウ</t>
  </si>
  <si>
    <t>44011414</t>
  </si>
  <si>
    <t>エムエーディ</t>
  </si>
  <si>
    <t>44011415</t>
  </si>
  <si>
    <t>サトウジュウキケンセツ</t>
  </si>
  <si>
    <t>44011426</t>
  </si>
  <si>
    <t>タツコウムテン</t>
  </si>
  <si>
    <t>876-2203</t>
  </si>
  <si>
    <t>44011436</t>
  </si>
  <si>
    <t>タケミヤトソウ</t>
  </si>
  <si>
    <t>44011441</t>
  </si>
  <si>
    <t>ダイコーツウシン</t>
  </si>
  <si>
    <t>44011443</t>
  </si>
  <si>
    <t>タイシンケンセツ</t>
  </si>
  <si>
    <t>44011450</t>
  </si>
  <si>
    <t>セーフテイ</t>
  </si>
  <si>
    <t>44011455</t>
  </si>
  <si>
    <t>ヤマダコウギョウ</t>
  </si>
  <si>
    <t>44011466</t>
  </si>
  <si>
    <t>ティエムキカク</t>
  </si>
  <si>
    <t>44011481</t>
  </si>
  <si>
    <t>タニグチサンギョウ</t>
  </si>
  <si>
    <t>44011494</t>
  </si>
  <si>
    <t>オオカワギケン</t>
  </si>
  <si>
    <t>870-0889</t>
  </si>
  <si>
    <t>44011520</t>
  </si>
  <si>
    <t>コウシンドボク</t>
  </si>
  <si>
    <t>44011525</t>
  </si>
  <si>
    <t>セイホウサンギョウ</t>
  </si>
  <si>
    <t>44011528</t>
  </si>
  <si>
    <t>ハヤミハウジング</t>
  </si>
  <si>
    <t>44011539</t>
  </si>
  <si>
    <t>ワカバヤシスイドウコウギョウショ</t>
  </si>
  <si>
    <t>44011553</t>
  </si>
  <si>
    <t>ヒラヤマサンギョウ</t>
  </si>
  <si>
    <t>879-0223</t>
  </si>
  <si>
    <t>44011571</t>
  </si>
  <si>
    <t>アキヨシデンキコウジ</t>
  </si>
  <si>
    <t>44011581</t>
  </si>
  <si>
    <t>シオデモッコウ</t>
  </si>
  <si>
    <t>44011588</t>
  </si>
  <si>
    <t>タカモトコウギョウ</t>
  </si>
  <si>
    <t>44011597</t>
  </si>
  <si>
    <t>キュウシュウビカンサンギョウ</t>
  </si>
  <si>
    <t>875-0079</t>
  </si>
  <si>
    <t>44011605</t>
  </si>
  <si>
    <t>アサノ</t>
  </si>
  <si>
    <t>44011635</t>
  </si>
  <si>
    <t>ユニオンコウギョウ</t>
  </si>
  <si>
    <t>44011647</t>
  </si>
  <si>
    <t>アキヨシケンセツ</t>
  </si>
  <si>
    <t>870-1223</t>
  </si>
  <si>
    <t>44011650</t>
  </si>
  <si>
    <t>44011653</t>
  </si>
  <si>
    <t>テラヤマドボク</t>
  </si>
  <si>
    <t>44011655</t>
  </si>
  <si>
    <t>ハヤシコウアン</t>
  </si>
  <si>
    <t>44011658</t>
  </si>
  <si>
    <t>フジデンキセツビ</t>
  </si>
  <si>
    <t>44011673</t>
  </si>
  <si>
    <t>ユウセイケンセツ</t>
  </si>
  <si>
    <t>44011695</t>
  </si>
  <si>
    <t>ヤスダデンキ</t>
  </si>
  <si>
    <t>871-0033</t>
  </si>
  <si>
    <t>44011696</t>
  </si>
  <si>
    <t>フレンドクサバ</t>
  </si>
  <si>
    <t>44011703</t>
  </si>
  <si>
    <t>ヨシタケケンセツコウギョウ</t>
  </si>
  <si>
    <t>44011706</t>
  </si>
  <si>
    <t>コウウン</t>
  </si>
  <si>
    <t>44011730</t>
  </si>
  <si>
    <t>ミネケンセツ</t>
  </si>
  <si>
    <t>44011731</t>
  </si>
  <si>
    <t>ユウダイケンセツ</t>
  </si>
  <si>
    <t>44011736</t>
  </si>
  <si>
    <t>ツルダケンセツ</t>
  </si>
  <si>
    <t>44011737</t>
  </si>
  <si>
    <t>トシミツケンセツコウギョウ</t>
  </si>
  <si>
    <t>44011738</t>
  </si>
  <si>
    <t>ミライソウゴウケンセツ</t>
  </si>
  <si>
    <t>44011757</t>
  </si>
  <si>
    <t>ベップヒョウグセンター</t>
  </si>
  <si>
    <t>44011759</t>
  </si>
  <si>
    <t>ジョウコウコウギョウ</t>
  </si>
  <si>
    <t>44011760</t>
  </si>
  <si>
    <t>スポーツテックノア</t>
  </si>
  <si>
    <t>877-1225</t>
  </si>
  <si>
    <t>44011765</t>
  </si>
  <si>
    <t>モリケンチク</t>
  </si>
  <si>
    <t>879-4724</t>
  </si>
  <si>
    <t>44011768</t>
  </si>
  <si>
    <t>ブンゴアンゼン</t>
  </si>
  <si>
    <t>44011774</t>
  </si>
  <si>
    <t>ホームプランニングオオイタ</t>
  </si>
  <si>
    <t>44011775</t>
  </si>
  <si>
    <t>アキヨシコウギョウ</t>
  </si>
  <si>
    <t>871-0002</t>
  </si>
  <si>
    <t>44011776</t>
  </si>
  <si>
    <t>ミドリカンキョウギジュツ</t>
  </si>
  <si>
    <t>44011783</t>
  </si>
  <si>
    <t>サカエ</t>
  </si>
  <si>
    <t>44011792</t>
  </si>
  <si>
    <t>サガラケンチク</t>
  </si>
  <si>
    <t>879-4301</t>
  </si>
  <si>
    <t>44011794</t>
  </si>
  <si>
    <t>879-0312</t>
  </si>
  <si>
    <t>44011795</t>
  </si>
  <si>
    <t>ベネッツ</t>
  </si>
  <si>
    <t>44011798</t>
  </si>
  <si>
    <t>リュウテック</t>
  </si>
  <si>
    <t>44011800</t>
  </si>
  <si>
    <t>ハラダコウムテン</t>
  </si>
  <si>
    <t>879-0236</t>
  </si>
  <si>
    <t>44011802</t>
  </si>
  <si>
    <t>ニッセイトップ</t>
  </si>
  <si>
    <t>44011804</t>
  </si>
  <si>
    <t>ワタナベキカク</t>
  </si>
  <si>
    <t>44011806</t>
  </si>
  <si>
    <t>アイテク</t>
  </si>
  <si>
    <t>44011808</t>
  </si>
  <si>
    <t>コウエイコウギョウ</t>
  </si>
  <si>
    <t>44011810</t>
  </si>
  <si>
    <t>ヨシミケンセツ</t>
  </si>
  <si>
    <t>44011816</t>
  </si>
  <si>
    <t>タマダ</t>
  </si>
  <si>
    <t>44011825</t>
  </si>
  <si>
    <t>アサヒデンキ</t>
  </si>
  <si>
    <t>44011839</t>
  </si>
  <si>
    <t>サカモトコウギョウショ</t>
  </si>
  <si>
    <t>879-5424</t>
  </si>
  <si>
    <t>44011840</t>
  </si>
  <si>
    <t>クリアス</t>
  </si>
  <si>
    <t>870-0165</t>
  </si>
  <si>
    <t>44011842</t>
  </si>
  <si>
    <t>メイホウケンセツ</t>
  </si>
  <si>
    <t>44011845</t>
  </si>
  <si>
    <t>アシカリケンチク</t>
  </si>
  <si>
    <t>879-7105</t>
  </si>
  <si>
    <t>44011854</t>
  </si>
  <si>
    <t>ハラハツリコウギョウ</t>
  </si>
  <si>
    <t>44011862</t>
  </si>
  <si>
    <t>ダイケンセツ</t>
  </si>
  <si>
    <t>879-7304</t>
  </si>
  <si>
    <t>44011868</t>
  </si>
  <si>
    <t>イムラデンセツ</t>
  </si>
  <si>
    <t>44011870</t>
  </si>
  <si>
    <t>ダイマパイプ</t>
  </si>
  <si>
    <t>44011888</t>
  </si>
  <si>
    <t>879-7412</t>
  </si>
  <si>
    <t>44011900</t>
  </si>
  <si>
    <t>ウスキソウケン</t>
  </si>
  <si>
    <t>44011908</t>
  </si>
  <si>
    <t>ニホングリーンシステム</t>
  </si>
  <si>
    <t>44011909</t>
  </si>
  <si>
    <t>カワハラケンセツ</t>
  </si>
  <si>
    <t>871-0434</t>
  </si>
  <si>
    <t>44011912</t>
  </si>
  <si>
    <t>ワカサ</t>
  </si>
  <si>
    <t>44011914</t>
  </si>
  <si>
    <t>ヒサエダジュウコウ</t>
  </si>
  <si>
    <t>44011918</t>
  </si>
  <si>
    <t>シンワジュウキ</t>
  </si>
  <si>
    <t>44011919</t>
  </si>
  <si>
    <t>カジワラケンチク</t>
  </si>
  <si>
    <t>879-4404</t>
  </si>
  <si>
    <t>44011922</t>
  </si>
  <si>
    <t>アサヒカンキョウカンリ</t>
  </si>
  <si>
    <t>44011924</t>
  </si>
  <si>
    <t>アナイ</t>
  </si>
  <si>
    <t>44011936</t>
  </si>
  <si>
    <t>ソウヨウ</t>
  </si>
  <si>
    <t>44011937</t>
  </si>
  <si>
    <t>オノアキグミ</t>
  </si>
  <si>
    <t>876-0202</t>
  </si>
  <si>
    <t>44011944</t>
  </si>
  <si>
    <t>オオウチセツビ</t>
  </si>
  <si>
    <t>44011956</t>
  </si>
  <si>
    <t>マルダイサンギョウ</t>
  </si>
  <si>
    <t>44011959</t>
  </si>
  <si>
    <t>コウダリョクチケンセツ</t>
  </si>
  <si>
    <t>877-0065</t>
  </si>
  <si>
    <t>44011961</t>
  </si>
  <si>
    <t>クロカワコウギョウ</t>
  </si>
  <si>
    <t>44011964</t>
  </si>
  <si>
    <t>ダイショウ</t>
  </si>
  <si>
    <t>44011966</t>
  </si>
  <si>
    <t>カズマサケンセツコウギョウ</t>
  </si>
  <si>
    <t>44011969</t>
  </si>
  <si>
    <t>マコトコウギョウ</t>
  </si>
  <si>
    <t>44011972</t>
  </si>
  <si>
    <t>ダイキョウコウギョウ</t>
  </si>
  <si>
    <t>44011982</t>
  </si>
  <si>
    <t>ニシニホンギケン</t>
  </si>
  <si>
    <t>44012018</t>
  </si>
  <si>
    <t>ゴウヤジュウセツ</t>
  </si>
  <si>
    <t>44012022</t>
  </si>
  <si>
    <t>カトウセツビ</t>
  </si>
  <si>
    <t>44012024</t>
  </si>
  <si>
    <t>フタバサンギョウ</t>
  </si>
  <si>
    <t>44012028</t>
  </si>
  <si>
    <t>イーベル</t>
  </si>
  <si>
    <t>44012034</t>
  </si>
  <si>
    <t>インプルーヴ</t>
  </si>
  <si>
    <t>44012043</t>
  </si>
  <si>
    <t>シックアート</t>
  </si>
  <si>
    <t>44012050</t>
  </si>
  <si>
    <t>ニホンダンボウテッコウ</t>
  </si>
  <si>
    <t>44012052</t>
  </si>
  <si>
    <t>ユウショウ</t>
  </si>
  <si>
    <t>44012069</t>
  </si>
  <si>
    <t>ヤマトグリーンシステム</t>
  </si>
  <si>
    <t>44012083</t>
  </si>
  <si>
    <t>シンワリファイン</t>
  </si>
  <si>
    <t>877-0000</t>
  </si>
  <si>
    <t>44012091</t>
  </si>
  <si>
    <t>ケイジーサイコウシャ</t>
  </si>
  <si>
    <t>44012094</t>
  </si>
  <si>
    <t>ハマダケンセツコウギョウ</t>
  </si>
  <si>
    <t>876-0832</t>
  </si>
  <si>
    <t>44012097</t>
  </si>
  <si>
    <t>スイオン</t>
  </si>
  <si>
    <t>44012104</t>
  </si>
  <si>
    <t>サンライズシステム</t>
  </si>
  <si>
    <t>44012105</t>
  </si>
  <si>
    <t>タカエコウギョウ</t>
  </si>
  <si>
    <t>44012117</t>
  </si>
  <si>
    <t>アンシンボウサイ</t>
  </si>
  <si>
    <t>44012120</t>
  </si>
  <si>
    <t>オカムラカンキョウカイハツ</t>
  </si>
  <si>
    <t>870-0307</t>
  </si>
  <si>
    <t>44012121</t>
  </si>
  <si>
    <t>キヨスエデンカサービス</t>
  </si>
  <si>
    <t>873-0211</t>
  </si>
  <si>
    <t>44012123</t>
  </si>
  <si>
    <t>オオイタトシカイハツ</t>
  </si>
  <si>
    <t>44012137</t>
  </si>
  <si>
    <t>ウメサン</t>
  </si>
  <si>
    <t>44012140</t>
  </si>
  <si>
    <t>ツバサ</t>
  </si>
  <si>
    <t>44012146</t>
  </si>
  <si>
    <t>トウドウケンセツ</t>
  </si>
  <si>
    <t>44012149</t>
  </si>
  <si>
    <t>アナンコウギョウ</t>
  </si>
  <si>
    <t>44012158</t>
  </si>
  <si>
    <t>カジワラトソウ</t>
  </si>
  <si>
    <t>879-4405</t>
  </si>
  <si>
    <t>44012164</t>
  </si>
  <si>
    <t>テッケンコウギョウ</t>
  </si>
  <si>
    <t>876-1101</t>
  </si>
  <si>
    <t>44012171</t>
  </si>
  <si>
    <t>ハットクシンギョウ</t>
  </si>
  <si>
    <t>44012172</t>
  </si>
  <si>
    <t>キュウシュウキコウ</t>
  </si>
  <si>
    <t>44012180</t>
  </si>
  <si>
    <t>メイセイデンセツコウギョウ</t>
  </si>
  <si>
    <t>44012187</t>
  </si>
  <si>
    <t>876-0103</t>
  </si>
  <si>
    <t>44012192</t>
  </si>
  <si>
    <t>タチバナケンセツ</t>
  </si>
  <si>
    <t>44012198</t>
  </si>
  <si>
    <t>ヨシカワサンギョウ</t>
  </si>
  <si>
    <t>878-0033</t>
  </si>
  <si>
    <t>44012201</t>
  </si>
  <si>
    <t>ダイカイコウギョウ</t>
  </si>
  <si>
    <t>879-5413</t>
  </si>
  <si>
    <t>44012210</t>
  </si>
  <si>
    <t>センコーキカク</t>
  </si>
  <si>
    <t>44012222</t>
  </si>
  <si>
    <t>ニッケンソウゴウケンセツ</t>
  </si>
  <si>
    <t>44012223</t>
  </si>
  <si>
    <t>シンニホンリョクチ</t>
  </si>
  <si>
    <t>44012225</t>
  </si>
  <si>
    <t>グランテック</t>
  </si>
  <si>
    <t>44012229</t>
  </si>
  <si>
    <t>サンキョウエンジニアリング</t>
  </si>
  <si>
    <t>870-1177</t>
  </si>
  <si>
    <t>44012231</t>
  </si>
  <si>
    <t>ヒマワリ</t>
  </si>
  <si>
    <t>871-0016</t>
  </si>
  <si>
    <t>44012239</t>
  </si>
  <si>
    <t>44012242</t>
  </si>
  <si>
    <t>ビルトコウギョウ</t>
  </si>
  <si>
    <t>44012249</t>
  </si>
  <si>
    <t>シンガイデンキテン</t>
  </si>
  <si>
    <t>879-0152</t>
  </si>
  <si>
    <t>44012255</t>
  </si>
  <si>
    <t>ダイドウサンギョウ</t>
  </si>
  <si>
    <t>44012258</t>
  </si>
  <si>
    <t>アキオカ</t>
  </si>
  <si>
    <t>870-0939</t>
  </si>
  <si>
    <t>44012260</t>
  </si>
  <si>
    <t>ナカミチトーヨー</t>
  </si>
  <si>
    <t>44012262</t>
  </si>
  <si>
    <t>シビルロテックドット</t>
  </si>
  <si>
    <t>44012263</t>
  </si>
  <si>
    <t>メイワカンキョウカイハツ</t>
  </si>
  <si>
    <t>873-0025</t>
  </si>
  <si>
    <t>44012264</t>
  </si>
  <si>
    <t>ミヤウチジュウタク</t>
  </si>
  <si>
    <t>44012270</t>
  </si>
  <si>
    <t>キュウシュウコクドカイハツ</t>
  </si>
  <si>
    <t>44012272</t>
  </si>
  <si>
    <t>アストソイル</t>
  </si>
  <si>
    <t>44012273</t>
  </si>
  <si>
    <t>マルハチエンタープライズ</t>
  </si>
  <si>
    <t>44012274</t>
  </si>
  <si>
    <t>アイデンセツコウギョウ</t>
  </si>
  <si>
    <t>44012279</t>
  </si>
  <si>
    <t>サンシュウケンセツ</t>
  </si>
  <si>
    <t>44012280</t>
  </si>
  <si>
    <t>サトウゾウエン</t>
  </si>
  <si>
    <t>44012296</t>
  </si>
  <si>
    <t>ソウゴウビケン</t>
  </si>
  <si>
    <t>877-0016</t>
  </si>
  <si>
    <t>44012305</t>
  </si>
  <si>
    <t>リュウショウコウギョウ</t>
  </si>
  <si>
    <t>44012314</t>
  </si>
  <si>
    <t>オオイタシグナルワンフジ</t>
  </si>
  <si>
    <t>44012318</t>
  </si>
  <si>
    <t>エヌシーエス</t>
  </si>
  <si>
    <t>44012323</t>
  </si>
  <si>
    <t>タカジョウケンセツ</t>
  </si>
  <si>
    <t>44012325</t>
  </si>
  <si>
    <t>ナゴミキカク</t>
  </si>
  <si>
    <t>870-0015</t>
  </si>
  <si>
    <t>44012326</t>
  </si>
  <si>
    <t>シンエイコウサン</t>
  </si>
  <si>
    <t>44012327</t>
  </si>
  <si>
    <t>ホウワトソウコウギョウ</t>
  </si>
  <si>
    <t>870-0144</t>
  </si>
  <si>
    <t>44012330</t>
  </si>
  <si>
    <t>サンダイケンセツコウギョウ</t>
  </si>
  <si>
    <t>44012332</t>
  </si>
  <si>
    <t>ユフ</t>
  </si>
  <si>
    <t>44012333</t>
  </si>
  <si>
    <t>アイワコウム</t>
  </si>
  <si>
    <t>870-0321</t>
  </si>
  <si>
    <t>44012337</t>
  </si>
  <si>
    <t>ホウジュエン</t>
  </si>
  <si>
    <t>44012338</t>
  </si>
  <si>
    <t>フジミ</t>
  </si>
  <si>
    <t>44012341</t>
  </si>
  <si>
    <t>イージス</t>
  </si>
  <si>
    <t>878-0402</t>
  </si>
  <si>
    <t>44012347</t>
  </si>
  <si>
    <t>エムエスエー</t>
  </si>
  <si>
    <t>870-0042</t>
  </si>
  <si>
    <t>44012348</t>
  </si>
  <si>
    <t>ヒビキ</t>
  </si>
  <si>
    <t>44012350</t>
  </si>
  <si>
    <t>ランドアート</t>
  </si>
  <si>
    <t>870-1108</t>
  </si>
  <si>
    <t>44012354</t>
  </si>
  <si>
    <t>ヤエスケンセツ</t>
  </si>
  <si>
    <t>879-5412</t>
  </si>
  <si>
    <t>44012357</t>
  </si>
  <si>
    <t>エムゼック</t>
  </si>
  <si>
    <t>44012358</t>
  </si>
  <si>
    <t>フロンテエンジニア</t>
  </si>
  <si>
    <t>44012377</t>
  </si>
  <si>
    <t>ダイコクヤサンギョウ</t>
  </si>
  <si>
    <t>44012399</t>
  </si>
  <si>
    <t>ユウセイケンセツコウギョウ</t>
  </si>
  <si>
    <t>44012402</t>
  </si>
  <si>
    <t>トウシン</t>
  </si>
  <si>
    <t>44012410</t>
  </si>
  <si>
    <t>ヒロデン</t>
  </si>
  <si>
    <t>44012421</t>
  </si>
  <si>
    <t>ナガオケンセツ</t>
  </si>
  <si>
    <t>879-7763</t>
  </si>
  <si>
    <t>44012425</t>
  </si>
  <si>
    <t>44012433</t>
  </si>
  <si>
    <t>シンセイセツビ</t>
  </si>
  <si>
    <t>44012447</t>
  </si>
  <si>
    <t>ハウジングトップ</t>
  </si>
  <si>
    <t>44012457</t>
  </si>
  <si>
    <t>コウテック</t>
  </si>
  <si>
    <t>44012458</t>
  </si>
  <si>
    <t>ミエノスイドウ</t>
  </si>
  <si>
    <t>44012459</t>
  </si>
  <si>
    <t>イーエヌジー</t>
  </si>
  <si>
    <t>44012463</t>
  </si>
  <si>
    <t>サンスイ</t>
  </si>
  <si>
    <t>44012466</t>
  </si>
  <si>
    <t>イケダデンキ</t>
  </si>
  <si>
    <t>877-0047</t>
  </si>
  <si>
    <t>44012469</t>
  </si>
  <si>
    <t>ヒラバルコウギョウ</t>
  </si>
  <si>
    <t>44012473</t>
  </si>
  <si>
    <t>スヤマケンセツ</t>
  </si>
  <si>
    <t>876-1203</t>
  </si>
  <si>
    <t>44012476</t>
  </si>
  <si>
    <t>コウア</t>
  </si>
  <si>
    <t>879-0302</t>
  </si>
  <si>
    <t>44012488</t>
  </si>
  <si>
    <t>ダイコウケンセツコウギョウ</t>
  </si>
  <si>
    <t>44012491</t>
  </si>
  <si>
    <t>エスケイテックキュウシュウ</t>
  </si>
  <si>
    <t>870-1167</t>
  </si>
  <si>
    <t>44012502</t>
  </si>
  <si>
    <t>ミウラコウギョウ</t>
  </si>
  <si>
    <t>870-1133</t>
  </si>
  <si>
    <t>44012505</t>
  </si>
  <si>
    <t>グランドアート</t>
  </si>
  <si>
    <t>44012506</t>
  </si>
  <si>
    <t>オオイタクウチョウカンリ</t>
  </si>
  <si>
    <t>44012513</t>
  </si>
  <si>
    <t>44012518</t>
  </si>
  <si>
    <t>ソウザイドボク</t>
  </si>
  <si>
    <t>44012526</t>
  </si>
  <si>
    <t>870-0027</t>
  </si>
  <si>
    <t>44012530</t>
  </si>
  <si>
    <t>オオイタシカンコウジキョウドウクミアイ</t>
  </si>
  <si>
    <t>44012537</t>
  </si>
  <si>
    <t>タケシタドボク</t>
  </si>
  <si>
    <t>877-0073</t>
  </si>
  <si>
    <t>44012542</t>
  </si>
  <si>
    <t>ギコウダン</t>
  </si>
  <si>
    <t>44012547</t>
  </si>
  <si>
    <t>イワマツケンセツ</t>
  </si>
  <si>
    <t>44012548</t>
  </si>
  <si>
    <t>サンテクノ</t>
  </si>
  <si>
    <t>44012549</t>
  </si>
  <si>
    <t>ウメイコウムテン</t>
  </si>
  <si>
    <t>876-2301</t>
  </si>
  <si>
    <t>44012552</t>
  </si>
  <si>
    <t>ウチバヤシ</t>
  </si>
  <si>
    <t>44012555</t>
  </si>
  <si>
    <t>44012559</t>
  </si>
  <si>
    <t>フルサワコウギョウ</t>
  </si>
  <si>
    <t>878-0003</t>
  </si>
  <si>
    <t>44012562</t>
  </si>
  <si>
    <t>シキシマグミ</t>
  </si>
  <si>
    <t>870-0048</t>
  </si>
  <si>
    <t>44012572</t>
  </si>
  <si>
    <t>タイセイジュウケン</t>
  </si>
  <si>
    <t>44012573</t>
  </si>
  <si>
    <t>ナガマツカワラコウギョウ</t>
  </si>
  <si>
    <t>44012580</t>
  </si>
  <si>
    <t>オバタグミ</t>
  </si>
  <si>
    <t>879-5513</t>
  </si>
  <si>
    <t>44012586</t>
  </si>
  <si>
    <t>キュウシュウトクシュドボク</t>
  </si>
  <si>
    <t>44012590</t>
  </si>
  <si>
    <t>エムクラフト</t>
  </si>
  <si>
    <t>44012593</t>
  </si>
  <si>
    <t>ミヤナリカンキョウカイハツ</t>
  </si>
  <si>
    <t>44012605</t>
  </si>
  <si>
    <t>セイカン</t>
  </si>
  <si>
    <t>44012608</t>
  </si>
  <si>
    <t>コウヨウデンセツ</t>
  </si>
  <si>
    <t>44012611</t>
  </si>
  <si>
    <t>イースマイル</t>
  </si>
  <si>
    <t>44012621</t>
  </si>
  <si>
    <t>サンオードウ</t>
  </si>
  <si>
    <t>870-0937</t>
  </si>
  <si>
    <t>44012625</t>
  </si>
  <si>
    <t>44012628</t>
  </si>
  <si>
    <t>オガワショウジ</t>
  </si>
  <si>
    <t>44012634</t>
  </si>
  <si>
    <t>カタオカグミ</t>
  </si>
  <si>
    <t>876-0807</t>
  </si>
  <si>
    <t>44012640</t>
  </si>
  <si>
    <t>ユキセツビコウギョウ</t>
  </si>
  <si>
    <t>44012653</t>
  </si>
  <si>
    <t>ダイグウエンジニア</t>
  </si>
  <si>
    <t>870-1142</t>
  </si>
  <si>
    <t>44012658</t>
  </si>
  <si>
    <t>シダイサンギョウ</t>
  </si>
  <si>
    <t>879-2115</t>
  </si>
  <si>
    <t>44012666</t>
  </si>
  <si>
    <t>メイセイコウギョウ</t>
  </si>
  <si>
    <t>44012675</t>
  </si>
  <si>
    <t>キュウエイショウジ</t>
  </si>
  <si>
    <t>44012676</t>
  </si>
  <si>
    <t>イワオコウギョウ</t>
  </si>
  <si>
    <t>44012677</t>
  </si>
  <si>
    <t>シンワソウギョウ</t>
  </si>
  <si>
    <t>876-0815</t>
  </si>
  <si>
    <t>877-0005</t>
  </si>
  <si>
    <t>44012696</t>
  </si>
  <si>
    <t>トクシンサンギョウ</t>
  </si>
  <si>
    <t>44012699</t>
  </si>
  <si>
    <t>ハヤシグリーンテクノ</t>
  </si>
  <si>
    <t>870-1176</t>
  </si>
  <si>
    <t>44012700</t>
  </si>
  <si>
    <t>オオヤマ</t>
  </si>
  <si>
    <t>44012702</t>
  </si>
  <si>
    <t>ティアイエフネットワーク</t>
  </si>
  <si>
    <t>44012704</t>
  </si>
  <si>
    <t>ダイテツ</t>
  </si>
  <si>
    <t>44012707</t>
  </si>
  <si>
    <t>ダイプロ</t>
  </si>
  <si>
    <t>44012708</t>
  </si>
  <si>
    <t>コウセイテック</t>
  </si>
  <si>
    <t>44012710</t>
  </si>
  <si>
    <t>44012714</t>
  </si>
  <si>
    <t>ニッショウキコウ</t>
  </si>
  <si>
    <t>44012719</t>
  </si>
  <si>
    <t>ワタナベアンゼンコウギョウ</t>
  </si>
  <si>
    <t>44012724</t>
  </si>
  <si>
    <t>ササキコウギョウ</t>
  </si>
  <si>
    <t>44012730</t>
  </si>
  <si>
    <t>カンキョウクリエート</t>
  </si>
  <si>
    <t>44012743</t>
  </si>
  <si>
    <t>ホソウヤ</t>
  </si>
  <si>
    <t>44012756</t>
  </si>
  <si>
    <t>イシイケンセツ</t>
  </si>
  <si>
    <t>44012766</t>
  </si>
  <si>
    <t>ゴカセ</t>
  </si>
  <si>
    <t>44012767</t>
  </si>
  <si>
    <t>サトウグミ</t>
  </si>
  <si>
    <t>44012768</t>
  </si>
  <si>
    <t>キョウシンデンセツ</t>
  </si>
  <si>
    <t>44012769</t>
  </si>
  <si>
    <t>44012792</t>
  </si>
  <si>
    <t>エーネクスト</t>
  </si>
  <si>
    <t>44012801</t>
  </si>
  <si>
    <t>エアーグラスシステム</t>
  </si>
  <si>
    <t>44012807</t>
  </si>
  <si>
    <t>ナギシステム</t>
  </si>
  <si>
    <t>870-1181</t>
  </si>
  <si>
    <t>44012810</t>
  </si>
  <si>
    <t>44012811</t>
  </si>
  <si>
    <t>カワノセイサクショ</t>
  </si>
  <si>
    <t>44012824</t>
  </si>
  <si>
    <t>オオイタサッシ</t>
  </si>
  <si>
    <t>44012830</t>
  </si>
  <si>
    <t>エールコーポレーション</t>
  </si>
  <si>
    <t>44012833</t>
  </si>
  <si>
    <t>ヒノデエン</t>
  </si>
  <si>
    <t>44012837</t>
  </si>
  <si>
    <t>セリカワコウサン</t>
  </si>
  <si>
    <t>44012842</t>
  </si>
  <si>
    <t>シテデンキコウジ</t>
  </si>
  <si>
    <t>44012857</t>
  </si>
  <si>
    <t>オオカワコウギョウ</t>
  </si>
  <si>
    <t>44012861</t>
  </si>
  <si>
    <t>ティエヌエス</t>
  </si>
  <si>
    <t>44012862</t>
  </si>
  <si>
    <t>イチヒロケンセツコウギョウ</t>
  </si>
  <si>
    <t>44012866</t>
  </si>
  <si>
    <t>ツバサデンキコウギョウ</t>
  </si>
  <si>
    <t>870-0858</t>
  </si>
  <si>
    <t>44012871</t>
  </si>
  <si>
    <t>ヤマトトクシュドボク</t>
  </si>
  <si>
    <t>44012872</t>
  </si>
  <si>
    <t>エスケイ</t>
  </si>
  <si>
    <t>879-7882</t>
  </si>
  <si>
    <t>44012875</t>
  </si>
  <si>
    <t>871-0101</t>
  </si>
  <si>
    <t>44012889</t>
  </si>
  <si>
    <t>44012890</t>
  </si>
  <si>
    <t>ポンテック</t>
  </si>
  <si>
    <t>44012896</t>
  </si>
  <si>
    <t>タクミカンキョウメンテナンス</t>
  </si>
  <si>
    <t>44012901</t>
  </si>
  <si>
    <t>ゴダイ</t>
  </si>
  <si>
    <t>44012904</t>
  </si>
  <si>
    <t>オオイタルーフテック</t>
  </si>
  <si>
    <t>44012910</t>
  </si>
  <si>
    <t>テイショウ</t>
  </si>
  <si>
    <t>44012924</t>
  </si>
  <si>
    <t>アイダ　リンク</t>
  </si>
  <si>
    <t>870-0038</t>
  </si>
  <si>
    <t>44012928</t>
  </si>
  <si>
    <t>カワノケンチク</t>
  </si>
  <si>
    <t>44012943</t>
  </si>
  <si>
    <t>タクセル</t>
  </si>
  <si>
    <t>870-0825</t>
  </si>
  <si>
    <t>44012960</t>
  </si>
  <si>
    <t>アマベ</t>
  </si>
  <si>
    <t>44012965</t>
  </si>
  <si>
    <t>アダチサンギョウ</t>
  </si>
  <si>
    <t>44012968</t>
  </si>
  <si>
    <t>フラッド</t>
  </si>
  <si>
    <t>878-0403</t>
  </si>
  <si>
    <t>44012981</t>
  </si>
  <si>
    <t>キラデンコウ</t>
  </si>
  <si>
    <t>44012987</t>
  </si>
  <si>
    <t>ニッポウメンテナンス</t>
  </si>
  <si>
    <t>44012988</t>
  </si>
  <si>
    <t>サカエグミ</t>
  </si>
  <si>
    <t>44012991</t>
  </si>
  <si>
    <t>テラサキ</t>
  </si>
  <si>
    <t>874-0023</t>
  </si>
  <si>
    <t>44012995</t>
  </si>
  <si>
    <t>リョクシン</t>
  </si>
  <si>
    <t>44013004</t>
  </si>
  <si>
    <t>リケン</t>
  </si>
  <si>
    <t>44013006</t>
  </si>
  <si>
    <t>イワブチコウムテン</t>
  </si>
  <si>
    <t>44013008</t>
  </si>
  <si>
    <t>ワークス</t>
  </si>
  <si>
    <t>871-0041</t>
  </si>
  <si>
    <t>44013018</t>
  </si>
  <si>
    <t>ケンショウコウギョウ</t>
  </si>
  <si>
    <t>44013019</t>
  </si>
  <si>
    <t>ヤノカンストラクション</t>
  </si>
  <si>
    <t>44013031</t>
  </si>
  <si>
    <t>ラックワイド</t>
  </si>
  <si>
    <t>44013032</t>
  </si>
  <si>
    <t>タクミ</t>
  </si>
  <si>
    <t>44013039</t>
  </si>
  <si>
    <t>ショウユウ</t>
  </si>
  <si>
    <t>44013045</t>
  </si>
  <si>
    <t>44013049</t>
  </si>
  <si>
    <t>ホウトク</t>
  </si>
  <si>
    <t>44013056</t>
  </si>
  <si>
    <t>リキナンドボク</t>
  </si>
  <si>
    <t>876-0204</t>
  </si>
  <si>
    <t>44013059</t>
  </si>
  <si>
    <t>シンコウプラントコウギョウ</t>
  </si>
  <si>
    <t>44013062</t>
  </si>
  <si>
    <t>グリーンワールド</t>
  </si>
  <si>
    <t>44013068</t>
  </si>
  <si>
    <t>キュウケンプロテック</t>
  </si>
  <si>
    <t>44013074</t>
  </si>
  <si>
    <t>ニシハタジュウタク</t>
  </si>
  <si>
    <t>44013077</t>
  </si>
  <si>
    <t>グリーンテックランド</t>
  </si>
  <si>
    <t>44013078</t>
  </si>
  <si>
    <t>カクユウキザイ</t>
  </si>
  <si>
    <t>870-0907</t>
  </si>
  <si>
    <t>44013079</t>
  </si>
  <si>
    <t>リメイクナカムラ</t>
  </si>
  <si>
    <t>879-5504</t>
  </si>
  <si>
    <t>44013080</t>
  </si>
  <si>
    <t>タカサキケンザイ</t>
  </si>
  <si>
    <t>44013082</t>
  </si>
  <si>
    <t>ヤノケンセツコウギョウ</t>
  </si>
  <si>
    <t>44013085</t>
  </si>
  <si>
    <t>ビルドワン</t>
  </si>
  <si>
    <t>44013087</t>
  </si>
  <si>
    <t>エーケー</t>
  </si>
  <si>
    <t>44013093</t>
  </si>
  <si>
    <t>ジョウムラケンセツ</t>
  </si>
  <si>
    <t>44013096</t>
  </si>
  <si>
    <t>フジトモサンギョウ</t>
  </si>
  <si>
    <t>44013109</t>
  </si>
  <si>
    <t>アキヨシ</t>
  </si>
  <si>
    <t>44013116</t>
  </si>
  <si>
    <t>ニイナグミ</t>
  </si>
  <si>
    <t>44013122</t>
  </si>
  <si>
    <t>オリベコウムテン</t>
  </si>
  <si>
    <t>44013145</t>
  </si>
  <si>
    <t>ダイツー</t>
  </si>
  <si>
    <t>44013151</t>
  </si>
  <si>
    <t>フジワラケンチク</t>
  </si>
  <si>
    <t>877-0023</t>
  </si>
  <si>
    <t>44013157</t>
  </si>
  <si>
    <t>テンドウ</t>
  </si>
  <si>
    <t>44013162</t>
  </si>
  <si>
    <t>スギショー</t>
  </si>
  <si>
    <t>44013163</t>
  </si>
  <si>
    <t>コウヨウケンセツコウギョウ</t>
  </si>
  <si>
    <t>44013174</t>
  </si>
  <si>
    <t>マツモリグミ</t>
  </si>
  <si>
    <t>44013175</t>
  </si>
  <si>
    <t>ヤノケンザイコウギョウ</t>
  </si>
  <si>
    <t>44013194</t>
  </si>
  <si>
    <t>タシマタイラケンセツコウギョウ</t>
  </si>
  <si>
    <t>44013216</t>
  </si>
  <si>
    <t>デンソウギケン</t>
  </si>
  <si>
    <t>44013219</t>
  </si>
  <si>
    <t>ユーズサービス</t>
  </si>
  <si>
    <t>44013223</t>
  </si>
  <si>
    <t>エンジュ</t>
  </si>
  <si>
    <t>873-0644</t>
  </si>
  <si>
    <t>44013225</t>
  </si>
  <si>
    <t>オオイタダイエイ</t>
  </si>
  <si>
    <t>879-0151</t>
  </si>
  <si>
    <t>44013234</t>
  </si>
  <si>
    <t>セイワコウギョウ</t>
  </si>
  <si>
    <t>44013238</t>
  </si>
  <si>
    <t>870-0261</t>
  </si>
  <si>
    <t>44013246</t>
  </si>
  <si>
    <t>センコーロード</t>
  </si>
  <si>
    <t>44013260</t>
  </si>
  <si>
    <t>アーステック</t>
  </si>
  <si>
    <t>44013262</t>
  </si>
  <si>
    <t>ニホンデンキホアン</t>
  </si>
  <si>
    <t>44013265</t>
  </si>
  <si>
    <t>ヘイワ</t>
  </si>
  <si>
    <t>44013268</t>
  </si>
  <si>
    <t>ジョウエイキカク</t>
  </si>
  <si>
    <t>44013270</t>
  </si>
  <si>
    <t>イーアールテクノ</t>
  </si>
  <si>
    <t>870-0152</t>
  </si>
  <si>
    <t>44013271</t>
  </si>
  <si>
    <t>トラスト</t>
  </si>
  <si>
    <t>44013277</t>
  </si>
  <si>
    <t>ジェイコムオオイタエンジニアリング</t>
  </si>
  <si>
    <t>870-1124</t>
  </si>
  <si>
    <t>44013284</t>
  </si>
  <si>
    <t>ニッタゾウエン</t>
  </si>
  <si>
    <t>44013285</t>
  </si>
  <si>
    <t>コウシン</t>
  </si>
  <si>
    <t>44013288</t>
  </si>
  <si>
    <t>ゼンセイコウギョウ</t>
  </si>
  <si>
    <t>879-5404</t>
  </si>
  <si>
    <t>44013293</t>
  </si>
  <si>
    <t>キュウシュウアースワークス</t>
  </si>
  <si>
    <t>44013297</t>
  </si>
  <si>
    <t>タカムラテッコウショ</t>
  </si>
  <si>
    <t>44013301</t>
  </si>
  <si>
    <t>クスノキショウテン</t>
  </si>
  <si>
    <t>44013303</t>
  </si>
  <si>
    <t>トクシンコウギョウ</t>
  </si>
  <si>
    <t>44013304</t>
  </si>
  <si>
    <t>ゴトーシステムサービス</t>
  </si>
  <si>
    <t>44013310</t>
  </si>
  <si>
    <t>サンシンコウギョウ</t>
  </si>
  <si>
    <t>44013316</t>
  </si>
  <si>
    <t>オオイタダイイチラックコウギョウ</t>
  </si>
  <si>
    <t>44013319</t>
  </si>
  <si>
    <t>ミエケンセツ</t>
  </si>
  <si>
    <t>44013320</t>
  </si>
  <si>
    <t>リエンプロ</t>
  </si>
  <si>
    <t>44013321</t>
  </si>
  <si>
    <t>イチハラサンギョウ</t>
  </si>
  <si>
    <t>44013323</t>
  </si>
  <si>
    <t>オオイタアスリード</t>
  </si>
  <si>
    <t>44013328</t>
  </si>
  <si>
    <t>イシカワケンセツコウギョウ</t>
  </si>
  <si>
    <t>870-0254</t>
  </si>
  <si>
    <t>44013343</t>
  </si>
  <si>
    <t>ショウケンコウギョウ</t>
  </si>
  <si>
    <t>44013344</t>
  </si>
  <si>
    <t>モリデンセツ</t>
  </si>
  <si>
    <t>44013346</t>
  </si>
  <si>
    <t>キョウエイ</t>
  </si>
  <si>
    <t>44013362</t>
  </si>
  <si>
    <t>ニホンテック</t>
  </si>
  <si>
    <t>44013374</t>
  </si>
  <si>
    <t>ダイプロホクブハンバイ</t>
  </si>
  <si>
    <t>44013378</t>
  </si>
  <si>
    <t>デンシン</t>
  </si>
  <si>
    <t>44013382</t>
  </si>
  <si>
    <t>タイセイグミ</t>
  </si>
  <si>
    <t>44013388</t>
  </si>
  <si>
    <t>タカヤマスイリコウギョウ</t>
  </si>
  <si>
    <t>44013394</t>
  </si>
  <si>
    <t>キョウセイコウギョウ</t>
  </si>
  <si>
    <t>44013395</t>
  </si>
  <si>
    <t>タクミギケンコウギョウ</t>
  </si>
  <si>
    <t>44013400</t>
  </si>
  <si>
    <t>ケンセイリョクチ</t>
  </si>
  <si>
    <t>44013411</t>
  </si>
  <si>
    <t>シーアールティー</t>
  </si>
  <si>
    <t>870-0007</t>
  </si>
  <si>
    <t>44013412</t>
  </si>
  <si>
    <t>ホウライコウサン</t>
  </si>
  <si>
    <t>44013416</t>
  </si>
  <si>
    <t>トウケンサンギョウ</t>
  </si>
  <si>
    <t>44013424</t>
  </si>
  <si>
    <t>ベストハウス</t>
  </si>
  <si>
    <t>44013431</t>
  </si>
  <si>
    <t>アイユー</t>
  </si>
  <si>
    <t>44013437</t>
  </si>
  <si>
    <t>マンフクコウギョウ</t>
  </si>
  <si>
    <t>44013439</t>
  </si>
  <si>
    <t>シナジー</t>
  </si>
  <si>
    <t>44013440</t>
  </si>
  <si>
    <t>ハルミチトソウ</t>
  </si>
  <si>
    <t>スイメイ</t>
  </si>
  <si>
    <t>44013448</t>
  </si>
  <si>
    <t>エイゼン</t>
  </si>
  <si>
    <t>870-0132</t>
  </si>
  <si>
    <t>44013450</t>
  </si>
  <si>
    <t>ティエスアイテックス</t>
  </si>
  <si>
    <t>44013456</t>
  </si>
  <si>
    <t>ケイダイ</t>
  </si>
  <si>
    <t>44013457</t>
  </si>
  <si>
    <t>44013458</t>
  </si>
  <si>
    <t>イトウケンコウ</t>
  </si>
  <si>
    <t>44013462</t>
  </si>
  <si>
    <t>ナガユキケンセツ</t>
  </si>
  <si>
    <t>44013471</t>
  </si>
  <si>
    <t>リュウシンケンセツコウギョウ</t>
  </si>
  <si>
    <t>44013474</t>
  </si>
  <si>
    <t>キュウシュウカンキョウカンリ</t>
  </si>
  <si>
    <t>44013491</t>
  </si>
  <si>
    <t>オウザ</t>
  </si>
  <si>
    <t>875-0082</t>
  </si>
  <si>
    <t>44013501</t>
  </si>
  <si>
    <t>ニチエイ</t>
  </si>
  <si>
    <t>44013508</t>
  </si>
  <si>
    <t>グリーンサービスフジノゾウエン</t>
  </si>
  <si>
    <t>44013513</t>
  </si>
  <si>
    <t>コーナン</t>
  </si>
  <si>
    <t>874-0947</t>
  </si>
  <si>
    <t>44013516</t>
  </si>
  <si>
    <t>ミライテクノロジー</t>
  </si>
  <si>
    <t>44013518</t>
  </si>
  <si>
    <t>ラインウッド</t>
  </si>
  <si>
    <t>870-1151</t>
  </si>
  <si>
    <t>44013521</t>
  </si>
  <si>
    <t>ハラダケンセツ</t>
  </si>
  <si>
    <t>44013524</t>
  </si>
  <si>
    <t>ナンブカイハツ</t>
  </si>
  <si>
    <t>44013528</t>
  </si>
  <si>
    <t>シロゼン</t>
  </si>
  <si>
    <t>44013536</t>
  </si>
  <si>
    <t>アイシン</t>
  </si>
  <si>
    <t>874-0945</t>
  </si>
  <si>
    <t>44013538</t>
  </si>
  <si>
    <t>ニシニホンソウゴウメンテナンス</t>
  </si>
  <si>
    <t>44013546</t>
  </si>
  <si>
    <t>カワエイケンセツ</t>
  </si>
  <si>
    <t>44013559</t>
  </si>
  <si>
    <t>バンジョウ</t>
  </si>
  <si>
    <t>44013566</t>
  </si>
  <si>
    <t>ハッピィテレコムサービス</t>
  </si>
  <si>
    <t>44013568</t>
  </si>
  <si>
    <t>ノウリンケンセツ</t>
  </si>
  <si>
    <t>44013581</t>
  </si>
  <si>
    <t>ナカヒログミ</t>
  </si>
  <si>
    <t>44013583</t>
  </si>
  <si>
    <t>ウメスイ</t>
  </si>
  <si>
    <t>879-2601</t>
  </si>
  <si>
    <t>44013584</t>
  </si>
  <si>
    <t>オオノコウギョウ</t>
  </si>
  <si>
    <t>44013586</t>
  </si>
  <si>
    <t>カジワラ</t>
  </si>
  <si>
    <t>44013593</t>
  </si>
  <si>
    <t>ヒシカワセツビ</t>
  </si>
  <si>
    <t>877-1372</t>
  </si>
  <si>
    <t>44013594</t>
  </si>
  <si>
    <t>ザイツジャリ</t>
  </si>
  <si>
    <t>879-4201</t>
  </si>
  <si>
    <t>44013600</t>
  </si>
  <si>
    <t>シンセイセツビコウギョウ</t>
  </si>
  <si>
    <t>44013603</t>
  </si>
  <si>
    <t>ナカシマケンセツコウギョウ</t>
  </si>
  <si>
    <t>44013604</t>
  </si>
  <si>
    <t>カクド</t>
  </si>
  <si>
    <t>44013607</t>
  </si>
  <si>
    <t>ジツイエン</t>
  </si>
  <si>
    <t>44013609</t>
  </si>
  <si>
    <t>トウホウカイジケンセツ</t>
  </si>
  <si>
    <t>44013613</t>
  </si>
  <si>
    <t>タツカワヒョウグテン</t>
  </si>
  <si>
    <t>874-0925</t>
  </si>
  <si>
    <t>44013629</t>
  </si>
  <si>
    <t>ワコウグミ</t>
  </si>
  <si>
    <t>44013634</t>
  </si>
  <si>
    <t>ダイシンコウケン</t>
  </si>
  <si>
    <t>44013646</t>
  </si>
  <si>
    <t>ザイツカンコウ</t>
  </si>
  <si>
    <t>44013648</t>
  </si>
  <si>
    <t>ツジタケンキ</t>
  </si>
  <si>
    <t>44013649</t>
  </si>
  <si>
    <t>ヒグチキカク</t>
  </si>
  <si>
    <t>44013653</t>
  </si>
  <si>
    <t>セリュウケンセツ</t>
  </si>
  <si>
    <t>44013654</t>
  </si>
  <si>
    <t>セイキケンセツ</t>
  </si>
  <si>
    <t>44013656</t>
  </si>
  <si>
    <t>セイエイセツビ</t>
  </si>
  <si>
    <t>44013669</t>
  </si>
  <si>
    <t>アヅマ</t>
  </si>
  <si>
    <t>44013670</t>
  </si>
  <si>
    <t>ムトウトソウ</t>
  </si>
  <si>
    <t>44013675</t>
  </si>
  <si>
    <t>コウトクサンギョウ</t>
  </si>
  <si>
    <t>44013678</t>
  </si>
  <si>
    <t>オオイタエムテック</t>
  </si>
  <si>
    <t>44013683</t>
  </si>
  <si>
    <t>スリーエイチアイ</t>
  </si>
  <si>
    <t>44013687</t>
  </si>
  <si>
    <t>タダケンチク</t>
  </si>
  <si>
    <t>44013689</t>
  </si>
  <si>
    <t>アナイデンキ</t>
  </si>
  <si>
    <t>44013690</t>
  </si>
  <si>
    <t>イケダリョクコウエン</t>
  </si>
  <si>
    <t>44013696</t>
  </si>
  <si>
    <t>ニチギ</t>
  </si>
  <si>
    <t>44013697</t>
  </si>
  <si>
    <t>アンテナサポート</t>
  </si>
  <si>
    <t>44013698</t>
  </si>
  <si>
    <t>ウエヤマドケン</t>
  </si>
  <si>
    <t>44013702</t>
  </si>
  <si>
    <t>コウセイ</t>
  </si>
  <si>
    <t>44013703</t>
  </si>
  <si>
    <t>ソウキ</t>
  </si>
  <si>
    <t>879-0463</t>
  </si>
  <si>
    <t>44013705</t>
  </si>
  <si>
    <t>カワベグミ</t>
  </si>
  <si>
    <t>44013706</t>
  </si>
  <si>
    <t>タクマカンキョウ</t>
  </si>
  <si>
    <t>44013708</t>
  </si>
  <si>
    <t>ホウリュウギケン</t>
  </si>
  <si>
    <t>44013711</t>
  </si>
  <si>
    <t>44013713</t>
  </si>
  <si>
    <t>ショウナン</t>
  </si>
  <si>
    <t>44013718</t>
  </si>
  <si>
    <t>クボタクウチョウサービス</t>
  </si>
  <si>
    <t>44013721</t>
  </si>
  <si>
    <t>ヤマコウ</t>
  </si>
  <si>
    <t>44013722</t>
  </si>
  <si>
    <t>ケイズデザイン</t>
  </si>
  <si>
    <t>44013723</t>
  </si>
  <si>
    <t>ハラハウス</t>
  </si>
  <si>
    <t>44013724</t>
  </si>
  <si>
    <t>エンジェル</t>
  </si>
  <si>
    <t>876-0801</t>
  </si>
  <si>
    <t>44013727</t>
  </si>
  <si>
    <t>コウシンコウギョウ</t>
  </si>
  <si>
    <t>44013728</t>
  </si>
  <si>
    <t>オオイタカンキョウ</t>
  </si>
  <si>
    <t>44013732</t>
  </si>
  <si>
    <t>ダイコウキカク</t>
  </si>
  <si>
    <t>44013739</t>
  </si>
  <si>
    <t>ユウシンケンセツ</t>
  </si>
  <si>
    <t>870-1202</t>
  </si>
  <si>
    <t>44013740</t>
  </si>
  <si>
    <t>オオガデンキ</t>
  </si>
  <si>
    <t>44013743</t>
  </si>
  <si>
    <t>トヨクニサンギョウ</t>
  </si>
  <si>
    <t>44013745</t>
  </si>
  <si>
    <t>トウヨウキカク</t>
  </si>
  <si>
    <t>44013747</t>
  </si>
  <si>
    <t>フタバノ</t>
  </si>
  <si>
    <t>44013748</t>
  </si>
  <si>
    <t>イトウジュウセツ</t>
  </si>
  <si>
    <t>44013749</t>
  </si>
  <si>
    <t>44013753</t>
  </si>
  <si>
    <t>オオイタエーディーケーケー</t>
  </si>
  <si>
    <t>44013764</t>
  </si>
  <si>
    <t>シンクウチョウセツビ</t>
  </si>
  <si>
    <t>44013765</t>
  </si>
  <si>
    <t>クスシンリンカイハツサカイコウサン</t>
  </si>
  <si>
    <t>44013771</t>
  </si>
  <si>
    <t>44013774</t>
  </si>
  <si>
    <t>ハシモジュウケン</t>
  </si>
  <si>
    <t>44013777</t>
  </si>
  <si>
    <t>フジケンコウギョウ</t>
  </si>
  <si>
    <t>879-4521</t>
  </si>
  <si>
    <t>44013779</t>
  </si>
  <si>
    <t>エムズプランニング</t>
  </si>
  <si>
    <t>44013782</t>
  </si>
  <si>
    <t>カイケンチク</t>
  </si>
  <si>
    <t>44013784</t>
  </si>
  <si>
    <t>オオイタペイブメント</t>
  </si>
  <si>
    <t>44013792</t>
  </si>
  <si>
    <t>ヤツギコウムテン</t>
  </si>
  <si>
    <t>879-0106</t>
  </si>
  <si>
    <t>44013794</t>
  </si>
  <si>
    <t>シングウグミ</t>
  </si>
  <si>
    <t>44013804</t>
  </si>
  <si>
    <t>ニューテクノファースト</t>
  </si>
  <si>
    <t>44013808</t>
  </si>
  <si>
    <t>ウスキケーブルネット</t>
  </si>
  <si>
    <t>44013812</t>
  </si>
  <si>
    <t>エフエムエスコウギョウ</t>
  </si>
  <si>
    <t>44013823</t>
  </si>
  <si>
    <t>サンプラン</t>
  </si>
  <si>
    <t>44013824</t>
  </si>
  <si>
    <t>ニッポンテクニクス</t>
  </si>
  <si>
    <t>44013829</t>
  </si>
  <si>
    <t>キサキデンコウ</t>
  </si>
  <si>
    <t>44013833</t>
  </si>
  <si>
    <t>ホマレソウゴウ</t>
  </si>
  <si>
    <t>44013837</t>
  </si>
  <si>
    <t>カヤシマケンセツ</t>
  </si>
  <si>
    <t>870-0243</t>
  </si>
  <si>
    <t>44013840</t>
  </si>
  <si>
    <t>メイダイコウギョウ</t>
  </si>
  <si>
    <t>44013841</t>
  </si>
  <si>
    <t>サクラケンセツ</t>
  </si>
  <si>
    <t>44013843</t>
  </si>
  <si>
    <t>エルシーエスキュウシュウ</t>
  </si>
  <si>
    <t>44013845</t>
  </si>
  <si>
    <t>サンダイヤプロ</t>
  </si>
  <si>
    <t>44013848</t>
  </si>
  <si>
    <t>フジクラ</t>
  </si>
  <si>
    <t>44013854</t>
  </si>
  <si>
    <t>タクシステム</t>
  </si>
  <si>
    <t>44013860</t>
  </si>
  <si>
    <t>カワタジュウタクキキコウギョウショ</t>
  </si>
  <si>
    <t>44013863</t>
  </si>
  <si>
    <t>シンワデンセツ</t>
  </si>
  <si>
    <t>876-1106</t>
  </si>
  <si>
    <t>44013864</t>
  </si>
  <si>
    <t>オオボシデンコウ</t>
  </si>
  <si>
    <t>44013866</t>
  </si>
  <si>
    <t>セイケンコウギョウ</t>
  </si>
  <si>
    <t>879-7108</t>
  </si>
  <si>
    <t>44013869</t>
  </si>
  <si>
    <t>44013876</t>
  </si>
  <si>
    <t>ホクブケンセツ</t>
  </si>
  <si>
    <t>44013877</t>
  </si>
  <si>
    <t>ダイカイケンセツ</t>
  </si>
  <si>
    <t>44013879</t>
  </si>
  <si>
    <t>スマートケンチク</t>
  </si>
  <si>
    <t>44013880</t>
  </si>
  <si>
    <t>テクノライン</t>
  </si>
  <si>
    <t>44013881</t>
  </si>
  <si>
    <t>オノデンセツ</t>
  </si>
  <si>
    <t>44013885</t>
  </si>
  <si>
    <t>ケーエヌ</t>
  </si>
  <si>
    <t>44013887</t>
  </si>
  <si>
    <t>テイクスコウワ</t>
  </si>
  <si>
    <t>44013891</t>
  </si>
  <si>
    <t>ダイキケンセツコウギョウ</t>
  </si>
  <si>
    <t>44013892</t>
  </si>
  <si>
    <t>サクラ</t>
  </si>
  <si>
    <t>44013896</t>
  </si>
  <si>
    <t>ダイトコウギョウ</t>
  </si>
  <si>
    <t>879-0303</t>
  </si>
  <si>
    <t>44013899</t>
  </si>
  <si>
    <t>キヅデンキコウジ</t>
  </si>
  <si>
    <t>44013917</t>
  </si>
  <si>
    <t>セイコウ</t>
  </si>
  <si>
    <t>44013919</t>
  </si>
  <si>
    <t>ヤスラギビソウ</t>
  </si>
  <si>
    <t>870-0887</t>
  </si>
  <si>
    <t>アルダ</t>
  </si>
  <si>
    <t>44013926</t>
  </si>
  <si>
    <t>ゴトウセイザイショ</t>
  </si>
  <si>
    <t>44013930</t>
  </si>
  <si>
    <t>クリアード</t>
  </si>
  <si>
    <t>870-1112</t>
  </si>
  <si>
    <t>44013934</t>
  </si>
  <si>
    <t>フジケン</t>
  </si>
  <si>
    <t>44013944</t>
  </si>
  <si>
    <t>ピーエーエス</t>
  </si>
  <si>
    <t>44013952</t>
  </si>
  <si>
    <t>タイシドボクコウギョウ</t>
  </si>
  <si>
    <t>873-0531</t>
  </si>
  <si>
    <t>44013964</t>
  </si>
  <si>
    <t>スギタケンセツ</t>
  </si>
  <si>
    <t>44013965</t>
  </si>
  <si>
    <t>シビルワークス</t>
  </si>
  <si>
    <t>44013967</t>
  </si>
  <si>
    <t>カミテック</t>
  </si>
  <si>
    <t>44013968</t>
  </si>
  <si>
    <t>トクマルセツビ</t>
  </si>
  <si>
    <t>44013975</t>
  </si>
  <si>
    <t>ブライテック</t>
  </si>
  <si>
    <t>44013976</t>
  </si>
  <si>
    <t>メイセイギケン</t>
  </si>
  <si>
    <t>44013978</t>
  </si>
  <si>
    <t>フォーアース</t>
  </si>
  <si>
    <t>44013983</t>
  </si>
  <si>
    <t>44013990</t>
  </si>
  <si>
    <t>エスエステック</t>
  </si>
  <si>
    <t>44013991</t>
  </si>
  <si>
    <t>コウエイケンセツコウギョウ</t>
  </si>
  <si>
    <t>44013997</t>
  </si>
  <si>
    <t>アリカワソウゴウキカク</t>
  </si>
  <si>
    <t>44013998</t>
  </si>
  <si>
    <t>ヤノデンキコウジテン</t>
  </si>
  <si>
    <t>44014013</t>
  </si>
  <si>
    <t>タナベコウギョウ</t>
  </si>
  <si>
    <t>44014022</t>
  </si>
  <si>
    <t>ダイエイコウギョウ</t>
  </si>
  <si>
    <t>44014024</t>
  </si>
  <si>
    <t>セキシン</t>
  </si>
  <si>
    <t>44014027</t>
  </si>
  <si>
    <t>マスダグミ</t>
  </si>
  <si>
    <t>44014029</t>
  </si>
  <si>
    <t>ミエノソウビ</t>
  </si>
  <si>
    <t>872-1321</t>
  </si>
  <si>
    <t>44014038</t>
  </si>
  <si>
    <t>タツ</t>
  </si>
  <si>
    <t>44014040</t>
  </si>
  <si>
    <t>フジワラセツビ</t>
  </si>
  <si>
    <t>44014052</t>
  </si>
  <si>
    <t>44014053</t>
  </si>
  <si>
    <t>フウガ</t>
  </si>
  <si>
    <t>44014064</t>
  </si>
  <si>
    <t>コウエイ</t>
  </si>
  <si>
    <t>44014069</t>
  </si>
  <si>
    <t>アースネクサス</t>
  </si>
  <si>
    <t>44014071</t>
  </si>
  <si>
    <t>ハネヒロケンセツ</t>
  </si>
  <si>
    <t>44014075</t>
  </si>
  <si>
    <t>44014089</t>
  </si>
  <si>
    <t>ケイズファクトリー</t>
  </si>
  <si>
    <t>44014090</t>
  </si>
  <si>
    <t>アスカフドウサンケンセツ</t>
  </si>
  <si>
    <t>44014092</t>
  </si>
  <si>
    <t>アンドウギケン</t>
  </si>
  <si>
    <t>44014094</t>
  </si>
  <si>
    <t>タグチデンセツ</t>
  </si>
  <si>
    <t>44014097</t>
  </si>
  <si>
    <t>モリスエエンジニアリング</t>
  </si>
  <si>
    <t>44014099</t>
  </si>
  <si>
    <t>ニシタニボウサイセツビ</t>
  </si>
  <si>
    <t>44014100</t>
  </si>
  <si>
    <t>クリバヤシコウギョウ</t>
  </si>
  <si>
    <t>44014111</t>
  </si>
  <si>
    <t>ブループランニング</t>
  </si>
  <si>
    <t>879-0443</t>
  </si>
  <si>
    <t>44014115</t>
  </si>
  <si>
    <t>ミサトコウギョウ</t>
  </si>
  <si>
    <t>44014116</t>
  </si>
  <si>
    <t>ヨシイトソウ</t>
  </si>
  <si>
    <t>44014119</t>
  </si>
  <si>
    <t>44014121</t>
  </si>
  <si>
    <t>サトウデンコウシャ</t>
  </si>
  <si>
    <t>44014128</t>
  </si>
  <si>
    <t>コーボウセツビコウギョウ</t>
  </si>
  <si>
    <t>44014129</t>
  </si>
  <si>
    <t>コウバルケンセツ</t>
  </si>
  <si>
    <t>874-0036</t>
  </si>
  <si>
    <t>44014138</t>
  </si>
  <si>
    <t>コウデンシャ</t>
  </si>
  <si>
    <t>44014141</t>
  </si>
  <si>
    <t>トシン</t>
  </si>
  <si>
    <t>44014143</t>
  </si>
  <si>
    <t>オバタケンセツコウギョウ</t>
  </si>
  <si>
    <t>44014152</t>
  </si>
  <si>
    <t>キョウショウ</t>
  </si>
  <si>
    <t>879-5512</t>
  </si>
  <si>
    <t>44014154</t>
  </si>
  <si>
    <t>エボ</t>
  </si>
  <si>
    <t>44014157</t>
  </si>
  <si>
    <t>ミヤモトショウジ</t>
  </si>
  <si>
    <t>44014167</t>
  </si>
  <si>
    <t>メノデンセツ</t>
  </si>
  <si>
    <t>879-5523</t>
  </si>
  <si>
    <t>44014185</t>
  </si>
  <si>
    <t>ミヤコデンコウ</t>
  </si>
  <si>
    <t>870-0009</t>
  </si>
  <si>
    <t>44014201</t>
  </si>
  <si>
    <t>44014208</t>
  </si>
  <si>
    <t>ゴトウエレベーター</t>
  </si>
  <si>
    <t>44014218</t>
  </si>
  <si>
    <t>ホヅキデンセツコウギョウ</t>
  </si>
  <si>
    <t>44014219</t>
  </si>
  <si>
    <t>ヒグマデンコウ</t>
  </si>
  <si>
    <t>44014220</t>
  </si>
  <si>
    <t>イタイグミ</t>
  </si>
  <si>
    <t>44014223</t>
  </si>
  <si>
    <t>マエダコウギョウ</t>
  </si>
  <si>
    <t>44014224</t>
  </si>
  <si>
    <t>スカイデンセツ</t>
  </si>
  <si>
    <t>44014243</t>
  </si>
  <si>
    <t>ミヨシデンセツ</t>
  </si>
  <si>
    <t>44014244</t>
  </si>
  <si>
    <t>ユウシンケンセツコウギョウ</t>
  </si>
  <si>
    <t>44014245</t>
  </si>
  <si>
    <t>ツバサコウギョウ</t>
  </si>
  <si>
    <t>44014252</t>
  </si>
  <si>
    <t>ソウダイトップ</t>
  </si>
  <si>
    <t>870-0938</t>
  </si>
  <si>
    <t>44014255</t>
  </si>
  <si>
    <t>タケダデンキ</t>
  </si>
  <si>
    <t>879-3105</t>
  </si>
  <si>
    <t>44014267</t>
  </si>
  <si>
    <t>カワセミドボク</t>
  </si>
  <si>
    <t>876-0203</t>
  </si>
  <si>
    <t>44014273</t>
  </si>
  <si>
    <t>アイステップ</t>
  </si>
  <si>
    <t>44014274</t>
  </si>
  <si>
    <t>ホシノケンセツコウギョウ</t>
  </si>
  <si>
    <t>44014285</t>
  </si>
  <si>
    <t>リュウセイコウギョウ</t>
  </si>
  <si>
    <t>870-1111</t>
  </si>
  <si>
    <t>44014292</t>
  </si>
  <si>
    <t>タイコ</t>
  </si>
  <si>
    <t>44014304</t>
  </si>
  <si>
    <t>ウエダ</t>
  </si>
  <si>
    <t>876-0831</t>
  </si>
  <si>
    <t>44014305</t>
  </si>
  <si>
    <t>エムケーライン</t>
  </si>
  <si>
    <t>44014319</t>
  </si>
  <si>
    <t>ニシニホンドボク</t>
  </si>
  <si>
    <t>44014323</t>
  </si>
  <si>
    <t>サホケンセツコウギョウ</t>
  </si>
  <si>
    <t>44014340</t>
  </si>
  <si>
    <t>ユウケン</t>
  </si>
  <si>
    <t>44014346</t>
  </si>
  <si>
    <t>ホウセイコウギョウ</t>
  </si>
  <si>
    <t>44014351</t>
  </si>
  <si>
    <t>オオノ</t>
  </si>
  <si>
    <t>44014365</t>
  </si>
  <si>
    <t>エーアール</t>
  </si>
  <si>
    <t>44014366</t>
  </si>
  <si>
    <t>イーアイ</t>
  </si>
  <si>
    <t>44014367</t>
  </si>
  <si>
    <t>オオイタフェンス</t>
  </si>
  <si>
    <t>44014368</t>
  </si>
  <si>
    <t>タカクラトソウ</t>
  </si>
  <si>
    <t>44014372</t>
  </si>
  <si>
    <t>トソウコウジサトウグミ</t>
  </si>
  <si>
    <t>44014373</t>
  </si>
  <si>
    <t>サンリツ</t>
  </si>
  <si>
    <t>44014375</t>
  </si>
  <si>
    <t>ディーイーシー</t>
  </si>
  <si>
    <t>44014386</t>
  </si>
  <si>
    <t>タイセイドケン</t>
  </si>
  <si>
    <t>44014387</t>
  </si>
  <si>
    <t>ユーショウ</t>
  </si>
  <si>
    <t>44014392</t>
  </si>
  <si>
    <t>サタケコーポレーション</t>
  </si>
  <si>
    <t>44014393</t>
  </si>
  <si>
    <t>カエデ</t>
  </si>
  <si>
    <t>44014394</t>
  </si>
  <si>
    <t>ブンゴセツビ</t>
  </si>
  <si>
    <t>44014406</t>
  </si>
  <si>
    <t>ソウケン</t>
  </si>
  <si>
    <t>44014408</t>
  </si>
  <si>
    <t>アサヒ</t>
  </si>
  <si>
    <t>44014410</t>
  </si>
  <si>
    <t>イロハケンチクギコウ</t>
  </si>
  <si>
    <t>44014411</t>
  </si>
  <si>
    <t>クサノケンセツコウギョウ</t>
  </si>
  <si>
    <t>44014417</t>
  </si>
  <si>
    <t>クスボーリングコウギョウ</t>
  </si>
  <si>
    <t>44014420</t>
  </si>
  <si>
    <t>サトウジュウキコウギョウ</t>
  </si>
  <si>
    <t>879-5113</t>
  </si>
  <si>
    <t>44014423</t>
  </si>
  <si>
    <t>カワノジュウケン</t>
  </si>
  <si>
    <t>44014433</t>
  </si>
  <si>
    <t>ナカオコウムテン</t>
  </si>
  <si>
    <t>44014445</t>
  </si>
  <si>
    <t>44014457</t>
  </si>
  <si>
    <t>ヤマトリョクカ</t>
  </si>
  <si>
    <t>44014460</t>
  </si>
  <si>
    <t>タイラコウギョウ</t>
  </si>
  <si>
    <t>44014465</t>
  </si>
  <si>
    <t>ミギワ</t>
  </si>
  <si>
    <t>870-0276</t>
  </si>
  <si>
    <t>44014474</t>
  </si>
  <si>
    <t>サカイ</t>
  </si>
  <si>
    <t>877-1381</t>
  </si>
  <si>
    <t>44014478</t>
  </si>
  <si>
    <t>セーライト</t>
  </si>
  <si>
    <t>871-0104</t>
  </si>
  <si>
    <t>44014482</t>
  </si>
  <si>
    <t>タニガワケンセツコウギョウ</t>
  </si>
  <si>
    <t>876-0852</t>
  </si>
  <si>
    <t>44014485</t>
  </si>
  <si>
    <t>44014486</t>
  </si>
  <si>
    <t>マツダ</t>
  </si>
  <si>
    <t>44014491</t>
  </si>
  <si>
    <t>ハナムレレイセツ</t>
  </si>
  <si>
    <t>44014493</t>
  </si>
  <si>
    <t>ブンゴシステムケンセツコウギョウ</t>
  </si>
  <si>
    <t>44014495</t>
  </si>
  <si>
    <t>ホリケンセツコウギョウ</t>
  </si>
  <si>
    <t>44014499</t>
  </si>
  <si>
    <t>カワムラセツビ</t>
  </si>
  <si>
    <t>44014509</t>
  </si>
  <si>
    <t>コウエイジュウケン</t>
  </si>
  <si>
    <t>44014512</t>
  </si>
  <si>
    <t>コトブキ</t>
  </si>
  <si>
    <t>44014523</t>
  </si>
  <si>
    <t>グリーンハウスヤヨイ</t>
  </si>
  <si>
    <t>44014528</t>
  </si>
  <si>
    <t>キュウコウギケン</t>
  </si>
  <si>
    <t>44014530</t>
  </si>
  <si>
    <t>サトウジュウケン</t>
  </si>
  <si>
    <t>44014534</t>
  </si>
  <si>
    <t>ティエス</t>
  </si>
  <si>
    <t>44014542</t>
  </si>
  <si>
    <t>キイチケンセツ</t>
  </si>
  <si>
    <t>44014543</t>
  </si>
  <si>
    <t>テンホウケイビ</t>
  </si>
  <si>
    <t>44014549</t>
  </si>
  <si>
    <t>シマカワデンキ</t>
  </si>
  <si>
    <t>874-0024</t>
  </si>
  <si>
    <t>44014550</t>
  </si>
  <si>
    <t>アイラコウギョウ</t>
  </si>
  <si>
    <t>44014558</t>
  </si>
  <si>
    <t>ハシグチデンコウ</t>
  </si>
  <si>
    <t>44014568</t>
  </si>
  <si>
    <t>エイコウギケン</t>
  </si>
  <si>
    <t>870-1105</t>
  </si>
  <si>
    <t>44014569</t>
  </si>
  <si>
    <t>シンセイクリアート</t>
  </si>
  <si>
    <t>44014572</t>
  </si>
  <si>
    <t>エースライン</t>
  </si>
  <si>
    <t>44014573</t>
  </si>
  <si>
    <t>スマイルリノベーション</t>
  </si>
  <si>
    <t>44014587</t>
  </si>
  <si>
    <t>ヤマト</t>
  </si>
  <si>
    <t>44014597</t>
  </si>
  <si>
    <t>サンケイプランニング</t>
  </si>
  <si>
    <t>44014604</t>
  </si>
  <si>
    <t>コウトクセキザイ</t>
  </si>
  <si>
    <t>44014610</t>
  </si>
  <si>
    <t>アスカコウギョウ</t>
  </si>
  <si>
    <t>44014611</t>
  </si>
  <si>
    <t>エルテック</t>
  </si>
  <si>
    <t>44014618</t>
  </si>
  <si>
    <t>ヒジヤソウケン</t>
  </si>
  <si>
    <t>44014619</t>
  </si>
  <si>
    <t>ホウシュウ</t>
  </si>
  <si>
    <t>44014621</t>
  </si>
  <si>
    <t>キヨスエトソウ</t>
  </si>
  <si>
    <t>44014624</t>
  </si>
  <si>
    <t>ベツダイケンコウ</t>
  </si>
  <si>
    <t>44014627</t>
  </si>
  <si>
    <t>ネオマルス</t>
  </si>
  <si>
    <t>44014631</t>
  </si>
  <si>
    <t>ダイコー</t>
  </si>
  <si>
    <t>44014636</t>
  </si>
  <si>
    <t>オーケーピー</t>
  </si>
  <si>
    <t>44014659</t>
  </si>
  <si>
    <t>ヨシエイ</t>
  </si>
  <si>
    <t>44014661</t>
  </si>
  <si>
    <t>ケイエスデンコウ</t>
  </si>
  <si>
    <t>44014665</t>
  </si>
  <si>
    <t>シモバルゾウエン</t>
  </si>
  <si>
    <t>44014672</t>
  </si>
  <si>
    <t>アカリ</t>
  </si>
  <si>
    <t>44014673</t>
  </si>
  <si>
    <t>カワサキコウギョウ</t>
  </si>
  <si>
    <t>44014674</t>
  </si>
  <si>
    <t>ハセベナイソウ</t>
  </si>
  <si>
    <t>44014676</t>
  </si>
  <si>
    <t>アライブ</t>
  </si>
  <si>
    <t>870-0876</t>
  </si>
  <si>
    <t>44014699</t>
  </si>
  <si>
    <t>イシヅチ</t>
  </si>
  <si>
    <t>44014702</t>
  </si>
  <si>
    <t>コスト</t>
  </si>
  <si>
    <t>44014703</t>
  </si>
  <si>
    <t>オカベケンセツ</t>
  </si>
  <si>
    <t>872-1105</t>
  </si>
  <si>
    <t>44014707</t>
  </si>
  <si>
    <t>オーエヌプラマー</t>
  </si>
  <si>
    <t>44014713</t>
  </si>
  <si>
    <t>オオイタボウハンサービス</t>
  </si>
  <si>
    <t>44014714</t>
  </si>
  <si>
    <t>シブヤケンセツ</t>
  </si>
  <si>
    <t>44014726</t>
  </si>
  <si>
    <t>ウエダデンキコウジ</t>
  </si>
  <si>
    <t>870-0812</t>
  </si>
  <si>
    <t>44014727</t>
  </si>
  <si>
    <t>グッドリメイク</t>
  </si>
  <si>
    <t>44014739</t>
  </si>
  <si>
    <t>ダイシンコウギョウ</t>
  </si>
  <si>
    <t>44014740</t>
  </si>
  <si>
    <t>キョウドウクミアイケンセツ</t>
  </si>
  <si>
    <t>44014742</t>
  </si>
  <si>
    <t>ヤマモトヤ</t>
  </si>
  <si>
    <t>44014747</t>
  </si>
  <si>
    <t>ゴードービジネスマシン</t>
  </si>
  <si>
    <t>44014756</t>
  </si>
  <si>
    <t>ミヤガワ</t>
  </si>
  <si>
    <t>44014762</t>
  </si>
  <si>
    <t>ティーエスサービス</t>
  </si>
  <si>
    <t>44014770</t>
  </si>
  <si>
    <t>ランス</t>
  </si>
  <si>
    <t>44014774</t>
  </si>
  <si>
    <t>カズケンセツコウボウ</t>
  </si>
  <si>
    <t>44014788</t>
  </si>
  <si>
    <t>ドクソウエン</t>
  </si>
  <si>
    <t>44014790</t>
  </si>
  <si>
    <t>44014796</t>
  </si>
  <si>
    <t>マルハチ</t>
  </si>
  <si>
    <t>44014797</t>
  </si>
  <si>
    <t>タキタソウギョウ</t>
  </si>
  <si>
    <t>879-6112</t>
  </si>
  <si>
    <t>44014803</t>
  </si>
  <si>
    <t>フジグロース</t>
  </si>
  <si>
    <t>44014806</t>
  </si>
  <si>
    <t>ダイコウ</t>
  </si>
  <si>
    <t>44014810</t>
  </si>
  <si>
    <t>エムズワークス</t>
  </si>
  <si>
    <t>44014816</t>
  </si>
  <si>
    <t>アンドウソウゴウセツビ</t>
  </si>
  <si>
    <t>44014817</t>
  </si>
  <si>
    <t>オオイワデンコウ</t>
  </si>
  <si>
    <t>44014818</t>
  </si>
  <si>
    <t>カイトソウ</t>
  </si>
  <si>
    <t>44014826</t>
  </si>
  <si>
    <t>44014831</t>
  </si>
  <si>
    <t>チュウセイコギョウ</t>
  </si>
  <si>
    <t>44014834</t>
  </si>
  <si>
    <t>トキワマリンサービス</t>
  </si>
  <si>
    <t>44014843</t>
  </si>
  <si>
    <t>マトイ</t>
  </si>
  <si>
    <t>44014849</t>
  </si>
  <si>
    <t>プリムローズ</t>
  </si>
  <si>
    <t>44014850</t>
  </si>
  <si>
    <t>マルゲン</t>
  </si>
  <si>
    <t>44014852</t>
  </si>
  <si>
    <t>ムラカミ</t>
  </si>
  <si>
    <t>44014855</t>
  </si>
  <si>
    <t>ティーアールセツビコウギョウ</t>
  </si>
  <si>
    <t>44014860</t>
  </si>
  <si>
    <t>メイセイ</t>
  </si>
  <si>
    <t>44014866</t>
  </si>
  <si>
    <t>アドバンス</t>
  </si>
  <si>
    <t>44014867</t>
  </si>
  <si>
    <t>ユキテック</t>
  </si>
  <si>
    <t>44014871</t>
  </si>
  <si>
    <t>マルヨシケンチク</t>
  </si>
  <si>
    <t>44014878</t>
  </si>
  <si>
    <t>ワイエスティー</t>
  </si>
  <si>
    <t>44014887</t>
  </si>
  <si>
    <t>セイカコウギョウ</t>
  </si>
  <si>
    <t>エスピーカンパニー</t>
  </si>
  <si>
    <t>44014906</t>
  </si>
  <si>
    <t>シシリアン</t>
  </si>
  <si>
    <t>44014913</t>
  </si>
  <si>
    <t>リョウワ</t>
  </si>
  <si>
    <t>870-0914</t>
  </si>
  <si>
    <t>44014914</t>
  </si>
  <si>
    <t>イシケンケンセツコウギョウ</t>
  </si>
  <si>
    <t>872-0522</t>
  </si>
  <si>
    <t>44014918</t>
  </si>
  <si>
    <t>サイガングリーンアース</t>
  </si>
  <si>
    <t>44014925</t>
  </si>
  <si>
    <t>コウワ</t>
  </si>
  <si>
    <t>44014930</t>
  </si>
  <si>
    <t>ヒタソウゴウハウス</t>
  </si>
  <si>
    <t>877-0015</t>
  </si>
  <si>
    <t>44014938</t>
  </si>
  <si>
    <t>ジョウケンセツコウギョウ</t>
  </si>
  <si>
    <t>44014941</t>
  </si>
  <si>
    <t>ワイアンドイーキカク</t>
  </si>
  <si>
    <t>44014942</t>
  </si>
  <si>
    <t>オクノ</t>
  </si>
  <si>
    <t>44014944</t>
  </si>
  <si>
    <t>インダルジェンス</t>
  </si>
  <si>
    <t>44014948</t>
  </si>
  <si>
    <t>リョッカオンワード</t>
  </si>
  <si>
    <t>44014952</t>
  </si>
  <si>
    <t>トウブカイハツ</t>
  </si>
  <si>
    <t>44014969</t>
  </si>
  <si>
    <t>ウチオセツビ</t>
  </si>
  <si>
    <t>44014972</t>
  </si>
  <si>
    <t>ミライリペアケンセツ</t>
  </si>
  <si>
    <t>44014980</t>
  </si>
  <si>
    <t>アイビーユー</t>
  </si>
  <si>
    <t>44014981</t>
  </si>
  <si>
    <t>ユウセンジョウセツビ</t>
  </si>
  <si>
    <t>44014994</t>
  </si>
  <si>
    <t>フジタグミ</t>
  </si>
  <si>
    <t>44015004</t>
  </si>
  <si>
    <t>ユクテック</t>
  </si>
  <si>
    <t>44015006</t>
  </si>
  <si>
    <t>キョウワケンセツ</t>
  </si>
  <si>
    <t>44015016</t>
  </si>
  <si>
    <t>セイコウデンセツ</t>
  </si>
  <si>
    <t>44015033</t>
  </si>
  <si>
    <t>タケミ</t>
  </si>
  <si>
    <t>44015046</t>
  </si>
  <si>
    <t>キモト</t>
  </si>
  <si>
    <t>44015048</t>
  </si>
  <si>
    <t>ショウシンケンコウ</t>
  </si>
  <si>
    <t>44015051</t>
  </si>
  <si>
    <t>ダイマルソウケン</t>
  </si>
  <si>
    <t>879-1121</t>
  </si>
  <si>
    <t>44015061</t>
  </si>
  <si>
    <t>サダデンコウ</t>
  </si>
  <si>
    <t>44015062</t>
  </si>
  <si>
    <t>ワコウカイハツ</t>
  </si>
  <si>
    <t>875-0235</t>
  </si>
  <si>
    <t>44015070</t>
  </si>
  <si>
    <t>キツキシソウゴウシンコウセンター</t>
  </si>
  <si>
    <t>44015077</t>
  </si>
  <si>
    <t>ミナミ</t>
  </si>
  <si>
    <t>44015081</t>
  </si>
  <si>
    <t>タキケンセツ</t>
  </si>
  <si>
    <t>44015082</t>
  </si>
  <si>
    <t>カンキョウコウケン</t>
  </si>
  <si>
    <t>44015127</t>
  </si>
  <si>
    <t>アオバケンセツ</t>
  </si>
  <si>
    <t>874-0904</t>
  </si>
  <si>
    <t>44015132</t>
  </si>
  <si>
    <t>マコトサンギョウ</t>
  </si>
  <si>
    <t>44015188</t>
  </si>
  <si>
    <t>ヨシノ</t>
  </si>
  <si>
    <t>44015319</t>
  </si>
  <si>
    <t>ヤマトデンギョウシャ</t>
  </si>
  <si>
    <t>870-0815</t>
  </si>
  <si>
    <t>00000002</t>
  </si>
  <si>
    <t>ツチヤ</t>
  </si>
  <si>
    <t>503-0917</t>
  </si>
  <si>
    <t>00000015</t>
  </si>
  <si>
    <t>ダイデン</t>
  </si>
  <si>
    <t>535-0031</t>
  </si>
  <si>
    <t>00000085</t>
  </si>
  <si>
    <t>ニホンチケン</t>
  </si>
  <si>
    <t>812-0894</t>
  </si>
  <si>
    <t>00000106</t>
  </si>
  <si>
    <t>ヒラカワ</t>
  </si>
  <si>
    <t>531-0077</t>
  </si>
  <si>
    <t>00000114</t>
  </si>
  <si>
    <t>キンデン</t>
  </si>
  <si>
    <t>531-8550</t>
  </si>
  <si>
    <t>00000142</t>
  </si>
  <si>
    <t>コマイハルテック</t>
  </si>
  <si>
    <t>550-0012</t>
  </si>
  <si>
    <t>00000180</t>
  </si>
  <si>
    <t>スミトモデンセツ</t>
  </si>
  <si>
    <t>550-8550</t>
  </si>
  <si>
    <t>00000200</t>
  </si>
  <si>
    <t>ミツイスミトモケンセツ</t>
  </si>
  <si>
    <t>104-0051</t>
  </si>
  <si>
    <t>00000211</t>
  </si>
  <si>
    <t>ニットクケンセツ</t>
  </si>
  <si>
    <t>103-0004</t>
  </si>
  <si>
    <t>00000231</t>
  </si>
  <si>
    <t>ニッポンピーエス</t>
  </si>
  <si>
    <t>914-0027</t>
  </si>
  <si>
    <t>00000244</t>
  </si>
  <si>
    <t>エクシオグループ</t>
  </si>
  <si>
    <t>150-0002</t>
  </si>
  <si>
    <t>00000265</t>
  </si>
  <si>
    <t>オオサカボウスイケンセツシャ</t>
  </si>
  <si>
    <t>543-0016</t>
  </si>
  <si>
    <t>00000270</t>
  </si>
  <si>
    <t>ニッテツパイプラインアンドエンジニアリング</t>
  </si>
  <si>
    <t>141-0032</t>
  </si>
  <si>
    <t>00000295</t>
  </si>
  <si>
    <t>フルセグミ</t>
  </si>
  <si>
    <t>600-8216</t>
  </si>
  <si>
    <t>00000300</t>
  </si>
  <si>
    <t>タイセイケンセツ</t>
  </si>
  <si>
    <t>163-0606</t>
  </si>
  <si>
    <t>00000316</t>
  </si>
  <si>
    <t>ニッポンオーチスエレベータ</t>
  </si>
  <si>
    <t>104-0033</t>
  </si>
  <si>
    <t>00000345</t>
  </si>
  <si>
    <t>エムエムブリッジ</t>
  </si>
  <si>
    <t>733-0036</t>
  </si>
  <si>
    <t>00000349</t>
  </si>
  <si>
    <t>ジェイアールキュウシュウデンキシステム</t>
  </si>
  <si>
    <t>812-0895</t>
  </si>
  <si>
    <t>00000368</t>
  </si>
  <si>
    <t>810-0005</t>
  </si>
  <si>
    <t>00000380</t>
  </si>
  <si>
    <t>タカダキコウ</t>
  </si>
  <si>
    <t>556-0011</t>
  </si>
  <si>
    <t>00000384</t>
  </si>
  <si>
    <t>ヤマハサウンドシステム</t>
  </si>
  <si>
    <t>220-0012</t>
  </si>
  <si>
    <t>00000390</t>
  </si>
  <si>
    <t>カワサキチシツ</t>
  </si>
  <si>
    <t>108-8337</t>
  </si>
  <si>
    <t>00000404</t>
  </si>
  <si>
    <t>シンゴウキザイ</t>
  </si>
  <si>
    <t>211-0016</t>
  </si>
  <si>
    <t>00000410</t>
  </si>
  <si>
    <t>サトウコウギョウ</t>
  </si>
  <si>
    <t>103-8639</t>
  </si>
  <si>
    <t>00000437</t>
  </si>
  <si>
    <t>スガハラ</t>
  </si>
  <si>
    <t>805-0061</t>
  </si>
  <si>
    <t>00000509</t>
  </si>
  <si>
    <t>キュウシュウヒタチシステムズ</t>
  </si>
  <si>
    <t>812-0016</t>
  </si>
  <si>
    <t>00000523</t>
  </si>
  <si>
    <t>オカモトドボク</t>
  </si>
  <si>
    <t>802-0073</t>
  </si>
  <si>
    <t>00000543</t>
  </si>
  <si>
    <t>ドーピーケンセツコウギョウ</t>
  </si>
  <si>
    <t>060-0001</t>
  </si>
  <si>
    <t>00000560</t>
  </si>
  <si>
    <t>ニホンエレベーターセイゾウ</t>
  </si>
  <si>
    <t>101-0032</t>
  </si>
  <si>
    <t>00000635</t>
  </si>
  <si>
    <t>ニッセイビルドコウギョウ</t>
  </si>
  <si>
    <t>920-0396</t>
  </si>
  <si>
    <t>00000647</t>
  </si>
  <si>
    <t>トリシマセイサクショ</t>
  </si>
  <si>
    <t>569-8660</t>
  </si>
  <si>
    <t>00000659</t>
  </si>
  <si>
    <t>サンセイテクノロジーズ</t>
  </si>
  <si>
    <t>532-0003</t>
  </si>
  <si>
    <t>00000691</t>
  </si>
  <si>
    <t>トウヨウネツコウギョウ</t>
  </si>
  <si>
    <t>104-8324</t>
  </si>
  <si>
    <t>00000718</t>
  </si>
  <si>
    <t>カミグミ</t>
  </si>
  <si>
    <t>651-0083</t>
  </si>
  <si>
    <t>00000733</t>
  </si>
  <si>
    <t>ナムラゾウセンショ</t>
  </si>
  <si>
    <t>848-0121</t>
  </si>
  <si>
    <t>00000741</t>
  </si>
  <si>
    <t>ハンダデンセツコウギョウ</t>
  </si>
  <si>
    <t>802-0014</t>
  </si>
  <si>
    <t>00000774</t>
  </si>
  <si>
    <t>マエザワコウギョウ</t>
  </si>
  <si>
    <t>332-8556</t>
  </si>
  <si>
    <t>00000819</t>
  </si>
  <si>
    <t>イケガミツウシンキ</t>
  </si>
  <si>
    <t>146-8567</t>
  </si>
  <si>
    <t>00000820</t>
  </si>
  <si>
    <t>シンコウサンギヨウ</t>
  </si>
  <si>
    <t>759-0297</t>
  </si>
  <si>
    <t>00000841</t>
  </si>
  <si>
    <t>ショウワコンクリートコウギョウ</t>
  </si>
  <si>
    <t>500-8703</t>
  </si>
  <si>
    <t>00000851</t>
  </si>
  <si>
    <t>タイセイセツビ</t>
  </si>
  <si>
    <t>163-0217</t>
  </si>
  <si>
    <t>00000858</t>
  </si>
  <si>
    <t>ヨリガミケンセツ</t>
  </si>
  <si>
    <t>652-0831</t>
  </si>
  <si>
    <t>00000873</t>
  </si>
  <si>
    <t>オオハシエアシステム</t>
  </si>
  <si>
    <t>810-0022</t>
  </si>
  <si>
    <t>00000882</t>
  </si>
  <si>
    <t>ニッシンコウギョウ</t>
  </si>
  <si>
    <t>882-0812</t>
  </si>
  <si>
    <t>00000887</t>
  </si>
  <si>
    <t>キュウチクコウギョウ</t>
  </si>
  <si>
    <t>805-8533</t>
  </si>
  <si>
    <t>00000909</t>
  </si>
  <si>
    <t>キヨモトテッコウ</t>
  </si>
  <si>
    <t>889-0595</t>
  </si>
  <si>
    <t>00000927</t>
  </si>
  <si>
    <t>タイヘイエンジニアリング</t>
  </si>
  <si>
    <t>113-8474</t>
  </si>
  <si>
    <t>00000931</t>
  </si>
  <si>
    <t>マルモデンキ</t>
  </si>
  <si>
    <t>101-0041</t>
  </si>
  <si>
    <t>00000959</t>
  </si>
  <si>
    <t>シスケン</t>
  </si>
  <si>
    <t>860-0832</t>
  </si>
  <si>
    <t>00001000</t>
  </si>
  <si>
    <t>105-8467</t>
  </si>
  <si>
    <t>00001059</t>
  </si>
  <si>
    <t>ノムラコウゲイシャ</t>
  </si>
  <si>
    <t>135-8622</t>
  </si>
  <si>
    <t>00001073</t>
  </si>
  <si>
    <t>サデンコウ</t>
  </si>
  <si>
    <t>840-0815</t>
  </si>
  <si>
    <t>00001088</t>
  </si>
  <si>
    <t>ノザトデンキコウギョウ</t>
  </si>
  <si>
    <t>555-0022</t>
  </si>
  <si>
    <t>00001100</t>
  </si>
  <si>
    <t>ニシマツケンセツ</t>
  </si>
  <si>
    <t>105-6407</t>
  </si>
  <si>
    <t>00001107</t>
  </si>
  <si>
    <t>シンフォニアエンジニアリング</t>
  </si>
  <si>
    <t>516-8553</t>
  </si>
  <si>
    <t>00001150</t>
  </si>
  <si>
    <t>ゴヨウケンセツ</t>
  </si>
  <si>
    <t>112-8576</t>
  </si>
  <si>
    <t>00001200</t>
  </si>
  <si>
    <t>クマガイグミ</t>
  </si>
  <si>
    <t>162-8557</t>
  </si>
  <si>
    <t>00001217</t>
  </si>
  <si>
    <t>コウセイケンセツ</t>
  </si>
  <si>
    <t>732-0056</t>
  </si>
  <si>
    <t>00001220</t>
  </si>
  <si>
    <t>テッケンケンセツ</t>
  </si>
  <si>
    <t>101-8366</t>
  </si>
  <si>
    <t>00001232</t>
  </si>
  <si>
    <t>730-0051</t>
  </si>
  <si>
    <t>00001271</t>
  </si>
  <si>
    <t>ピーエスコンストラクションカブシキガイシャ</t>
  </si>
  <si>
    <t>105-7365</t>
  </si>
  <si>
    <t>00001334</t>
  </si>
  <si>
    <t>ウォーターエージェンシー</t>
  </si>
  <si>
    <t>162-0813</t>
  </si>
  <si>
    <t>00001345</t>
  </si>
  <si>
    <t>ショーボンドケンセツ</t>
  </si>
  <si>
    <t>103-0015</t>
  </si>
  <si>
    <t>00001373</t>
  </si>
  <si>
    <t>ホウコクコウギョウ</t>
  </si>
  <si>
    <t>739-0024</t>
  </si>
  <si>
    <t>00001379</t>
  </si>
  <si>
    <t>00001383</t>
  </si>
  <si>
    <t>アイエイチアイインフラシステム</t>
  </si>
  <si>
    <t>590-0977</t>
  </si>
  <si>
    <t>00001400</t>
  </si>
  <si>
    <t>トビシマケンセツ</t>
  </si>
  <si>
    <t>108-0075</t>
  </si>
  <si>
    <t>00001453</t>
  </si>
  <si>
    <t>イワタチザキケンセツ</t>
  </si>
  <si>
    <t>060-8630</t>
  </si>
  <si>
    <t>00001468</t>
  </si>
  <si>
    <t>カンデンエンジニアリング</t>
  </si>
  <si>
    <t>530-6691</t>
  </si>
  <si>
    <t>00001483</t>
  </si>
  <si>
    <t>サンワコムシスエンジニアリング</t>
  </si>
  <si>
    <t>141-0022</t>
  </si>
  <si>
    <t>00001506</t>
  </si>
  <si>
    <t>カワサキジュウコウギョウ</t>
  </si>
  <si>
    <t>105-8315</t>
  </si>
  <si>
    <t>00001512</t>
  </si>
  <si>
    <t>ニッポンシャリョウセイゾウ</t>
  </si>
  <si>
    <t>456-8691</t>
  </si>
  <si>
    <t>00001545</t>
  </si>
  <si>
    <t>キュウシュウソウゴウケンセツ</t>
  </si>
  <si>
    <t>812-0053</t>
  </si>
  <si>
    <t>00001574</t>
  </si>
  <si>
    <t>トーエネック</t>
  </si>
  <si>
    <t>460-0008</t>
  </si>
  <si>
    <t>00001599</t>
  </si>
  <si>
    <t>ニシムデンシコウギョウ</t>
  </si>
  <si>
    <t>812-8539</t>
  </si>
  <si>
    <t>00001615</t>
  </si>
  <si>
    <t>キュウシュウリンサン</t>
  </si>
  <si>
    <t>815-0041</t>
  </si>
  <si>
    <t>00001659</t>
  </si>
  <si>
    <t>00001700</t>
  </si>
  <si>
    <t>ダイニッポンドボク</t>
  </si>
  <si>
    <t>500-8555</t>
  </si>
  <si>
    <t>00001729</t>
  </si>
  <si>
    <t>サンテック</t>
  </si>
  <si>
    <t>102-8440</t>
  </si>
  <si>
    <t>00001770</t>
  </si>
  <si>
    <t>ガイアート</t>
  </si>
  <si>
    <t>162-0814</t>
  </si>
  <si>
    <t>00001773</t>
  </si>
  <si>
    <t>クレキョウドウキコウ</t>
  </si>
  <si>
    <t>825-0005</t>
  </si>
  <si>
    <t>00001809</t>
  </si>
  <si>
    <t>ニチボー</t>
  </si>
  <si>
    <t>815-0031</t>
  </si>
  <si>
    <t>00001821</t>
  </si>
  <si>
    <t>コーアツコウギョウ</t>
  </si>
  <si>
    <t>890-0008</t>
  </si>
  <si>
    <t>00001868</t>
  </si>
  <si>
    <t>フドウテトラ</t>
  </si>
  <si>
    <t>103-0016</t>
  </si>
  <si>
    <t>00001871</t>
  </si>
  <si>
    <t>ニシカワケイソク</t>
  </si>
  <si>
    <t>151-8620</t>
  </si>
  <si>
    <t>00001879</t>
  </si>
  <si>
    <t>サンケンセツビコウギョウ</t>
  </si>
  <si>
    <t>00001882</t>
  </si>
  <si>
    <t>ニッシンデンキ</t>
  </si>
  <si>
    <t>615-8686</t>
  </si>
  <si>
    <t>00001934</t>
  </si>
  <si>
    <t>104-0061</t>
  </si>
  <si>
    <t>00001954</t>
  </si>
  <si>
    <t>キュウシュウケンセツ</t>
  </si>
  <si>
    <t>00001955</t>
  </si>
  <si>
    <t>セイブデンキ</t>
  </si>
  <si>
    <t>811-3193</t>
  </si>
  <si>
    <t>00001959</t>
  </si>
  <si>
    <t>トウヨウシヤッター</t>
  </si>
  <si>
    <t>542-0081</t>
  </si>
  <si>
    <t>00001962</t>
  </si>
  <si>
    <t>セイキトウキュウコウギョウ</t>
  </si>
  <si>
    <t>105-8509</t>
  </si>
  <si>
    <t>00001990</t>
  </si>
  <si>
    <t>オキクロステック</t>
  </si>
  <si>
    <t>104-6126</t>
  </si>
  <si>
    <t>00001993</t>
  </si>
  <si>
    <t>スガコウギョウ</t>
  </si>
  <si>
    <t>135-0047</t>
  </si>
  <si>
    <t>00002097</t>
  </si>
  <si>
    <t>チュウデンコウ</t>
  </si>
  <si>
    <t>730-0855</t>
  </si>
  <si>
    <t>00002100</t>
  </si>
  <si>
    <t>カジマケンセツ</t>
  </si>
  <si>
    <t>107-8388</t>
  </si>
  <si>
    <t>00002144</t>
  </si>
  <si>
    <t>ニシニッポンプラントコウギョウ</t>
  </si>
  <si>
    <t>810-8540</t>
  </si>
  <si>
    <t>00002147</t>
  </si>
  <si>
    <t>トウコウジオテック</t>
  </si>
  <si>
    <t>00002189</t>
  </si>
  <si>
    <t>ニホンゲンリョウ</t>
  </si>
  <si>
    <t>210-0005</t>
  </si>
  <si>
    <t>00002200</t>
  </si>
  <si>
    <t>オクムラグミ</t>
  </si>
  <si>
    <t>545-8555</t>
  </si>
  <si>
    <t>00002211</t>
  </si>
  <si>
    <t>カクソクケイソウ</t>
  </si>
  <si>
    <t>815-0074</t>
  </si>
  <si>
    <t>00002224</t>
  </si>
  <si>
    <t>ハセガワタイイクシセツ</t>
  </si>
  <si>
    <t>154-0004</t>
  </si>
  <si>
    <t>00002227</t>
  </si>
  <si>
    <t>ミヤモトコウギョウショ</t>
  </si>
  <si>
    <t>930-8512</t>
  </si>
  <si>
    <t>00002245</t>
  </si>
  <si>
    <t>アオミケンセツ</t>
  </si>
  <si>
    <t>101-0021</t>
  </si>
  <si>
    <t>00002275</t>
  </si>
  <si>
    <t>クボタ</t>
  </si>
  <si>
    <t>556-8601</t>
  </si>
  <si>
    <t>00002301</t>
  </si>
  <si>
    <t>フジピーエス</t>
  </si>
  <si>
    <t>00002313</t>
  </si>
  <si>
    <t>マエダドウロ</t>
  </si>
  <si>
    <t>141-8665</t>
  </si>
  <si>
    <t>00002315</t>
  </si>
  <si>
    <t>リンカイニッサンケンセツ</t>
  </si>
  <si>
    <t>105-0012</t>
  </si>
  <si>
    <t>00002316</t>
  </si>
  <si>
    <t>クリモトテッコウショ</t>
  </si>
  <si>
    <t>550-8580</t>
  </si>
  <si>
    <t>00002340</t>
  </si>
  <si>
    <t>エバラセイサクショ</t>
  </si>
  <si>
    <t>144-8510</t>
  </si>
  <si>
    <t>00002389</t>
  </si>
  <si>
    <t>359-8550</t>
  </si>
  <si>
    <t>00002399</t>
  </si>
  <si>
    <t>コウノイケグミ</t>
  </si>
  <si>
    <t>541-0057</t>
  </si>
  <si>
    <t>00002404</t>
  </si>
  <si>
    <t>541-0045</t>
  </si>
  <si>
    <t>00002405</t>
  </si>
  <si>
    <t>トウヨウケンセツ</t>
  </si>
  <si>
    <t>101-0051</t>
  </si>
  <si>
    <t>00002429</t>
  </si>
  <si>
    <t>トウアケンセツコウギョウ</t>
  </si>
  <si>
    <t>163-1031</t>
  </si>
  <si>
    <t>00002438</t>
  </si>
  <si>
    <t>アサヌマグミ</t>
  </si>
  <si>
    <t>556-0017</t>
  </si>
  <si>
    <t>00002454</t>
  </si>
  <si>
    <t>オカベ</t>
  </si>
  <si>
    <t>939-1901</t>
  </si>
  <si>
    <t>00002455</t>
  </si>
  <si>
    <t>チヨダコウサン</t>
  </si>
  <si>
    <t>810-0012</t>
  </si>
  <si>
    <t>00002459</t>
  </si>
  <si>
    <t>キュウナン</t>
  </si>
  <si>
    <t>880-0912</t>
  </si>
  <si>
    <t>00002467</t>
  </si>
  <si>
    <t>デンギョウシャキカイセイサクショ</t>
  </si>
  <si>
    <t>143-8558</t>
  </si>
  <si>
    <t>00002475</t>
  </si>
  <si>
    <t>ホンマグミ</t>
  </si>
  <si>
    <t>951-8650</t>
  </si>
  <si>
    <t>00002494</t>
  </si>
  <si>
    <t>ダイダン</t>
  </si>
  <si>
    <t>00002504</t>
  </si>
  <si>
    <t>セイブデンキコウギョウ</t>
  </si>
  <si>
    <t>812-8565</t>
  </si>
  <si>
    <t>00002520</t>
  </si>
  <si>
    <t>ダイホウケンセツ</t>
  </si>
  <si>
    <t>104-8289</t>
  </si>
  <si>
    <t>00002521</t>
  </si>
  <si>
    <t>トウキョウキュウエイ</t>
  </si>
  <si>
    <t>00002527</t>
  </si>
  <si>
    <t>930-0293</t>
  </si>
  <si>
    <t>00002531</t>
  </si>
  <si>
    <t>ダイイチセツビコウギョウ</t>
  </si>
  <si>
    <t>108-0023</t>
  </si>
  <si>
    <t>00002532</t>
  </si>
  <si>
    <t>ダイドウデンセツ</t>
  </si>
  <si>
    <t>050-0083</t>
  </si>
  <si>
    <t>00002545</t>
  </si>
  <si>
    <t>オクアンツーカ</t>
  </si>
  <si>
    <t>577-0012</t>
  </si>
  <si>
    <t>00002567</t>
  </si>
  <si>
    <t>イシガキ</t>
  </si>
  <si>
    <t>100-0005</t>
  </si>
  <si>
    <t>00002611</t>
  </si>
  <si>
    <t>メイセイデンキ</t>
  </si>
  <si>
    <t>372-8585</t>
  </si>
  <si>
    <t>00002632</t>
  </si>
  <si>
    <t>アベニッコウコウギョウ</t>
  </si>
  <si>
    <t>500-8638</t>
  </si>
  <si>
    <t>00002636</t>
  </si>
  <si>
    <t>カワモトコウギョウ</t>
  </si>
  <si>
    <t>231-0026</t>
  </si>
  <si>
    <t>00002646</t>
  </si>
  <si>
    <t>オオモトグミ</t>
  </si>
  <si>
    <t>700-8550</t>
  </si>
  <si>
    <t>00002655</t>
  </si>
  <si>
    <t>マエダケンセツコウギョウ</t>
  </si>
  <si>
    <t>102-8151</t>
  </si>
  <si>
    <t>00002657</t>
  </si>
  <si>
    <t>トウコウデンキコウジ</t>
  </si>
  <si>
    <t>101-8350</t>
  </si>
  <si>
    <t>00002667</t>
  </si>
  <si>
    <t>セイコーカコウキ</t>
  </si>
  <si>
    <t>674-0093</t>
  </si>
  <si>
    <t>00002698</t>
  </si>
  <si>
    <t>ウノジュウコウ</t>
  </si>
  <si>
    <t>515-8558</t>
  </si>
  <si>
    <t>00002714</t>
  </si>
  <si>
    <t>ヤダコウギョウ</t>
  </si>
  <si>
    <t>963-0921</t>
  </si>
  <si>
    <t>00002744</t>
  </si>
  <si>
    <t>タケナカコウムテン</t>
  </si>
  <si>
    <t>541-0053</t>
  </si>
  <si>
    <t>00002765</t>
  </si>
  <si>
    <t>サンキュウ</t>
  </si>
  <si>
    <t>104-0054</t>
  </si>
  <si>
    <t>00002770</t>
  </si>
  <si>
    <t>ニツポンドウロ</t>
  </si>
  <si>
    <t>105-0023</t>
  </si>
  <si>
    <t>00002791</t>
  </si>
  <si>
    <t>ヨシダグミ</t>
  </si>
  <si>
    <t>671-1116</t>
  </si>
  <si>
    <t>00002812</t>
  </si>
  <si>
    <t>107-8511</t>
  </si>
  <si>
    <t>00002816</t>
  </si>
  <si>
    <t>フジキコウムテン</t>
  </si>
  <si>
    <t>541-0051</t>
  </si>
  <si>
    <t>00002822</t>
  </si>
  <si>
    <t>アサヒコウギョウシャ</t>
  </si>
  <si>
    <t>105-8543</t>
  </si>
  <si>
    <t>00002826</t>
  </si>
  <si>
    <t>タイセイオンチョウ</t>
  </si>
  <si>
    <t>140-8515</t>
  </si>
  <si>
    <t>00002840</t>
  </si>
  <si>
    <t>キョクトウコウワ</t>
  </si>
  <si>
    <t>732-0052</t>
  </si>
  <si>
    <t>00002842</t>
  </si>
  <si>
    <t>キョウサンセイサクショ</t>
  </si>
  <si>
    <t>230-0031</t>
  </si>
  <si>
    <t>00002843</t>
  </si>
  <si>
    <t>アオキアスナロケンセツ</t>
  </si>
  <si>
    <t>108-0014</t>
  </si>
  <si>
    <t>00002864</t>
  </si>
  <si>
    <t>サノヤスエンテック</t>
  </si>
  <si>
    <t>542-0073</t>
  </si>
  <si>
    <t>00002915</t>
  </si>
  <si>
    <t>カワダコウギョウ</t>
  </si>
  <si>
    <t>939-1593</t>
  </si>
  <si>
    <t>00002942</t>
  </si>
  <si>
    <t>ニッタン</t>
  </si>
  <si>
    <t>151-8535</t>
  </si>
  <si>
    <t>00002949</t>
  </si>
  <si>
    <t>アライグミ</t>
  </si>
  <si>
    <t>662-8502</t>
  </si>
  <si>
    <t>00002979</t>
  </si>
  <si>
    <t>ニッサク</t>
  </si>
  <si>
    <t>330-0854</t>
  </si>
  <si>
    <t>00002990</t>
  </si>
  <si>
    <t>ナラサキセイサクショ</t>
  </si>
  <si>
    <t>050-8570</t>
  </si>
  <si>
    <t>00002992</t>
  </si>
  <si>
    <t>840-8666</t>
  </si>
  <si>
    <t>00002995</t>
  </si>
  <si>
    <t>ニッポンデンセツコウギョウ</t>
  </si>
  <si>
    <t>110-8706</t>
  </si>
  <si>
    <t>00003000</t>
  </si>
  <si>
    <t>オオバヤシグミ</t>
  </si>
  <si>
    <t>108-8502</t>
  </si>
  <si>
    <t>00003001</t>
  </si>
  <si>
    <t>ヤハギケンセツコウギョウ</t>
  </si>
  <si>
    <t>461-0004</t>
  </si>
  <si>
    <t>00003026</t>
  </si>
  <si>
    <t>アビノケンセツ</t>
  </si>
  <si>
    <t>00003057</t>
  </si>
  <si>
    <t>フクダグミ</t>
  </si>
  <si>
    <t>951-8668</t>
  </si>
  <si>
    <t>00003101</t>
  </si>
  <si>
    <t>テクノリョウワ</t>
  </si>
  <si>
    <t>170-0005</t>
  </si>
  <si>
    <t>00003132</t>
  </si>
  <si>
    <t>アイチトケイデンキ</t>
  </si>
  <si>
    <t>00003134</t>
  </si>
  <si>
    <t>ニホンクウチヨウサービス</t>
  </si>
  <si>
    <t>465-0042</t>
  </si>
  <si>
    <t>00003150</t>
  </si>
  <si>
    <t>トウアグラウトコウギョウ</t>
  </si>
  <si>
    <t>160-0004</t>
  </si>
  <si>
    <t>00003152</t>
  </si>
  <si>
    <t>ニッポンドライケミカル</t>
  </si>
  <si>
    <t>114-0014</t>
  </si>
  <si>
    <t>00003180</t>
  </si>
  <si>
    <t>ミツビシデンキ</t>
  </si>
  <si>
    <t>100-8310</t>
  </si>
  <si>
    <t>00003186</t>
  </si>
  <si>
    <t>シンセイテクノス</t>
  </si>
  <si>
    <t>00003200</t>
  </si>
  <si>
    <t>シミズケンセツ</t>
  </si>
  <si>
    <t>104-8370</t>
  </si>
  <si>
    <t>00003214</t>
  </si>
  <si>
    <t>クリハラコウギョウ</t>
  </si>
  <si>
    <t>530-0054</t>
  </si>
  <si>
    <t>00003218</t>
  </si>
  <si>
    <t>フジタドウロ</t>
  </si>
  <si>
    <t>104-6003</t>
  </si>
  <si>
    <t>00003222</t>
  </si>
  <si>
    <t>シンフォニアテクノロジー</t>
  </si>
  <si>
    <t>105-8564</t>
  </si>
  <si>
    <t>00003226</t>
  </si>
  <si>
    <t>トウアドウロコウギョウ</t>
  </si>
  <si>
    <t>106-0032</t>
  </si>
  <si>
    <t>00003250</t>
  </si>
  <si>
    <t>ゼニタカグミ</t>
  </si>
  <si>
    <t>550-0005</t>
  </si>
  <si>
    <t>00003269</t>
  </si>
  <si>
    <t>コトブキカコウキ</t>
  </si>
  <si>
    <t>467-0012</t>
  </si>
  <si>
    <t>00003304</t>
  </si>
  <si>
    <t>ニシダテッコウ</t>
  </si>
  <si>
    <t>869-0494</t>
  </si>
  <si>
    <t>00003354</t>
  </si>
  <si>
    <t>マツイケンセツ</t>
  </si>
  <si>
    <t>104-8281</t>
  </si>
  <si>
    <t>00003357</t>
  </si>
  <si>
    <t>トウシバエレベータ</t>
  </si>
  <si>
    <t>212-8585</t>
  </si>
  <si>
    <t>00003392</t>
  </si>
  <si>
    <t>オベコウギョウ</t>
  </si>
  <si>
    <t>792-0801</t>
  </si>
  <si>
    <t>00003395</t>
  </si>
  <si>
    <t>カナデビア</t>
  </si>
  <si>
    <t>559-0034</t>
  </si>
  <si>
    <t>00003407</t>
  </si>
  <si>
    <t>フジデンキイーアンドシー</t>
  </si>
  <si>
    <t>212-0013</t>
  </si>
  <si>
    <t>00003441</t>
  </si>
  <si>
    <t>タイキシャ</t>
  </si>
  <si>
    <t>160-6129</t>
  </si>
  <si>
    <t>00003444</t>
  </si>
  <si>
    <t>タキガミコウギョウ</t>
  </si>
  <si>
    <t>475-0826</t>
  </si>
  <si>
    <t>00003447</t>
  </si>
  <si>
    <t>シンリョウレイネツコウギョウ</t>
  </si>
  <si>
    <t>160-8510</t>
  </si>
  <si>
    <t>00003460</t>
  </si>
  <si>
    <t>ウベコウギョウ</t>
  </si>
  <si>
    <t>759-0295</t>
  </si>
  <si>
    <t>00003464</t>
  </si>
  <si>
    <t>サンキュウデンキ</t>
  </si>
  <si>
    <t>176-0021</t>
  </si>
  <si>
    <t>00003476</t>
  </si>
  <si>
    <t>ミヤヂエンジニアリング</t>
  </si>
  <si>
    <t>103-0006</t>
  </si>
  <si>
    <t>00003481</t>
  </si>
  <si>
    <t>キドウケンセツコウギョウ</t>
  </si>
  <si>
    <t>553-0003</t>
  </si>
  <si>
    <t>00003484</t>
  </si>
  <si>
    <t>ツキシマジェイエフイーアクアソリューション</t>
  </si>
  <si>
    <t>104-0053</t>
  </si>
  <si>
    <t>00003515</t>
  </si>
  <si>
    <t>トウシバプラントシステム</t>
  </si>
  <si>
    <t>00003518</t>
  </si>
  <si>
    <t>アサカワグミ</t>
  </si>
  <si>
    <t>640-8551</t>
  </si>
  <si>
    <t>00003532</t>
  </si>
  <si>
    <t>サンレイシャ</t>
  </si>
  <si>
    <t>103-0023</t>
  </si>
  <si>
    <t>00003563</t>
  </si>
  <si>
    <t>メイデンシャ</t>
  </si>
  <si>
    <t>141-6029</t>
  </si>
  <si>
    <t>00003597</t>
  </si>
  <si>
    <t>マルシマアクアシステム</t>
  </si>
  <si>
    <t>540-8577</t>
  </si>
  <si>
    <t>00003650</t>
  </si>
  <si>
    <t>ワカチクケンセツ</t>
  </si>
  <si>
    <t>153-0064</t>
  </si>
  <si>
    <t>00003659</t>
  </si>
  <si>
    <t>クリマテック</t>
  </si>
  <si>
    <t>00003660</t>
  </si>
  <si>
    <t>ライトコウギョウ</t>
  </si>
  <si>
    <t>102-8236</t>
  </si>
  <si>
    <t>00003671</t>
  </si>
  <si>
    <t>オクムラグミドボクコウギヨウ</t>
  </si>
  <si>
    <t>552-0016</t>
  </si>
  <si>
    <t>00003672</t>
  </si>
  <si>
    <t>ニシハラネオ</t>
  </si>
  <si>
    <t>00003750</t>
  </si>
  <si>
    <t>タケナカドボク</t>
  </si>
  <si>
    <t>136-8570</t>
  </si>
  <si>
    <t>00003759</t>
  </si>
  <si>
    <t>キュウテツコウギョウ</t>
  </si>
  <si>
    <t>800-0007</t>
  </si>
  <si>
    <t>00003762</t>
  </si>
  <si>
    <t>エバラジツギョウ</t>
  </si>
  <si>
    <t>104-8174</t>
  </si>
  <si>
    <t>00003776</t>
  </si>
  <si>
    <t>トウワ</t>
  </si>
  <si>
    <t>849-0921</t>
  </si>
  <si>
    <t>00003780</t>
  </si>
  <si>
    <t>ニットウカセンコウギョウ</t>
  </si>
  <si>
    <t>760-0007</t>
  </si>
  <si>
    <t>00003781</t>
  </si>
  <si>
    <t>フソウ</t>
  </si>
  <si>
    <t>761-8551</t>
  </si>
  <si>
    <t>00003795</t>
  </si>
  <si>
    <t>ムラヤマ</t>
  </si>
  <si>
    <t>135-0061</t>
  </si>
  <si>
    <t>00003800</t>
  </si>
  <si>
    <t>トダケンセツ</t>
  </si>
  <si>
    <t>104-0031</t>
  </si>
  <si>
    <t>00003801</t>
  </si>
  <si>
    <t>フジヨシコウギョウ</t>
  </si>
  <si>
    <t>453-0801</t>
  </si>
  <si>
    <t>00003810</t>
  </si>
  <si>
    <t>ニホンジドウキコウ</t>
  </si>
  <si>
    <t>330-0064</t>
  </si>
  <si>
    <t>00003844</t>
  </si>
  <si>
    <t>イチケン</t>
  </si>
  <si>
    <t>00003862</t>
  </si>
  <si>
    <t>セキスイアクアシステム</t>
  </si>
  <si>
    <t>531-0076</t>
  </si>
  <si>
    <t>00003885</t>
  </si>
  <si>
    <t>カンデンコウ</t>
  </si>
  <si>
    <t>108-8533</t>
  </si>
  <si>
    <t>00003887</t>
  </si>
  <si>
    <t>トクラケンセツ</t>
  </si>
  <si>
    <t>460-8615</t>
  </si>
  <si>
    <t>00003892</t>
  </si>
  <si>
    <t>オルガノ</t>
  </si>
  <si>
    <t>136-8631</t>
  </si>
  <si>
    <t>00003909</t>
  </si>
  <si>
    <t>カワダケンセツ</t>
  </si>
  <si>
    <t>114-8505</t>
  </si>
  <si>
    <t>00003925</t>
  </si>
  <si>
    <t>ムラモトケンセツ</t>
  </si>
  <si>
    <t>635-0822</t>
  </si>
  <si>
    <t>00003931</t>
  </si>
  <si>
    <t>ヒビヤソウゴウセツビ</t>
  </si>
  <si>
    <t>108-6312</t>
  </si>
  <si>
    <t>00003961</t>
  </si>
  <si>
    <t>カワキタデンキコウギョウ</t>
  </si>
  <si>
    <t>00003963</t>
  </si>
  <si>
    <t>ニッポンケーブル</t>
  </si>
  <si>
    <t>101-0054</t>
  </si>
  <si>
    <t>00003993</t>
  </si>
  <si>
    <t>ジョンソンコントロールズ</t>
  </si>
  <si>
    <t>151-0073</t>
  </si>
  <si>
    <t>00004008</t>
  </si>
  <si>
    <t>コウザイシャ</t>
  </si>
  <si>
    <t>800-0029</t>
  </si>
  <si>
    <t>00004018</t>
  </si>
  <si>
    <t>オリエンタルシライシ</t>
  </si>
  <si>
    <t>00004070</t>
  </si>
  <si>
    <t>サイキュウコウギョウ</t>
  </si>
  <si>
    <t>00004101</t>
  </si>
  <si>
    <t>ナカボーテック</t>
  </si>
  <si>
    <t>00004120</t>
  </si>
  <si>
    <t>アイサワコウギョウ</t>
  </si>
  <si>
    <t>700-0822</t>
  </si>
  <si>
    <t>00004166</t>
  </si>
  <si>
    <t>シンコウカンキョウソリューション</t>
  </si>
  <si>
    <t>651-0072</t>
  </si>
  <si>
    <t>00004226</t>
  </si>
  <si>
    <t>ツヅキデンキ</t>
  </si>
  <si>
    <t>105-8665</t>
  </si>
  <si>
    <t>00004245</t>
  </si>
  <si>
    <t>ミゾタ</t>
  </si>
  <si>
    <t>840-8686</t>
  </si>
  <si>
    <t>00004255</t>
  </si>
  <si>
    <t>ニホンムセン</t>
  </si>
  <si>
    <t>164-8570</t>
  </si>
  <si>
    <t>00004272</t>
  </si>
  <si>
    <t>ニホンコウエイエナジーソリューションズ</t>
  </si>
  <si>
    <t>102-8539</t>
  </si>
  <si>
    <t>00004287</t>
  </si>
  <si>
    <t>ニホンサミコン</t>
  </si>
  <si>
    <t>950-0925</t>
  </si>
  <si>
    <t>00004292</t>
  </si>
  <si>
    <t>ホーチキ</t>
  </si>
  <si>
    <t>141-8660</t>
  </si>
  <si>
    <t>00004298</t>
  </si>
  <si>
    <t>ニッポンセイシソウゴウカイハツ</t>
  </si>
  <si>
    <t>114-8555</t>
  </si>
  <si>
    <t>00004305</t>
  </si>
  <si>
    <t>シンメイワコウギョウ</t>
  </si>
  <si>
    <t>665-8550</t>
  </si>
  <si>
    <t>00004310</t>
  </si>
  <si>
    <t>サンキコウギョウ</t>
  </si>
  <si>
    <t>104-8506</t>
  </si>
  <si>
    <t>00004311</t>
  </si>
  <si>
    <t>スイドウキコウ</t>
  </si>
  <si>
    <t>156-0054</t>
  </si>
  <si>
    <t>00004329</t>
  </si>
  <si>
    <t>ヤチヨデンセツコウギョウ</t>
  </si>
  <si>
    <t>540-0003</t>
  </si>
  <si>
    <t>00004340</t>
  </si>
  <si>
    <t>エヌエイチケイテクノロジーズ</t>
  </si>
  <si>
    <t>150-0047</t>
  </si>
  <si>
    <t>00004341</t>
  </si>
  <si>
    <t>トウキョウケイキ</t>
  </si>
  <si>
    <t>144-8551</t>
  </si>
  <si>
    <t>00004354</t>
  </si>
  <si>
    <t>フカダサルベージケンセツ</t>
  </si>
  <si>
    <t>552-0021</t>
  </si>
  <si>
    <t>00004379</t>
  </si>
  <si>
    <t>ミツビシデンキシステムサービス</t>
  </si>
  <si>
    <t>154-8520</t>
  </si>
  <si>
    <t>00004394</t>
  </si>
  <si>
    <t>ミズノ</t>
  </si>
  <si>
    <t>559-8510</t>
  </si>
  <si>
    <t>00004422</t>
  </si>
  <si>
    <t>フジツウジャパン</t>
  </si>
  <si>
    <t>212-0014</t>
  </si>
  <si>
    <t>00004450</t>
  </si>
  <si>
    <t>トウホウデンキコウギョウ</t>
  </si>
  <si>
    <t>150-0013</t>
  </si>
  <si>
    <t>00004510</t>
  </si>
  <si>
    <t>00004520</t>
  </si>
  <si>
    <t>ニホンボウショクコウギョウ</t>
  </si>
  <si>
    <t>144-8555</t>
  </si>
  <si>
    <t>00004550</t>
  </si>
  <si>
    <t>ナカノフドーケンセツ</t>
  </si>
  <si>
    <t>102-0073</t>
  </si>
  <si>
    <t>00004553</t>
  </si>
  <si>
    <t>ニホンシンゴウ</t>
  </si>
  <si>
    <t>100-6513</t>
  </si>
  <si>
    <t>00004590</t>
  </si>
  <si>
    <t>コクドボウサイギジュツ</t>
  </si>
  <si>
    <t>105-0001</t>
  </si>
  <si>
    <t>00004594</t>
  </si>
  <si>
    <t>リョウネツ</t>
  </si>
  <si>
    <t>812-8553</t>
  </si>
  <si>
    <t>00004607</t>
  </si>
  <si>
    <t>トモエコーポレーション</t>
  </si>
  <si>
    <t>00004643</t>
  </si>
  <si>
    <t>フジテック</t>
  </si>
  <si>
    <t>108-8307</t>
  </si>
  <si>
    <t>00004701</t>
  </si>
  <si>
    <t>ジェイエフイーエンジニアリング</t>
  </si>
  <si>
    <t>230-8611</t>
  </si>
  <si>
    <t>00004702</t>
  </si>
  <si>
    <t>ヒタチセイサクショ</t>
  </si>
  <si>
    <t>100-8280</t>
  </si>
  <si>
    <t>00004737</t>
  </si>
  <si>
    <t>クマヒラ</t>
  </si>
  <si>
    <t>103-8314</t>
  </si>
  <si>
    <t>00004765</t>
  </si>
  <si>
    <t>ニホンファブテック</t>
  </si>
  <si>
    <t>302-0038</t>
  </si>
  <si>
    <t>00004794</t>
  </si>
  <si>
    <t>キョウワカコウ</t>
  </si>
  <si>
    <t>141-8519</t>
  </si>
  <si>
    <t>00004807</t>
  </si>
  <si>
    <t>ナゴヤデンキコウギョウ</t>
  </si>
  <si>
    <t>490-1294</t>
  </si>
  <si>
    <t>00004921</t>
  </si>
  <si>
    <t>サンキケンセツ</t>
  </si>
  <si>
    <t>812-0896</t>
  </si>
  <si>
    <t>00004927</t>
  </si>
  <si>
    <t>トウヨウホイスト</t>
  </si>
  <si>
    <t>811-0112</t>
  </si>
  <si>
    <t>00004940</t>
  </si>
  <si>
    <t>デンキコウギョウ</t>
  </si>
  <si>
    <t>00004947</t>
  </si>
  <si>
    <t>ノバック</t>
  </si>
  <si>
    <t>670-0947</t>
  </si>
  <si>
    <t>00004948</t>
  </si>
  <si>
    <t>トウテク</t>
  </si>
  <si>
    <t>00005087</t>
  </si>
  <si>
    <t>フソウデンツウ</t>
  </si>
  <si>
    <t>104-0045</t>
  </si>
  <si>
    <t>00005088</t>
  </si>
  <si>
    <t>105-8039</t>
  </si>
  <si>
    <t>00005100</t>
  </si>
  <si>
    <t>モリタテッコウショ</t>
  </si>
  <si>
    <t>340-0121</t>
  </si>
  <si>
    <t>00005101</t>
  </si>
  <si>
    <t>ナイトウハウス</t>
  </si>
  <si>
    <t>407-8510</t>
  </si>
  <si>
    <t>00005120</t>
  </si>
  <si>
    <t>トモエコウギョウ</t>
  </si>
  <si>
    <t>141-0001</t>
  </si>
  <si>
    <t>00005178</t>
  </si>
  <si>
    <t>ミツビシカコウキ</t>
  </si>
  <si>
    <t>00005186</t>
  </si>
  <si>
    <t>トウシバライテック</t>
  </si>
  <si>
    <t>00005225</t>
  </si>
  <si>
    <t>オキデンキコウギョウ</t>
  </si>
  <si>
    <t>108-8551</t>
  </si>
  <si>
    <t>00005229</t>
  </si>
  <si>
    <t>ノウミボウサイ</t>
  </si>
  <si>
    <t>102-8277</t>
  </si>
  <si>
    <t>00005279</t>
  </si>
  <si>
    <t>ダイワハウスコウギョウ</t>
  </si>
  <si>
    <t>530-8241</t>
  </si>
  <si>
    <t>00005287</t>
  </si>
  <si>
    <t>ヒタチプラントサービス</t>
  </si>
  <si>
    <t>00005300</t>
  </si>
  <si>
    <t>ジェイエフイープラントエンジ</t>
  </si>
  <si>
    <t>111-0051</t>
  </si>
  <si>
    <t>00005335</t>
  </si>
  <si>
    <t>ミツビシデンキビルソリューションズ</t>
  </si>
  <si>
    <t>100-8335</t>
  </si>
  <si>
    <t>00005383</t>
  </si>
  <si>
    <t>ニホンカンリュウコウギョウ</t>
  </si>
  <si>
    <t>812-0054</t>
  </si>
  <si>
    <t>00005400</t>
  </si>
  <si>
    <t>ミライトワン</t>
  </si>
  <si>
    <t>135-8111</t>
  </si>
  <si>
    <t>00005411</t>
  </si>
  <si>
    <t>キョクトウカイハツコウギョウ</t>
  </si>
  <si>
    <t>541-8519</t>
  </si>
  <si>
    <t>00005422</t>
  </si>
  <si>
    <t>アズビル</t>
  </si>
  <si>
    <t>100-6419</t>
  </si>
  <si>
    <t>00005435</t>
  </si>
  <si>
    <t>クウケンコウギョウ</t>
  </si>
  <si>
    <t>810-0051</t>
  </si>
  <si>
    <t>00005438</t>
  </si>
  <si>
    <t>スイキテクノス</t>
  </si>
  <si>
    <t>00005478</t>
  </si>
  <si>
    <t>850-0032</t>
  </si>
  <si>
    <t>00005541</t>
  </si>
  <si>
    <t>シンリョウコウギョウ</t>
  </si>
  <si>
    <t>101-0046</t>
  </si>
  <si>
    <t>00005570</t>
  </si>
  <si>
    <t>ヒタチビルシステム</t>
  </si>
  <si>
    <t>120-0002</t>
  </si>
  <si>
    <t>00005625</t>
  </si>
  <si>
    <t>トウカイプラントエンジニアリング</t>
  </si>
  <si>
    <t>457-0856</t>
  </si>
  <si>
    <t>00005627</t>
  </si>
  <si>
    <t>マツムラデンキセイサクショ</t>
  </si>
  <si>
    <t>113-0031</t>
  </si>
  <si>
    <t>00005658</t>
  </si>
  <si>
    <t>ドリコ</t>
  </si>
  <si>
    <t>103-0027</t>
  </si>
  <si>
    <t>00005669</t>
  </si>
  <si>
    <t>エイチワイエスエンジニアリングサービス</t>
  </si>
  <si>
    <t>187-8512</t>
  </si>
  <si>
    <t>00005678</t>
  </si>
  <si>
    <t>ミライケンセツコウギョウ</t>
  </si>
  <si>
    <t>00005692</t>
  </si>
  <si>
    <t>ダイエイカイハツ</t>
  </si>
  <si>
    <t>857-1151</t>
  </si>
  <si>
    <t>00005700</t>
  </si>
  <si>
    <t>リスイカガク</t>
  </si>
  <si>
    <t>00005708</t>
  </si>
  <si>
    <t>タカサゴネツガクコウギョウ</t>
  </si>
  <si>
    <t>160-0022</t>
  </si>
  <si>
    <t>00005723</t>
  </si>
  <si>
    <t>エヌイーシーネッツエスアイ</t>
  </si>
  <si>
    <t>108-8515</t>
  </si>
  <si>
    <t>00005725</t>
  </si>
  <si>
    <t>カナデン</t>
  </si>
  <si>
    <t>104-6215</t>
  </si>
  <si>
    <t>00005731</t>
  </si>
  <si>
    <t>チヨダグミ</t>
  </si>
  <si>
    <t>105-0003</t>
  </si>
  <si>
    <t>00005828</t>
  </si>
  <si>
    <t>213-8502</t>
  </si>
  <si>
    <t>00005832</t>
  </si>
  <si>
    <t>00005892</t>
  </si>
  <si>
    <t>アイエイチアイカイテンキカイエンジニアリング</t>
  </si>
  <si>
    <t>135-0062</t>
  </si>
  <si>
    <t>00005900</t>
  </si>
  <si>
    <t>カンセイコウギョウ</t>
  </si>
  <si>
    <t>158-0098</t>
  </si>
  <si>
    <t>00005903</t>
  </si>
  <si>
    <t>ダイワリース</t>
  </si>
  <si>
    <t>540-0011</t>
  </si>
  <si>
    <t>00005955</t>
  </si>
  <si>
    <t>ニットウコウエイ</t>
  </si>
  <si>
    <t>160-0023</t>
  </si>
  <si>
    <t>00006002</t>
  </si>
  <si>
    <t>オムロンフィールドエンジニアリング</t>
  </si>
  <si>
    <t>153-0062</t>
  </si>
  <si>
    <t>00006005</t>
  </si>
  <si>
    <t>サンシンロカコウギョウ</t>
  </si>
  <si>
    <t>453-0013</t>
  </si>
  <si>
    <t>00006011</t>
  </si>
  <si>
    <t>ダイセン</t>
  </si>
  <si>
    <t>440-8521</t>
  </si>
  <si>
    <t>00006068</t>
  </si>
  <si>
    <t>ケーネス</t>
  </si>
  <si>
    <t>105-0011</t>
  </si>
  <si>
    <t>00006074</t>
  </si>
  <si>
    <t>ジャトー</t>
  </si>
  <si>
    <t>530-0053</t>
  </si>
  <si>
    <t>00006090</t>
  </si>
  <si>
    <t>カナデビアイーアンドイー</t>
  </si>
  <si>
    <t>552-0007</t>
  </si>
  <si>
    <t>00006129</t>
  </si>
  <si>
    <t>タクマ</t>
  </si>
  <si>
    <t>660-0806</t>
  </si>
  <si>
    <t>00006233</t>
  </si>
  <si>
    <t>497-8501</t>
  </si>
  <si>
    <t>00006345</t>
  </si>
  <si>
    <t>イマベップサンギョウ</t>
  </si>
  <si>
    <t>890-0072</t>
  </si>
  <si>
    <t>00006366</t>
  </si>
  <si>
    <t>ヒビノスペーステック</t>
  </si>
  <si>
    <t>105-0022</t>
  </si>
  <si>
    <t>00006378</t>
  </si>
  <si>
    <t>タナカコウキコウギョウショ</t>
  </si>
  <si>
    <t>959-1145</t>
  </si>
  <si>
    <t>00006441</t>
  </si>
  <si>
    <t>センヨウコウギヨウ</t>
  </si>
  <si>
    <t>556-0016</t>
  </si>
  <si>
    <t>00006449</t>
  </si>
  <si>
    <t>ティーエスピータイヨウ</t>
  </si>
  <si>
    <t>153-0043</t>
  </si>
  <si>
    <t>00006540</t>
  </si>
  <si>
    <t>532-0005</t>
  </si>
  <si>
    <t>00006587</t>
  </si>
  <si>
    <t>ニホンタイイクシセツ</t>
  </si>
  <si>
    <t>164-0003</t>
  </si>
  <si>
    <t>00006653</t>
  </si>
  <si>
    <t>コオリリース</t>
  </si>
  <si>
    <t>00006689</t>
  </si>
  <si>
    <t>サンセイコウジサービス</t>
  </si>
  <si>
    <t>530-0033</t>
  </si>
  <si>
    <t>00006806</t>
  </si>
  <si>
    <t>トウカイリース</t>
  </si>
  <si>
    <t>530-0041</t>
  </si>
  <si>
    <t>00006813</t>
  </si>
  <si>
    <t>ミサクラデンキコウギョウ</t>
  </si>
  <si>
    <t>880-2112</t>
  </si>
  <si>
    <t>00006819</t>
  </si>
  <si>
    <t>トータリゼータエンジニアリング</t>
  </si>
  <si>
    <t>140-0013</t>
  </si>
  <si>
    <t>00006970</t>
  </si>
  <si>
    <t>ミツビシジュウコウカンキョウカガクエンジニアリング</t>
  </si>
  <si>
    <t>00007003</t>
  </si>
  <si>
    <t>セグチグミ</t>
  </si>
  <si>
    <t>800-0251</t>
  </si>
  <si>
    <t>00007035</t>
  </si>
  <si>
    <t>ヤマダショウカイ</t>
  </si>
  <si>
    <t>802-0066</t>
  </si>
  <si>
    <t>00007075</t>
  </si>
  <si>
    <t>チヨダケイソウ</t>
  </si>
  <si>
    <t>814-0006</t>
  </si>
  <si>
    <t>00007129</t>
  </si>
  <si>
    <t>オウジエンジニアリング</t>
  </si>
  <si>
    <t>00007324</t>
  </si>
  <si>
    <t>タイセイキコウ</t>
  </si>
  <si>
    <t>530-0001</t>
  </si>
  <si>
    <t>00007332</t>
  </si>
  <si>
    <t>キューオキ</t>
  </si>
  <si>
    <t>811-1302</t>
  </si>
  <si>
    <t>00007402</t>
  </si>
  <si>
    <t>ノリドミテッコウショ</t>
  </si>
  <si>
    <t>832-0806</t>
  </si>
  <si>
    <t>00007710</t>
  </si>
  <si>
    <t>キュウシュウニチレキコウジ</t>
  </si>
  <si>
    <t>813-0018</t>
  </si>
  <si>
    <t>00007765</t>
  </si>
  <si>
    <t>フコクデンコウ</t>
  </si>
  <si>
    <t>812-0015</t>
  </si>
  <si>
    <t>00007804</t>
  </si>
  <si>
    <t>サンコウコウギョウ</t>
  </si>
  <si>
    <t>551-0023</t>
  </si>
  <si>
    <t>00008015</t>
  </si>
  <si>
    <t>ダイワエンジニヤリング</t>
  </si>
  <si>
    <t>731-0103</t>
  </si>
  <si>
    <t>00008130</t>
  </si>
  <si>
    <t>ワカコウ</t>
  </si>
  <si>
    <t>808-0066</t>
  </si>
  <si>
    <t>00008135</t>
  </si>
  <si>
    <t>スポーツテクノワコウ</t>
  </si>
  <si>
    <t>00008314</t>
  </si>
  <si>
    <t>ニッポンコムシス</t>
  </si>
  <si>
    <t>141-8647</t>
  </si>
  <si>
    <t>00008401</t>
  </si>
  <si>
    <t>エコーデンシコウギョウ</t>
  </si>
  <si>
    <t>857-0034</t>
  </si>
  <si>
    <t>00008427</t>
  </si>
  <si>
    <t>タンセイシャ</t>
  </si>
  <si>
    <t>108-8220</t>
  </si>
  <si>
    <t>00008509</t>
  </si>
  <si>
    <t>エバラデンサン</t>
  </si>
  <si>
    <t>144-0042</t>
  </si>
  <si>
    <t>00008546</t>
  </si>
  <si>
    <t>イシガキメンテナンス</t>
  </si>
  <si>
    <t>00008666</t>
  </si>
  <si>
    <t>ファビルス</t>
  </si>
  <si>
    <t>812-0036</t>
  </si>
  <si>
    <t>00008687</t>
  </si>
  <si>
    <t>ミツビシプレシジョン</t>
  </si>
  <si>
    <t>00008703</t>
  </si>
  <si>
    <t>カンキョウカイハツ</t>
  </si>
  <si>
    <t>812-0041</t>
  </si>
  <si>
    <t>00008710</t>
  </si>
  <si>
    <t>ニホンギアコウギヨウ</t>
  </si>
  <si>
    <t>00008759</t>
  </si>
  <si>
    <t>タクワ</t>
  </si>
  <si>
    <t>101-0047</t>
  </si>
  <si>
    <t>00008806</t>
  </si>
  <si>
    <t>ミツイミイケセイサクショ</t>
  </si>
  <si>
    <t>103-0022</t>
  </si>
  <si>
    <t>00008836</t>
  </si>
  <si>
    <t>メイコウテクノス</t>
  </si>
  <si>
    <t>891-0114</t>
  </si>
  <si>
    <t>00008880</t>
  </si>
  <si>
    <t>ツルミセイサクショ</t>
  </si>
  <si>
    <t>538-8585</t>
  </si>
  <si>
    <t>00008938</t>
  </si>
  <si>
    <t>ジェイピーエフ</t>
  </si>
  <si>
    <t>102-0071</t>
  </si>
  <si>
    <t>00009085</t>
  </si>
  <si>
    <t>ミツビシカコウキアドバンス</t>
  </si>
  <si>
    <t>00009250</t>
  </si>
  <si>
    <t>ミツイスミトモケンセツテッコウエンジニアリング</t>
  </si>
  <si>
    <t>261-7129</t>
  </si>
  <si>
    <t>00009361</t>
  </si>
  <si>
    <t>フルノデンキ</t>
  </si>
  <si>
    <t>662-8580</t>
  </si>
  <si>
    <t>00009490</t>
  </si>
  <si>
    <t>クボタカンキョウエンジニアリング</t>
  </si>
  <si>
    <t>104-8307</t>
  </si>
  <si>
    <t>00009564</t>
  </si>
  <si>
    <t>パナソニックコネクト</t>
  </si>
  <si>
    <t>00009720</t>
  </si>
  <si>
    <t>ニホンキソギジュツ</t>
  </si>
  <si>
    <t>00009745</t>
  </si>
  <si>
    <t>メイデンプラントシステムズ</t>
  </si>
  <si>
    <t>141-8565</t>
  </si>
  <si>
    <t>00009777</t>
  </si>
  <si>
    <t>ミツビシデンキプラントエンジニアリング</t>
  </si>
  <si>
    <t>110-0015</t>
  </si>
  <si>
    <t>00009914</t>
  </si>
  <si>
    <t>ダイドウキコウ</t>
  </si>
  <si>
    <t>335-0021</t>
  </si>
  <si>
    <t>00010306</t>
  </si>
  <si>
    <t>オルガノプラントサービス</t>
  </si>
  <si>
    <t>136-0075</t>
  </si>
  <si>
    <t>00010328</t>
  </si>
  <si>
    <t>サンケンエンジニアリング</t>
  </si>
  <si>
    <t>815-0082</t>
  </si>
  <si>
    <t>00010334</t>
  </si>
  <si>
    <t>キュウシュウニッショク</t>
  </si>
  <si>
    <t>00010349</t>
  </si>
  <si>
    <t>コンステック</t>
  </si>
  <si>
    <t>540-0031</t>
  </si>
  <si>
    <t>00010368</t>
  </si>
  <si>
    <t>ユキジルシシュビョウ</t>
  </si>
  <si>
    <t>004-8531</t>
  </si>
  <si>
    <t>00010398</t>
  </si>
  <si>
    <t>サイトザキコウサン</t>
  </si>
  <si>
    <t>811-0322</t>
  </si>
  <si>
    <t>00010407</t>
  </si>
  <si>
    <t>イイヅカデンキコウギョウ</t>
  </si>
  <si>
    <t>860-0824</t>
  </si>
  <si>
    <t>00010447</t>
  </si>
  <si>
    <t>105-0013</t>
  </si>
  <si>
    <t>00010547</t>
  </si>
  <si>
    <t>フジケンセツコウギョウ</t>
  </si>
  <si>
    <t>950-3102</t>
  </si>
  <si>
    <t>00010626</t>
  </si>
  <si>
    <t>538-0053</t>
  </si>
  <si>
    <t>00010666</t>
  </si>
  <si>
    <t>アイエイチアイハンヨウボイラ</t>
  </si>
  <si>
    <t>135-0033</t>
  </si>
  <si>
    <t>00010668</t>
  </si>
  <si>
    <t>パナソニックカンキョウエンジニアリング</t>
  </si>
  <si>
    <t>564-0062</t>
  </si>
  <si>
    <t>00010669</t>
  </si>
  <si>
    <t>キョウワテック</t>
  </si>
  <si>
    <t>839-0809</t>
  </si>
  <si>
    <t>00010748</t>
  </si>
  <si>
    <t>モリヘイブタイキコウ</t>
  </si>
  <si>
    <t>111-0033</t>
  </si>
  <si>
    <t>00010770</t>
  </si>
  <si>
    <t>アサノアタカ</t>
  </si>
  <si>
    <t>110-0014</t>
  </si>
  <si>
    <t>00010911</t>
  </si>
  <si>
    <t>ジーエスユアサフィールディングス</t>
  </si>
  <si>
    <t>00010978</t>
  </si>
  <si>
    <t>セイコータイムクリエーション</t>
  </si>
  <si>
    <t>135-8610</t>
  </si>
  <si>
    <t>00011021</t>
  </si>
  <si>
    <t>ニホンカイジョウコウジ</t>
  </si>
  <si>
    <t>112-0004</t>
  </si>
  <si>
    <t>00011060</t>
  </si>
  <si>
    <t>シオハマコウギョウ</t>
  </si>
  <si>
    <t>914-0039</t>
  </si>
  <si>
    <t>00011166</t>
  </si>
  <si>
    <t>カワキタデンコウ</t>
  </si>
  <si>
    <t>891-0115</t>
  </si>
  <si>
    <t>00011199</t>
  </si>
  <si>
    <t>フジサンギョウ</t>
  </si>
  <si>
    <t>00011565</t>
  </si>
  <si>
    <t>ニシハラカンキョウ</t>
  </si>
  <si>
    <t>108-0022</t>
  </si>
  <si>
    <t>00011671</t>
  </si>
  <si>
    <t>アイエイチアイウンパンキカイ</t>
  </si>
  <si>
    <t>104-0044</t>
  </si>
  <si>
    <t>00011698</t>
  </si>
  <si>
    <t>カナデビアエンジニアリング</t>
  </si>
  <si>
    <t>00011707</t>
  </si>
  <si>
    <t>イオンディライト</t>
  </si>
  <si>
    <t>00011820</t>
  </si>
  <si>
    <t>ミナモトツウシン</t>
  </si>
  <si>
    <t>244-0803</t>
  </si>
  <si>
    <t>00011839</t>
  </si>
  <si>
    <t>オリエントハウス</t>
  </si>
  <si>
    <t>604-8437</t>
  </si>
  <si>
    <t>00011915</t>
  </si>
  <si>
    <t>トウカイブッサン</t>
  </si>
  <si>
    <t>512-0923</t>
  </si>
  <si>
    <t>00012001</t>
  </si>
  <si>
    <t>イソムラ</t>
  </si>
  <si>
    <t>231-0021</t>
  </si>
  <si>
    <t>00012034</t>
  </si>
  <si>
    <t>ミゾエケンセツ</t>
  </si>
  <si>
    <t>810-0042</t>
  </si>
  <si>
    <t>00012045</t>
  </si>
  <si>
    <t>アシモリエンジニアリング</t>
  </si>
  <si>
    <t>550-0001</t>
  </si>
  <si>
    <t>00012155</t>
  </si>
  <si>
    <t>アイムデンキコウギョウ</t>
  </si>
  <si>
    <t>806-0004</t>
  </si>
  <si>
    <t>00012163</t>
  </si>
  <si>
    <t>シオツキコウギョウ</t>
  </si>
  <si>
    <t>816-0847</t>
  </si>
  <si>
    <t>00012174</t>
  </si>
  <si>
    <t>サンコービルド</t>
  </si>
  <si>
    <t>812-0011</t>
  </si>
  <si>
    <t>00012176</t>
  </si>
  <si>
    <t>コンゴウ</t>
  </si>
  <si>
    <t>860-8508</t>
  </si>
  <si>
    <t>00012187</t>
  </si>
  <si>
    <t>ジャクエツ</t>
  </si>
  <si>
    <t>914-0125</t>
  </si>
  <si>
    <t>00012220</t>
  </si>
  <si>
    <t>カイセイコウギョウ</t>
  </si>
  <si>
    <t>861-0124</t>
  </si>
  <si>
    <t>00013046</t>
  </si>
  <si>
    <t>ニシコー</t>
  </si>
  <si>
    <t>810-0004</t>
  </si>
  <si>
    <t>00013062</t>
  </si>
  <si>
    <t>セイナンデンキ</t>
  </si>
  <si>
    <t>882-0864</t>
  </si>
  <si>
    <t>00013069</t>
  </si>
  <si>
    <t>タニコー</t>
  </si>
  <si>
    <t>142-0041</t>
  </si>
  <si>
    <t>00013195</t>
  </si>
  <si>
    <t>00013209</t>
  </si>
  <si>
    <t>オリエントサンギョウ</t>
  </si>
  <si>
    <t>810-0073</t>
  </si>
  <si>
    <t>00013242</t>
  </si>
  <si>
    <t>オーツボ</t>
  </si>
  <si>
    <t>839-0241</t>
  </si>
  <si>
    <t>00013415</t>
  </si>
  <si>
    <t>オヤナギケンセツ</t>
  </si>
  <si>
    <t>955-0047</t>
  </si>
  <si>
    <t>00013558</t>
  </si>
  <si>
    <t>アサヒファシリティズ</t>
  </si>
  <si>
    <t>00013727</t>
  </si>
  <si>
    <t>ユウデンシャ</t>
  </si>
  <si>
    <t>107-0052</t>
  </si>
  <si>
    <t>00013759</t>
  </si>
  <si>
    <t>ツキシマジェイテクノメンテサービス</t>
  </si>
  <si>
    <t>135-0031</t>
  </si>
  <si>
    <t>00013776</t>
  </si>
  <si>
    <t>ニチベイデンシ</t>
  </si>
  <si>
    <t>810-0013</t>
  </si>
  <si>
    <t>00014021</t>
  </si>
  <si>
    <t>クチキ</t>
  </si>
  <si>
    <t>880-2101</t>
  </si>
  <si>
    <t>00014194</t>
  </si>
  <si>
    <t>キョウワセイサクショ</t>
  </si>
  <si>
    <t>00014280</t>
  </si>
  <si>
    <t>パナソニックイーダブリューエンジニアリング</t>
  </si>
  <si>
    <t>540-0001</t>
  </si>
  <si>
    <t>00014301</t>
  </si>
  <si>
    <t>チクホウセイサクショ</t>
  </si>
  <si>
    <t>811-0104</t>
  </si>
  <si>
    <t>00014324</t>
  </si>
  <si>
    <t>ウォーターデザイン</t>
  </si>
  <si>
    <t>105-0004</t>
  </si>
  <si>
    <t>00014503</t>
  </si>
  <si>
    <t>ハクデンシャ</t>
  </si>
  <si>
    <t>553-0001</t>
  </si>
  <si>
    <t>00014530</t>
  </si>
  <si>
    <t>クボコウムテン</t>
  </si>
  <si>
    <t>890-0051</t>
  </si>
  <si>
    <t>00014564</t>
  </si>
  <si>
    <t>ヒヨウジトウ</t>
  </si>
  <si>
    <t>450-0002</t>
  </si>
  <si>
    <t>00014596</t>
  </si>
  <si>
    <t>ニホンショウコウキ</t>
  </si>
  <si>
    <t>812-0882</t>
  </si>
  <si>
    <t>00014699</t>
  </si>
  <si>
    <t>ニホンメンテナスエンジニヤリング</t>
  </si>
  <si>
    <t>530-0035</t>
  </si>
  <si>
    <t>00014708</t>
  </si>
  <si>
    <t>エヌイーシープラットフォームズ</t>
  </si>
  <si>
    <t>101-8532</t>
  </si>
  <si>
    <t>00014742</t>
  </si>
  <si>
    <t>オオシマゾウセンショ</t>
  </si>
  <si>
    <t>857-2494</t>
  </si>
  <si>
    <t>00014919</t>
  </si>
  <si>
    <t>テクノシステム</t>
  </si>
  <si>
    <t>812-0881</t>
  </si>
  <si>
    <t>00015026</t>
  </si>
  <si>
    <t>カマタバイオエンジニアリング</t>
  </si>
  <si>
    <t>00015226</t>
  </si>
  <si>
    <t>ゼニヤカイヨウサービス</t>
  </si>
  <si>
    <t>563-0035</t>
  </si>
  <si>
    <t>00015244</t>
  </si>
  <si>
    <t>ブンカシヤッターサービス</t>
  </si>
  <si>
    <t>170-0001</t>
  </si>
  <si>
    <t>00015344</t>
  </si>
  <si>
    <t>ニッテツボウショク</t>
  </si>
  <si>
    <t>136-0072</t>
  </si>
  <si>
    <t>00015477</t>
  </si>
  <si>
    <t>コモンテックス</t>
  </si>
  <si>
    <t>950-0943</t>
  </si>
  <si>
    <t>00015525</t>
  </si>
  <si>
    <t>イイダテッコウ</t>
  </si>
  <si>
    <t>406-0842</t>
  </si>
  <si>
    <t>00015582</t>
  </si>
  <si>
    <t>キョウワキデンコウギョウ</t>
  </si>
  <si>
    <t>852-8108</t>
  </si>
  <si>
    <t>フクオカキュウシュウクボタ</t>
  </si>
  <si>
    <t>00015673</t>
  </si>
  <si>
    <t>キンキコウギョウ</t>
  </si>
  <si>
    <t>530-0044</t>
  </si>
  <si>
    <t>00015755</t>
  </si>
  <si>
    <t>エヌイーシーフィールディング</t>
  </si>
  <si>
    <t>00015762</t>
  </si>
  <si>
    <t>ホクヨウケンセツ</t>
  </si>
  <si>
    <t>812-0888</t>
  </si>
  <si>
    <t>00015794</t>
  </si>
  <si>
    <t>セイコウデンキセイサクショ</t>
  </si>
  <si>
    <t>812-0008</t>
  </si>
  <si>
    <t>00015811</t>
  </si>
  <si>
    <t>モリマツコウギョウ</t>
  </si>
  <si>
    <t>501-0413</t>
  </si>
  <si>
    <t>00015942</t>
  </si>
  <si>
    <t>テクアノーツ</t>
  </si>
  <si>
    <t>333-0848</t>
  </si>
  <si>
    <t>00015975</t>
  </si>
  <si>
    <t>トーケミ</t>
  </si>
  <si>
    <t>532-0021</t>
  </si>
  <si>
    <t>00015995</t>
  </si>
  <si>
    <t>イノチオアグリ</t>
  </si>
  <si>
    <t>441-8142</t>
  </si>
  <si>
    <t>00016063</t>
  </si>
  <si>
    <t>キョウエイカンキョウカイハツ</t>
  </si>
  <si>
    <t>836-0057</t>
  </si>
  <si>
    <t>00016182</t>
  </si>
  <si>
    <t>ニホンデンシ</t>
  </si>
  <si>
    <t>811-1303</t>
  </si>
  <si>
    <t>00016275</t>
  </si>
  <si>
    <t>アサヒボウサイセツビ</t>
  </si>
  <si>
    <t>158-0095</t>
  </si>
  <si>
    <t>00016284</t>
  </si>
  <si>
    <t>ニシニホンオートメーシヨン</t>
  </si>
  <si>
    <t>812-0043</t>
  </si>
  <si>
    <t>00016335</t>
  </si>
  <si>
    <t>ワタハンソリューションズ</t>
  </si>
  <si>
    <t>395-0193</t>
  </si>
  <si>
    <t>00016391</t>
  </si>
  <si>
    <t>スミトモデンコウシステムソリューション</t>
  </si>
  <si>
    <t>112-0014</t>
  </si>
  <si>
    <t>00016738</t>
  </si>
  <si>
    <t>ウォーターテック</t>
  </si>
  <si>
    <t>00016997</t>
  </si>
  <si>
    <t>リュウテックショウコウキ</t>
  </si>
  <si>
    <t>812-0892</t>
  </si>
  <si>
    <t>00017064</t>
  </si>
  <si>
    <t>クリタス</t>
  </si>
  <si>
    <t>171-0022</t>
  </si>
  <si>
    <t>00017091</t>
  </si>
  <si>
    <t>ヤスナリコウムテン</t>
  </si>
  <si>
    <t>751-0865</t>
  </si>
  <si>
    <t>00017149</t>
  </si>
  <si>
    <t>メタウォーター</t>
  </si>
  <si>
    <t>00017250</t>
  </si>
  <si>
    <t>ウチダテクノ</t>
  </si>
  <si>
    <t>135-0042</t>
  </si>
  <si>
    <t>00017411</t>
  </si>
  <si>
    <t>フジツウネットワークソリューションズ</t>
  </si>
  <si>
    <t>00017528</t>
  </si>
  <si>
    <t>マルシマサンギヨウ</t>
  </si>
  <si>
    <t>540-0012</t>
  </si>
  <si>
    <t>00017534</t>
  </si>
  <si>
    <t>ソウデン</t>
  </si>
  <si>
    <t>00017607</t>
  </si>
  <si>
    <t>エフワンエヌ</t>
  </si>
  <si>
    <t>567-0843</t>
  </si>
  <si>
    <t>00017622</t>
  </si>
  <si>
    <t>マエザワエンジニアリングサービス</t>
  </si>
  <si>
    <t>00017674</t>
  </si>
  <si>
    <t>サンキアクアテック</t>
  </si>
  <si>
    <t>242-0007</t>
  </si>
  <si>
    <t>00017765</t>
  </si>
  <si>
    <t>シマヅシステムソリューションズ</t>
  </si>
  <si>
    <t>604-8445</t>
  </si>
  <si>
    <t>00017835</t>
  </si>
  <si>
    <t>トウカイコウカン</t>
  </si>
  <si>
    <t>457-0005</t>
  </si>
  <si>
    <t>00017925</t>
  </si>
  <si>
    <t>シンクエンジニアリング</t>
  </si>
  <si>
    <t>152-0035</t>
  </si>
  <si>
    <t>00017929</t>
  </si>
  <si>
    <t>タカオ</t>
  </si>
  <si>
    <t>720-0004</t>
  </si>
  <si>
    <t>00018193</t>
  </si>
  <si>
    <t>トウワスポーツシセツ</t>
  </si>
  <si>
    <t>606-8284</t>
  </si>
  <si>
    <t>00018263</t>
  </si>
  <si>
    <t>534-0024</t>
  </si>
  <si>
    <t>00018264</t>
  </si>
  <si>
    <t>100-8019</t>
  </si>
  <si>
    <t>00018294</t>
  </si>
  <si>
    <t>エヌティティインフラネット</t>
  </si>
  <si>
    <t>00018330</t>
  </si>
  <si>
    <t>ホウコクエンジニアリング</t>
  </si>
  <si>
    <t>00018367</t>
  </si>
  <si>
    <t>ニッスイサンギョウ</t>
  </si>
  <si>
    <t>234-0054</t>
  </si>
  <si>
    <t>00018582</t>
  </si>
  <si>
    <t>ユービーイーマシナリー</t>
  </si>
  <si>
    <t>755-8633</t>
  </si>
  <si>
    <t>00018711</t>
  </si>
  <si>
    <t>ニッケイエンジニアリング</t>
  </si>
  <si>
    <t>105-8681</t>
  </si>
  <si>
    <t>00018747</t>
  </si>
  <si>
    <t>ヨコガワソリューションサービス</t>
  </si>
  <si>
    <t>180-8750</t>
  </si>
  <si>
    <t>00018798</t>
  </si>
  <si>
    <t>エヌティティデータカスタマサービス</t>
  </si>
  <si>
    <t>135-8178</t>
  </si>
  <si>
    <t>00018805</t>
  </si>
  <si>
    <t>トータルメディアカイハツケンキュウショ</t>
  </si>
  <si>
    <t>102-0094</t>
  </si>
  <si>
    <t>00019159</t>
  </si>
  <si>
    <t>ハンシンドウリョクキカイ</t>
  </si>
  <si>
    <t>554-0014</t>
  </si>
  <si>
    <t>00019176</t>
  </si>
  <si>
    <t>キュウショウデンセツコウギョウ</t>
  </si>
  <si>
    <t>803-0801</t>
  </si>
  <si>
    <t>00019228</t>
  </si>
  <si>
    <t>カワサキマシンシステムズ</t>
  </si>
  <si>
    <t>00019238</t>
  </si>
  <si>
    <t>オウケイシャ</t>
  </si>
  <si>
    <t>00019258</t>
  </si>
  <si>
    <t>ダイニケンセツ</t>
  </si>
  <si>
    <t>700-0808</t>
  </si>
  <si>
    <t>00019264</t>
  </si>
  <si>
    <t>882-0862</t>
  </si>
  <si>
    <t>00019285</t>
  </si>
  <si>
    <t>アマノ</t>
  </si>
  <si>
    <t>222-8558</t>
  </si>
  <si>
    <t>00019337</t>
  </si>
  <si>
    <t>エヌケーエス</t>
  </si>
  <si>
    <t>532-0033</t>
  </si>
  <si>
    <t>00019557</t>
  </si>
  <si>
    <t>ワタナベパイプ</t>
  </si>
  <si>
    <t>100-0004</t>
  </si>
  <si>
    <t>00019623</t>
  </si>
  <si>
    <t>トウシバイーアイコントロールシステム</t>
  </si>
  <si>
    <t>810-0072</t>
  </si>
  <si>
    <t>00019748</t>
  </si>
  <si>
    <t>ダイキンエアテクノ</t>
  </si>
  <si>
    <t>130-0026</t>
  </si>
  <si>
    <t>00019760</t>
  </si>
  <si>
    <t>アイテック</t>
  </si>
  <si>
    <t>00019777</t>
  </si>
  <si>
    <t>サカイコウギヨウ</t>
  </si>
  <si>
    <t>601-8027</t>
  </si>
  <si>
    <t>00019796</t>
  </si>
  <si>
    <t>フジタ</t>
  </si>
  <si>
    <t>151-8570</t>
  </si>
  <si>
    <t>00019854</t>
  </si>
  <si>
    <t>アサヒイノベックス</t>
  </si>
  <si>
    <t>004-0879</t>
  </si>
  <si>
    <t>00019920</t>
  </si>
  <si>
    <t>パナソニックケンセツエンジニアリング</t>
  </si>
  <si>
    <t>00019966</t>
  </si>
  <si>
    <t>ボンドエンジニアリング</t>
  </si>
  <si>
    <t>538-0052</t>
  </si>
  <si>
    <t>00020001</t>
  </si>
  <si>
    <t>アイエイチアイゲンドウキ</t>
  </si>
  <si>
    <t>00020165</t>
  </si>
  <si>
    <t>エバラレイネツシステム</t>
  </si>
  <si>
    <t>00020220</t>
  </si>
  <si>
    <t>トウキュウケンセツ</t>
  </si>
  <si>
    <t>150-8340</t>
  </si>
  <si>
    <t>00020263</t>
  </si>
  <si>
    <t>ニッポンシューター</t>
  </si>
  <si>
    <t>101-0062</t>
  </si>
  <si>
    <t>00020330</t>
  </si>
  <si>
    <t>アンドウハザマ</t>
  </si>
  <si>
    <t>105-7360</t>
  </si>
  <si>
    <t>00020352</t>
  </si>
  <si>
    <t>コウフフィールド</t>
  </si>
  <si>
    <t>00020353</t>
  </si>
  <si>
    <t>カンキョウシセツ</t>
  </si>
  <si>
    <t>819-0001</t>
  </si>
  <si>
    <t>00020607</t>
  </si>
  <si>
    <t>モリモトグミ</t>
  </si>
  <si>
    <t>541-8517</t>
  </si>
  <si>
    <t>00020670</t>
  </si>
  <si>
    <t>シコクカンキョウセイビコウギョウ</t>
  </si>
  <si>
    <t>799-1533</t>
  </si>
  <si>
    <t>00020744</t>
  </si>
  <si>
    <t>ヤエグリーンポート</t>
  </si>
  <si>
    <t>854-0023</t>
  </si>
  <si>
    <t>00020834</t>
  </si>
  <si>
    <t>マエダサンギョウ</t>
  </si>
  <si>
    <t>861-4114</t>
  </si>
  <si>
    <t>00020838</t>
  </si>
  <si>
    <t>ジーエスユアサ</t>
  </si>
  <si>
    <t>00021005</t>
  </si>
  <si>
    <t>シンメイワアクアテクサービス</t>
  </si>
  <si>
    <t>658-0015</t>
  </si>
  <si>
    <t>00021027</t>
  </si>
  <si>
    <t>ユニアデックス</t>
  </si>
  <si>
    <t>00021060</t>
  </si>
  <si>
    <t>プランテック</t>
  </si>
  <si>
    <t>550-0003</t>
  </si>
  <si>
    <t>00021135</t>
  </si>
  <si>
    <t>ジェイエフイーカンキョウテクノロジー</t>
  </si>
  <si>
    <t>261-7130</t>
  </si>
  <si>
    <t>00021141</t>
  </si>
  <si>
    <t>フルカワサンキシステムズ</t>
  </si>
  <si>
    <t>100-8370</t>
  </si>
  <si>
    <t>00021292</t>
  </si>
  <si>
    <t>ニホンケンセツ</t>
  </si>
  <si>
    <t>105-0014</t>
  </si>
  <si>
    <t>00021384</t>
  </si>
  <si>
    <t>ダイキアクシス</t>
  </si>
  <si>
    <t>791-8022</t>
  </si>
  <si>
    <t>00021515</t>
  </si>
  <si>
    <t>コンゴウグミ</t>
  </si>
  <si>
    <t>543-0051</t>
  </si>
  <si>
    <t>00021520</t>
  </si>
  <si>
    <t>キョクトウサービス</t>
  </si>
  <si>
    <t>276-0022</t>
  </si>
  <si>
    <t>00021572</t>
  </si>
  <si>
    <t>トウヨウシステム</t>
  </si>
  <si>
    <t>814-0103</t>
  </si>
  <si>
    <t>00021698</t>
  </si>
  <si>
    <t>エバラカンキョウプラント</t>
  </si>
  <si>
    <t>00021715</t>
  </si>
  <si>
    <t>ニッテツエンジニアリング</t>
  </si>
  <si>
    <t>141-8604</t>
  </si>
  <si>
    <t>00021737</t>
  </si>
  <si>
    <t>ナガワ</t>
  </si>
  <si>
    <t>00021910</t>
  </si>
  <si>
    <t>スミトモジュウキカイエンバイロメント</t>
  </si>
  <si>
    <t>141-0033</t>
  </si>
  <si>
    <t>00022100</t>
  </si>
  <si>
    <t>ヤスカワオートメーション　ドライブ</t>
  </si>
  <si>
    <t>824-8511</t>
  </si>
  <si>
    <t>00022187</t>
  </si>
  <si>
    <t>ジェイエフイーテクノス</t>
  </si>
  <si>
    <t>230-0045</t>
  </si>
  <si>
    <t>00022214</t>
  </si>
  <si>
    <t>サンワシヤッターコウギョウ</t>
  </si>
  <si>
    <t>175-0081</t>
  </si>
  <si>
    <t>00022223</t>
  </si>
  <si>
    <t>ヨコガワブリッジ</t>
  </si>
  <si>
    <t>273-0026</t>
  </si>
  <si>
    <t>00022258</t>
  </si>
  <si>
    <t>メタウォーターサービス</t>
  </si>
  <si>
    <t>00022376</t>
  </si>
  <si>
    <t>335-0023</t>
  </si>
  <si>
    <t>00022421</t>
  </si>
  <si>
    <t>マエカワセイサクショ</t>
  </si>
  <si>
    <t>135-8482</t>
  </si>
  <si>
    <t>00022487</t>
  </si>
  <si>
    <t>エスエヌシー</t>
  </si>
  <si>
    <t>811-2202</t>
  </si>
  <si>
    <t>00022513</t>
  </si>
  <si>
    <t>モリカワサクセンコウギョウショ</t>
  </si>
  <si>
    <t>566-0001</t>
  </si>
  <si>
    <t>00022530</t>
  </si>
  <si>
    <t>ベルテクノ</t>
  </si>
  <si>
    <t>460-0003</t>
  </si>
  <si>
    <t>00022585</t>
  </si>
  <si>
    <t>アクアインテック</t>
  </si>
  <si>
    <t>00022664</t>
  </si>
  <si>
    <t>テスコ</t>
  </si>
  <si>
    <t>101-0065</t>
  </si>
  <si>
    <t>00022703</t>
  </si>
  <si>
    <t>トウシンエンジニアリング</t>
  </si>
  <si>
    <t>00022769</t>
  </si>
  <si>
    <t>サンデンコウシャ</t>
  </si>
  <si>
    <t>810-0053</t>
  </si>
  <si>
    <t>00023013</t>
  </si>
  <si>
    <t>ヨコガワエヌエスエンジニアリング</t>
  </si>
  <si>
    <t>314-0255</t>
  </si>
  <si>
    <t>00023117</t>
  </si>
  <si>
    <t>ハッコウカイウン</t>
  </si>
  <si>
    <t>585-0002</t>
  </si>
  <si>
    <t>00023183</t>
  </si>
  <si>
    <t>ニシテツグリーンドボク</t>
  </si>
  <si>
    <t>810-0041</t>
  </si>
  <si>
    <t>00023294</t>
  </si>
  <si>
    <t>ネットワンシステムズ</t>
  </si>
  <si>
    <t>100-7025</t>
  </si>
  <si>
    <t>00023300</t>
  </si>
  <si>
    <t>パナソニックサンキシステムズ</t>
  </si>
  <si>
    <t>131-0045</t>
  </si>
  <si>
    <t>00023337</t>
  </si>
  <si>
    <t>ニッポンテットウコウギョウ</t>
  </si>
  <si>
    <t>808-0023</t>
  </si>
  <si>
    <t>00023458</t>
  </si>
  <si>
    <t>ディグコウギョウ</t>
  </si>
  <si>
    <t>00023484</t>
  </si>
  <si>
    <t>フクシマセイサクショ</t>
  </si>
  <si>
    <t>960-8054</t>
  </si>
  <si>
    <t>00023512</t>
  </si>
  <si>
    <t>ジェイアールシーシステムサービス</t>
  </si>
  <si>
    <t>181-0002</t>
  </si>
  <si>
    <t>00023621</t>
  </si>
  <si>
    <t>セコム</t>
  </si>
  <si>
    <t>150-0001</t>
  </si>
  <si>
    <t>00023684</t>
  </si>
  <si>
    <t>コトブキシーティング</t>
  </si>
  <si>
    <t>00023688</t>
  </si>
  <si>
    <t>フジデンキ</t>
  </si>
  <si>
    <t>00023707</t>
  </si>
  <si>
    <t>ヨコハマゴムエムビージャパン</t>
  </si>
  <si>
    <t>108-6213</t>
  </si>
  <si>
    <t>00023711</t>
  </si>
  <si>
    <t>アセック</t>
  </si>
  <si>
    <t>660-0833</t>
  </si>
  <si>
    <t>00023712</t>
  </si>
  <si>
    <t>トウシバテリー</t>
  </si>
  <si>
    <t>191-0065</t>
  </si>
  <si>
    <t>00023738</t>
  </si>
  <si>
    <t>ダイキコウギョウ</t>
  </si>
  <si>
    <t>661-0981</t>
  </si>
  <si>
    <t>00023771</t>
  </si>
  <si>
    <t>コウケンコウギョウ</t>
  </si>
  <si>
    <t>171-0033</t>
  </si>
  <si>
    <t>00023834</t>
  </si>
  <si>
    <t>オムロンソーシアルソリューションズ</t>
  </si>
  <si>
    <t>00023951</t>
  </si>
  <si>
    <t>804-0002</t>
  </si>
  <si>
    <t>00023960</t>
  </si>
  <si>
    <t>ヒタチプラントメカニクス</t>
  </si>
  <si>
    <t>00024016</t>
  </si>
  <si>
    <t>エトウケンセツコウギョウ</t>
  </si>
  <si>
    <t>890-0005</t>
  </si>
  <si>
    <t>00024027</t>
  </si>
  <si>
    <t>エースウォーター</t>
  </si>
  <si>
    <t>00024088</t>
  </si>
  <si>
    <t>コイトデンコウ</t>
  </si>
  <si>
    <t>411-0932</t>
  </si>
  <si>
    <t>00024204</t>
  </si>
  <si>
    <t>キュウデンテクノシステムズ</t>
  </si>
  <si>
    <t>00024428</t>
  </si>
  <si>
    <t>カコイチクロコウギョウ</t>
  </si>
  <si>
    <t>285-0846</t>
  </si>
  <si>
    <t>00024504</t>
  </si>
  <si>
    <t>ニッポンメディコム</t>
  </si>
  <si>
    <t>806-0049</t>
  </si>
  <si>
    <t>00024597</t>
  </si>
  <si>
    <t>ミツビシジュウコウパワーインダストリー</t>
  </si>
  <si>
    <t>231-8715</t>
  </si>
  <si>
    <t>00024674</t>
  </si>
  <si>
    <t>ウチダコウギョウ</t>
  </si>
  <si>
    <t>454-0825</t>
  </si>
  <si>
    <t>00024842</t>
  </si>
  <si>
    <t>イシダコウギョウ</t>
  </si>
  <si>
    <t>146-0082</t>
  </si>
  <si>
    <t>00024876</t>
  </si>
  <si>
    <t>ツブクコウギョウ</t>
  </si>
  <si>
    <t>830-0048</t>
  </si>
  <si>
    <t>00025081</t>
  </si>
  <si>
    <t>マツヤマケンセツ</t>
  </si>
  <si>
    <t>810-0011</t>
  </si>
  <si>
    <t>00025111</t>
  </si>
  <si>
    <t>メイデンエンジニアリング</t>
  </si>
  <si>
    <t>141-8607</t>
  </si>
  <si>
    <t>00025134</t>
  </si>
  <si>
    <t>コウアンケンセツ</t>
  </si>
  <si>
    <t>640-8343</t>
  </si>
  <si>
    <t>00025136</t>
  </si>
  <si>
    <t>トウコウタカオカ</t>
  </si>
  <si>
    <t>00025257</t>
  </si>
  <si>
    <t>エナジーウィズ</t>
  </si>
  <si>
    <t>101-0022</t>
  </si>
  <si>
    <t>00025295</t>
  </si>
  <si>
    <t>ニホンキョウリョウ</t>
  </si>
  <si>
    <t>550-0002</t>
  </si>
  <si>
    <t>デンキョウサンギョウ</t>
  </si>
  <si>
    <t>804-0012</t>
  </si>
  <si>
    <t>00026048</t>
  </si>
  <si>
    <t>タナカキデンコウギョウ</t>
  </si>
  <si>
    <t>701-1145</t>
  </si>
  <si>
    <t>00026124</t>
  </si>
  <si>
    <t>ジェイブイシーケンウッドコウキョウサンギョウシステム</t>
  </si>
  <si>
    <t>00026250</t>
  </si>
  <si>
    <t>カワサキギケン</t>
  </si>
  <si>
    <t>815-0035</t>
  </si>
  <si>
    <t>00026391</t>
  </si>
  <si>
    <t>ロケン</t>
  </si>
  <si>
    <t>010-0065</t>
  </si>
  <si>
    <t>00026465</t>
  </si>
  <si>
    <t>ツキシマジェイアクアサービスキキ</t>
  </si>
  <si>
    <t>436-0038</t>
  </si>
  <si>
    <t>00026524</t>
  </si>
  <si>
    <t>シンコウ</t>
  </si>
  <si>
    <t>871-0821</t>
  </si>
  <si>
    <t>00026785</t>
  </si>
  <si>
    <t>トウシバエネルギーシステムズ</t>
  </si>
  <si>
    <t>00026808</t>
  </si>
  <si>
    <t>ニホンカンザイカンキョウサービス</t>
  </si>
  <si>
    <t>541-0047</t>
  </si>
  <si>
    <t>00026881</t>
  </si>
  <si>
    <t>ミツビシジュウコウコウツウケンセツエンジニアリング</t>
  </si>
  <si>
    <t>108-8015</t>
  </si>
  <si>
    <t>00026931</t>
  </si>
  <si>
    <t>104-8439</t>
  </si>
  <si>
    <t>00027021</t>
  </si>
  <si>
    <t>キュウシュウテン</t>
  </si>
  <si>
    <t>857-0405</t>
  </si>
  <si>
    <t>00027309</t>
  </si>
  <si>
    <t>エヌイーシーソリューションイノベータ</t>
  </si>
  <si>
    <t>00027321</t>
  </si>
  <si>
    <t>スイングエンジニアリング</t>
  </si>
  <si>
    <t>105-0021</t>
  </si>
  <si>
    <t>00027358</t>
  </si>
  <si>
    <t>ヒタチインダストリアルプロダクツ</t>
  </si>
  <si>
    <t>00027387</t>
  </si>
  <si>
    <t>アセント</t>
  </si>
  <si>
    <t>00027556</t>
  </si>
  <si>
    <t>キュウセツアクア</t>
  </si>
  <si>
    <t>812-0013</t>
  </si>
  <si>
    <t>00027675</t>
  </si>
  <si>
    <t>マークケンセツ</t>
  </si>
  <si>
    <t>806-0063</t>
  </si>
  <si>
    <t>00027814</t>
  </si>
  <si>
    <t>シモノケンセツ</t>
  </si>
  <si>
    <t>899-2202</t>
  </si>
  <si>
    <t>00028092</t>
  </si>
  <si>
    <t>カヤバシーエス</t>
  </si>
  <si>
    <t>514-0396</t>
  </si>
  <si>
    <t>00028237</t>
  </si>
  <si>
    <t>ショウボウボウサイ</t>
  </si>
  <si>
    <t>812-0861</t>
  </si>
  <si>
    <t>00028273</t>
  </si>
  <si>
    <t>エヌティティビジネスソリューションズ</t>
  </si>
  <si>
    <t>00028394</t>
  </si>
  <si>
    <t>ソニーマーケティング</t>
  </si>
  <si>
    <t>00028415</t>
  </si>
  <si>
    <t>キョウワメンテナンス</t>
  </si>
  <si>
    <t>00028533</t>
  </si>
  <si>
    <t>ニシニホンサンケンサービス</t>
  </si>
  <si>
    <t>00028539</t>
  </si>
  <si>
    <t>ケイエスエス</t>
  </si>
  <si>
    <t>208-0023</t>
  </si>
  <si>
    <t>00028656</t>
  </si>
  <si>
    <t>イトウテッコウショ</t>
  </si>
  <si>
    <t>424-0923</t>
  </si>
  <si>
    <t>00028674</t>
  </si>
  <si>
    <t>ミツイゾウセントッキエンジニアリング</t>
  </si>
  <si>
    <t>706-0012</t>
  </si>
  <si>
    <t>00028695</t>
  </si>
  <si>
    <t>ニッポンデンキ</t>
  </si>
  <si>
    <t>108-8001</t>
  </si>
  <si>
    <t>00029095</t>
  </si>
  <si>
    <t>ヤスカワメカトレックスエマツキュウキ</t>
  </si>
  <si>
    <t>11065399</t>
  </si>
  <si>
    <t>リケンカンキョウシステム</t>
  </si>
  <si>
    <t>360-0031</t>
  </si>
  <si>
    <t>13079907</t>
  </si>
  <si>
    <t>フジダイナミクス</t>
  </si>
  <si>
    <t>153-0042</t>
  </si>
  <si>
    <t>13100402</t>
  </si>
  <si>
    <t>ニッポントーター</t>
  </si>
  <si>
    <t>108-8275</t>
  </si>
  <si>
    <t>13125776</t>
  </si>
  <si>
    <t>エヌティティデータ</t>
  </si>
  <si>
    <t>135-6033</t>
  </si>
  <si>
    <t>13129476</t>
  </si>
  <si>
    <t>ゼンコウシャ</t>
  </si>
  <si>
    <t>13135742</t>
  </si>
  <si>
    <t>ゴトウコウガクケンキュウショ</t>
  </si>
  <si>
    <t>183-8530</t>
  </si>
  <si>
    <t>13140937</t>
  </si>
  <si>
    <t>コニカミノルタプラネタリウム</t>
  </si>
  <si>
    <t>170-8630</t>
  </si>
  <si>
    <t>13144309</t>
  </si>
  <si>
    <t>ヴェオリアジェネッツ</t>
  </si>
  <si>
    <t>14049173</t>
  </si>
  <si>
    <t>ヨコトク</t>
  </si>
  <si>
    <t>231-0033</t>
  </si>
  <si>
    <t>14057779</t>
  </si>
  <si>
    <t>ヒカリ</t>
  </si>
  <si>
    <t>250-0024</t>
  </si>
  <si>
    <t>22014936</t>
  </si>
  <si>
    <t>ナカダサンギョウ</t>
  </si>
  <si>
    <t>428-0013</t>
  </si>
  <si>
    <t>22031375</t>
  </si>
  <si>
    <t>ネットワーク</t>
  </si>
  <si>
    <t>435-0042</t>
  </si>
  <si>
    <t>25041234</t>
  </si>
  <si>
    <t>マツムラコウムテン</t>
  </si>
  <si>
    <t>529-1537</t>
  </si>
  <si>
    <t>26038640</t>
  </si>
  <si>
    <t>ファイン</t>
  </si>
  <si>
    <t>611-0033</t>
  </si>
  <si>
    <t>27010664</t>
  </si>
  <si>
    <t>クリタキカイセイサクショ</t>
  </si>
  <si>
    <t>550-0024</t>
  </si>
  <si>
    <t>27047417</t>
  </si>
  <si>
    <t>ジッポウコウギョウ</t>
  </si>
  <si>
    <t>540-0033</t>
  </si>
  <si>
    <t>27083031</t>
  </si>
  <si>
    <t>ニューテック</t>
  </si>
  <si>
    <t>531-0041</t>
  </si>
  <si>
    <t>27129538</t>
  </si>
  <si>
    <t>エヌディネットサービス</t>
  </si>
  <si>
    <t>590-0984</t>
  </si>
  <si>
    <t>27148643</t>
  </si>
  <si>
    <t>581-0039</t>
  </si>
  <si>
    <t>28352154</t>
  </si>
  <si>
    <t>673-0443</t>
  </si>
  <si>
    <t>28460342</t>
  </si>
  <si>
    <t>コウギ</t>
  </si>
  <si>
    <t>671-1132</t>
  </si>
  <si>
    <t>29006971</t>
  </si>
  <si>
    <t>シマイグミプラント</t>
  </si>
  <si>
    <t>631-0845</t>
  </si>
  <si>
    <t>33003683</t>
  </si>
  <si>
    <t>ナイカイプラント</t>
  </si>
  <si>
    <t>709-0611</t>
  </si>
  <si>
    <t>34013819</t>
  </si>
  <si>
    <t>トウヨウキコウエンジニアリング</t>
  </si>
  <si>
    <t>739-2628</t>
  </si>
  <si>
    <t>34020055</t>
  </si>
  <si>
    <t>ミイケテッコウシヨ</t>
  </si>
  <si>
    <t>720-2124</t>
  </si>
  <si>
    <t>34030985</t>
  </si>
  <si>
    <t>リシャ</t>
  </si>
  <si>
    <t>730-0842</t>
  </si>
  <si>
    <t>34039129</t>
  </si>
  <si>
    <t>イームルコウギョウ</t>
  </si>
  <si>
    <t>739-0151</t>
  </si>
  <si>
    <t>37002979</t>
  </si>
  <si>
    <t>カマチョウセイコウ</t>
  </si>
  <si>
    <t>761-0196</t>
  </si>
  <si>
    <t>37003563</t>
  </si>
  <si>
    <t>シマ</t>
  </si>
  <si>
    <t>768-0024</t>
  </si>
  <si>
    <t>38016487</t>
  </si>
  <si>
    <t>ベネアス</t>
  </si>
  <si>
    <t>791-8061</t>
  </si>
  <si>
    <t>38018382</t>
  </si>
  <si>
    <t>イーイーエス</t>
  </si>
  <si>
    <t>790-0056</t>
  </si>
  <si>
    <t>40001464</t>
  </si>
  <si>
    <t>アズマキカイコウギョウ</t>
  </si>
  <si>
    <t>40003141</t>
  </si>
  <si>
    <t>ウエノセイサクショ</t>
  </si>
  <si>
    <t>830-0063</t>
  </si>
  <si>
    <t>40006550</t>
  </si>
  <si>
    <t>カホセイサクショ</t>
  </si>
  <si>
    <t>820-0712</t>
  </si>
  <si>
    <t>40007133</t>
  </si>
  <si>
    <t>ケイイーエス</t>
  </si>
  <si>
    <t>806-0025</t>
  </si>
  <si>
    <t>40007348</t>
  </si>
  <si>
    <t>キュウユウデンシコウギョウ</t>
  </si>
  <si>
    <t>814-0174</t>
  </si>
  <si>
    <t>40008182</t>
  </si>
  <si>
    <t>クラタコウギョウ</t>
  </si>
  <si>
    <t>40009115</t>
  </si>
  <si>
    <t>ケンシンサンギョウ</t>
  </si>
  <si>
    <t>40010538</t>
  </si>
  <si>
    <t>コウヨウムセン</t>
  </si>
  <si>
    <t>812-0875</t>
  </si>
  <si>
    <t>40012309</t>
  </si>
  <si>
    <t>シュウデンシャ</t>
  </si>
  <si>
    <t>812-0020</t>
  </si>
  <si>
    <t>40014067</t>
  </si>
  <si>
    <t>セイコウデンキケンセツ</t>
  </si>
  <si>
    <t>815-0042</t>
  </si>
  <si>
    <t>40019203</t>
  </si>
  <si>
    <t>テクネ</t>
  </si>
  <si>
    <t>40022808</t>
  </si>
  <si>
    <t>ニッシンサンギョウ</t>
  </si>
  <si>
    <t>812-0858</t>
  </si>
  <si>
    <t>40022850</t>
  </si>
  <si>
    <t>ニシニホンクリスタル</t>
  </si>
  <si>
    <t>814-0033</t>
  </si>
  <si>
    <t>40026250</t>
  </si>
  <si>
    <t>ハンダケンセツ</t>
  </si>
  <si>
    <t>830-0012</t>
  </si>
  <si>
    <t>40026613</t>
  </si>
  <si>
    <t>ハダコウゲイシャ</t>
  </si>
  <si>
    <t>810-0045</t>
  </si>
  <si>
    <t>40028730</t>
  </si>
  <si>
    <t>フクオカシバウラデンシ</t>
  </si>
  <si>
    <t>815-0033</t>
  </si>
  <si>
    <t>40037123</t>
  </si>
  <si>
    <t>ユクハシゲンヨウシャ</t>
  </si>
  <si>
    <t>824-0058</t>
  </si>
  <si>
    <t>40052379</t>
  </si>
  <si>
    <t>オヤマシャジコウギョウショ</t>
  </si>
  <si>
    <t>40052604</t>
  </si>
  <si>
    <t>オオカワテッコウ</t>
  </si>
  <si>
    <t>831-0016</t>
  </si>
  <si>
    <t>40054045</t>
  </si>
  <si>
    <t>カミウチデンキ</t>
  </si>
  <si>
    <t>40058387</t>
  </si>
  <si>
    <t>イーエレクス</t>
  </si>
  <si>
    <t>810-0052</t>
  </si>
  <si>
    <t>40058478</t>
  </si>
  <si>
    <t>フタバコウギョウ</t>
  </si>
  <si>
    <t>812-0863</t>
  </si>
  <si>
    <t>40060240</t>
  </si>
  <si>
    <t>ハッセイ</t>
  </si>
  <si>
    <t>40061998</t>
  </si>
  <si>
    <t>キタキュウシュウユアササンギョウデンチ</t>
  </si>
  <si>
    <t>40076214</t>
  </si>
  <si>
    <t>カンキョウエンヂニアリング</t>
  </si>
  <si>
    <t>40076529</t>
  </si>
  <si>
    <t>カブード</t>
  </si>
  <si>
    <t>811-1123</t>
  </si>
  <si>
    <t>40077474</t>
  </si>
  <si>
    <t>フクオカニッシンデンシ</t>
  </si>
  <si>
    <t>819-0002</t>
  </si>
  <si>
    <t>40077516</t>
  </si>
  <si>
    <t>ブイメンテ</t>
  </si>
  <si>
    <t>808-0027</t>
  </si>
  <si>
    <t>40078556</t>
  </si>
  <si>
    <t>サワヤサンギョウ</t>
  </si>
  <si>
    <t>818-0003</t>
  </si>
  <si>
    <t>40079256</t>
  </si>
  <si>
    <t>ウノシマ</t>
  </si>
  <si>
    <t>828-0021</t>
  </si>
  <si>
    <t>40082411</t>
  </si>
  <si>
    <t>40090929</t>
  </si>
  <si>
    <t>タイヘイビルサービス</t>
  </si>
  <si>
    <t>40091371</t>
  </si>
  <si>
    <t>サノテクノ</t>
  </si>
  <si>
    <t>820-0062</t>
  </si>
  <si>
    <t>40092112</t>
  </si>
  <si>
    <t>エフテクノ</t>
  </si>
  <si>
    <t>838-0067</t>
  </si>
  <si>
    <t>40092311</t>
  </si>
  <si>
    <t>テクノユース</t>
  </si>
  <si>
    <t>40092846</t>
  </si>
  <si>
    <t>アジアケンセツコウギョウ</t>
  </si>
  <si>
    <t>40094569</t>
  </si>
  <si>
    <t>シュウケン</t>
  </si>
  <si>
    <t>40095701</t>
  </si>
  <si>
    <t>カナデビアキュウシュウサービス</t>
  </si>
  <si>
    <t>40095803</t>
  </si>
  <si>
    <t>ダイシンサンギョウ</t>
  </si>
  <si>
    <t>822-1102</t>
  </si>
  <si>
    <t>40098374</t>
  </si>
  <si>
    <t>エヌティティデータキュウシュウ</t>
  </si>
  <si>
    <t>40098830</t>
  </si>
  <si>
    <t>タイシンコウギョウ</t>
  </si>
  <si>
    <t>800-0304</t>
  </si>
  <si>
    <t>40100287</t>
  </si>
  <si>
    <t>ダイイチケイビホショウ</t>
  </si>
  <si>
    <t>804-0071</t>
  </si>
  <si>
    <t>40100411</t>
  </si>
  <si>
    <t>ミヤガワケンセツ</t>
  </si>
  <si>
    <t>810-0071</t>
  </si>
  <si>
    <t>40101555</t>
  </si>
  <si>
    <t>タイヨウチクロコウギョウ</t>
  </si>
  <si>
    <t>812-0045</t>
  </si>
  <si>
    <t>40101612</t>
  </si>
  <si>
    <t>ユウケイサンギョウ</t>
  </si>
  <si>
    <t>811-1324</t>
  </si>
  <si>
    <t>40104802</t>
  </si>
  <si>
    <t>サイタグミ</t>
  </si>
  <si>
    <t>812-0874</t>
  </si>
  <si>
    <t>40105643</t>
  </si>
  <si>
    <t>ハコザキプラントコウギョウ</t>
  </si>
  <si>
    <t>40106545</t>
  </si>
  <si>
    <t>カンキョウギケン</t>
  </si>
  <si>
    <t>40106731</t>
  </si>
  <si>
    <t>ユージーエンジニアリング</t>
  </si>
  <si>
    <t>40107355</t>
  </si>
  <si>
    <t>シラカイ</t>
  </si>
  <si>
    <t>808-0021</t>
  </si>
  <si>
    <t>40107526</t>
  </si>
  <si>
    <t>ウェルマ</t>
  </si>
  <si>
    <t>40109232</t>
  </si>
  <si>
    <t>トレス</t>
  </si>
  <si>
    <t>824-0028</t>
  </si>
  <si>
    <t>40109515</t>
  </si>
  <si>
    <t>ヒライスポーツケンセツ</t>
  </si>
  <si>
    <t>40111044</t>
  </si>
  <si>
    <t>イイダケンセツ</t>
  </si>
  <si>
    <t>812-0007</t>
  </si>
  <si>
    <t>40111138</t>
  </si>
  <si>
    <t>ティーエスエス</t>
  </si>
  <si>
    <t>40111734</t>
  </si>
  <si>
    <t>タイズ</t>
  </si>
  <si>
    <t>816-0911</t>
  </si>
  <si>
    <t>40112252</t>
  </si>
  <si>
    <t>ツヅイテック</t>
  </si>
  <si>
    <t>40112634</t>
  </si>
  <si>
    <t>キュウシュウカコウケンセツ</t>
  </si>
  <si>
    <t>812-0014</t>
  </si>
  <si>
    <t>40113316</t>
  </si>
  <si>
    <t>ウィートライズ</t>
  </si>
  <si>
    <t>40113497</t>
  </si>
  <si>
    <t>ホシザキキタキュウ</t>
  </si>
  <si>
    <t>40113806</t>
  </si>
  <si>
    <t>813-0034</t>
  </si>
  <si>
    <t>41009803</t>
  </si>
  <si>
    <t>カイヨウカイハツギジュツケンキュウショ</t>
  </si>
  <si>
    <t>848-0043</t>
  </si>
  <si>
    <t>41011416</t>
  </si>
  <si>
    <t>ヤマグチサンギョウ</t>
  </si>
  <si>
    <t>846-0031</t>
  </si>
  <si>
    <t>42000301</t>
  </si>
  <si>
    <t>オオビシデンキコウギョウ</t>
  </si>
  <si>
    <t>857-0016</t>
  </si>
  <si>
    <t>42005192</t>
  </si>
  <si>
    <t>ミヤモトデンキ</t>
  </si>
  <si>
    <t>859-3153</t>
  </si>
  <si>
    <t>42012361</t>
  </si>
  <si>
    <t>トータスコーポレーション</t>
  </si>
  <si>
    <t>858-0907</t>
  </si>
  <si>
    <t>42012726</t>
  </si>
  <si>
    <t>マエハタゾウセン</t>
  </si>
  <si>
    <t>857-0852</t>
  </si>
  <si>
    <t>43004334</t>
  </si>
  <si>
    <t>オオトモチカボーリング</t>
  </si>
  <si>
    <t>869-2302</t>
  </si>
  <si>
    <t>43011903</t>
  </si>
  <si>
    <t>キュウシュウニッショウコウギョウ</t>
  </si>
  <si>
    <t>860-0047</t>
  </si>
  <si>
    <t>43013605</t>
  </si>
  <si>
    <t>プライムシステム</t>
  </si>
  <si>
    <t>862-0950</t>
  </si>
  <si>
    <t>43013953</t>
  </si>
  <si>
    <t>チュウオウセイキ</t>
  </si>
  <si>
    <t>862-0969</t>
  </si>
  <si>
    <t>43014018</t>
  </si>
  <si>
    <t>キュウシュウテクニカルメンテナンス</t>
  </si>
  <si>
    <t>862-0911</t>
  </si>
  <si>
    <t>43016931</t>
  </si>
  <si>
    <t>マルショウケンセツ</t>
  </si>
  <si>
    <t>868-0071</t>
  </si>
  <si>
    <t>43017132</t>
  </si>
  <si>
    <t>アルコデンキ</t>
  </si>
  <si>
    <t>861-0303</t>
  </si>
  <si>
    <t>43017268</t>
  </si>
  <si>
    <t>ニシダテクノサービス</t>
  </si>
  <si>
    <t>869-0416</t>
  </si>
  <si>
    <t>43019357</t>
  </si>
  <si>
    <t>シズオカトソウグミ</t>
  </si>
  <si>
    <t>45000493</t>
  </si>
  <si>
    <t>ニホンピーシーテーケンセツ</t>
  </si>
  <si>
    <t>882-0024</t>
  </si>
  <si>
    <t>45001320</t>
  </si>
  <si>
    <t>ハナビシトソウギケンコウギョウ</t>
  </si>
  <si>
    <t>45002212</t>
  </si>
  <si>
    <t>ノベオカジュウデンシャ</t>
  </si>
  <si>
    <t>45003885</t>
  </si>
  <si>
    <t>ナンテック</t>
  </si>
  <si>
    <t>880-0044</t>
  </si>
  <si>
    <t>45005111</t>
  </si>
  <si>
    <t>ナカノカンリ</t>
  </si>
  <si>
    <t>880-0303</t>
  </si>
  <si>
    <t>45006529</t>
  </si>
  <si>
    <t>ミナミニホンコウギヨウ</t>
  </si>
  <si>
    <t>880-0943</t>
  </si>
  <si>
    <t>45009782</t>
  </si>
  <si>
    <t>アボック</t>
  </si>
  <si>
    <t>880-0917</t>
  </si>
  <si>
    <t>45014078</t>
  </si>
  <si>
    <t>ユニーズコウギョウ</t>
  </si>
  <si>
    <t>46001968</t>
  </si>
  <si>
    <t>プランテムタナカ</t>
  </si>
  <si>
    <t>891-0132</t>
  </si>
  <si>
    <t>46002127</t>
  </si>
  <si>
    <t>サニタリー</t>
  </si>
  <si>
    <t>891-0113</t>
  </si>
  <si>
    <t>46007219</t>
  </si>
  <si>
    <t>カワコウサンギョウ</t>
  </si>
  <si>
    <t>890-0035</t>
  </si>
  <si>
    <t>本店電話番号</t>
  </si>
  <si>
    <t>本店FAX番号</t>
  </si>
  <si>
    <t>本店メールアドレス</t>
  </si>
  <si>
    <t>営業所名称</t>
  </si>
  <si>
    <t>営業所代表者名</t>
  </si>
  <si>
    <t>営業所郵便番号</t>
  </si>
  <si>
    <t>営業所住所</t>
  </si>
  <si>
    <t>0979-32-7878</t>
  </si>
  <si>
    <t>0979-32-8608</t>
  </si>
  <si>
    <t xml:space="preserve"> </t>
  </si>
  <si>
    <t>0979-22-4386</t>
  </si>
  <si>
    <t>0979-24-6363</t>
  </si>
  <si>
    <t>0978-54-3311</t>
  </si>
  <si>
    <t>0978-54-3325</t>
  </si>
  <si>
    <t>097-534-4151</t>
  </si>
  <si>
    <t>097-534-4164</t>
  </si>
  <si>
    <t>097-536-0469</t>
  </si>
  <si>
    <t>097-538-2086</t>
  </si>
  <si>
    <t>097-536-1540</t>
  </si>
  <si>
    <t>097-573-8252</t>
  </si>
  <si>
    <t>0973-24-1477</t>
  </si>
  <si>
    <t>0973-24-1484</t>
  </si>
  <si>
    <t>097-569-3271</t>
  </si>
  <si>
    <t>097-569-8729</t>
  </si>
  <si>
    <t>0973-23-8111</t>
  </si>
  <si>
    <t>0973-23-7311</t>
  </si>
  <si>
    <t>0973-54-3605</t>
  </si>
  <si>
    <t>0973-54-3630</t>
  </si>
  <si>
    <t>097-521-7711</t>
  </si>
  <si>
    <t>097-521-7713</t>
  </si>
  <si>
    <t>0979-22-1165</t>
  </si>
  <si>
    <t>0979-25-0926</t>
  </si>
  <si>
    <t>097-552-3085</t>
  </si>
  <si>
    <t>097-558-5676</t>
  </si>
  <si>
    <t>0973-24-1601</t>
  </si>
  <si>
    <t>0973-24-1621</t>
  </si>
  <si>
    <t>0979-22-0611</t>
  </si>
  <si>
    <t>0979-22-5456</t>
  </si>
  <si>
    <t>097-503-1131</t>
  </si>
  <si>
    <t>097-503-1021</t>
  </si>
  <si>
    <t>0972-82-3946</t>
  </si>
  <si>
    <t>0972-82-3055</t>
  </si>
  <si>
    <t>097-556-0422</t>
  </si>
  <si>
    <t>097-552-1015</t>
  </si>
  <si>
    <t>097-552-1310</t>
  </si>
  <si>
    <t>0974-68-2095</t>
  </si>
  <si>
    <t>0974-68-2096</t>
  </si>
  <si>
    <t>097-556-6214</t>
  </si>
  <si>
    <t>097-552-4792</t>
  </si>
  <si>
    <t>0978-38-0271</t>
  </si>
  <si>
    <t>0978-38-5167</t>
  </si>
  <si>
    <t>097-574-6330</t>
  </si>
  <si>
    <t>097-551-6366</t>
  </si>
  <si>
    <t>097-551-9150</t>
  </si>
  <si>
    <t>097-551-7094</t>
  </si>
  <si>
    <t>0973-23-7729</t>
  </si>
  <si>
    <t>0973-24-4334</t>
  </si>
  <si>
    <t>0974-63-2500</t>
  </si>
  <si>
    <t>0974-63-0802</t>
  </si>
  <si>
    <t>0979-23-2313</t>
  </si>
  <si>
    <t>0979-23-8449</t>
  </si>
  <si>
    <t>0979-64-7816</t>
  </si>
  <si>
    <t>0979-64-7817</t>
  </si>
  <si>
    <t>097-514-9595</t>
  </si>
  <si>
    <t>097-514-9596</t>
  </si>
  <si>
    <t>097-547-7087</t>
  </si>
  <si>
    <t>097-547-7157</t>
  </si>
  <si>
    <t>0972-63-3355</t>
  </si>
  <si>
    <t>0972-63-4667</t>
  </si>
  <si>
    <t>0977-25-1221</t>
  </si>
  <si>
    <t>0977-21-3825</t>
  </si>
  <si>
    <t>097-543-5111</t>
  </si>
  <si>
    <t>097-543-5113</t>
  </si>
  <si>
    <t>097-556-8151</t>
  </si>
  <si>
    <t>097-556-8154</t>
  </si>
  <si>
    <t>097-536-2323</t>
  </si>
  <si>
    <t>097-534-5552</t>
  </si>
  <si>
    <t>097-524-2238</t>
  </si>
  <si>
    <t>097-592-2444</t>
  </si>
  <si>
    <t>0977-85-3111</t>
  </si>
  <si>
    <t>0977-85-4522</t>
  </si>
  <si>
    <t>097-532-3992</t>
  </si>
  <si>
    <t>097-536-0322</t>
  </si>
  <si>
    <t>097-558-7840</t>
  </si>
  <si>
    <t>097-558-0418</t>
  </si>
  <si>
    <t>097-567-1116</t>
  </si>
  <si>
    <t>097-567-1117</t>
  </si>
  <si>
    <t>097-543-0329</t>
  </si>
  <si>
    <t>097-545-4641</t>
  </si>
  <si>
    <t>097-558-1206</t>
  </si>
  <si>
    <t>097-558-5618</t>
  </si>
  <si>
    <t>097-558-0107</t>
  </si>
  <si>
    <t>097-558-2828</t>
  </si>
  <si>
    <t>097-558-4747</t>
  </si>
  <si>
    <t>097-551-9562</t>
  </si>
  <si>
    <t>097-551-2311</t>
  </si>
  <si>
    <t>097-551-1497</t>
  </si>
  <si>
    <t>097-544-4141</t>
  </si>
  <si>
    <t>097-546-2782</t>
  </si>
  <si>
    <t>097-536-2326</t>
  </si>
  <si>
    <t>097-536-2327</t>
  </si>
  <si>
    <t>0977-85-3355</t>
  </si>
  <si>
    <t>0977-85-3357</t>
  </si>
  <si>
    <t>097-552-8760</t>
  </si>
  <si>
    <t>097-552-8761</t>
  </si>
  <si>
    <t>097-523-1212</t>
  </si>
  <si>
    <t>097-523-1213</t>
  </si>
  <si>
    <t>0978-68-1465</t>
  </si>
  <si>
    <t>0978-68-0834</t>
  </si>
  <si>
    <t>097-569-2381</t>
  </si>
  <si>
    <t>097-569-0949</t>
  </si>
  <si>
    <t>097-597-5556</t>
  </si>
  <si>
    <t>097-597-5570</t>
  </si>
  <si>
    <t>097-523-4366</t>
  </si>
  <si>
    <t>097-523-0665</t>
  </si>
  <si>
    <t>097-544-1465</t>
  </si>
  <si>
    <t>097-543-9004</t>
  </si>
  <si>
    <t>097-533-1148</t>
  </si>
  <si>
    <t>097-533-1140</t>
  </si>
  <si>
    <t>097-551-3550</t>
  </si>
  <si>
    <t>097-552-4630</t>
  </si>
  <si>
    <t>097-534-0681</t>
  </si>
  <si>
    <t>097-534-0682</t>
  </si>
  <si>
    <t>097-532-9063</t>
  </si>
  <si>
    <t>097-534-6026</t>
  </si>
  <si>
    <t>097-527-6360</t>
  </si>
  <si>
    <t>097-521-7328</t>
  </si>
  <si>
    <t>097-537-5385</t>
  </si>
  <si>
    <t>097-534-2781</t>
  </si>
  <si>
    <t>097-543-2966</t>
  </si>
  <si>
    <t>097-543-2997</t>
  </si>
  <si>
    <t>097-534-4480</t>
  </si>
  <si>
    <t>097-532-0823</t>
  </si>
  <si>
    <t>0977-84-2151</t>
  </si>
  <si>
    <t>0977-85-2688</t>
  </si>
  <si>
    <t>097-544-0513</t>
  </si>
  <si>
    <t>097-544-2399</t>
  </si>
  <si>
    <t>097-554-2471</t>
  </si>
  <si>
    <t>097-554-2473</t>
  </si>
  <si>
    <t>097-558-1814</t>
  </si>
  <si>
    <t>097-553-4903</t>
  </si>
  <si>
    <t>097-544-3131</t>
  </si>
  <si>
    <t>097-543-7567</t>
  </si>
  <si>
    <t>097-558-6302</t>
  </si>
  <si>
    <t>097-558-0291</t>
  </si>
  <si>
    <t>097-588-0021</t>
  </si>
  <si>
    <t>097-588-0071</t>
  </si>
  <si>
    <t>097-592-3010</t>
  </si>
  <si>
    <t>097-528-9956</t>
  </si>
  <si>
    <t>097-536-6017</t>
  </si>
  <si>
    <t>097-521-1172</t>
  </si>
  <si>
    <t>097-527-6364</t>
  </si>
  <si>
    <t>097-582-0240</t>
  </si>
  <si>
    <t>097-582-1729</t>
  </si>
  <si>
    <t>097-521-1122</t>
  </si>
  <si>
    <t>097-521-1123</t>
  </si>
  <si>
    <t>097-597-1212</t>
  </si>
  <si>
    <t>097-597-3588</t>
  </si>
  <si>
    <t>097-551-2677</t>
  </si>
  <si>
    <t>097-551-1646</t>
  </si>
  <si>
    <t>097-543-9406</t>
  </si>
  <si>
    <t>097-543-9471</t>
  </si>
  <si>
    <t>097-543-0808</t>
  </si>
  <si>
    <t>097-545-5096</t>
  </si>
  <si>
    <t>097-520-0065</t>
  </si>
  <si>
    <t>097-520-1539</t>
  </si>
  <si>
    <t>097-592-1756</t>
  </si>
  <si>
    <t>097-592-9236</t>
  </si>
  <si>
    <t>097-536-1285</t>
  </si>
  <si>
    <t>097-534-3905</t>
  </si>
  <si>
    <t>097-532-4834</t>
  </si>
  <si>
    <t>097-535-1457</t>
  </si>
  <si>
    <t>097-543-6363</t>
  </si>
  <si>
    <t>097-546-1974</t>
  </si>
  <si>
    <t>0977-84-2402</t>
  </si>
  <si>
    <t>0977-84-3378</t>
  </si>
  <si>
    <t>097-521-1780</t>
  </si>
  <si>
    <t>097-521-1781</t>
  </si>
  <si>
    <t>0977-84-3095</t>
  </si>
  <si>
    <t>0977-84-2768</t>
  </si>
  <si>
    <t>097-583-0157</t>
  </si>
  <si>
    <t>097-583-1300</t>
  </si>
  <si>
    <t>097-593-0010</t>
  </si>
  <si>
    <t>097-592-1812</t>
  </si>
  <si>
    <t>097-569-3275</t>
  </si>
  <si>
    <t>097-578-8077</t>
  </si>
  <si>
    <t>097-527-4161</t>
  </si>
  <si>
    <t>097-527-4163</t>
  </si>
  <si>
    <t>097-597-2776</t>
  </si>
  <si>
    <t>097-597-6852</t>
  </si>
  <si>
    <t>097-534-0141</t>
  </si>
  <si>
    <t>097-534-0174</t>
  </si>
  <si>
    <t>097-558-2111</t>
  </si>
  <si>
    <t>097-558-2113</t>
  </si>
  <si>
    <t>097-568-0308</t>
  </si>
  <si>
    <t>097-568-0309</t>
  </si>
  <si>
    <t>097-597-2233</t>
  </si>
  <si>
    <t>097-597-2234</t>
  </si>
  <si>
    <t>097-532-6738</t>
  </si>
  <si>
    <t>097-532-6589</t>
  </si>
  <si>
    <t>097-582-0367</t>
  </si>
  <si>
    <t>097-582-3381</t>
  </si>
  <si>
    <t>097-544-6456</t>
  </si>
  <si>
    <t>097-543-9740</t>
  </si>
  <si>
    <t>097-532-7111</t>
  </si>
  <si>
    <t>097-532-7118</t>
  </si>
  <si>
    <t>097-521-3131</t>
  </si>
  <si>
    <t>097-521-3141</t>
  </si>
  <si>
    <t>0977-86-2453</t>
  </si>
  <si>
    <t>0977-86-2460</t>
  </si>
  <si>
    <t>097-569-4333</t>
  </si>
  <si>
    <t>097-568-1061</t>
  </si>
  <si>
    <t>0977-84-4423</t>
  </si>
  <si>
    <t>0977-84-5150</t>
  </si>
  <si>
    <t>097-542-7170</t>
  </si>
  <si>
    <t>097-542-7180</t>
  </si>
  <si>
    <t>097-522-4875</t>
  </si>
  <si>
    <t>097-522-4861</t>
  </si>
  <si>
    <t>097-592-1185</t>
  </si>
  <si>
    <t>097-592-6886</t>
  </si>
  <si>
    <t>0972-63-6736</t>
  </si>
  <si>
    <t>097-569-4102</t>
  </si>
  <si>
    <t>097-569-4178</t>
  </si>
  <si>
    <t>097-593-5472</t>
  </si>
  <si>
    <t>097-593-5491</t>
  </si>
  <si>
    <t>097-574-8155</t>
  </si>
  <si>
    <t>097-574-8156</t>
  </si>
  <si>
    <t>0977-22-8870</t>
  </si>
  <si>
    <t>0977-23-5321</t>
  </si>
  <si>
    <t>0977-21-5321</t>
  </si>
  <si>
    <t>0977-72-5960</t>
  </si>
  <si>
    <t>0977-72-5096</t>
  </si>
  <si>
    <t>0978-62-2041</t>
  </si>
  <si>
    <t>0978-63-4454</t>
  </si>
  <si>
    <t>0978-32-5216</t>
  </si>
  <si>
    <t>0978-32-5233</t>
  </si>
  <si>
    <t>0977-23-6231</t>
  </si>
  <si>
    <t>0977-24-7026</t>
  </si>
  <si>
    <t>0977-21-5355</t>
  </si>
  <si>
    <t>0977-21-0671</t>
  </si>
  <si>
    <t>0978-62-2344</t>
  </si>
  <si>
    <t>0978-62-3800</t>
  </si>
  <si>
    <t>0977-24-6868</t>
  </si>
  <si>
    <t>0977-26-2828</t>
  </si>
  <si>
    <t>0977-72-3032</t>
  </si>
  <si>
    <t>0977-72-4977</t>
  </si>
  <si>
    <t>0977-24-2424</t>
  </si>
  <si>
    <t>0977-24-7626</t>
  </si>
  <si>
    <t>0977-22-3146</t>
  </si>
  <si>
    <t>0977-21-3602</t>
  </si>
  <si>
    <t>0977-67-5555</t>
  </si>
  <si>
    <t>0977-67-5777</t>
  </si>
  <si>
    <t>0977-72-2050</t>
  </si>
  <si>
    <t>0977-72-2099</t>
  </si>
  <si>
    <t>0977-24-5555</t>
  </si>
  <si>
    <t>0977-24-5557</t>
  </si>
  <si>
    <t>0977-27-9112</t>
  </si>
  <si>
    <t>0977-27-9113</t>
  </si>
  <si>
    <t>0977-72-5533</t>
  </si>
  <si>
    <t>0977-72-5534</t>
  </si>
  <si>
    <t>0978-62-2082</t>
  </si>
  <si>
    <t>0978-62-2083</t>
  </si>
  <si>
    <t>0977-21-2413</t>
  </si>
  <si>
    <t>0977-21-2415</t>
  </si>
  <si>
    <t>0978-62-2468</t>
  </si>
  <si>
    <t>0978-62-5436</t>
  </si>
  <si>
    <t>0977-66-0515</t>
  </si>
  <si>
    <t>0977-66-0552</t>
  </si>
  <si>
    <t>0977-22-6472</t>
  </si>
  <si>
    <t>0977-21-1418</t>
  </si>
  <si>
    <t>0977-21-4836</t>
  </si>
  <si>
    <t>0977-72-5735</t>
  </si>
  <si>
    <t>0977-72-5738</t>
  </si>
  <si>
    <t>0978-53-5155</t>
  </si>
  <si>
    <t>0978-53-5231</t>
  </si>
  <si>
    <t>0978-22-1527</t>
  </si>
  <si>
    <t>0978-22-1526</t>
  </si>
  <si>
    <t>0978-24-3350</t>
  </si>
  <si>
    <t>0978-24-3170</t>
  </si>
  <si>
    <t>0978-53-5921</t>
  </si>
  <si>
    <t>0978-53-5938</t>
  </si>
  <si>
    <t>0978-22-2892</t>
  </si>
  <si>
    <t>0977-44-7011</t>
  </si>
  <si>
    <t>0977-44-7001</t>
  </si>
  <si>
    <t>0978-22-3469</t>
  </si>
  <si>
    <t>0978-22-2891</t>
  </si>
  <si>
    <t>0978-22-3586</t>
  </si>
  <si>
    <t>0978-22-1028</t>
  </si>
  <si>
    <t>0978-24-1115</t>
  </si>
  <si>
    <t>0978-22-1101</t>
  </si>
  <si>
    <t>0978-22-1568</t>
  </si>
  <si>
    <t>0978-54-3373</t>
  </si>
  <si>
    <t>0978-54-2891</t>
  </si>
  <si>
    <t>0978-22-2029</t>
  </si>
  <si>
    <t>0978-22-2838</t>
  </si>
  <si>
    <t>0978-24-1467</t>
  </si>
  <si>
    <t>0978-24-1487</t>
  </si>
  <si>
    <t>0978-25-4649</t>
  </si>
  <si>
    <t>0978-25-4648</t>
  </si>
  <si>
    <t>0978-22-2712</t>
  </si>
  <si>
    <t>0978-22-2736</t>
  </si>
  <si>
    <t>0978-54-2685</t>
  </si>
  <si>
    <t>0978-54-2643</t>
  </si>
  <si>
    <t>0978-22-0425</t>
  </si>
  <si>
    <t>0978-22-3772</t>
  </si>
  <si>
    <t>0978-69-0339</t>
  </si>
  <si>
    <t>0978-69-0349</t>
  </si>
  <si>
    <t>0978-72-3333</t>
  </si>
  <si>
    <t>0978-72-3163</t>
  </si>
  <si>
    <t>0978-67-0147</t>
  </si>
  <si>
    <t>0978-67-0150</t>
  </si>
  <si>
    <t>0978-87-3613</t>
  </si>
  <si>
    <t>0978-73-7013</t>
  </si>
  <si>
    <t>0978-74-0446</t>
  </si>
  <si>
    <t>0978-74-1486</t>
  </si>
  <si>
    <t>0978-82-0050</t>
  </si>
  <si>
    <t>0978-82-1381</t>
  </si>
  <si>
    <t>0978-68-1148</t>
  </si>
  <si>
    <t>0978-68-1149</t>
  </si>
  <si>
    <t>0978-64-4005</t>
  </si>
  <si>
    <t>0978-64-4006</t>
  </si>
  <si>
    <t>0978-77-0350</t>
  </si>
  <si>
    <t>0978-77-0360</t>
  </si>
  <si>
    <t>0978-68-1030</t>
  </si>
  <si>
    <t>0978-68-0897</t>
  </si>
  <si>
    <t>0978-72-0601</t>
  </si>
  <si>
    <t>0978-72-0855</t>
  </si>
  <si>
    <t>0978-67-1335</t>
  </si>
  <si>
    <t>0978-67-1336</t>
  </si>
  <si>
    <t>0978-72-1054</t>
  </si>
  <si>
    <t>0978-72-1284</t>
  </si>
  <si>
    <t>0978-67-0192</t>
  </si>
  <si>
    <t>0978-67-2672</t>
  </si>
  <si>
    <t>0972-88-2211</t>
  </si>
  <si>
    <t>0972-88-2952</t>
  </si>
  <si>
    <t>0972-63-1558</t>
  </si>
  <si>
    <t>0972-63-0878</t>
  </si>
  <si>
    <t>0972-63-8448</t>
  </si>
  <si>
    <t>0972-63-0988</t>
  </si>
  <si>
    <t>0972-82-4320</t>
  </si>
  <si>
    <t>0972-82-2606</t>
  </si>
  <si>
    <t>097-575-1120</t>
  </si>
  <si>
    <t>097-575-0522</t>
  </si>
  <si>
    <t>0972-82-2740</t>
  </si>
  <si>
    <t>0972-82-3166</t>
  </si>
  <si>
    <t>097-569-4641</t>
  </si>
  <si>
    <t>097-569-4349</t>
  </si>
  <si>
    <t>0972-63-3123</t>
  </si>
  <si>
    <t>0972-63-3125</t>
  </si>
  <si>
    <t>097-575-0116</t>
  </si>
  <si>
    <t>097-575-0225</t>
  </si>
  <si>
    <t>0972-62-3938</t>
  </si>
  <si>
    <t>0972-63-2600</t>
  </si>
  <si>
    <t>0972-82-2319</t>
  </si>
  <si>
    <t>0972-82-8715</t>
  </si>
  <si>
    <t>0972-62-2653</t>
  </si>
  <si>
    <t>0972-62-4907</t>
  </si>
  <si>
    <t>0972-82-2933</t>
  </si>
  <si>
    <t>0972-82-6227</t>
  </si>
  <si>
    <t>0972-68-3200</t>
  </si>
  <si>
    <t>0972-68-3208</t>
  </si>
  <si>
    <t>097-576-0075</t>
  </si>
  <si>
    <t>097-576-0306</t>
  </si>
  <si>
    <t>0972-63-1986</t>
  </si>
  <si>
    <t>0972-63-1987</t>
  </si>
  <si>
    <t>097-575-0368</t>
  </si>
  <si>
    <t>097-575-2753</t>
  </si>
  <si>
    <t>097-575-1058</t>
  </si>
  <si>
    <t>097-575-4403</t>
  </si>
  <si>
    <t>0972-63-1010</t>
  </si>
  <si>
    <t>0972-62-8680</t>
  </si>
  <si>
    <t>0972-82-5291</t>
  </si>
  <si>
    <t>0972-82-5294</t>
  </si>
  <si>
    <t>0972-63-1388</t>
  </si>
  <si>
    <t>0972-62-3365</t>
  </si>
  <si>
    <t>0972-63-4141</t>
  </si>
  <si>
    <t>0972-62-4018</t>
  </si>
  <si>
    <t>097-575-0370</t>
  </si>
  <si>
    <t>097-575-0324</t>
  </si>
  <si>
    <t>0972-82-2248</t>
  </si>
  <si>
    <t>0972-82-7977</t>
  </si>
  <si>
    <t>0972-82-4188</t>
  </si>
  <si>
    <t>0972-82-1300</t>
  </si>
  <si>
    <t>0972-65-3535</t>
  </si>
  <si>
    <t>0972-65-3539</t>
  </si>
  <si>
    <t>0972-83-5335</t>
  </si>
  <si>
    <t>0972-83-5336</t>
  </si>
  <si>
    <t>0972-82-5255</t>
  </si>
  <si>
    <t>0972-82-5257</t>
  </si>
  <si>
    <t>0972-82-2233</t>
  </si>
  <si>
    <t>0972-83-7210</t>
  </si>
  <si>
    <t>0972-82-4155</t>
  </si>
  <si>
    <t>0972-82-5280</t>
  </si>
  <si>
    <t>0972-82-1311</t>
  </si>
  <si>
    <t>0972-82-6541</t>
  </si>
  <si>
    <t>097-575-0264</t>
  </si>
  <si>
    <t>097-575-2202</t>
  </si>
  <si>
    <t>0972-82-2181</t>
  </si>
  <si>
    <t>0972-82-8879</t>
  </si>
  <si>
    <t>0972-44-0534</t>
  </si>
  <si>
    <t>0972-44-0182</t>
  </si>
  <si>
    <t>0972-23-5811</t>
  </si>
  <si>
    <t>0972-22-3882</t>
  </si>
  <si>
    <t>0972-33-0065</t>
  </si>
  <si>
    <t>0972-33-0867</t>
  </si>
  <si>
    <t>0972-46-0116</t>
  </si>
  <si>
    <t>0972-46-0119</t>
  </si>
  <si>
    <t>0972-23-3147</t>
  </si>
  <si>
    <t>0972-23-3148</t>
  </si>
  <si>
    <t>0972-22-0796</t>
  </si>
  <si>
    <t>0972-22-7059</t>
  </si>
  <si>
    <t>0972-27-8731</t>
  </si>
  <si>
    <t>0972-27-8733</t>
  </si>
  <si>
    <t>0972-52-1005</t>
  </si>
  <si>
    <t>0972-52-5020</t>
  </si>
  <si>
    <t>0972-22-2661</t>
  </si>
  <si>
    <t>0972-22-5227</t>
  </si>
  <si>
    <t>0972-23-8022</t>
  </si>
  <si>
    <t>0972-23-8466</t>
  </si>
  <si>
    <t>0972-22-1842</t>
  </si>
  <si>
    <t>0972-22-1982</t>
  </si>
  <si>
    <t>0972-52-1134</t>
  </si>
  <si>
    <t>0972-52-1136</t>
  </si>
  <si>
    <t>0972-23-8800</t>
  </si>
  <si>
    <t>0972-24-2270</t>
  </si>
  <si>
    <t>0972-42-0011</t>
  </si>
  <si>
    <t>0972-43-3805</t>
  </si>
  <si>
    <t>0972-22-1877</t>
  </si>
  <si>
    <t>0972-22-1905</t>
  </si>
  <si>
    <t>0972-32-3023</t>
  </si>
  <si>
    <t>0972-22-0858</t>
  </si>
  <si>
    <t>0972-22-0865</t>
  </si>
  <si>
    <t>0972-23-2121</t>
  </si>
  <si>
    <t>0972-22-2123</t>
  </si>
  <si>
    <t>0974-24-0002</t>
  </si>
  <si>
    <t>0974-24-0012</t>
  </si>
  <si>
    <t>0972-46-0067</t>
  </si>
  <si>
    <t>0972-46-2568</t>
  </si>
  <si>
    <t>0972-46-0683</t>
  </si>
  <si>
    <t>0972-46-1703</t>
  </si>
  <si>
    <t>0972-22-0106</t>
  </si>
  <si>
    <t>0972-24-1688</t>
  </si>
  <si>
    <t>0972-28-5167</t>
  </si>
  <si>
    <t>0972-28-5180</t>
  </si>
  <si>
    <t>0974-32-2018</t>
  </si>
  <si>
    <t>0974-32-2021</t>
  </si>
  <si>
    <t>0974-22-0448</t>
  </si>
  <si>
    <t>0974-22-2229</t>
  </si>
  <si>
    <t>0974-22-0214</t>
  </si>
  <si>
    <t>0974-22-3917</t>
  </si>
  <si>
    <t>0974-34-2323</t>
  </si>
  <si>
    <t>0974-34-2497</t>
  </si>
  <si>
    <t>0974-37-2135</t>
  </si>
  <si>
    <t>0974-37-2137</t>
  </si>
  <si>
    <t>0974-35-2121</t>
  </si>
  <si>
    <t>0974-35-2125</t>
  </si>
  <si>
    <t>0974-42-3471</t>
  </si>
  <si>
    <t>0974-42-4154</t>
  </si>
  <si>
    <t>097-578-0480</t>
  </si>
  <si>
    <t>097-578-0482</t>
  </si>
  <si>
    <t>0974-22-1186</t>
  </si>
  <si>
    <t>0974-22-1789</t>
  </si>
  <si>
    <t>097-578-1205</t>
  </si>
  <si>
    <t>097-578-1055</t>
  </si>
  <si>
    <t>0974-77-2021</t>
  </si>
  <si>
    <t>0974-77-2051</t>
  </si>
  <si>
    <t>097-578-0469</t>
  </si>
  <si>
    <t>0974-22-0769</t>
  </si>
  <si>
    <t>0974-22-0762</t>
  </si>
  <si>
    <t>0974-42-4119</t>
  </si>
  <si>
    <t>0974-63-2449</t>
  </si>
  <si>
    <t>0974-63-2408</t>
  </si>
  <si>
    <t>0974-63-2426</t>
  </si>
  <si>
    <t>0974-63-0514</t>
  </si>
  <si>
    <t>0974-63-3528</t>
  </si>
  <si>
    <t>0974-63-3537</t>
  </si>
  <si>
    <t>0974-63-1733</t>
  </si>
  <si>
    <t>0974-63-0533</t>
  </si>
  <si>
    <t>0974-63-3075</t>
  </si>
  <si>
    <t>0974-63-1922</t>
  </si>
  <si>
    <t>0974-63-3570</t>
  </si>
  <si>
    <t>0974-63-0525</t>
  </si>
  <si>
    <t>0974-63-1800</t>
  </si>
  <si>
    <t>0974-62-2375</t>
  </si>
  <si>
    <t>0974-63-2406</t>
  </si>
  <si>
    <t>0974-63-2469</t>
  </si>
  <si>
    <t>0974-62-2416</t>
  </si>
  <si>
    <t>0974-63-0566</t>
  </si>
  <si>
    <t>0974-76-0012</t>
  </si>
  <si>
    <t>0974-76-0446</t>
  </si>
  <si>
    <t>0974-76-0455</t>
  </si>
  <si>
    <t>0974-63-2895</t>
  </si>
  <si>
    <t>0974-63-2896</t>
  </si>
  <si>
    <t>0974-63-3027</t>
  </si>
  <si>
    <t>0974-63-0370</t>
  </si>
  <si>
    <t>0973-77-6812</t>
  </si>
  <si>
    <t>0973-77-7355</t>
  </si>
  <si>
    <t>0973-76-2390</t>
  </si>
  <si>
    <t>0973-78-8709</t>
  </si>
  <si>
    <t>0973-78-9435</t>
  </si>
  <si>
    <t>0973-79-2554</t>
  </si>
  <si>
    <t>0973-79-3453</t>
  </si>
  <si>
    <t>0973-79-2527</t>
  </si>
  <si>
    <t>0973-79-3538</t>
  </si>
  <si>
    <t>0973-72-0244</t>
  </si>
  <si>
    <t>0973-72-6373</t>
  </si>
  <si>
    <t>0973-72-0487</t>
  </si>
  <si>
    <t>0973-72-0478</t>
  </si>
  <si>
    <t>0973-77-6951</t>
  </si>
  <si>
    <t>0973-77-7506</t>
  </si>
  <si>
    <t>0973-77-6945</t>
  </si>
  <si>
    <t>0973-77-7678</t>
  </si>
  <si>
    <t>0973-72-0508</t>
  </si>
  <si>
    <t>0973-72-6340</t>
  </si>
  <si>
    <t>0973-73-7101</t>
  </si>
  <si>
    <t>0973-73-7102</t>
  </si>
  <si>
    <t>0973-77-6660</t>
  </si>
  <si>
    <t>0973-77-6661</t>
  </si>
  <si>
    <t>0973-78-8408</t>
  </si>
  <si>
    <t>0973-78-8941</t>
  </si>
  <si>
    <t>0973-72-0012</t>
  </si>
  <si>
    <t>0973-72-3328</t>
  </si>
  <si>
    <t>0973-77-6540</t>
  </si>
  <si>
    <t>0973-70-5145</t>
  </si>
  <si>
    <t>0973-72-0201</t>
  </si>
  <si>
    <t>0973-72-5594</t>
  </si>
  <si>
    <t>0973-23-8185</t>
  </si>
  <si>
    <t>0973-23-8895</t>
  </si>
  <si>
    <t>0973-22-7175</t>
  </si>
  <si>
    <t>0973-24-6183</t>
  </si>
  <si>
    <t>0973-22-4501</t>
  </si>
  <si>
    <t>0973-22-9581</t>
  </si>
  <si>
    <t>0973-24-5711</t>
  </si>
  <si>
    <t>0973-22-2704</t>
  </si>
  <si>
    <t>0973-22-6141</t>
  </si>
  <si>
    <t>0973-22-1688</t>
  </si>
  <si>
    <t>0973-24-4888</t>
  </si>
  <si>
    <t>0973-22-0477</t>
  </si>
  <si>
    <t>0973-22-3316</t>
  </si>
  <si>
    <t>0973-24-5466</t>
  </si>
  <si>
    <t>0973-22-3466</t>
  </si>
  <si>
    <t>0973-22-0205</t>
  </si>
  <si>
    <t>0973-22-3347</t>
  </si>
  <si>
    <t>0973-22-1065</t>
  </si>
  <si>
    <t>0973-23-3462</t>
  </si>
  <si>
    <t>0973-57-2046</t>
  </si>
  <si>
    <t>0973-57-3146</t>
  </si>
  <si>
    <t>0973-22-6265</t>
  </si>
  <si>
    <t>0973-24-4903</t>
  </si>
  <si>
    <t>0973-24-2274</t>
  </si>
  <si>
    <t>0973-22-3787</t>
  </si>
  <si>
    <t>0973-22-4728</t>
  </si>
  <si>
    <t>0973-24-7360</t>
  </si>
  <si>
    <t>0973-22-3057</t>
  </si>
  <si>
    <t>0973-22-1850</t>
  </si>
  <si>
    <t>0973-24-2273</t>
  </si>
  <si>
    <t>0973-24-7504</t>
  </si>
  <si>
    <t>0973-23-6212</t>
  </si>
  <si>
    <t>0973-23-6214</t>
  </si>
  <si>
    <t>0973-22-4215</t>
  </si>
  <si>
    <t>0973-22-4404</t>
  </si>
  <si>
    <t>0974-72-0003</t>
  </si>
  <si>
    <t>0974-72-0013</t>
  </si>
  <si>
    <t>0973-23-1122</t>
  </si>
  <si>
    <t>0979-23-0539</t>
  </si>
  <si>
    <t>0979-23-0105</t>
  </si>
  <si>
    <t>0979-32-4180</t>
  </si>
  <si>
    <t>0979-32-6458</t>
  </si>
  <si>
    <t>0979-22-2878</t>
  </si>
  <si>
    <t>0979-24-6959</t>
  </si>
  <si>
    <t>0979-24-5250</t>
  </si>
  <si>
    <t>0979-24-5254</t>
  </si>
  <si>
    <t>0979-54-2070</t>
  </si>
  <si>
    <t>0979-54-2170</t>
  </si>
  <si>
    <t>0978-32-5303</t>
  </si>
  <si>
    <t>0978-32-6986</t>
  </si>
  <si>
    <t>0979-24-5035</t>
  </si>
  <si>
    <t>0979-24-7219</t>
  </si>
  <si>
    <t>0979-22-4334</t>
  </si>
  <si>
    <t>0979-22-6437</t>
  </si>
  <si>
    <t>0979-56-2200</t>
  </si>
  <si>
    <t>0979-56-2586</t>
  </si>
  <si>
    <t>0979-22-3420</t>
  </si>
  <si>
    <t>0979-22-0154</t>
  </si>
  <si>
    <t>0979-22-7837</t>
  </si>
  <si>
    <t>0979-24-6727</t>
  </si>
  <si>
    <t>0979-22-2017</t>
  </si>
  <si>
    <t>0979-22-2319</t>
  </si>
  <si>
    <t>0979-22-2468</t>
  </si>
  <si>
    <t>0979-22-2479</t>
  </si>
  <si>
    <t>0979-26-2099</t>
  </si>
  <si>
    <t>0979-26-2098</t>
  </si>
  <si>
    <t>0979-22-1675</t>
  </si>
  <si>
    <t>0979-24-6500</t>
  </si>
  <si>
    <t>0979-56-2026</t>
  </si>
  <si>
    <t>0979-56-2468</t>
  </si>
  <si>
    <t>0979-54-2084</t>
  </si>
  <si>
    <t>0979-54-3528</t>
  </si>
  <si>
    <t>0978-33-3328</t>
  </si>
  <si>
    <t>0978-33-2486</t>
  </si>
  <si>
    <t>0978-32-0254</t>
  </si>
  <si>
    <t>0978-32-1517</t>
  </si>
  <si>
    <t>0978-32-2220</t>
  </si>
  <si>
    <t>0978-33-0948</t>
  </si>
  <si>
    <t>0978-42-7322</t>
  </si>
  <si>
    <t>0978-42-7346</t>
  </si>
  <si>
    <t>0978-44-0247</t>
  </si>
  <si>
    <t>0978-44-0249</t>
  </si>
  <si>
    <t>0978-38-0550</t>
  </si>
  <si>
    <t>0978-34-8036</t>
  </si>
  <si>
    <t>0978-42-6197</t>
  </si>
  <si>
    <t>0978-42-5021</t>
  </si>
  <si>
    <t>0978-32-2016</t>
  </si>
  <si>
    <t>0978-33-2083</t>
  </si>
  <si>
    <t>0978-32-0820</t>
  </si>
  <si>
    <t>0978-37-0281</t>
  </si>
  <si>
    <t>0978-37-1892</t>
  </si>
  <si>
    <t>0978-32-0267</t>
  </si>
  <si>
    <t>0978-33-0962</t>
  </si>
  <si>
    <t>0978-32-0391</t>
  </si>
  <si>
    <t>0978-32-7100</t>
  </si>
  <si>
    <t>0978-44-0057</t>
  </si>
  <si>
    <t>0978-44-0557</t>
  </si>
  <si>
    <t>0978-37-1196</t>
  </si>
  <si>
    <t>0978-37-3032</t>
  </si>
  <si>
    <t>0978-38-0083</t>
  </si>
  <si>
    <t>0978-38-2141</t>
  </si>
  <si>
    <t>0978-32-6493</t>
  </si>
  <si>
    <t>0978-32-6494</t>
  </si>
  <si>
    <t>0978-44-0102</t>
  </si>
  <si>
    <t>0978-42-6327</t>
  </si>
  <si>
    <t>0978-42-6841</t>
  </si>
  <si>
    <t>0978-33-2583</t>
  </si>
  <si>
    <t>0978-33-2177</t>
  </si>
  <si>
    <t>0978-38-1585</t>
  </si>
  <si>
    <t>0978-38-6146</t>
  </si>
  <si>
    <t>0978-37-1350</t>
  </si>
  <si>
    <t>0978-44-2213</t>
  </si>
  <si>
    <t>0978-44-2210</t>
  </si>
  <si>
    <t>0978-44-0108</t>
  </si>
  <si>
    <t>0978-44-1149</t>
  </si>
  <si>
    <t>0978-37-0526</t>
  </si>
  <si>
    <t>0978-37-3343</t>
  </si>
  <si>
    <t>0978-37-0421</t>
  </si>
  <si>
    <t>0978-37-1240</t>
  </si>
  <si>
    <t>0978-44-2004</t>
  </si>
  <si>
    <t>0978-44-2006</t>
  </si>
  <si>
    <t>0978-38-0030</t>
  </si>
  <si>
    <t>0978-38-4031</t>
  </si>
  <si>
    <t>0978-32-1700</t>
  </si>
  <si>
    <t>0978-32-6084</t>
  </si>
  <si>
    <t>0978-44-1306</t>
  </si>
  <si>
    <t>0978-44-1815</t>
  </si>
  <si>
    <t>0978-44-0191</t>
  </si>
  <si>
    <t>0978-44-0032</t>
  </si>
  <si>
    <t>0978-32-6958</t>
  </si>
  <si>
    <t>0978-32-6966</t>
  </si>
  <si>
    <t>0978-38-5414</t>
  </si>
  <si>
    <t>0978-38-0592</t>
  </si>
  <si>
    <t>0978-32-6393</t>
  </si>
  <si>
    <t>0978-25-6977</t>
  </si>
  <si>
    <t>0978-37-2870</t>
  </si>
  <si>
    <t>0978-37-2422</t>
  </si>
  <si>
    <t>0978-33-0938</t>
  </si>
  <si>
    <t>0978-33-0932</t>
  </si>
  <si>
    <t>0978-32-1649</t>
  </si>
  <si>
    <t>0978-32-1551</t>
  </si>
  <si>
    <t>0978-42-6173</t>
  </si>
  <si>
    <t>0978-42-6642</t>
  </si>
  <si>
    <t>0978-32-7402</t>
  </si>
  <si>
    <t>0978-32-7714</t>
  </si>
  <si>
    <t>0978-33-2661</t>
  </si>
  <si>
    <t>0978-33-3092</t>
  </si>
  <si>
    <t>0978-25-4680</t>
  </si>
  <si>
    <t>0978-33-2375</t>
  </si>
  <si>
    <t>0978-33-3373</t>
  </si>
  <si>
    <t>0978-33-3273</t>
  </si>
  <si>
    <t>0978-32-6386</t>
  </si>
  <si>
    <t>0978-32-6438</t>
  </si>
  <si>
    <t>0978-42-6445</t>
  </si>
  <si>
    <t>0978-44-1321</t>
  </si>
  <si>
    <t>0978-44-2158</t>
  </si>
  <si>
    <t>0978-32-3203</t>
  </si>
  <si>
    <t>0978-33-3881</t>
  </si>
  <si>
    <t>0978-33-3882</t>
  </si>
  <si>
    <t>0978-33-1667</t>
  </si>
  <si>
    <t>0978-44-1310</t>
  </si>
  <si>
    <t>0978-44-1600</t>
  </si>
  <si>
    <t>0978-42-5036</t>
  </si>
  <si>
    <t>0978-42-5648</t>
  </si>
  <si>
    <t>0978-42-6950</t>
  </si>
  <si>
    <t>0978-42-6965</t>
  </si>
  <si>
    <t>0978-33-0067</t>
  </si>
  <si>
    <t>0978-33-5267</t>
  </si>
  <si>
    <t>0978-48-2554</t>
  </si>
  <si>
    <t>0978-48-2476</t>
  </si>
  <si>
    <t>0978-38-5213</t>
  </si>
  <si>
    <t>0978-38-5297</t>
  </si>
  <si>
    <t>0978-32-0199</t>
  </si>
  <si>
    <t>0978-33-5071</t>
  </si>
  <si>
    <t>0978-32-6407</t>
  </si>
  <si>
    <t>0978-32-5160</t>
  </si>
  <si>
    <t>0978-42-7174</t>
  </si>
  <si>
    <t>0978-42-7195</t>
  </si>
  <si>
    <t>097-522-0387</t>
  </si>
  <si>
    <t>097-522-0512</t>
  </si>
  <si>
    <t>097-521-1215</t>
  </si>
  <si>
    <t>097-527-3167</t>
  </si>
  <si>
    <t>097-521-5100</t>
  </si>
  <si>
    <t>097-521-5105</t>
  </si>
  <si>
    <t>0977-84-2765</t>
  </si>
  <si>
    <t>0977-84-3501</t>
  </si>
  <si>
    <t>097-544-6656</t>
  </si>
  <si>
    <t>097-545-2861</t>
  </si>
  <si>
    <t>097-551-5736</t>
  </si>
  <si>
    <t>097-552-4832</t>
  </si>
  <si>
    <t>097-556-4125</t>
  </si>
  <si>
    <t>097-556-4881</t>
  </si>
  <si>
    <t>097-560-0023</t>
  </si>
  <si>
    <t>097-574-6419</t>
  </si>
  <si>
    <t>097-574-5187</t>
  </si>
  <si>
    <t>097-574-5177</t>
  </si>
  <si>
    <t>097-569-6032</t>
  </si>
  <si>
    <t>097-569-6048</t>
  </si>
  <si>
    <t>097-592-7100</t>
  </si>
  <si>
    <t>097-592-6221</t>
  </si>
  <si>
    <t>097-558-0045</t>
  </si>
  <si>
    <t>097-551-8390</t>
  </si>
  <si>
    <t>097-569-1266</t>
  </si>
  <si>
    <t>097-569-9059</t>
  </si>
  <si>
    <t>097-588-1922</t>
  </si>
  <si>
    <t>097-588-1908</t>
  </si>
  <si>
    <t>097-549-1621</t>
  </si>
  <si>
    <t>097-549-0717</t>
  </si>
  <si>
    <t>097-521-7327</t>
  </si>
  <si>
    <t>097-521-7329</t>
  </si>
  <si>
    <t>097-593-4058</t>
  </si>
  <si>
    <t>097-574-6474</t>
  </si>
  <si>
    <t>097-549-1932</t>
  </si>
  <si>
    <t>097-549-1166</t>
  </si>
  <si>
    <t>097-551-2888</t>
  </si>
  <si>
    <t>097-551-3226</t>
  </si>
  <si>
    <t>097-549-2759</t>
  </si>
  <si>
    <t>097-549-4321</t>
  </si>
  <si>
    <t>097-569-1887</t>
  </si>
  <si>
    <t>097-569-6009</t>
  </si>
  <si>
    <t>097-586-1528</t>
  </si>
  <si>
    <t>097-586-1525</t>
  </si>
  <si>
    <t>097-560-2710</t>
  </si>
  <si>
    <t>097-560-4100</t>
  </si>
  <si>
    <t>097-543-3011</t>
  </si>
  <si>
    <t>097-543-7472</t>
  </si>
  <si>
    <t>097-549-2161</t>
  </si>
  <si>
    <t>097-549-5784</t>
  </si>
  <si>
    <t>097-527-4120</t>
  </si>
  <si>
    <t>097-521-2414</t>
  </si>
  <si>
    <t>097-569-6466</t>
  </si>
  <si>
    <t>097-569-6509</t>
  </si>
  <si>
    <t>097-521-5700</t>
  </si>
  <si>
    <t>097-521-0520</t>
  </si>
  <si>
    <t>097-532-3436</t>
  </si>
  <si>
    <t>097-535-2312</t>
  </si>
  <si>
    <t>0977-23-4603</t>
  </si>
  <si>
    <t>0977-21-3169</t>
  </si>
  <si>
    <t>0978-63-2044</t>
  </si>
  <si>
    <t>0978-63-2045</t>
  </si>
  <si>
    <t>0977-66-2255</t>
  </si>
  <si>
    <t>0977-66-4223</t>
  </si>
  <si>
    <t>0977-21-6560</t>
  </si>
  <si>
    <t>0977-80-6034</t>
  </si>
  <si>
    <t>0977-25-7168</t>
  </si>
  <si>
    <t>0977-23-5069</t>
  </si>
  <si>
    <t>0977-21-2652</t>
  </si>
  <si>
    <t>0977-21-2768</t>
  </si>
  <si>
    <t>0978-62-5534</t>
  </si>
  <si>
    <t>0978-63-0121</t>
  </si>
  <si>
    <t>0977-72-8072</t>
  </si>
  <si>
    <t>0977-21-9640</t>
  </si>
  <si>
    <t>0977-21-9669</t>
  </si>
  <si>
    <t>0977-67-0032</t>
  </si>
  <si>
    <t>0977-66-6335</t>
  </si>
  <si>
    <t>0977-22-0082</t>
  </si>
  <si>
    <t>0977-24-8954</t>
  </si>
  <si>
    <t>0977-24-1638</t>
  </si>
  <si>
    <t>0977-24-5220</t>
  </si>
  <si>
    <t>0977-21-0766</t>
  </si>
  <si>
    <t>0977-21-4812</t>
  </si>
  <si>
    <t>0973-57-9030</t>
  </si>
  <si>
    <t>0973-57-9106</t>
  </si>
  <si>
    <t>0978-62-2803</t>
  </si>
  <si>
    <t>0978-62-0338</t>
  </si>
  <si>
    <t>0977-72-2055</t>
  </si>
  <si>
    <t>0977-72-0588</t>
  </si>
  <si>
    <t>0977-78-0456</t>
  </si>
  <si>
    <t>0977-78-0954</t>
  </si>
  <si>
    <t>0977-67-2100</t>
  </si>
  <si>
    <t>0977-66-1557</t>
  </si>
  <si>
    <t>0977-21-3665</t>
  </si>
  <si>
    <t>0977-24-0287</t>
  </si>
  <si>
    <t>0977-25-0540</t>
  </si>
  <si>
    <t>0978-62-4726</t>
  </si>
  <si>
    <t>0978-63-2824</t>
  </si>
  <si>
    <t>0977-75-0208</t>
  </si>
  <si>
    <t>0977-75-0170</t>
  </si>
  <si>
    <t>0977-72-0928</t>
  </si>
  <si>
    <t>0977-72-5265</t>
  </si>
  <si>
    <t>0977-72-7715</t>
  </si>
  <si>
    <t>0977-72-0276</t>
  </si>
  <si>
    <t>0977-23-8141</t>
  </si>
  <si>
    <t>0977-23-8142</t>
  </si>
  <si>
    <t>0977-78-0500</t>
  </si>
  <si>
    <t>0977-72-3945</t>
  </si>
  <si>
    <t>0977-23-8111</t>
  </si>
  <si>
    <t>0977-23-0686</t>
  </si>
  <si>
    <t>0977-67-8376</t>
  </si>
  <si>
    <t>0977-66-8430</t>
  </si>
  <si>
    <t>0977-72-6677</t>
  </si>
  <si>
    <t>0977-72-6655</t>
  </si>
  <si>
    <t>0977-25-3838</t>
  </si>
  <si>
    <t>0977-25-3942</t>
  </si>
  <si>
    <t>0977-78-0126</t>
  </si>
  <si>
    <t>0977-78-0128</t>
  </si>
  <si>
    <t>0977-72-3705</t>
  </si>
  <si>
    <t>0977-72-7952</t>
  </si>
  <si>
    <t>0977-75-1029</t>
  </si>
  <si>
    <t>0977-75-1049</t>
  </si>
  <si>
    <t>0978-62-4545</t>
  </si>
  <si>
    <t>0978-62-4595</t>
  </si>
  <si>
    <t>0977-24-6885</t>
  </si>
  <si>
    <t>0977-21-2725</t>
  </si>
  <si>
    <t>0978-63-9778</t>
  </si>
  <si>
    <t>0978-63-9779</t>
  </si>
  <si>
    <t>0977-78-0888</t>
  </si>
  <si>
    <t>0977-78-0889</t>
  </si>
  <si>
    <t>0977-23-2822</t>
  </si>
  <si>
    <t>0977-23-7100</t>
  </si>
  <si>
    <t>0978-62-6171</t>
  </si>
  <si>
    <t>0978-63-5080</t>
  </si>
  <si>
    <t>097-552-8500</t>
  </si>
  <si>
    <t>097-552-8501</t>
  </si>
  <si>
    <t>097-575-0363</t>
  </si>
  <si>
    <t>097-574-0680</t>
  </si>
  <si>
    <t>0972-63-0505</t>
  </si>
  <si>
    <t>0972-63-6217</t>
  </si>
  <si>
    <t>0972-82-0130</t>
  </si>
  <si>
    <t>0972-82-9361</t>
  </si>
  <si>
    <t>0972-82-2866</t>
  </si>
  <si>
    <t>0972-82-9235</t>
  </si>
  <si>
    <t>0972-82-3901</t>
  </si>
  <si>
    <t>0972-82-9339</t>
  </si>
  <si>
    <t>0972-82-4175</t>
  </si>
  <si>
    <t>0972-82-4253</t>
  </si>
  <si>
    <t>0972-28-5335</t>
  </si>
  <si>
    <t>0972-28-5336</t>
  </si>
  <si>
    <t>0972-23-7477</t>
  </si>
  <si>
    <t>0972-23-7750</t>
  </si>
  <si>
    <t>0972-32-2700</t>
  </si>
  <si>
    <t>0972-32-3230</t>
  </si>
  <si>
    <t>0972-23-8567</t>
  </si>
  <si>
    <t>0972-24-3270</t>
  </si>
  <si>
    <t>0972-23-7840</t>
  </si>
  <si>
    <t>0972-24-0685</t>
  </si>
  <si>
    <t>0972-23-4748</t>
  </si>
  <si>
    <t>0972-23-4750</t>
  </si>
  <si>
    <t>0972-43-3319</t>
  </si>
  <si>
    <t>0972-43-3384</t>
  </si>
  <si>
    <t>0972-22-7735</t>
  </si>
  <si>
    <t>0972-22-9738</t>
  </si>
  <si>
    <t>0972-22-7141</t>
  </si>
  <si>
    <t>0972-22-7178</t>
  </si>
  <si>
    <t>0972-54-3314</t>
  </si>
  <si>
    <t>0972-54-3188</t>
  </si>
  <si>
    <t>0972-46-1170</t>
  </si>
  <si>
    <t>0972-28-7676</t>
  </si>
  <si>
    <t>0972-46-0825</t>
  </si>
  <si>
    <t>0972-46-2338</t>
  </si>
  <si>
    <t>0972-22-0162</t>
  </si>
  <si>
    <t>0972-46-0071</t>
  </si>
  <si>
    <t>0972-46-0124</t>
  </si>
  <si>
    <t>0972-23-1133</t>
  </si>
  <si>
    <t>0972-23-2556</t>
  </si>
  <si>
    <t>0972-33-0525</t>
  </si>
  <si>
    <t>0972-22-0967</t>
  </si>
  <si>
    <t>0972-22-1677</t>
  </si>
  <si>
    <t>0972-25-8990</t>
  </si>
  <si>
    <t>0972-25-8975</t>
  </si>
  <si>
    <t>0972-22-2543</t>
  </si>
  <si>
    <t>0972-23-6856</t>
  </si>
  <si>
    <t>0972-36-7529</t>
  </si>
  <si>
    <t>0972-22-5516</t>
  </si>
  <si>
    <t>0972-22-5716</t>
  </si>
  <si>
    <t>0972-42-0336</t>
  </si>
  <si>
    <t>0972-24-0200</t>
  </si>
  <si>
    <t>0972-24-0787</t>
  </si>
  <si>
    <t>0972-46-2760</t>
  </si>
  <si>
    <t>0972-46-2762</t>
  </si>
  <si>
    <t>0972-29-2066</t>
  </si>
  <si>
    <t>0972-28-3066</t>
  </si>
  <si>
    <t>0972-23-4595</t>
  </si>
  <si>
    <t>0972-23-6817</t>
  </si>
  <si>
    <t>0972-22-6025</t>
  </si>
  <si>
    <t>0972-22-6045</t>
  </si>
  <si>
    <t>0972-28-3517</t>
  </si>
  <si>
    <t>0972-28-3150</t>
  </si>
  <si>
    <t>0972-22-2803</t>
  </si>
  <si>
    <t>0972-22-2826</t>
  </si>
  <si>
    <t>0972-22-0519</t>
  </si>
  <si>
    <t>0972-22-9730</t>
  </si>
  <si>
    <t>0972-35-6905</t>
  </si>
  <si>
    <t>0972-35-6904</t>
  </si>
  <si>
    <t>0972-23-0356</t>
  </si>
  <si>
    <t>0972-23-0398</t>
  </si>
  <si>
    <t>0972-58-2834</t>
  </si>
  <si>
    <t>0972-58-2284</t>
  </si>
  <si>
    <t>0972-46-0606</t>
  </si>
  <si>
    <t>0972-46-0840</t>
  </si>
  <si>
    <t>0973-23-6074</t>
  </si>
  <si>
    <t>0973-23-0170</t>
  </si>
  <si>
    <t>0973-22-7530</t>
  </si>
  <si>
    <t>0973-22-1663</t>
  </si>
  <si>
    <t>0973-22-3111</t>
  </si>
  <si>
    <t>0973-23-0100</t>
  </si>
  <si>
    <t>0973-24-0566</t>
  </si>
  <si>
    <t>0973-24-6351</t>
  </si>
  <si>
    <t>0973-23-0330</t>
  </si>
  <si>
    <t>0973-23-0399</t>
  </si>
  <si>
    <t>0973-24-5287</t>
  </si>
  <si>
    <t>0973-24-6097</t>
  </si>
  <si>
    <t>0973-23-1800</t>
  </si>
  <si>
    <t>0973-24-7088</t>
  </si>
  <si>
    <t>0973-23-8173</t>
  </si>
  <si>
    <t>0973-22-2299</t>
  </si>
  <si>
    <t>0973-22-6313</t>
  </si>
  <si>
    <t>0973-22-8485</t>
  </si>
  <si>
    <t>0973-22-6050</t>
  </si>
  <si>
    <t>0973-23-3080</t>
  </si>
  <si>
    <t>0973-54-3770</t>
  </si>
  <si>
    <t>0973-54-3874</t>
  </si>
  <si>
    <t>0973-22-5066</t>
  </si>
  <si>
    <t>0973-22-5398</t>
  </si>
  <si>
    <t>0973-23-1719</t>
  </si>
  <si>
    <t>0973-24-5196</t>
  </si>
  <si>
    <t>0973-24-1830</t>
  </si>
  <si>
    <t>0973-22-2566</t>
  </si>
  <si>
    <t>0973-22-2557</t>
  </si>
  <si>
    <t>0973-24-1144</t>
  </si>
  <si>
    <t>0973-24-1145</t>
  </si>
  <si>
    <t>0973-22-7327</t>
  </si>
  <si>
    <t>0973-22-7329</t>
  </si>
  <si>
    <t>0973-57-2753</t>
  </si>
  <si>
    <t>0973-57-2361</t>
  </si>
  <si>
    <t>0973-24-2105</t>
  </si>
  <si>
    <t>0973-24-5241</t>
  </si>
  <si>
    <t>0973-72-0548</t>
  </si>
  <si>
    <t>0973-72-2245</t>
  </si>
  <si>
    <t>0973-72-6410</t>
  </si>
  <si>
    <t>0973-72-5959</t>
  </si>
  <si>
    <t>0973-72-5171</t>
  </si>
  <si>
    <t>0973-76-2355</t>
  </si>
  <si>
    <t>0973-76-2245</t>
  </si>
  <si>
    <t>0973-72-6413</t>
  </si>
  <si>
    <t>0973-72-1045</t>
  </si>
  <si>
    <t>0973-79-2730</t>
  </si>
  <si>
    <t>0973-79-3562</t>
  </si>
  <si>
    <t>0973-72-2354</t>
  </si>
  <si>
    <t>0973-72-6475</t>
  </si>
  <si>
    <t>0973-76-3280</t>
  </si>
  <si>
    <t>0973-76-3058</t>
  </si>
  <si>
    <t>0973-72-5982</t>
  </si>
  <si>
    <t>0973-72-6037</t>
  </si>
  <si>
    <t>0973-74-2404</t>
  </si>
  <si>
    <t>0973-74-2448</t>
  </si>
  <si>
    <t>0973-72-0661</t>
  </si>
  <si>
    <t>0973-72-6526</t>
  </si>
  <si>
    <t>0973-23-1881</t>
  </si>
  <si>
    <t>0973-28-5606</t>
  </si>
  <si>
    <t>0973-79-3136</t>
  </si>
  <si>
    <t>0973-79-3944</t>
  </si>
  <si>
    <t>0973-72-4631</t>
  </si>
  <si>
    <t>0973-72-2659</t>
  </si>
  <si>
    <t>0973-73-8245</t>
  </si>
  <si>
    <t>0973-73-8430</t>
  </si>
  <si>
    <t>0973-79-2363</t>
  </si>
  <si>
    <t>0973-79-2370</t>
  </si>
  <si>
    <t>0973-72-5287</t>
  </si>
  <si>
    <t>0973-72-5839</t>
  </si>
  <si>
    <t>0973-72-1335</t>
  </si>
  <si>
    <t>0973-72-1036</t>
  </si>
  <si>
    <t>0973-79-2713</t>
  </si>
  <si>
    <t>0973-79-3080</t>
  </si>
  <si>
    <t>0973-76-2941</t>
  </si>
  <si>
    <t>0973-76-2947</t>
  </si>
  <si>
    <t>0973-73-2800</t>
  </si>
  <si>
    <t>0973-73-2888</t>
  </si>
  <si>
    <t>0973-73-3005</t>
  </si>
  <si>
    <t>0973-73-3006</t>
  </si>
  <si>
    <t>097-522-0370</t>
  </si>
  <si>
    <t>097-522-0382</t>
  </si>
  <si>
    <t>097-556-8100</t>
  </si>
  <si>
    <t>097-556-8189</t>
  </si>
  <si>
    <t>097-592-2106</t>
  </si>
  <si>
    <t>097-592-2671</t>
  </si>
  <si>
    <t>097-528-1011</t>
  </si>
  <si>
    <t>097-529-2675</t>
  </si>
  <si>
    <t>097-592-4757</t>
  </si>
  <si>
    <t>097-592-4750</t>
  </si>
  <si>
    <t>097-545-5480</t>
  </si>
  <si>
    <t>097-543-7928</t>
  </si>
  <si>
    <t>097-558-1003</t>
  </si>
  <si>
    <t>097-558-0549</t>
  </si>
  <si>
    <t>097-521-2039</t>
  </si>
  <si>
    <t>097-522-3437</t>
  </si>
  <si>
    <t>097-541-7770</t>
  </si>
  <si>
    <t>097-542-3093</t>
  </si>
  <si>
    <t>097-569-0527</t>
  </si>
  <si>
    <t>097-569-6712</t>
  </si>
  <si>
    <t>097-568-6655</t>
  </si>
  <si>
    <t>097-567-0026</t>
  </si>
  <si>
    <t>097-520-0037</t>
  </si>
  <si>
    <t>097-520-1142</t>
  </si>
  <si>
    <t>097-586-7337</t>
  </si>
  <si>
    <t>097-586-7338</t>
  </si>
  <si>
    <t>097-574-6764</t>
  </si>
  <si>
    <t>097-574-6784</t>
  </si>
  <si>
    <t>097-583-0184</t>
  </si>
  <si>
    <t>097-583-0247</t>
  </si>
  <si>
    <t>0973-28-5377</t>
  </si>
  <si>
    <t>0973-28-5388</t>
  </si>
  <si>
    <t>097-551-8117</t>
  </si>
  <si>
    <t>097-551-8047</t>
  </si>
  <si>
    <t>097-593-3103</t>
  </si>
  <si>
    <t>097-593-3104</t>
  </si>
  <si>
    <t>097-552-1553</t>
  </si>
  <si>
    <t>097-556-1623</t>
  </si>
  <si>
    <t>097-521-7181</t>
  </si>
  <si>
    <t>097-521-4603</t>
  </si>
  <si>
    <t>097-597-5269</t>
  </si>
  <si>
    <t>097-597-6416</t>
  </si>
  <si>
    <t>097-568-5733</t>
  </si>
  <si>
    <t>097-568-5734</t>
  </si>
  <si>
    <t>097-569-1221</t>
  </si>
  <si>
    <t>097-568-8186</t>
  </si>
  <si>
    <t>097-551-6686</t>
  </si>
  <si>
    <t>097-551-6675</t>
  </si>
  <si>
    <t>097-558-5411</t>
  </si>
  <si>
    <t>097-558-5799</t>
  </si>
  <si>
    <t>097-597-4833</t>
  </si>
  <si>
    <t>097-520-3156</t>
  </si>
  <si>
    <t>097-528-7313</t>
  </si>
  <si>
    <t>097-558-9200</t>
  </si>
  <si>
    <t>097-558-9208</t>
  </si>
  <si>
    <t>097-523-5927</t>
  </si>
  <si>
    <t>097-523-5934</t>
  </si>
  <si>
    <t>097-551-0002</t>
  </si>
  <si>
    <t>097-551-0391</t>
  </si>
  <si>
    <t>097-558-6976</t>
  </si>
  <si>
    <t>097-556-1517</t>
  </si>
  <si>
    <t>097-568-1111</t>
  </si>
  <si>
    <t>097-568-2222</t>
  </si>
  <si>
    <t>097-537-8473</t>
  </si>
  <si>
    <t>097-537-8496</t>
  </si>
  <si>
    <t>097-558-5358</t>
  </si>
  <si>
    <t>097-558-5340</t>
  </si>
  <si>
    <t>097-569-3335</t>
  </si>
  <si>
    <t>097-569-3337</t>
  </si>
  <si>
    <t>097-597-6668</t>
  </si>
  <si>
    <t>097-597-6680</t>
  </si>
  <si>
    <t>097-568-4018</t>
  </si>
  <si>
    <t>097-568-4032</t>
  </si>
  <si>
    <t>097-522-1333</t>
  </si>
  <si>
    <t>097-522-1355</t>
  </si>
  <si>
    <t>097-545-2239</t>
  </si>
  <si>
    <t>097-545-2247</t>
  </si>
  <si>
    <t>097-583-3112</t>
  </si>
  <si>
    <t>097-583-3168</t>
  </si>
  <si>
    <t>0974-62-3100</t>
  </si>
  <si>
    <t>0974-62-3211</t>
  </si>
  <si>
    <t>097-538-2225</t>
  </si>
  <si>
    <t>097-538-2232</t>
  </si>
  <si>
    <t>097-538-2010</t>
  </si>
  <si>
    <t>097-537-0330</t>
  </si>
  <si>
    <t>097-558-5829</t>
  </si>
  <si>
    <t>097-558-5700</t>
  </si>
  <si>
    <t>097-551-0040</t>
  </si>
  <si>
    <t>097-556-3450</t>
  </si>
  <si>
    <t>097-532-8448</t>
  </si>
  <si>
    <t>097-536-7617</t>
  </si>
  <si>
    <t>097-551-3333</t>
  </si>
  <si>
    <t>097-558-6844</t>
  </si>
  <si>
    <t>097-558-4687</t>
  </si>
  <si>
    <t>097-582-3038</t>
  </si>
  <si>
    <t>097-582-3041</t>
  </si>
  <si>
    <t>097-582-1252</t>
  </si>
  <si>
    <t>097-582-1392</t>
  </si>
  <si>
    <t>097-532-5354</t>
  </si>
  <si>
    <t>097-532-5328</t>
  </si>
  <si>
    <t>097-597-3727</t>
  </si>
  <si>
    <t>097-597-3728</t>
  </si>
  <si>
    <t>0977-84-3603</t>
  </si>
  <si>
    <t>097-568-8733</t>
  </si>
  <si>
    <t>097-569-2163</t>
  </si>
  <si>
    <t>097-533-1477</t>
  </si>
  <si>
    <t>097-568-8743</t>
  </si>
  <si>
    <t>097-568-8779</t>
  </si>
  <si>
    <t>097-551-5857</t>
  </si>
  <si>
    <t>097-556-7558</t>
  </si>
  <si>
    <t>097-535-8505</t>
  </si>
  <si>
    <t>097-535-8506</t>
  </si>
  <si>
    <t>097-569-6710</t>
  </si>
  <si>
    <t>097-568-3121</t>
  </si>
  <si>
    <t>097-541-4360</t>
  </si>
  <si>
    <t>097-541-2333</t>
  </si>
  <si>
    <t>097-582-2402</t>
  </si>
  <si>
    <t>097-582-2460</t>
  </si>
  <si>
    <t>097-551-4035</t>
  </si>
  <si>
    <t>097-549-7881</t>
  </si>
  <si>
    <t>097-549-7885</t>
  </si>
  <si>
    <t>097-558-0541</t>
  </si>
  <si>
    <t>097-558-1099</t>
  </si>
  <si>
    <t>097-558-4915</t>
  </si>
  <si>
    <t>097-552-1933</t>
  </si>
  <si>
    <t>097-543-5824</t>
  </si>
  <si>
    <t>097-543-5820</t>
  </si>
  <si>
    <t>097-569-7040</t>
  </si>
  <si>
    <t>097-569-7044</t>
  </si>
  <si>
    <t>097-537-7321</t>
  </si>
  <si>
    <t>097-537-8462</t>
  </si>
  <si>
    <t>097-549-1824</t>
  </si>
  <si>
    <t>097-549-2932</t>
  </si>
  <si>
    <t>097-569-3700</t>
  </si>
  <si>
    <t>097-569-3772</t>
  </si>
  <si>
    <t>097-541-2512</t>
  </si>
  <si>
    <t>097-541-2791</t>
  </si>
  <si>
    <t>097-525-9663</t>
  </si>
  <si>
    <t>097-525-9664</t>
  </si>
  <si>
    <t>097-551-4473</t>
  </si>
  <si>
    <t>097-551-7376</t>
  </si>
  <si>
    <t>097-569-6155</t>
  </si>
  <si>
    <t>097-569-9506</t>
  </si>
  <si>
    <t>097-528-8688</t>
  </si>
  <si>
    <t>097-523-5087</t>
  </si>
  <si>
    <t>097-567-1223</t>
  </si>
  <si>
    <t>097-569-4892</t>
  </si>
  <si>
    <t>097-568-3251</t>
  </si>
  <si>
    <t>097-567-2588</t>
  </si>
  <si>
    <t>097-578-6366</t>
  </si>
  <si>
    <t>097-578-6367</t>
  </si>
  <si>
    <t>097-529-7188</t>
  </si>
  <si>
    <t>097-521-3117</t>
  </si>
  <si>
    <t>097-521-3116</t>
  </si>
  <si>
    <t>097-574-4476</t>
  </si>
  <si>
    <t>097-574-4460</t>
  </si>
  <si>
    <t>097-544-1061</t>
  </si>
  <si>
    <t>097-544-1063</t>
  </si>
  <si>
    <t>097-558-9598</t>
  </si>
  <si>
    <t>097-552-0593</t>
  </si>
  <si>
    <t>097-551-0056</t>
  </si>
  <si>
    <t>097-558-0606</t>
  </si>
  <si>
    <t>097-568-5629</t>
  </si>
  <si>
    <t>097-568-0702</t>
  </si>
  <si>
    <t>097-582-0438</t>
  </si>
  <si>
    <t>097-582-0470</t>
  </si>
  <si>
    <t>097-569-4480</t>
  </si>
  <si>
    <t>097-568-6096</t>
  </si>
  <si>
    <t>097-503-8900</t>
  </si>
  <si>
    <t>097-503-8400</t>
  </si>
  <si>
    <t>097-537-7511</t>
  </si>
  <si>
    <t>097-537-8343</t>
  </si>
  <si>
    <t>097-558-1118</t>
  </si>
  <si>
    <t>097-558-1173</t>
  </si>
  <si>
    <t>097-558-9019</t>
  </si>
  <si>
    <t>097-558-9023</t>
  </si>
  <si>
    <t>097-521-8844</t>
  </si>
  <si>
    <t>097-521-8846</t>
  </si>
  <si>
    <t>097-569-7167</t>
  </si>
  <si>
    <t>097-567-9367</t>
  </si>
  <si>
    <t>097-556-7318</t>
  </si>
  <si>
    <t>097-556-7391</t>
  </si>
  <si>
    <t>097-567-0009</t>
  </si>
  <si>
    <t>097-567-0909</t>
  </si>
  <si>
    <t>097-582-0274</t>
  </si>
  <si>
    <t>097-582-3666</t>
  </si>
  <si>
    <t>097-551-3128</t>
  </si>
  <si>
    <t>097-552-0456</t>
  </si>
  <si>
    <t>097-583-0559</t>
  </si>
  <si>
    <t>097-583-0444</t>
  </si>
  <si>
    <t>097-522-0708</t>
  </si>
  <si>
    <t>097-522-0702</t>
  </si>
  <si>
    <t>097-569-2198</t>
  </si>
  <si>
    <t>097-569-2199</t>
  </si>
  <si>
    <t>0979-22-2805</t>
  </si>
  <si>
    <t>0979-22-9969</t>
  </si>
  <si>
    <t>0979-24-5195</t>
  </si>
  <si>
    <t>0979-24-5196</t>
  </si>
  <si>
    <t>097-552-2125</t>
  </si>
  <si>
    <t>097-552-2198</t>
  </si>
  <si>
    <t>0979-22-1803</t>
  </si>
  <si>
    <t>0979-22-3623</t>
  </si>
  <si>
    <t>0979-32-8056</t>
  </si>
  <si>
    <t>0979-32-8370</t>
  </si>
  <si>
    <t>0979-23-7733</t>
  </si>
  <si>
    <t>0979-23-7766</t>
  </si>
  <si>
    <t>0979-32-0149</t>
  </si>
  <si>
    <t>0979-52-2727</t>
  </si>
  <si>
    <t>0979-52-2718</t>
  </si>
  <si>
    <t>0979-52-3237</t>
  </si>
  <si>
    <t>0979-52-3246</t>
  </si>
  <si>
    <t>0979-22-3158</t>
  </si>
  <si>
    <t>0979-22-3182</t>
  </si>
  <si>
    <t>0979-56-2430</t>
  </si>
  <si>
    <t>0979-56-2662</t>
  </si>
  <si>
    <t>0979-32-7722</t>
  </si>
  <si>
    <t>0979-32-7723</t>
  </si>
  <si>
    <t>0978-87-2405</t>
  </si>
  <si>
    <t>0978-87-2478</t>
  </si>
  <si>
    <t>0978-84-0124</t>
  </si>
  <si>
    <t>0978-84-0125</t>
  </si>
  <si>
    <t>090-7389-4168</t>
  </si>
  <si>
    <t>0978-72-0258</t>
  </si>
  <si>
    <t>0978-72-4188</t>
  </si>
  <si>
    <t>0978-72-3246</t>
  </si>
  <si>
    <t>0978-72-3249</t>
  </si>
  <si>
    <t>0978-72-1530</t>
  </si>
  <si>
    <t>0978-72-1531</t>
  </si>
  <si>
    <t>0978-82-1138</t>
  </si>
  <si>
    <t>0978-82-0362</t>
  </si>
  <si>
    <t>0978-67-0021</t>
  </si>
  <si>
    <t>0978-67-0058</t>
  </si>
  <si>
    <t>0978-68-1088</t>
  </si>
  <si>
    <t>0978-67-1871</t>
  </si>
  <si>
    <t>0978-67-1878</t>
  </si>
  <si>
    <t>0978-67-0166</t>
  </si>
  <si>
    <t>0978-67-3001</t>
  </si>
  <si>
    <t>0978-72-0834</t>
  </si>
  <si>
    <t>0978-72-3335</t>
  </si>
  <si>
    <t>0978-67-3338</t>
  </si>
  <si>
    <t>0978-67-3369</t>
  </si>
  <si>
    <t>0978-68-0235</t>
  </si>
  <si>
    <t>0978-68-0417</t>
  </si>
  <si>
    <t>0978-68-0273</t>
  </si>
  <si>
    <t>0978-69-0461</t>
  </si>
  <si>
    <t>0978-63-4370</t>
  </si>
  <si>
    <t>0978-63-5268</t>
  </si>
  <si>
    <t>0978-74-0429</t>
  </si>
  <si>
    <t>0978-74-0436</t>
  </si>
  <si>
    <t>0978-72-0158</t>
  </si>
  <si>
    <t>0978-72-0165</t>
  </si>
  <si>
    <t>0978-68-1054</t>
  </si>
  <si>
    <t>0978-68-1160</t>
  </si>
  <si>
    <t>0978-82-0011</t>
  </si>
  <si>
    <t>0978-82-0471</t>
  </si>
  <si>
    <t>0972-63-5800</t>
  </si>
  <si>
    <t>0972-63-7215</t>
  </si>
  <si>
    <t>097-574-0303</t>
  </si>
  <si>
    <t>097-574-0302</t>
  </si>
  <si>
    <t>0972-62-2283</t>
  </si>
  <si>
    <t>0972-62-2192</t>
  </si>
  <si>
    <t>0972-62-3703</t>
  </si>
  <si>
    <t>0972-63-6766</t>
  </si>
  <si>
    <t>0972-63-1467</t>
  </si>
  <si>
    <t>0972-63-1666</t>
  </si>
  <si>
    <t>0972-68-3232</t>
  </si>
  <si>
    <t>0972-84-9131</t>
  </si>
  <si>
    <t>0972-85-1301</t>
  </si>
  <si>
    <t>097-593-2783</t>
  </si>
  <si>
    <t>097-593-2784</t>
  </si>
  <si>
    <t>0972-82-3661</t>
  </si>
  <si>
    <t>0972-82-8656</t>
  </si>
  <si>
    <t>0972-62-4570</t>
  </si>
  <si>
    <t>0972-62-4565</t>
  </si>
  <si>
    <t>0972-62-5800</t>
  </si>
  <si>
    <t>0972-62-5801</t>
  </si>
  <si>
    <t>0972-62-4702</t>
  </si>
  <si>
    <t>0972-63-3452</t>
  </si>
  <si>
    <t>0973-26-2700</t>
  </si>
  <si>
    <t>0973-26-2701</t>
  </si>
  <si>
    <t>0972-63-2880</t>
  </si>
  <si>
    <t>0972-63-2860</t>
  </si>
  <si>
    <t>0972-63-3900</t>
  </si>
  <si>
    <t>0972-63-7297</t>
  </si>
  <si>
    <t>0972-63-3725</t>
  </si>
  <si>
    <t>0972-63-3824</t>
  </si>
  <si>
    <t>0972-62-2007</t>
  </si>
  <si>
    <t>0972-62-2107</t>
  </si>
  <si>
    <t>0972-82-8161</t>
  </si>
  <si>
    <t>0972-82-7502</t>
  </si>
  <si>
    <t>0972-82-1530</t>
  </si>
  <si>
    <t>0972-82-5191</t>
  </si>
  <si>
    <t>0972-63-3336</t>
  </si>
  <si>
    <t>0972-63-3443</t>
  </si>
  <si>
    <t>0974-42-2020</t>
  </si>
  <si>
    <t>0974-42-2708</t>
  </si>
  <si>
    <t>0974-32-7448</t>
  </si>
  <si>
    <t>0974-32-7713</t>
  </si>
  <si>
    <t>0974-32-2127</t>
  </si>
  <si>
    <t>0974-32-4544</t>
  </si>
  <si>
    <t>0974-32-3712</t>
  </si>
  <si>
    <t>0974-32-3715</t>
  </si>
  <si>
    <t>0974-37-2290</t>
  </si>
  <si>
    <t>0974-37-3123</t>
  </si>
  <si>
    <t>0974-22-5700</t>
  </si>
  <si>
    <t>0974-22-4057</t>
  </si>
  <si>
    <t>0974-34-2233</t>
  </si>
  <si>
    <t>0974-34-2235</t>
  </si>
  <si>
    <t>0974-35-2055</t>
  </si>
  <si>
    <t>0974-35-2225</t>
  </si>
  <si>
    <t>0974-32-7493</t>
  </si>
  <si>
    <t>0974-32-4062</t>
  </si>
  <si>
    <t>0974-42-2021</t>
  </si>
  <si>
    <t>0974-42-2451</t>
  </si>
  <si>
    <t>0974-42-2141</t>
  </si>
  <si>
    <t>0974-42-4151</t>
  </si>
  <si>
    <t>0974-32-7755</t>
  </si>
  <si>
    <t>0974-32-7722</t>
  </si>
  <si>
    <t>0974-22-4760</t>
  </si>
  <si>
    <t>0974-37-2148</t>
  </si>
  <si>
    <t>0974-22-7236</t>
  </si>
  <si>
    <t>0974-22-4129</t>
  </si>
  <si>
    <t>0974-22-7459</t>
  </si>
  <si>
    <t>0974-42-2117</t>
  </si>
  <si>
    <t>0974-42-2118</t>
  </si>
  <si>
    <t>0974-32-4236</t>
  </si>
  <si>
    <t>0974-32-4254</t>
  </si>
  <si>
    <t>0974-37-2118</t>
  </si>
  <si>
    <t>0974-37-2119</t>
  </si>
  <si>
    <t>0974-34-4269</t>
  </si>
  <si>
    <t>0974-34-3215</t>
  </si>
  <si>
    <t>0974-45-2777</t>
  </si>
  <si>
    <t>0974-45-2778</t>
  </si>
  <si>
    <t>0974-42-2286</t>
  </si>
  <si>
    <t>0974-42-2860</t>
  </si>
  <si>
    <t>0974-35-2233</t>
  </si>
  <si>
    <t>0974-35-2517</t>
  </si>
  <si>
    <t>0974-42-2233</t>
  </si>
  <si>
    <t>0974-45-2329</t>
  </si>
  <si>
    <t>0974-45-2149</t>
  </si>
  <si>
    <t>0974-22-5773</t>
  </si>
  <si>
    <t>0974-22-6134</t>
  </si>
  <si>
    <t>0974-34-2685</t>
  </si>
  <si>
    <t>0974-34-4509</t>
  </si>
  <si>
    <t>0974-22-0488</t>
  </si>
  <si>
    <t>0974-32-3577</t>
  </si>
  <si>
    <t>0974-32-2114</t>
  </si>
  <si>
    <t>0974-34-3204</t>
  </si>
  <si>
    <t>0974-34-3020</t>
  </si>
  <si>
    <t>097-578-0828</t>
  </si>
  <si>
    <t>097-578-0826</t>
  </si>
  <si>
    <t>0974-32-7232</t>
  </si>
  <si>
    <t>0974-32-7207</t>
  </si>
  <si>
    <t>0974-34-2803</t>
  </si>
  <si>
    <t>0974-34-3832</t>
  </si>
  <si>
    <t>0974-22-1469</t>
  </si>
  <si>
    <t>0974-37-2524</t>
  </si>
  <si>
    <t>0974-37-3085</t>
  </si>
  <si>
    <t>0974-22-7436</t>
  </si>
  <si>
    <t>0974-34-2561</t>
  </si>
  <si>
    <t>0974-34-2562</t>
  </si>
  <si>
    <t>0974-22-8777</t>
  </si>
  <si>
    <t>0974-22-6841</t>
  </si>
  <si>
    <t>0974-42-3562</t>
  </si>
  <si>
    <t>0974-42-3563</t>
  </si>
  <si>
    <t>0978-82-1353</t>
  </si>
  <si>
    <t>0978-82-1262</t>
  </si>
  <si>
    <t>0978-22-3510</t>
  </si>
  <si>
    <t>0978-22-3545</t>
  </si>
  <si>
    <t>0978-52-3162</t>
  </si>
  <si>
    <t>0978-24-0055</t>
  </si>
  <si>
    <t>0978-24-3293</t>
  </si>
  <si>
    <t>0978-22-3118</t>
  </si>
  <si>
    <t>0978-22-3976</t>
  </si>
  <si>
    <t>0978-24-3456</t>
  </si>
  <si>
    <t>0978-24-4020</t>
  </si>
  <si>
    <t>0978-24-1817</t>
  </si>
  <si>
    <t>0978-24-0590</t>
  </si>
  <si>
    <t>0979-64-8186</t>
  </si>
  <si>
    <t>0979-64-8187</t>
  </si>
  <si>
    <t>0978-22-3871</t>
  </si>
  <si>
    <t>0978-22-3882</t>
  </si>
  <si>
    <t>0978-52-2140</t>
  </si>
  <si>
    <t>0978-52-2395</t>
  </si>
  <si>
    <t>0978-26-2169</t>
  </si>
  <si>
    <t>0978-26-2180</t>
  </si>
  <si>
    <t>0978-24-0536</t>
  </si>
  <si>
    <t>0978-24-0537</t>
  </si>
  <si>
    <t>0978-22-2453</t>
  </si>
  <si>
    <t>0978-22-4441</t>
  </si>
  <si>
    <t>0978-27-3538</t>
  </si>
  <si>
    <t>0978-27-3578</t>
  </si>
  <si>
    <t>0974-63-3576</t>
  </si>
  <si>
    <t>0974-63-3573</t>
  </si>
  <si>
    <t>0974-76-0056</t>
  </si>
  <si>
    <t>0974-76-0080</t>
  </si>
  <si>
    <t>0974-63-3245</t>
  </si>
  <si>
    <t>0974-63-2314</t>
  </si>
  <si>
    <t>0974-77-2901</t>
  </si>
  <si>
    <t>0974-77-2920</t>
  </si>
  <si>
    <t>0974-63-4124</t>
  </si>
  <si>
    <t>0974-63-4134</t>
  </si>
  <si>
    <t>0974-63-4228</t>
  </si>
  <si>
    <t>0974-63-2887</t>
  </si>
  <si>
    <t>0974-63-1108</t>
  </si>
  <si>
    <t>0974-63-1107</t>
  </si>
  <si>
    <t>0974-64-6833</t>
  </si>
  <si>
    <t>0974-64-6834</t>
  </si>
  <si>
    <t>0974-64-7008</t>
  </si>
  <si>
    <t>0974-64-7009</t>
  </si>
  <si>
    <t>0974-63-0055</t>
  </si>
  <si>
    <t>0974-63-0057</t>
  </si>
  <si>
    <t>0974-63-4783</t>
  </si>
  <si>
    <t>0974-63-3845</t>
  </si>
  <si>
    <t>0974-63-3865</t>
  </si>
  <si>
    <t>0974-63-2875</t>
  </si>
  <si>
    <t>0974-63-2756</t>
  </si>
  <si>
    <t>0974-77-2327</t>
  </si>
  <si>
    <t>0974-63-0539</t>
  </si>
  <si>
    <t>0974-66-3460</t>
  </si>
  <si>
    <t>0974-76-0677</t>
  </si>
  <si>
    <t>0974-76-0766</t>
  </si>
  <si>
    <t>0974-68-3496</t>
  </si>
  <si>
    <t>0974-68-3773</t>
  </si>
  <si>
    <t>0974-68-2244</t>
  </si>
  <si>
    <t>0974-68-3140</t>
  </si>
  <si>
    <t>0974-72-1450</t>
  </si>
  <si>
    <t>0977-67-6268</t>
  </si>
  <si>
    <t>0977-66-8172</t>
  </si>
  <si>
    <t>0977-72-1071</t>
  </si>
  <si>
    <t>0977-72-1099</t>
  </si>
  <si>
    <t>0977-21-2989</t>
  </si>
  <si>
    <t>0977-21-6018</t>
  </si>
  <si>
    <t>0977-22-1921</t>
  </si>
  <si>
    <t>0977-22-0084</t>
  </si>
  <si>
    <t>0977-25-5700</t>
  </si>
  <si>
    <t>0978-62-3241</t>
  </si>
  <si>
    <t>0978-64-1010</t>
  </si>
  <si>
    <t>0977-22-8889</t>
  </si>
  <si>
    <t>0977-25-6060</t>
  </si>
  <si>
    <t>0977-72-6330</t>
  </si>
  <si>
    <t>0977-72-6347</t>
  </si>
  <si>
    <t>0977-67-7871</t>
  </si>
  <si>
    <t>0977-67-7872</t>
  </si>
  <si>
    <t>0977-25-1341</t>
  </si>
  <si>
    <t>0977-25-1913</t>
  </si>
  <si>
    <t>0977-72-0356</t>
  </si>
  <si>
    <t>0977-72-0399</t>
  </si>
  <si>
    <t>0977-23-8069</t>
  </si>
  <si>
    <t>0977-25-5135</t>
  </si>
  <si>
    <t>0977-84-7248</t>
  </si>
  <si>
    <t>0977-84-7348</t>
  </si>
  <si>
    <t>0977-72-3467</t>
  </si>
  <si>
    <t>0977-73-0810</t>
  </si>
  <si>
    <t>0977-72-5448</t>
  </si>
  <si>
    <t>0977-72-0670</t>
  </si>
  <si>
    <t>0977-75-0930</t>
  </si>
  <si>
    <t>0977-75-0931</t>
  </si>
  <si>
    <t>0978-62-3181</t>
  </si>
  <si>
    <t>0977-24-2111</t>
  </si>
  <si>
    <t>0977-26-4802</t>
  </si>
  <si>
    <t>0977-67-2423</t>
  </si>
  <si>
    <t>0977-75-8081</t>
  </si>
  <si>
    <t>0977-26-0410</t>
  </si>
  <si>
    <t>0977-26-2400</t>
  </si>
  <si>
    <t>0978-63-5587</t>
  </si>
  <si>
    <t>0978-62-6088</t>
  </si>
  <si>
    <t>0977-75-1057</t>
  </si>
  <si>
    <t>0977-75-1761</t>
  </si>
  <si>
    <t>0977-78-0868</t>
  </si>
  <si>
    <t>0977-78-0105</t>
  </si>
  <si>
    <t>0979-22-1100</t>
  </si>
  <si>
    <t>0979-22-0930</t>
  </si>
  <si>
    <t>0979-62-2047</t>
  </si>
  <si>
    <t>0979-62-2055</t>
  </si>
  <si>
    <t>0979-43-5156</t>
  </si>
  <si>
    <t>0979-43-2624</t>
  </si>
  <si>
    <t>0979-32-2641</t>
  </si>
  <si>
    <t>0979-32-5407</t>
  </si>
  <si>
    <t>0979-32-1946</t>
  </si>
  <si>
    <t>0979-32-5766</t>
  </si>
  <si>
    <t>0979-62-2229</t>
  </si>
  <si>
    <t>0979-62-2398</t>
  </si>
  <si>
    <t>0979-32-3440</t>
  </si>
  <si>
    <t>0979-32-7440</t>
  </si>
  <si>
    <t>0979-52-2412</t>
  </si>
  <si>
    <t>0979-52-2428</t>
  </si>
  <si>
    <t>0979-22-8221</t>
  </si>
  <si>
    <t>0979-23-3154</t>
  </si>
  <si>
    <t>0979-22-3391</t>
  </si>
  <si>
    <t>0979-22-3408</t>
  </si>
  <si>
    <t>0979-24-9242</t>
  </si>
  <si>
    <t>0979-24-9243</t>
  </si>
  <si>
    <t>0973-22-7423</t>
  </si>
  <si>
    <t>0973-23-5643</t>
  </si>
  <si>
    <t>0973-24-7260</t>
  </si>
  <si>
    <t>0973-24-3771</t>
  </si>
  <si>
    <t>0973-23-2080</t>
  </si>
  <si>
    <t>0973-23-6998</t>
  </si>
  <si>
    <t>0973-24-2597</t>
  </si>
  <si>
    <t>0973-24-2591</t>
  </si>
  <si>
    <t>0973-22-6072</t>
  </si>
  <si>
    <t>0973-22-4876</t>
  </si>
  <si>
    <t>0973-24-1680</t>
  </si>
  <si>
    <t>0973-24-3108</t>
  </si>
  <si>
    <t>0973-22-6718</t>
  </si>
  <si>
    <t>0973-28-5470</t>
  </si>
  <si>
    <t>0973-23-2369</t>
  </si>
  <si>
    <t>0973-23-3515</t>
  </si>
  <si>
    <t>0973-22-4041</t>
  </si>
  <si>
    <t>0973-22-4106</t>
  </si>
  <si>
    <t>0973-22-3400</t>
  </si>
  <si>
    <t>0973-22-5758</t>
  </si>
  <si>
    <t>0973-24-0300</t>
  </si>
  <si>
    <t>0973-24-7455</t>
  </si>
  <si>
    <t>0973-22-6145</t>
  </si>
  <si>
    <t>0973-22-6149</t>
  </si>
  <si>
    <t>0973-52-2227</t>
  </si>
  <si>
    <t>0972-64-0600</t>
  </si>
  <si>
    <t>0972-64-0601</t>
  </si>
  <si>
    <t>0972-63-7254</t>
  </si>
  <si>
    <t>0972-63-7376</t>
  </si>
  <si>
    <t>0972-62-3363</t>
  </si>
  <si>
    <t>0972-63-5111</t>
  </si>
  <si>
    <t>0972-63-1978</t>
  </si>
  <si>
    <t>0972-82-4608</t>
  </si>
  <si>
    <t>0979-52-2150</t>
  </si>
  <si>
    <t>0979-52-2522</t>
  </si>
  <si>
    <t>0979-54-3101</t>
  </si>
  <si>
    <t>0979-54-3484</t>
  </si>
  <si>
    <t>0979-24-0088</t>
  </si>
  <si>
    <t>0979-22-8843</t>
  </si>
  <si>
    <t>0979-32-5685</t>
  </si>
  <si>
    <t>0979-32-5684</t>
  </si>
  <si>
    <t>0979-43-2010</t>
  </si>
  <si>
    <t>0979-43-2009</t>
  </si>
  <si>
    <t>0979-32-7233</t>
  </si>
  <si>
    <t>0979-32-7278</t>
  </si>
  <si>
    <t>097-549-3738</t>
  </si>
  <si>
    <t>097-549-3755</t>
  </si>
  <si>
    <t>097-520-1816</t>
  </si>
  <si>
    <t>097-520-0695</t>
  </si>
  <si>
    <t>097-542-4023</t>
  </si>
  <si>
    <t>097-542-4032</t>
  </si>
  <si>
    <t>097-573-1110</t>
  </si>
  <si>
    <t>097-552-9112</t>
  </si>
  <si>
    <t>097-520-3812</t>
  </si>
  <si>
    <t>097-520-3338</t>
  </si>
  <si>
    <t>097-568-3817</t>
  </si>
  <si>
    <t>097-568-2662</t>
  </si>
  <si>
    <t>097-520-2157</t>
  </si>
  <si>
    <t>097-520-2908</t>
  </si>
  <si>
    <t>097-545-5113</t>
  </si>
  <si>
    <t>097-543-2780</t>
  </si>
  <si>
    <t>097-558-9792</t>
  </si>
  <si>
    <t>097-558-9834</t>
  </si>
  <si>
    <t>097-524-5211</t>
  </si>
  <si>
    <t>097-524-5212</t>
  </si>
  <si>
    <t>097-574-9688</t>
  </si>
  <si>
    <t>097-574-9689</t>
  </si>
  <si>
    <t>097-567-2601</t>
  </si>
  <si>
    <t>097-567-2778</t>
  </si>
  <si>
    <t>097-543-0411</t>
  </si>
  <si>
    <t>097-543-4331</t>
  </si>
  <si>
    <t>097-549-7707</t>
  </si>
  <si>
    <t>097-549-7710</t>
  </si>
  <si>
    <t>097-568-1993</t>
  </si>
  <si>
    <t>097-568-1994</t>
  </si>
  <si>
    <t>097-568-2829</t>
  </si>
  <si>
    <t>097-568-2827</t>
  </si>
  <si>
    <t>097-592-6566</t>
  </si>
  <si>
    <t>097-592-6558</t>
  </si>
  <si>
    <t>097-521-8576</t>
  </si>
  <si>
    <t>097-521-8586</t>
  </si>
  <si>
    <t>097-558-5490</t>
  </si>
  <si>
    <t>097-551-3589</t>
  </si>
  <si>
    <t>097-569-2890</t>
  </si>
  <si>
    <t>097-568-0760</t>
  </si>
  <si>
    <t>097-567-2110</t>
  </si>
  <si>
    <t>097-567-2132</t>
  </si>
  <si>
    <t>097-597-3310</t>
  </si>
  <si>
    <t>097-597-3556</t>
  </si>
  <si>
    <t>0973-22-7303</t>
  </si>
  <si>
    <t>0973-23-6740</t>
  </si>
  <si>
    <t>097-558-1100</t>
  </si>
  <si>
    <t>097-558-6465</t>
  </si>
  <si>
    <t>0977-75-0604</t>
  </si>
  <si>
    <t>0977-75-2156</t>
  </si>
  <si>
    <t>0977-72-1309</t>
  </si>
  <si>
    <t>0977-72-0085</t>
  </si>
  <si>
    <t>0978-63-0051</t>
  </si>
  <si>
    <t>0978-62-3689</t>
  </si>
  <si>
    <t>097-574-5025</t>
  </si>
  <si>
    <t>097-574-5026</t>
  </si>
  <si>
    <t>0977-22-4364</t>
  </si>
  <si>
    <t>0977-22-4366</t>
  </si>
  <si>
    <t>0977-25-8866</t>
  </si>
  <si>
    <t>0977-25-5191</t>
  </si>
  <si>
    <t>0978-62-5824</t>
  </si>
  <si>
    <t>0978-62-5831</t>
  </si>
  <si>
    <t>0978-63-1049</t>
  </si>
  <si>
    <t>0978-63-1097</t>
  </si>
  <si>
    <t>0978-63-4088</t>
  </si>
  <si>
    <t>0978-63-5310</t>
  </si>
  <si>
    <t>0977-51-4593</t>
  </si>
  <si>
    <t>0977-66-3016</t>
  </si>
  <si>
    <t>0977-26-0071</t>
  </si>
  <si>
    <t>0977-26-0076</t>
  </si>
  <si>
    <t>0977-24-3638</t>
  </si>
  <si>
    <t>0977-24-3641</t>
  </si>
  <si>
    <t>0977-67-1443</t>
  </si>
  <si>
    <t>0977-67-4886</t>
  </si>
  <si>
    <t>0977-66-6007</t>
  </si>
  <si>
    <t>0977-25-1511</t>
  </si>
  <si>
    <t>0977-21-2927</t>
  </si>
  <si>
    <t>0977-67-0511</t>
  </si>
  <si>
    <t>0977-67-0440</t>
  </si>
  <si>
    <t>0977-66-6748</t>
  </si>
  <si>
    <t>0977-66-6791</t>
  </si>
  <si>
    <t>0977-21-5445</t>
  </si>
  <si>
    <t>0977-21-1106</t>
  </si>
  <si>
    <t>0977-24-7711</t>
  </si>
  <si>
    <t>0977-24-7710</t>
  </si>
  <si>
    <t>0977-72-8486</t>
  </si>
  <si>
    <t>0977-72-9595</t>
  </si>
  <si>
    <t>0977-25-3136</t>
  </si>
  <si>
    <t>0977-22-4887</t>
  </si>
  <si>
    <t>0977-67-3036</t>
  </si>
  <si>
    <t>0977-66-9098</t>
  </si>
  <si>
    <t>0977-21-5875</t>
  </si>
  <si>
    <t>0977-75-6078</t>
  </si>
  <si>
    <t>0977-21-9309</t>
  </si>
  <si>
    <t>0977-21-9329</t>
  </si>
  <si>
    <t>0977-21-8900</t>
  </si>
  <si>
    <t>0977-21-8899</t>
  </si>
  <si>
    <t>0977-67-2149</t>
  </si>
  <si>
    <t>0977-67-2169</t>
  </si>
  <si>
    <t>0972-63-7542</t>
  </si>
  <si>
    <t>0972-63-3048</t>
  </si>
  <si>
    <t>0972-63-6500</t>
  </si>
  <si>
    <t>0972-63-6506</t>
  </si>
  <si>
    <t>0972-63-6684</t>
  </si>
  <si>
    <t>0972-63-6750</t>
  </si>
  <si>
    <t>0972-63-4759</t>
  </si>
  <si>
    <t>0972-63-4807</t>
  </si>
  <si>
    <t>0972-63-2127</t>
  </si>
  <si>
    <t>0972-63-4333</t>
  </si>
  <si>
    <t>0972-63-3555</t>
  </si>
  <si>
    <t>0972-63-2651</t>
  </si>
  <si>
    <t>0972-62-9674</t>
  </si>
  <si>
    <t>0972-62-9671</t>
  </si>
  <si>
    <t>0972-82-1226</t>
  </si>
  <si>
    <t>0972-82-7388</t>
  </si>
  <si>
    <t>0972-63-3158</t>
  </si>
  <si>
    <t>0972-63-5259</t>
  </si>
  <si>
    <t>0972-62-5769</t>
  </si>
  <si>
    <t>0972-62-2292</t>
  </si>
  <si>
    <t>0972-62-2953</t>
  </si>
  <si>
    <t>097-575-8226</t>
  </si>
  <si>
    <t>097-575-8513</t>
  </si>
  <si>
    <t>0972-63-3797</t>
  </si>
  <si>
    <t>0972-63-7828</t>
  </si>
  <si>
    <t>0972-63-7889</t>
  </si>
  <si>
    <t>0972-67-2441</t>
  </si>
  <si>
    <t>0972-67-2515</t>
  </si>
  <si>
    <t>0979-24-0112</t>
  </si>
  <si>
    <t>0979-24-6040</t>
  </si>
  <si>
    <t>0979-54-3344</t>
  </si>
  <si>
    <t>0979-53-9161</t>
  </si>
  <si>
    <t>0979-53-9162</t>
  </si>
  <si>
    <t>0979-22-8136</t>
  </si>
  <si>
    <t>0979-22-8215</t>
  </si>
  <si>
    <t>0979-53-2866</t>
  </si>
  <si>
    <t>0979-32-7616</t>
  </si>
  <si>
    <t>0979-25-0125</t>
  </si>
  <si>
    <t>0979-25-1255</t>
  </si>
  <si>
    <t>0979-24-0932</t>
  </si>
  <si>
    <t>097-521-5666</t>
  </si>
  <si>
    <t>097-521-5671</t>
  </si>
  <si>
    <t>097-569-5800</t>
  </si>
  <si>
    <t>097-569-5837</t>
  </si>
  <si>
    <t>0977-84-3737</t>
  </si>
  <si>
    <t>0977-85-4099</t>
  </si>
  <si>
    <t>0974-77-2443</t>
  </si>
  <si>
    <t>0974-77-2441</t>
  </si>
  <si>
    <t>097-521-1695</t>
  </si>
  <si>
    <t>097-523-1602</t>
  </si>
  <si>
    <t>097-545-5250</t>
  </si>
  <si>
    <t>097-544-4615</t>
  </si>
  <si>
    <t>097-544-4821</t>
  </si>
  <si>
    <t>097-545-9477</t>
  </si>
  <si>
    <t>097-558-5637</t>
  </si>
  <si>
    <t>097-552-4510</t>
  </si>
  <si>
    <t>097-525-9775</t>
  </si>
  <si>
    <t>097-525-9785</t>
  </si>
  <si>
    <t>0978-42-6356</t>
  </si>
  <si>
    <t>0978-42-5604</t>
  </si>
  <si>
    <t>097-593-3055</t>
  </si>
  <si>
    <t>097-593-3390</t>
  </si>
  <si>
    <t>097-558-0928</t>
  </si>
  <si>
    <t>097-552-7234</t>
  </si>
  <si>
    <t>097-598-0110</t>
  </si>
  <si>
    <t>097-598-0333</t>
  </si>
  <si>
    <t>097-551-4000</t>
  </si>
  <si>
    <t>097-551-4001</t>
  </si>
  <si>
    <t>097-527-5223</t>
  </si>
  <si>
    <t>097-527-5227</t>
  </si>
  <si>
    <t>097-568-6700</t>
  </si>
  <si>
    <t>097-567-3128</t>
  </si>
  <si>
    <t>0973-24-7345</t>
  </si>
  <si>
    <t>0973-24-7450</t>
  </si>
  <si>
    <t>0973-22-5068</t>
  </si>
  <si>
    <t>0973-23-9819</t>
  </si>
  <si>
    <t>0973-24-2745</t>
  </si>
  <si>
    <t>0973-22-9665</t>
  </si>
  <si>
    <t>0973-23-9408</t>
  </si>
  <si>
    <t>0973-23-6752</t>
  </si>
  <si>
    <t>0973-57-3303</t>
  </si>
  <si>
    <t>0973-57-3066</t>
  </si>
  <si>
    <t>0973-22-4137</t>
  </si>
  <si>
    <t>0973-22-4006</t>
  </si>
  <si>
    <t>0973-52-2779</t>
  </si>
  <si>
    <t>0973-52-3147</t>
  </si>
  <si>
    <t>0973-22-7421</t>
  </si>
  <si>
    <t>0973-23-4855</t>
  </si>
  <si>
    <t>0973-24-9825</t>
  </si>
  <si>
    <t>0973-24-9325</t>
  </si>
  <si>
    <t>0973-23-0849</t>
  </si>
  <si>
    <t>0973-23-1341</t>
  </si>
  <si>
    <t>0973-24-0778</t>
  </si>
  <si>
    <t>0973-24-1844</t>
  </si>
  <si>
    <t>0973-24-1506</t>
  </si>
  <si>
    <t>0973-24-6669</t>
  </si>
  <si>
    <t>0973-24-6624</t>
  </si>
  <si>
    <t>0973-24-7122</t>
  </si>
  <si>
    <t>0973-24-9852</t>
  </si>
  <si>
    <t>0973-24-9332</t>
  </si>
  <si>
    <t>0973-22-5543</t>
  </si>
  <si>
    <t>0973-22-8551</t>
  </si>
  <si>
    <t>0973-22-6394</t>
  </si>
  <si>
    <t>0973-22-1433</t>
  </si>
  <si>
    <t>0973-23-2031</t>
  </si>
  <si>
    <t>0973-23-2107</t>
  </si>
  <si>
    <t>0973-24-0144</t>
  </si>
  <si>
    <t>0973-24-0314</t>
  </si>
  <si>
    <t>0973-23-2188</t>
  </si>
  <si>
    <t>0973-22-7234</t>
  </si>
  <si>
    <t>0973-22-4506</t>
  </si>
  <si>
    <t>0973-22-9058</t>
  </si>
  <si>
    <t>0973-54-3955</t>
  </si>
  <si>
    <t>0973-54-3354</t>
  </si>
  <si>
    <t>0973-52-3198</t>
  </si>
  <si>
    <t>0973-57-3118</t>
  </si>
  <si>
    <t>0978-68-1141</t>
  </si>
  <si>
    <t>0978-68-1143</t>
  </si>
  <si>
    <t>0978-67-3323</t>
  </si>
  <si>
    <t>0978-67-1887</t>
  </si>
  <si>
    <t>0978-67-2900</t>
  </si>
  <si>
    <t>0978-67-3530</t>
  </si>
  <si>
    <t>0978-82-1255</t>
  </si>
  <si>
    <t>0978-82-1256</t>
  </si>
  <si>
    <t>0978-77-0024</t>
  </si>
  <si>
    <t>0978-77-0080</t>
  </si>
  <si>
    <t>0978-68-0055</t>
  </si>
  <si>
    <t>0978-68-1191</t>
  </si>
  <si>
    <t>0979-54-2601</t>
  </si>
  <si>
    <t>0979-54-2602</t>
  </si>
  <si>
    <t>0979-62-3168</t>
  </si>
  <si>
    <t>0979-62-3696</t>
  </si>
  <si>
    <t>0979-22-1014</t>
  </si>
  <si>
    <t>0979-25-2790</t>
  </si>
  <si>
    <t>0979-22-0132</t>
  </si>
  <si>
    <t>0979-24-5132</t>
  </si>
  <si>
    <t>0979-32-7788</t>
  </si>
  <si>
    <t>0979-32-3212</t>
  </si>
  <si>
    <t>0979-22-0877</t>
  </si>
  <si>
    <t>0979-22-8870</t>
  </si>
  <si>
    <t>0979-32-7167</t>
  </si>
  <si>
    <t>0979-32-7186</t>
  </si>
  <si>
    <t>0979-25-1667</t>
  </si>
  <si>
    <t>0979-52-2897</t>
  </si>
  <si>
    <t>0979-54-3327</t>
  </si>
  <si>
    <t>0979-54-2767</t>
  </si>
  <si>
    <t>0979-64-6355</t>
  </si>
  <si>
    <t>0979-22-8300</t>
  </si>
  <si>
    <t>0979-22-1158</t>
  </si>
  <si>
    <t>0979-22-1126</t>
  </si>
  <si>
    <t>0979-22-9471</t>
  </si>
  <si>
    <t>0979-22-9472</t>
  </si>
  <si>
    <t>0979-32-3745</t>
  </si>
  <si>
    <t>0979-32-3914</t>
  </si>
  <si>
    <t>0979-32-1515</t>
  </si>
  <si>
    <t>0979-32-8689</t>
  </si>
  <si>
    <t>0979-32-6559</t>
  </si>
  <si>
    <t>0979-32-6615</t>
  </si>
  <si>
    <t>0979-26-2080</t>
  </si>
  <si>
    <t>0979-26-2079</t>
  </si>
  <si>
    <t>0979-43-6266</t>
  </si>
  <si>
    <t>0979-43-6522</t>
  </si>
  <si>
    <t>0979-32-5801</t>
  </si>
  <si>
    <t>0979-32-5822</t>
  </si>
  <si>
    <t>0979-26-5858</t>
  </si>
  <si>
    <t>0979-26-5840</t>
  </si>
  <si>
    <t>0979-32-5934</t>
  </si>
  <si>
    <t>0979-32-5935</t>
  </si>
  <si>
    <t>097-583-0085</t>
  </si>
  <si>
    <t>097-583-4758</t>
  </si>
  <si>
    <t>097-527-4677</t>
  </si>
  <si>
    <t>097-521-8591</t>
  </si>
  <si>
    <t>097-556-6277</t>
  </si>
  <si>
    <t>097-556-7600</t>
  </si>
  <si>
    <t>097-524-0151</t>
  </si>
  <si>
    <t>097-524-0197</t>
  </si>
  <si>
    <t>0977-84-3465</t>
  </si>
  <si>
    <t>0977-85-3454</t>
  </si>
  <si>
    <t>097-532-7650</t>
  </si>
  <si>
    <t>097-534-2299</t>
  </si>
  <si>
    <t>097-551-5735</t>
  </si>
  <si>
    <t>097-551-5392</t>
  </si>
  <si>
    <t>0977-85-3736</t>
  </si>
  <si>
    <t>0977-85-3645</t>
  </si>
  <si>
    <t>097-593-1250</t>
  </si>
  <si>
    <t>097-593-1256</t>
  </si>
  <si>
    <t>097-549-3339</t>
  </si>
  <si>
    <t>097-549-3113</t>
  </si>
  <si>
    <t>097-551-9004</t>
  </si>
  <si>
    <t>097-551-9228</t>
  </si>
  <si>
    <t>097-558-7765</t>
  </si>
  <si>
    <t>097-558-7075</t>
  </si>
  <si>
    <t>097-543-4935</t>
  </si>
  <si>
    <t>097-543-0122</t>
  </si>
  <si>
    <t>097-523-0070</t>
  </si>
  <si>
    <t>097-523-0774</t>
  </si>
  <si>
    <t>097-582-0073</t>
  </si>
  <si>
    <t>097-582-0735</t>
  </si>
  <si>
    <t>097-594-5539</t>
  </si>
  <si>
    <t>097-520-1010</t>
  </si>
  <si>
    <t>097-568-3235</t>
  </si>
  <si>
    <t>097-568-0687</t>
  </si>
  <si>
    <t>097-544-5028</t>
  </si>
  <si>
    <t>097-544-5063</t>
  </si>
  <si>
    <t>097-549-5797</t>
  </si>
  <si>
    <t>097-568-9928</t>
  </si>
  <si>
    <t>097-568-7578</t>
  </si>
  <si>
    <t>097-523-1991</t>
  </si>
  <si>
    <t>097-523-0991</t>
  </si>
  <si>
    <t>097-534-5453</t>
  </si>
  <si>
    <t>097-534-5457</t>
  </si>
  <si>
    <t>097-588-1712</t>
  </si>
  <si>
    <t>097-588-0908</t>
  </si>
  <si>
    <t>097-558-9882</t>
  </si>
  <si>
    <t>097-552-7946</t>
  </si>
  <si>
    <t>097-536-5555</t>
  </si>
  <si>
    <t>097-532-9067</t>
  </si>
  <si>
    <t>097-537-2635</t>
  </si>
  <si>
    <t>097-537-2639</t>
  </si>
  <si>
    <t>097-541-2285</t>
  </si>
  <si>
    <t>097-541-5045</t>
  </si>
  <si>
    <t>097-521-9430</t>
  </si>
  <si>
    <t>097-521-3340</t>
  </si>
  <si>
    <t>097-544-0708</t>
  </si>
  <si>
    <t>097-544-7008</t>
  </si>
  <si>
    <t>097-597-2188</t>
  </si>
  <si>
    <t>097-597-2388</t>
  </si>
  <si>
    <t>097-522-4567</t>
  </si>
  <si>
    <t>097-522-4554</t>
  </si>
  <si>
    <t>097-560-5128</t>
  </si>
  <si>
    <t>097-560-5129</t>
  </si>
  <si>
    <t>097-528-1536</t>
  </si>
  <si>
    <t>097-529-2772</t>
  </si>
  <si>
    <t>097-544-3027</t>
  </si>
  <si>
    <t>097-544-3041</t>
  </si>
  <si>
    <t>097-583-2021</t>
  </si>
  <si>
    <t>097-583-2061</t>
  </si>
  <si>
    <t>097-551-1222</t>
  </si>
  <si>
    <t>097-553-0280</t>
  </si>
  <si>
    <t>097-521-3614</t>
  </si>
  <si>
    <t>097-523-5470</t>
  </si>
  <si>
    <t>097-552-3358</t>
  </si>
  <si>
    <t>097-556-0821</t>
  </si>
  <si>
    <t>097-522-7746</t>
  </si>
  <si>
    <t>097-522-7747</t>
  </si>
  <si>
    <t>097-551-5379</t>
  </si>
  <si>
    <t>097-551-5587</t>
  </si>
  <si>
    <t>097-568-3830</t>
  </si>
  <si>
    <t>097-568-3977</t>
  </si>
  <si>
    <t>097-553-1153</t>
  </si>
  <si>
    <t>097-573-1357</t>
  </si>
  <si>
    <t>097-543-1566</t>
  </si>
  <si>
    <t>097-543-1578</t>
  </si>
  <si>
    <t>097-545-6415</t>
  </si>
  <si>
    <t>097-546-5659</t>
  </si>
  <si>
    <t>097-592-9128</t>
  </si>
  <si>
    <t>097-528-9770</t>
  </si>
  <si>
    <t>097-552-6216</t>
  </si>
  <si>
    <t>097-552-6234</t>
  </si>
  <si>
    <t>0973-79-2534</t>
  </si>
  <si>
    <t>0973-79-3174</t>
  </si>
  <si>
    <t>097-596-6131</t>
  </si>
  <si>
    <t>097-596-6132</t>
  </si>
  <si>
    <t>097-521-4520</t>
  </si>
  <si>
    <t>097-522-0631</t>
  </si>
  <si>
    <t>097-503-5400</t>
  </si>
  <si>
    <t>097-549-0701</t>
  </si>
  <si>
    <t>0972-23-6639</t>
  </si>
  <si>
    <t>0972-23-2509</t>
  </si>
  <si>
    <t>0972-23-7122</t>
  </si>
  <si>
    <t>0972-23-7160</t>
  </si>
  <si>
    <t>0972-22-3326</t>
  </si>
  <si>
    <t>0972-22-3488</t>
  </si>
  <si>
    <t>0972-22-3673</t>
  </si>
  <si>
    <t>0972-24-8211</t>
  </si>
  <si>
    <t>0972-44-0189</t>
  </si>
  <si>
    <t>0972-44-0168</t>
  </si>
  <si>
    <t>0972-46-2184</t>
  </si>
  <si>
    <t>0972-46-2198</t>
  </si>
  <si>
    <t>0972-22-4518</t>
  </si>
  <si>
    <t>0972-22-5878</t>
  </si>
  <si>
    <t>0972-24-2002</t>
  </si>
  <si>
    <t>0972-23-6694</t>
  </si>
  <si>
    <t>0972-23-6728</t>
  </si>
  <si>
    <t>0978-62-5465</t>
  </si>
  <si>
    <t>0978-62-5468</t>
  </si>
  <si>
    <t>0978-63-3612</t>
  </si>
  <si>
    <t>0978-63-3618</t>
  </si>
  <si>
    <t>0977-23-3344</t>
  </si>
  <si>
    <t>0977-23-6859</t>
  </si>
  <si>
    <t>0977-22-3404</t>
  </si>
  <si>
    <t>0977-67-6757</t>
  </si>
  <si>
    <t>0977-80-6800</t>
  </si>
  <si>
    <t>0977-80-6801</t>
  </si>
  <si>
    <t>0977-66-1707</t>
  </si>
  <si>
    <t>0977-66-2019</t>
  </si>
  <si>
    <t>0977-66-8176</t>
  </si>
  <si>
    <t>0977-84-7020</t>
  </si>
  <si>
    <t>0977-84-7021</t>
  </si>
  <si>
    <t>0977-85-7237</t>
  </si>
  <si>
    <t>0977-85-7238</t>
  </si>
  <si>
    <t>0977-22-2218</t>
  </si>
  <si>
    <t>0977-23-3078</t>
  </si>
  <si>
    <t>0977-75-0502</t>
  </si>
  <si>
    <t>0977-75-0592</t>
  </si>
  <si>
    <t>0979-22-4081</t>
  </si>
  <si>
    <t>0979-22-4605</t>
  </si>
  <si>
    <t>0973-23-3816</t>
  </si>
  <si>
    <t>097-544-6928</t>
  </si>
  <si>
    <t>097-546-2523</t>
  </si>
  <si>
    <t>097-533-1323</t>
  </si>
  <si>
    <t>097-533-1327</t>
  </si>
  <si>
    <t>0978-38-5955</t>
  </si>
  <si>
    <t>0978-38-5975</t>
  </si>
  <si>
    <t>0977-72-1717</t>
  </si>
  <si>
    <t>0977-28-0033</t>
  </si>
  <si>
    <t>0972-22-6234</t>
  </si>
  <si>
    <t>0972-22-6238</t>
  </si>
  <si>
    <t>0972-36-7107</t>
  </si>
  <si>
    <t>0972-36-7136</t>
  </si>
  <si>
    <t>0972-58-2730</t>
  </si>
  <si>
    <t>0972-45-0805</t>
  </si>
  <si>
    <t>0974-32-7000</t>
  </si>
  <si>
    <t>0974-32-7071</t>
  </si>
  <si>
    <t>0977-21-1885</t>
  </si>
  <si>
    <t>0977-21-2520</t>
  </si>
  <si>
    <t>0978-62-2715</t>
  </si>
  <si>
    <t>0978-62-3675</t>
  </si>
  <si>
    <t>097-552-3518</t>
  </si>
  <si>
    <t>097-551-2319</t>
  </si>
  <si>
    <t>097-593-0100</t>
  </si>
  <si>
    <t>097-593-0548</t>
  </si>
  <si>
    <t>0973-22-2890</t>
  </si>
  <si>
    <t>0973-22-3354</t>
  </si>
  <si>
    <t>0973-24-9663</t>
  </si>
  <si>
    <t>0973-24-9669</t>
  </si>
  <si>
    <t>0973-22-5667</t>
  </si>
  <si>
    <t>0973-22-8885</t>
  </si>
  <si>
    <t>0977-66-8363</t>
  </si>
  <si>
    <t>0977-66-7524</t>
  </si>
  <si>
    <t>097-523-2898</t>
  </si>
  <si>
    <t>097-523-2802</t>
  </si>
  <si>
    <t>0978-67-3464</t>
  </si>
  <si>
    <t>0978-67-3186</t>
  </si>
  <si>
    <t>0979-22-5608</t>
  </si>
  <si>
    <t>0979-22-5680</t>
  </si>
  <si>
    <t>097-556-2364</t>
  </si>
  <si>
    <t>097-556-7859</t>
  </si>
  <si>
    <t>097-551-6829</t>
  </si>
  <si>
    <t>097-551-0677</t>
  </si>
  <si>
    <t>0973-23-6344</t>
  </si>
  <si>
    <t>0973-22-8398</t>
  </si>
  <si>
    <t>0972-63-0358</t>
  </si>
  <si>
    <t>097-523-5655</t>
  </si>
  <si>
    <t>097-523-5954</t>
  </si>
  <si>
    <t>0979-23-4828</t>
  </si>
  <si>
    <t>097-528-1115</t>
  </si>
  <si>
    <t>097-528-1116</t>
  </si>
  <si>
    <t>097-523-2838</t>
  </si>
  <si>
    <t>097-522-4623</t>
  </si>
  <si>
    <t>097-541-7755</t>
  </si>
  <si>
    <t>097-541-7050</t>
  </si>
  <si>
    <t>0973-57-9636</t>
  </si>
  <si>
    <t>0973-57-3855</t>
  </si>
  <si>
    <t>0977-72-2029</t>
  </si>
  <si>
    <t>0977-73-0813</t>
  </si>
  <si>
    <t>097-558-3769</t>
  </si>
  <si>
    <t>097-553-4288</t>
  </si>
  <si>
    <t>097-567-5031</t>
  </si>
  <si>
    <t>097-542-5134</t>
  </si>
  <si>
    <t>097-553-0601</t>
  </si>
  <si>
    <t>097-553-3940</t>
  </si>
  <si>
    <t>0977-84-2397</t>
  </si>
  <si>
    <t>0977-28-8622</t>
  </si>
  <si>
    <t>0977-66-6432</t>
  </si>
  <si>
    <t>0977-66-6562</t>
  </si>
  <si>
    <t>0977-66-2455</t>
  </si>
  <si>
    <t>0977-66-9502</t>
  </si>
  <si>
    <t>0973-53-2914</t>
  </si>
  <si>
    <t>0973-53-2913</t>
  </si>
  <si>
    <t>0978-38-5633</t>
  </si>
  <si>
    <t>0978-38-5515</t>
  </si>
  <si>
    <t>097-503-0707</t>
  </si>
  <si>
    <t>097-503-0706</t>
  </si>
  <si>
    <t>0972-46-2788</t>
  </si>
  <si>
    <t>0972-46-2792</t>
  </si>
  <si>
    <t>097-532-0514</t>
  </si>
  <si>
    <t>097-537-4834</t>
  </si>
  <si>
    <t>0973-22-6977</t>
  </si>
  <si>
    <t>0973-22-6980</t>
  </si>
  <si>
    <t>0978-24-3747</t>
  </si>
  <si>
    <t>0978-24-4773</t>
  </si>
  <si>
    <t>0974-72-1800</t>
  </si>
  <si>
    <t>0974-72-1801</t>
  </si>
  <si>
    <t>097-522-4699</t>
  </si>
  <si>
    <t>097-522-2782</t>
  </si>
  <si>
    <t>0978-32-0840</t>
  </si>
  <si>
    <t>0978-32-0846</t>
  </si>
  <si>
    <t>097-553-1757</t>
  </si>
  <si>
    <t>097-551-5996</t>
  </si>
  <si>
    <t>0978-48-2555</t>
  </si>
  <si>
    <t>0978-48-2052</t>
  </si>
  <si>
    <t>0977-26-5090</t>
  </si>
  <si>
    <t>0977-26-5040</t>
  </si>
  <si>
    <t>0974-68-3231</t>
  </si>
  <si>
    <t>0974-68-3977</t>
  </si>
  <si>
    <t>0978-62-1333</t>
  </si>
  <si>
    <t>0978-62-1334</t>
  </si>
  <si>
    <t>097-569-9260</t>
  </si>
  <si>
    <t>097-569-9261</t>
  </si>
  <si>
    <t>0972-23-8160</t>
  </si>
  <si>
    <t>0972-23-8104</t>
  </si>
  <si>
    <t>097-552-7477</t>
  </si>
  <si>
    <t>097-552-3718</t>
  </si>
  <si>
    <t>0972-58-2301</t>
  </si>
  <si>
    <t>0972-58-2330</t>
  </si>
  <si>
    <t>0973-57-9512</t>
  </si>
  <si>
    <t>0973-57-3124</t>
  </si>
  <si>
    <t>097-567-9116</t>
  </si>
  <si>
    <t>097-567-9118</t>
  </si>
  <si>
    <t>0979-32-7295</t>
  </si>
  <si>
    <t>0979-32-7546</t>
  </si>
  <si>
    <t>0972-46-3202</t>
  </si>
  <si>
    <t>0972-46-3203</t>
  </si>
  <si>
    <t>097-523-1456</t>
  </si>
  <si>
    <t>097-527-2692</t>
  </si>
  <si>
    <t>097-521-7290</t>
  </si>
  <si>
    <t>097-521-7308</t>
  </si>
  <si>
    <t>0978-38-2962</t>
  </si>
  <si>
    <t>0978-38-6483</t>
  </si>
  <si>
    <t>097-529-7716</t>
  </si>
  <si>
    <t>097-529-7749</t>
  </si>
  <si>
    <t>0973-76-3131</t>
  </si>
  <si>
    <t>0973-70-5959</t>
  </si>
  <si>
    <t>0979-32-5575</t>
  </si>
  <si>
    <t>0979-32-5576</t>
  </si>
  <si>
    <t>097-574-5121</t>
  </si>
  <si>
    <t>097-574-5161</t>
  </si>
  <si>
    <t>0972-56-5325</t>
  </si>
  <si>
    <t>0972-56-5326</t>
  </si>
  <si>
    <t>0973-24-8351</t>
  </si>
  <si>
    <t>0973-24-8316</t>
  </si>
  <si>
    <t>0973-22-2880</t>
  </si>
  <si>
    <t>0973-22-1877</t>
  </si>
  <si>
    <t>0973-23-3804</t>
  </si>
  <si>
    <t>0973-23-0005</t>
  </si>
  <si>
    <t>0974-63-1455</t>
  </si>
  <si>
    <t>0974-63-2176</t>
  </si>
  <si>
    <t>097-558-1331</t>
  </si>
  <si>
    <t>097-558-5303</t>
  </si>
  <si>
    <t>097-521-1834</t>
  </si>
  <si>
    <t>097-527-3654</t>
  </si>
  <si>
    <t>097-547-9271</t>
  </si>
  <si>
    <t>097-547-9272</t>
  </si>
  <si>
    <t>097-569-0700</t>
  </si>
  <si>
    <t>097-569-7705</t>
  </si>
  <si>
    <t>097-595-0302</t>
  </si>
  <si>
    <t>097-595-0398</t>
  </si>
  <si>
    <t>0977-66-3037</t>
  </si>
  <si>
    <t>0977-66-3058</t>
  </si>
  <si>
    <t>097-558-5725</t>
  </si>
  <si>
    <t>097-558-6202</t>
  </si>
  <si>
    <t>0972-44-0318</t>
  </si>
  <si>
    <t>0972-44-0350</t>
  </si>
  <si>
    <t>0972-68-3035</t>
  </si>
  <si>
    <t>0972-68-3015</t>
  </si>
  <si>
    <t>0973-23-3046</t>
  </si>
  <si>
    <t>0972-63-1655</t>
  </si>
  <si>
    <t>0972-63-1650</t>
  </si>
  <si>
    <t>0978-38-0885</t>
  </si>
  <si>
    <t>0978-38-6558</t>
  </si>
  <si>
    <t>0977-25-8778</t>
  </si>
  <si>
    <t>0974-63-4369</t>
  </si>
  <si>
    <t>0974-63-4877</t>
  </si>
  <si>
    <t>097-558-6880</t>
  </si>
  <si>
    <t>097-552-3608</t>
  </si>
  <si>
    <t>097-567-5656</t>
  </si>
  <si>
    <t>097-567-6363</t>
  </si>
  <si>
    <t>0979-23-6678</t>
  </si>
  <si>
    <t>0979-23-6677</t>
  </si>
  <si>
    <t>097-569-6988</t>
  </si>
  <si>
    <t>097-520-0100</t>
  </si>
  <si>
    <t>097-542-2975</t>
  </si>
  <si>
    <t>097-542-2979</t>
  </si>
  <si>
    <t>0977-25-6805</t>
  </si>
  <si>
    <t>0977-25-6804</t>
  </si>
  <si>
    <t>0974-32-2587</t>
  </si>
  <si>
    <t>0974-32-2598</t>
  </si>
  <si>
    <t>0972-63-6328</t>
  </si>
  <si>
    <t>0978-68-0027</t>
  </si>
  <si>
    <t>097-568-5220</t>
  </si>
  <si>
    <t>097-568-6810</t>
  </si>
  <si>
    <t>0974-35-2263</t>
  </si>
  <si>
    <t>0974-35-2272</t>
  </si>
  <si>
    <t>0973-52-2444</t>
  </si>
  <si>
    <t>0973-52-2496</t>
  </si>
  <si>
    <t>0973-22-0503</t>
  </si>
  <si>
    <t>0973-22-0515</t>
  </si>
  <si>
    <t>0978-37-0139</t>
  </si>
  <si>
    <t>0978-37-2159</t>
  </si>
  <si>
    <t>097-538-0967</t>
  </si>
  <si>
    <t>097-538-0903</t>
  </si>
  <si>
    <t>097-593-0680</t>
  </si>
  <si>
    <t>097-593-0825</t>
  </si>
  <si>
    <t>097-578-7433</t>
  </si>
  <si>
    <t>097-578-7435</t>
  </si>
  <si>
    <t>097-592-1289</t>
  </si>
  <si>
    <t>097-592-1072</t>
  </si>
  <si>
    <t>097-552-0348</t>
  </si>
  <si>
    <t>097-558-7682</t>
  </si>
  <si>
    <t>0978-63-3700</t>
  </si>
  <si>
    <t>0978-63-3701</t>
  </si>
  <si>
    <t>0978-67-3992</t>
  </si>
  <si>
    <t>0974-22-0181</t>
  </si>
  <si>
    <t>0974-22-0634</t>
  </si>
  <si>
    <t>090-7382-7800</t>
  </si>
  <si>
    <t>097-522-2244</t>
  </si>
  <si>
    <t>097-522-2248</t>
  </si>
  <si>
    <t>097-574-5889</t>
  </si>
  <si>
    <t>097-574-5999</t>
  </si>
  <si>
    <t>0977-67-8880</t>
  </si>
  <si>
    <t>0977-67-8883</t>
  </si>
  <si>
    <t>0978-42-6249</t>
  </si>
  <si>
    <t>0978-42-7191</t>
  </si>
  <si>
    <t>0973-78-8138</t>
  </si>
  <si>
    <t>0973-78-9224</t>
  </si>
  <si>
    <t>0973-72-0341</t>
  </si>
  <si>
    <t>0973-72-0315</t>
  </si>
  <si>
    <t>0977-73-0188</t>
  </si>
  <si>
    <t>0977-23-8471</t>
  </si>
  <si>
    <t>0977-22-5063</t>
  </si>
  <si>
    <t>097-586-3050</t>
  </si>
  <si>
    <t>097-586-3051</t>
  </si>
  <si>
    <t>0979-62-2377</t>
  </si>
  <si>
    <t>0979-62-2302</t>
  </si>
  <si>
    <t>097-569-2006</t>
  </si>
  <si>
    <t>097-569-9877</t>
  </si>
  <si>
    <t>0974-22-1113</t>
  </si>
  <si>
    <t>0974-22-2433</t>
  </si>
  <si>
    <t>0979-32-2846</t>
  </si>
  <si>
    <t>0979-32-8408</t>
  </si>
  <si>
    <t>097-568-6825</t>
  </si>
  <si>
    <t>097-568-6840</t>
  </si>
  <si>
    <t>0974-34-4508</t>
  </si>
  <si>
    <t>0974-34-3822</t>
  </si>
  <si>
    <t>0978-68-1515</t>
  </si>
  <si>
    <t>0974-72-0533</t>
  </si>
  <si>
    <t>0974-72-0878</t>
  </si>
  <si>
    <t>0979-32-6361</t>
  </si>
  <si>
    <t>0979-33-8151</t>
  </si>
  <si>
    <t>097-582-2179</t>
  </si>
  <si>
    <t>097-582-2181</t>
  </si>
  <si>
    <t>0978-37-2747</t>
  </si>
  <si>
    <t>0978-37-2289</t>
  </si>
  <si>
    <t>0974-22-6208</t>
  </si>
  <si>
    <t>0974-22-7809</t>
  </si>
  <si>
    <t>097-521-8881</t>
  </si>
  <si>
    <t>097-521-4681</t>
  </si>
  <si>
    <t>097-522-0671</t>
  </si>
  <si>
    <t>097-522-0660</t>
  </si>
  <si>
    <t>0974-22-3323</t>
  </si>
  <si>
    <t>0974-22-3400</t>
  </si>
  <si>
    <t>097-523-2323</t>
  </si>
  <si>
    <t>097-523-2355</t>
  </si>
  <si>
    <t>097-523-0020</t>
  </si>
  <si>
    <t>097-523-0024</t>
  </si>
  <si>
    <t>0978-32-5111</t>
  </si>
  <si>
    <t>0978-33-4670</t>
  </si>
  <si>
    <t>0979-23-1925</t>
  </si>
  <si>
    <t>0979-85-0380</t>
  </si>
  <si>
    <t>0972-62-5653</t>
  </si>
  <si>
    <t>0972-83-5958</t>
  </si>
  <si>
    <t>097-503-1585</t>
  </si>
  <si>
    <t>097-503-1586</t>
  </si>
  <si>
    <t>097-527-2085</t>
  </si>
  <si>
    <t>097-527-2081</t>
  </si>
  <si>
    <t>097-568-3033</t>
  </si>
  <si>
    <t>097-568-3022</t>
  </si>
  <si>
    <t>097-569-6036</t>
  </si>
  <si>
    <t>097-504-7446</t>
  </si>
  <si>
    <t>0972-82-5288</t>
  </si>
  <si>
    <t>0972-82-1351</t>
  </si>
  <si>
    <t>0973-78-8207</t>
  </si>
  <si>
    <t>0973-78-9638</t>
  </si>
  <si>
    <t>0973-73-8532</t>
  </si>
  <si>
    <t>0973-73-8535</t>
  </si>
  <si>
    <t>0972-24-1143</t>
  </si>
  <si>
    <t>097-568-1377</t>
  </si>
  <si>
    <t>097-568-1789</t>
  </si>
  <si>
    <t>097-558-9096</t>
  </si>
  <si>
    <t>097-552-5388</t>
  </si>
  <si>
    <t>0977-21-1515</t>
  </si>
  <si>
    <t>0977-24-0335</t>
  </si>
  <si>
    <t>097-521-2907</t>
  </si>
  <si>
    <t>097-521-2908</t>
  </si>
  <si>
    <t>0973-72-3832</t>
  </si>
  <si>
    <t>0973-72-3895</t>
  </si>
  <si>
    <t>0973-57-3357</t>
  </si>
  <si>
    <t>0973-22-3986</t>
  </si>
  <si>
    <t>0973-22-1729</t>
  </si>
  <si>
    <t>097-541-7515</t>
  </si>
  <si>
    <t>097-541-7409</t>
  </si>
  <si>
    <t>097-544-5533</t>
  </si>
  <si>
    <t>097-544-5538</t>
  </si>
  <si>
    <t>0979-53-2664</t>
  </si>
  <si>
    <t>0972-46-2001</t>
  </si>
  <si>
    <t>0972-46-3100</t>
  </si>
  <si>
    <t>0979-32-4107</t>
  </si>
  <si>
    <t>0979-32-4584</t>
  </si>
  <si>
    <t>0977-76-2777</t>
  </si>
  <si>
    <t>0977-76-2766</t>
  </si>
  <si>
    <t>0978-33-3551</t>
  </si>
  <si>
    <t>0978-33-4905</t>
  </si>
  <si>
    <t>097-503-7177</t>
  </si>
  <si>
    <t>097-503-7166</t>
  </si>
  <si>
    <t>0972-23-3540</t>
  </si>
  <si>
    <t>0972-23-3548</t>
  </si>
  <si>
    <t>0977-23-1381</t>
  </si>
  <si>
    <t>0977-23-1422</t>
  </si>
  <si>
    <t>097-567-1991</t>
  </si>
  <si>
    <t>097-568-4454</t>
  </si>
  <si>
    <t>097-547-1108</t>
  </si>
  <si>
    <t>097-547-1078</t>
  </si>
  <si>
    <t>0977-72-1004</t>
  </si>
  <si>
    <t>0977-72-1612</t>
  </si>
  <si>
    <t>0972-62-4899</t>
  </si>
  <si>
    <t>0972-62-4898</t>
  </si>
  <si>
    <t>0972-25-0110</t>
  </si>
  <si>
    <t>0972-25-0113</t>
  </si>
  <si>
    <t>0979-32-8829</t>
  </si>
  <si>
    <t>0979-32-8869</t>
  </si>
  <si>
    <t>097-523-4075</t>
  </si>
  <si>
    <t>097-523-4076</t>
  </si>
  <si>
    <t>097-558-2260</t>
  </si>
  <si>
    <t>097-558-5212</t>
  </si>
  <si>
    <t>0978-42-5169</t>
  </si>
  <si>
    <t>0978-42-7241</t>
  </si>
  <si>
    <t>0972-23-8881</t>
  </si>
  <si>
    <t>0972-23-8836</t>
  </si>
  <si>
    <t>0972-63-5128</t>
  </si>
  <si>
    <t>0972-77-4211</t>
  </si>
  <si>
    <t>097-546-5075</t>
  </si>
  <si>
    <t>097-554-4360</t>
  </si>
  <si>
    <t>097-597-2607</t>
  </si>
  <si>
    <t>097-597-2608</t>
  </si>
  <si>
    <t>0973-57-3320</t>
  </si>
  <si>
    <t>0973-57-3332</t>
  </si>
  <si>
    <t>0977-66-5033</t>
  </si>
  <si>
    <t>0977-25-4855</t>
  </si>
  <si>
    <t>0977-25-5030</t>
  </si>
  <si>
    <t>097-541-6718</t>
  </si>
  <si>
    <t>097-542-5258</t>
  </si>
  <si>
    <t>0978-44-4927</t>
  </si>
  <si>
    <t>0978-44-4813</t>
  </si>
  <si>
    <t>0977-72-1715</t>
  </si>
  <si>
    <t>0977-72-4046</t>
  </si>
  <si>
    <t>0972-82-9670</t>
  </si>
  <si>
    <t>097-552-3838</t>
  </si>
  <si>
    <t>097-553-1265</t>
  </si>
  <si>
    <t>0972-24-3870</t>
  </si>
  <si>
    <t>0972-24-3871</t>
  </si>
  <si>
    <t>0977-22-5502</t>
  </si>
  <si>
    <t>0977-22-5586</t>
  </si>
  <si>
    <t>0972-22-7156</t>
  </si>
  <si>
    <t>0973-73-7355</t>
  </si>
  <si>
    <t>0977-66-6745</t>
  </si>
  <si>
    <t>0977-66-6783</t>
  </si>
  <si>
    <t>097-593-1616</t>
  </si>
  <si>
    <t>097-592-3347</t>
  </si>
  <si>
    <t>097-556-5616</t>
  </si>
  <si>
    <t>0973-23-6485</t>
  </si>
  <si>
    <t>0973-22-1251</t>
  </si>
  <si>
    <t>0974-22-7588</t>
  </si>
  <si>
    <t>0974-22-7601</t>
  </si>
  <si>
    <t>097-586-3440</t>
  </si>
  <si>
    <t>097-586-3453</t>
  </si>
  <si>
    <t>097-593-2300</t>
  </si>
  <si>
    <t>097-593-2312</t>
  </si>
  <si>
    <t>0979-54-2702</t>
  </si>
  <si>
    <t>0979-54-2708</t>
  </si>
  <si>
    <t>0979-77-4700</t>
  </si>
  <si>
    <t>0979-77-5432</t>
  </si>
  <si>
    <t>097-536-7105</t>
  </si>
  <si>
    <t>097-594-1755</t>
  </si>
  <si>
    <t>0977-72-6106</t>
  </si>
  <si>
    <t>0977-72-9818</t>
  </si>
  <si>
    <t>097-537-9600</t>
  </si>
  <si>
    <t>097-537-8784</t>
  </si>
  <si>
    <t>097-592-9606</t>
  </si>
  <si>
    <t>097-592-1078</t>
  </si>
  <si>
    <t>0977-75-0399</t>
  </si>
  <si>
    <t>0978-63-5070</t>
  </si>
  <si>
    <t>0978-63-5071</t>
  </si>
  <si>
    <t>0974-77-2304</t>
  </si>
  <si>
    <t>0974-77-2358</t>
  </si>
  <si>
    <t>0973-23-0125</t>
  </si>
  <si>
    <t>0973-28-7088</t>
  </si>
  <si>
    <t>0973-57-2725</t>
  </si>
  <si>
    <t>0973-57-2795</t>
  </si>
  <si>
    <t>0977-26-5185</t>
  </si>
  <si>
    <t>0977-26-5186</t>
  </si>
  <si>
    <t>097-554-8229</t>
  </si>
  <si>
    <t>097-554-8233</t>
  </si>
  <si>
    <t>097-521-1150</t>
  </si>
  <si>
    <t>097-521-7868</t>
  </si>
  <si>
    <t>097-597-7485</t>
  </si>
  <si>
    <t>097-597-7486</t>
  </si>
  <si>
    <t>097-552-2477</t>
  </si>
  <si>
    <t>097-552-5654</t>
  </si>
  <si>
    <t>097-553-0210</t>
  </si>
  <si>
    <t>097-553-0211</t>
  </si>
  <si>
    <t>0977-84-4417</t>
  </si>
  <si>
    <t>0973-77-6179</t>
  </si>
  <si>
    <t>097-558-3502</t>
  </si>
  <si>
    <t>097-558-6785</t>
  </si>
  <si>
    <t>097-520-2800</t>
  </si>
  <si>
    <t>097-583-2886</t>
  </si>
  <si>
    <t>097-583-1663</t>
  </si>
  <si>
    <t>0978-33-4806</t>
  </si>
  <si>
    <t>097-542-7001</t>
  </si>
  <si>
    <t>097-542-7075</t>
  </si>
  <si>
    <t>097-549-2028</t>
  </si>
  <si>
    <t>097-549-2029</t>
  </si>
  <si>
    <t>0973-72-2785</t>
  </si>
  <si>
    <t>0973-77-2008</t>
  </si>
  <si>
    <t>0978-38-2561</t>
  </si>
  <si>
    <t>0978-38-2541</t>
  </si>
  <si>
    <t>097-560-4288</t>
  </si>
  <si>
    <t>097-560-4292</t>
  </si>
  <si>
    <t>0974-22-8888</t>
  </si>
  <si>
    <t>0974-22-7576</t>
  </si>
  <si>
    <t>097-522-1563</t>
  </si>
  <si>
    <t>097-527-6078</t>
  </si>
  <si>
    <t>0979-25-1557</t>
  </si>
  <si>
    <t>0979-25-3094</t>
  </si>
  <si>
    <t>097-522-1706</t>
  </si>
  <si>
    <t>097-522-3687</t>
  </si>
  <si>
    <t>097-521-7822</t>
  </si>
  <si>
    <t>097-522-0449</t>
  </si>
  <si>
    <t>0979-52-3468</t>
  </si>
  <si>
    <t>0972-82-7970</t>
  </si>
  <si>
    <t>0978-37-3401</t>
  </si>
  <si>
    <t>0978-37-3403</t>
  </si>
  <si>
    <t>097-592-3766</t>
  </si>
  <si>
    <t>097-592-3748</t>
  </si>
  <si>
    <t>097-545-0283</t>
  </si>
  <si>
    <t>097-545-0383</t>
  </si>
  <si>
    <t>0974-34-2743</t>
  </si>
  <si>
    <t>0974-34-3012</t>
  </si>
  <si>
    <t>0972-84-9856</t>
  </si>
  <si>
    <t>0972-22-8898</t>
  </si>
  <si>
    <t>0972-22-9388</t>
  </si>
  <si>
    <t>097-551-4300</t>
  </si>
  <si>
    <t>097-551-1819</t>
  </si>
  <si>
    <t>097-567-5551</t>
  </si>
  <si>
    <t>097-567-8333</t>
  </si>
  <si>
    <t>0978-24-0302</t>
  </si>
  <si>
    <t>0978-24-2182</t>
  </si>
  <si>
    <t>0972-22-2033</t>
  </si>
  <si>
    <t>0972-22-0301</t>
  </si>
  <si>
    <t>0974-64-0082</t>
  </si>
  <si>
    <t>0974-64-0083</t>
  </si>
  <si>
    <t>0973-57-9363</t>
  </si>
  <si>
    <t>0973-57-9377</t>
  </si>
  <si>
    <t>0978-32-0259</t>
  </si>
  <si>
    <t>0978-32-1414</t>
  </si>
  <si>
    <t>0977-73-1377</t>
  </si>
  <si>
    <t>0977-73-1378</t>
  </si>
  <si>
    <t>0972-44-0700</t>
  </si>
  <si>
    <t>0972-20-0600</t>
  </si>
  <si>
    <t>0972-20-0500</t>
  </si>
  <si>
    <t>097-569-8081</t>
  </si>
  <si>
    <t>097-524-5339</t>
  </si>
  <si>
    <t>0972-44-0810</t>
  </si>
  <si>
    <t>0972-44-0818</t>
  </si>
  <si>
    <t>0974-32-4738</t>
  </si>
  <si>
    <t>0974-32-4747</t>
  </si>
  <si>
    <t>0973-24-3866</t>
  </si>
  <si>
    <t>0973-24-0705</t>
  </si>
  <si>
    <t>0978-32-2226</t>
  </si>
  <si>
    <t>0978-32-2664</t>
  </si>
  <si>
    <t>0972-63-2224</t>
  </si>
  <si>
    <t>097-553-1063</t>
  </si>
  <si>
    <t>097-573-0332</t>
  </si>
  <si>
    <t>0978-38-4883</t>
  </si>
  <si>
    <t>0978-38-5146</t>
  </si>
  <si>
    <t>0974-62-4047</t>
  </si>
  <si>
    <t>0974-62-2428</t>
  </si>
  <si>
    <t>097-568-9920</t>
  </si>
  <si>
    <t>097-568-9715</t>
  </si>
  <si>
    <t>0977-66-0021</t>
  </si>
  <si>
    <t>0977-66-4207</t>
  </si>
  <si>
    <t>0977-73-0144</t>
  </si>
  <si>
    <t>0977-73-0104</t>
  </si>
  <si>
    <t>0973-27-2538</t>
  </si>
  <si>
    <t>0973-27-2558</t>
  </si>
  <si>
    <t>0978-22-2307</t>
  </si>
  <si>
    <t>0978-24-0571</t>
  </si>
  <si>
    <t>0972-33-0617</t>
  </si>
  <si>
    <t>0972-33-0707</t>
  </si>
  <si>
    <t>0974-32-7746</t>
  </si>
  <si>
    <t>0974-32-7829</t>
  </si>
  <si>
    <t>097-576-0614</t>
  </si>
  <si>
    <t>097-576-0611</t>
  </si>
  <si>
    <t>0979-24-5697</t>
  </si>
  <si>
    <t>0979-24-5752</t>
  </si>
  <si>
    <t>0978-63-8218</t>
  </si>
  <si>
    <t>0978-63-8551</t>
  </si>
  <si>
    <t>0973-57-3655</t>
  </si>
  <si>
    <t>0973-57-9093</t>
  </si>
  <si>
    <t>0973-76-2913</t>
  </si>
  <si>
    <t>0972-63-0032</t>
  </si>
  <si>
    <t>097-520-1976</t>
  </si>
  <si>
    <t>0977-24-7472</t>
  </si>
  <si>
    <t>0972-45-0319</t>
  </si>
  <si>
    <t>097-555-9740</t>
  </si>
  <si>
    <t>097-555-9741</t>
  </si>
  <si>
    <t>0972-24-2789</t>
  </si>
  <si>
    <t>0972-24-2780</t>
  </si>
  <si>
    <t>0979-27-1374</t>
  </si>
  <si>
    <t>0979-27-1375</t>
  </si>
  <si>
    <t>097-528-7333</t>
  </si>
  <si>
    <t>097-528-7331</t>
  </si>
  <si>
    <t>0972-46-0137</t>
  </si>
  <si>
    <t>0978-67-2010</t>
  </si>
  <si>
    <t>0972-62-2275</t>
  </si>
  <si>
    <t>097-523-3888</t>
  </si>
  <si>
    <t>097-523-1597</t>
  </si>
  <si>
    <t>0974-62-3902</t>
  </si>
  <si>
    <t>0978-52-2148</t>
  </si>
  <si>
    <t>0977-72-2575</t>
  </si>
  <si>
    <t>0977-72-1090</t>
  </si>
  <si>
    <t>097-576-0262</t>
  </si>
  <si>
    <t>097-576-1616</t>
  </si>
  <si>
    <t>0979-43-5530</t>
  </si>
  <si>
    <t>0979-43-5558</t>
  </si>
  <si>
    <t>0973-72-4173</t>
  </si>
  <si>
    <t>0973-72-2006</t>
  </si>
  <si>
    <t>0977-23-3590</t>
  </si>
  <si>
    <t>0973-24-4264</t>
  </si>
  <si>
    <t>0973-24-6871</t>
  </si>
  <si>
    <t>0972-65-2400</t>
  </si>
  <si>
    <t>0972-65-2446</t>
  </si>
  <si>
    <t>0978-63-4525</t>
  </si>
  <si>
    <t>097-520-5152</t>
  </si>
  <si>
    <t>097-547-8827</t>
  </si>
  <si>
    <t>097-589-2177</t>
  </si>
  <si>
    <t>097-594-0118</t>
  </si>
  <si>
    <t>097-594-1148</t>
  </si>
  <si>
    <t>0977-66-3616</t>
  </si>
  <si>
    <t>097-535-9989</t>
  </si>
  <si>
    <t>097-535-9499</t>
  </si>
  <si>
    <t>0972-58-2083</t>
  </si>
  <si>
    <t>0979-26-0558</t>
  </si>
  <si>
    <t>0979-26-0556</t>
  </si>
  <si>
    <t>0979-22-0533</t>
  </si>
  <si>
    <t>0979-25-2122</t>
  </si>
  <si>
    <t>0979-23-3611</t>
  </si>
  <si>
    <t>0979-25-1300</t>
  </si>
  <si>
    <t>097-568-7320</t>
  </si>
  <si>
    <t>097-568-7340</t>
  </si>
  <si>
    <t>0979-33-0331</t>
  </si>
  <si>
    <t>0979-53-9937</t>
  </si>
  <si>
    <t>097-576-8670</t>
  </si>
  <si>
    <t>097-576-8675</t>
  </si>
  <si>
    <t>097-522-8800</t>
  </si>
  <si>
    <t>097-521-7878</t>
  </si>
  <si>
    <t>0978-37-3176</t>
  </si>
  <si>
    <t>0978-37-3239</t>
  </si>
  <si>
    <t>097-558-5555</t>
  </si>
  <si>
    <t>097-558-8278</t>
  </si>
  <si>
    <t>0977-66-5121</t>
  </si>
  <si>
    <t>0977-66-5122</t>
  </si>
  <si>
    <t>097-522-0003</t>
  </si>
  <si>
    <t>097-522-0021</t>
  </si>
  <si>
    <t>0973-24-9510</t>
  </si>
  <si>
    <t>0973-24-9520</t>
  </si>
  <si>
    <t>0973-78-8346</t>
  </si>
  <si>
    <t>0973-78-8322</t>
  </si>
  <si>
    <t>0979-64-7440</t>
  </si>
  <si>
    <t>0979-33-7499</t>
  </si>
  <si>
    <t>0977-27-5550</t>
  </si>
  <si>
    <t>0977-26-1342</t>
  </si>
  <si>
    <t>0979-25-0252</t>
  </si>
  <si>
    <t>0979-25-0257</t>
  </si>
  <si>
    <t>0973-25-6202</t>
  </si>
  <si>
    <t>0973-25-6203</t>
  </si>
  <si>
    <t>097-529-9300</t>
  </si>
  <si>
    <t>097-529-9301</t>
  </si>
  <si>
    <t>0973-73-8658</t>
  </si>
  <si>
    <t>0973-73-8688</t>
  </si>
  <si>
    <t>0978-33-3004</t>
  </si>
  <si>
    <t>0978-25-8800</t>
  </si>
  <si>
    <t>0974-63-9595</t>
  </si>
  <si>
    <t>0974-63-9590</t>
  </si>
  <si>
    <t>0977-23-4317</t>
  </si>
  <si>
    <t>0977-23-4320</t>
  </si>
  <si>
    <t>0978-32-2391</t>
  </si>
  <si>
    <t>0978-33-5886</t>
  </si>
  <si>
    <t>097-586-5780</t>
  </si>
  <si>
    <t>097-586-5781</t>
  </si>
  <si>
    <t>097-578-9985</t>
  </si>
  <si>
    <t>097-578-9986</t>
  </si>
  <si>
    <t>097-567-4545</t>
  </si>
  <si>
    <t>097-567-4645</t>
  </si>
  <si>
    <t>097-574-5822</t>
  </si>
  <si>
    <t>097-574-5823</t>
  </si>
  <si>
    <t>0973-52-2929</t>
  </si>
  <si>
    <t>0974-22-1017</t>
  </si>
  <si>
    <t>0974-22-6073</t>
  </si>
  <si>
    <t>0973-24-7538</t>
  </si>
  <si>
    <t>0973-24-7579</t>
  </si>
  <si>
    <t>097-585-1002</t>
  </si>
  <si>
    <t>097-585-1003</t>
  </si>
  <si>
    <t>097-551-2811</t>
  </si>
  <si>
    <t>097-513-0088</t>
  </si>
  <si>
    <t>0974-77-2660</t>
  </si>
  <si>
    <t>0974-22-3167</t>
  </si>
  <si>
    <t>0974-22-2478</t>
  </si>
  <si>
    <t>097-551-9470</t>
  </si>
  <si>
    <t>097-551-9501</t>
  </si>
  <si>
    <t>097-578-0292</t>
  </si>
  <si>
    <t>097-578-1075</t>
  </si>
  <si>
    <t>0977-28-1661</t>
  </si>
  <si>
    <t>0977-28-1668</t>
  </si>
  <si>
    <t>0972-22-9027</t>
  </si>
  <si>
    <t>0972-22-9038</t>
  </si>
  <si>
    <t>0974-37-2532</t>
  </si>
  <si>
    <t>0972-62-4333</t>
  </si>
  <si>
    <t>0972-62-4699</t>
  </si>
  <si>
    <t>0977-22-4646</t>
  </si>
  <si>
    <t>0977-22-4645</t>
  </si>
  <si>
    <t>0979-56-2004</t>
  </si>
  <si>
    <t>0979-56-3110</t>
  </si>
  <si>
    <t>097-503-1822</t>
  </si>
  <si>
    <t>097-503-1823</t>
  </si>
  <si>
    <t>097-592-0077</t>
  </si>
  <si>
    <t>097-592-2055</t>
  </si>
  <si>
    <t>0974-72-0059</t>
  </si>
  <si>
    <t>0973-72-5724</t>
  </si>
  <si>
    <t>0977-21-2145</t>
  </si>
  <si>
    <t>0977-21-2164</t>
  </si>
  <si>
    <t>097-597-0606</t>
  </si>
  <si>
    <t>097-597-5109</t>
  </si>
  <si>
    <t>0978-53-6133</t>
  </si>
  <si>
    <t>0972-56-5000</t>
  </si>
  <si>
    <t>0972-56-5778</t>
  </si>
  <si>
    <t>0978-67-2801</t>
  </si>
  <si>
    <t>0972-82-8659</t>
  </si>
  <si>
    <t>0972-82-0100</t>
  </si>
  <si>
    <t>0973-22-7841</t>
  </si>
  <si>
    <t>0973-28-7383</t>
  </si>
  <si>
    <t>097-551-9334</t>
  </si>
  <si>
    <t>097-551-9441</t>
  </si>
  <si>
    <t>0978-73-2070</t>
  </si>
  <si>
    <t>0978-73-2071</t>
  </si>
  <si>
    <t>097-548-7375</t>
  </si>
  <si>
    <t>097-548-7376</t>
  </si>
  <si>
    <t>097-529-9330</t>
  </si>
  <si>
    <t>097-529-9331</t>
  </si>
  <si>
    <t>097-592-6220</t>
  </si>
  <si>
    <t>097-554-8484</t>
  </si>
  <si>
    <t>097-554-8400</t>
  </si>
  <si>
    <t>0973-54-3719</t>
  </si>
  <si>
    <t>0973-54-3333</t>
  </si>
  <si>
    <t>0974-63-4214</t>
  </si>
  <si>
    <t>0974-63-0823</t>
  </si>
  <si>
    <t>0972-25-1588</t>
  </si>
  <si>
    <t>0972-25-1577</t>
  </si>
  <si>
    <t>0973-77-2134</t>
  </si>
  <si>
    <t>0973-77-2135</t>
  </si>
  <si>
    <t>097-503-1739</t>
  </si>
  <si>
    <t>097-503-1768</t>
  </si>
  <si>
    <t>0977-23-2207</t>
  </si>
  <si>
    <t>0977-23-9959</t>
  </si>
  <si>
    <t>097-551-1711</t>
  </si>
  <si>
    <t>097-558-9334</t>
  </si>
  <si>
    <t>0974-22-7028</t>
  </si>
  <si>
    <t>0974-22-7087</t>
  </si>
  <si>
    <t>097-593-3590</t>
  </si>
  <si>
    <t>097-593-3589</t>
  </si>
  <si>
    <t>0973-23-7979</t>
  </si>
  <si>
    <t>0973-23-7978</t>
  </si>
  <si>
    <t>097-546-1421</t>
  </si>
  <si>
    <t>097-544-6018</t>
  </si>
  <si>
    <t>0972-22-2266</t>
  </si>
  <si>
    <t>0972-22-0195</t>
  </si>
  <si>
    <t>0974-62-3384</t>
  </si>
  <si>
    <t>0974-63-0124</t>
  </si>
  <si>
    <t>0973-27-6447</t>
  </si>
  <si>
    <t>0973-27-6457</t>
  </si>
  <si>
    <t>097-573-5117</t>
  </si>
  <si>
    <t>097-573-5113</t>
  </si>
  <si>
    <t>097-540-7025</t>
  </si>
  <si>
    <t>097-540-7045</t>
  </si>
  <si>
    <t>097-592-1924</t>
  </si>
  <si>
    <t>097-592-1345</t>
  </si>
  <si>
    <t>0978-67-3934</t>
  </si>
  <si>
    <t>0978-67-3591</t>
  </si>
  <si>
    <t>0977-26-0641</t>
  </si>
  <si>
    <t>0977-25-6949</t>
  </si>
  <si>
    <t>097-578-7812</t>
  </si>
  <si>
    <t>097-578-7815</t>
  </si>
  <si>
    <t>0978-22-3820</t>
  </si>
  <si>
    <t>0974-72-1541</t>
  </si>
  <si>
    <t>0974-72-1142</t>
  </si>
  <si>
    <t>0974-42-2694</t>
  </si>
  <si>
    <t>0974-42-2507</t>
  </si>
  <si>
    <t>0973-72-2040</t>
  </si>
  <si>
    <t>0973-72-2033</t>
  </si>
  <si>
    <t>0972-27-8368</t>
  </si>
  <si>
    <t>097-544-0028</t>
  </si>
  <si>
    <t>097-594-4888</t>
  </si>
  <si>
    <t>097-524-2777</t>
  </si>
  <si>
    <t>097-524-2633</t>
  </si>
  <si>
    <t>097-553-1751</t>
  </si>
  <si>
    <t>097-553-1846</t>
  </si>
  <si>
    <t>0972-46-0055</t>
  </si>
  <si>
    <t>0973-23-7830</t>
  </si>
  <si>
    <t>0974-63-0457</t>
  </si>
  <si>
    <t>097-586-2345</t>
  </si>
  <si>
    <t>097-586-2288</t>
  </si>
  <si>
    <t>097-593-3633</t>
  </si>
  <si>
    <t>097-593-1200</t>
  </si>
  <si>
    <t>097-549-4863</t>
  </si>
  <si>
    <t>097-549-4404</t>
  </si>
  <si>
    <t>0973-24-0636</t>
  </si>
  <si>
    <t>0973-24-7788</t>
  </si>
  <si>
    <t>0974-63-3911</t>
  </si>
  <si>
    <t>0974-63-3913</t>
  </si>
  <si>
    <t>097-542-0553</t>
  </si>
  <si>
    <t>0979-23-3811</t>
  </si>
  <si>
    <t>0979-23-3889</t>
  </si>
  <si>
    <t>0977-67-5589</t>
  </si>
  <si>
    <t>097-529-7152</t>
  </si>
  <si>
    <t>097-529-7153</t>
  </si>
  <si>
    <t>0978-32-1530</t>
  </si>
  <si>
    <t>0978-32-2120</t>
  </si>
  <si>
    <t>097-558-1294</t>
  </si>
  <si>
    <t>097-558-7306</t>
  </si>
  <si>
    <t>097-558-3161</t>
  </si>
  <si>
    <t>097-558-3764</t>
  </si>
  <si>
    <t>097-520-3588</t>
  </si>
  <si>
    <t>097-520-2165</t>
  </si>
  <si>
    <t>0977-23-2117</t>
  </si>
  <si>
    <t>0977-23-2066</t>
  </si>
  <si>
    <t>0978-62-5921</t>
  </si>
  <si>
    <t>0978-62-5922</t>
  </si>
  <si>
    <t>0977-24-2009</t>
  </si>
  <si>
    <t>0977-24-2046</t>
  </si>
  <si>
    <t>0979-26-5833</t>
  </si>
  <si>
    <t>0979-26-5880</t>
  </si>
  <si>
    <t>0972-83-5331</t>
  </si>
  <si>
    <t>0972-83-5332</t>
  </si>
  <si>
    <t>097-576-9508</t>
  </si>
  <si>
    <t>097-576-9608</t>
  </si>
  <si>
    <t>0977-24-1784</t>
  </si>
  <si>
    <t>0977-24-1794</t>
  </si>
  <si>
    <t>0977-75-8408</t>
  </si>
  <si>
    <t>0977-75-8409</t>
  </si>
  <si>
    <t>0977-66-9236</t>
  </si>
  <si>
    <t>0973-23-4613</t>
  </si>
  <si>
    <t>0973-24-7868</t>
  </si>
  <si>
    <t>097-586-3222</t>
  </si>
  <si>
    <t>097-586-3197</t>
  </si>
  <si>
    <t>097-567-9160</t>
  </si>
  <si>
    <t>097-567-9150</t>
  </si>
  <si>
    <t>0974-76-0752</t>
  </si>
  <si>
    <t>097-594-2223</t>
  </si>
  <si>
    <t>097-594-2233</t>
  </si>
  <si>
    <t>097-520-1078</t>
  </si>
  <si>
    <t>097-599-3606</t>
  </si>
  <si>
    <t>097-599-3607</t>
  </si>
  <si>
    <t>097-588-1339</t>
  </si>
  <si>
    <t>0972-25-3701</t>
  </si>
  <si>
    <t>0972-25-3702</t>
  </si>
  <si>
    <t>097-593-3368</t>
  </si>
  <si>
    <t>097-593-4408</t>
  </si>
  <si>
    <t>097-521-5857</t>
  </si>
  <si>
    <t>097-521-5023</t>
  </si>
  <si>
    <t>097-548-7662</t>
  </si>
  <si>
    <t>0974-75-2368</t>
  </si>
  <si>
    <t>097-536-3900</t>
  </si>
  <si>
    <t>0979-32-7103</t>
  </si>
  <si>
    <t>0979-32-7131</t>
  </si>
  <si>
    <t>097-597-2080</t>
  </si>
  <si>
    <t>0977-85-7581</t>
  </si>
  <si>
    <t>0977-85-7591</t>
  </si>
  <si>
    <t>0979-24-8811</t>
  </si>
  <si>
    <t>0979-24-2340</t>
  </si>
  <si>
    <t>097-569-6677</t>
  </si>
  <si>
    <t>097-569-6397</t>
  </si>
  <si>
    <t>097-575-2600</t>
  </si>
  <si>
    <t>097-592-7225</t>
  </si>
  <si>
    <t>097-523-6081</t>
  </si>
  <si>
    <t>097-523-6087</t>
  </si>
  <si>
    <t>097-551-2236</t>
  </si>
  <si>
    <t>097-552-4682</t>
  </si>
  <si>
    <t>0973-23-8768</t>
  </si>
  <si>
    <t>0973-23-8792</t>
  </si>
  <si>
    <t>097-597-7370</t>
  </si>
  <si>
    <t>097-529-8550</t>
  </si>
  <si>
    <t>0972-58-3107</t>
  </si>
  <si>
    <t>0972-58-3135</t>
  </si>
  <si>
    <t>097-521-8490</t>
  </si>
  <si>
    <t>097-521-9990</t>
  </si>
  <si>
    <t>097-521-3136</t>
  </si>
  <si>
    <t>097-521-3137</t>
  </si>
  <si>
    <t>0972-22-5678</t>
  </si>
  <si>
    <t>0972-23-0928</t>
  </si>
  <si>
    <t>097-582-2545</t>
  </si>
  <si>
    <t>097-582-2766</t>
  </si>
  <si>
    <t>097-535-7703</t>
  </si>
  <si>
    <t>097-535-7704</t>
  </si>
  <si>
    <t>0977-75-0307</t>
  </si>
  <si>
    <t>0973-22-3966</t>
  </si>
  <si>
    <t>0973-24-5113</t>
  </si>
  <si>
    <t>0979-32-6173</t>
  </si>
  <si>
    <t>0979-33-7455</t>
  </si>
  <si>
    <t>0972-33-0545</t>
  </si>
  <si>
    <t>0978-33-5749</t>
  </si>
  <si>
    <t>0978-33-5769</t>
  </si>
  <si>
    <t>0977-21-1130</t>
  </si>
  <si>
    <t>0977-21-1191</t>
  </si>
  <si>
    <t>097-542-4472</t>
  </si>
  <si>
    <t>097-569-6752</t>
  </si>
  <si>
    <t>097-569-5621</t>
  </si>
  <si>
    <t>097-597-6710</t>
  </si>
  <si>
    <t>097-594-0228</t>
  </si>
  <si>
    <t>097-545-8880</t>
  </si>
  <si>
    <t>097-545-8828</t>
  </si>
  <si>
    <t>0972-48-9260</t>
  </si>
  <si>
    <t>0974-62-2262</t>
  </si>
  <si>
    <t>097-536-6075</t>
  </si>
  <si>
    <t>097-586-5097</t>
  </si>
  <si>
    <t>0973-28-5646</t>
  </si>
  <si>
    <t>0973-28-5647</t>
  </si>
  <si>
    <t>097-588-0940</t>
  </si>
  <si>
    <t>097-588-0943</t>
  </si>
  <si>
    <t>0974-62-3612</t>
  </si>
  <si>
    <t>097-529-9577</t>
  </si>
  <si>
    <t>097-529-9599</t>
  </si>
  <si>
    <t>0972-43-3407</t>
  </si>
  <si>
    <t>0972-43-3821</t>
  </si>
  <si>
    <t>097-554-5275</t>
  </si>
  <si>
    <t>097-554-5270</t>
  </si>
  <si>
    <t>0977-66-6123</t>
  </si>
  <si>
    <t>0977-67-7280</t>
  </si>
  <si>
    <t>0974-63-2162</t>
  </si>
  <si>
    <t>0974-63-2264</t>
  </si>
  <si>
    <t>097-536-3811</t>
  </si>
  <si>
    <t>097-536-3860</t>
  </si>
  <si>
    <t>0978-33-5788</t>
  </si>
  <si>
    <t>0978-33-5786</t>
  </si>
  <si>
    <t>0973-72-2059</t>
  </si>
  <si>
    <t>0973-72-3883</t>
  </si>
  <si>
    <t>097-535-8501</t>
  </si>
  <si>
    <t>097-535-8504</t>
  </si>
  <si>
    <t>0978-24-1133</t>
  </si>
  <si>
    <t>0978-24-1127</t>
  </si>
  <si>
    <t>097-551-8557</t>
  </si>
  <si>
    <t>097-551-8558</t>
  </si>
  <si>
    <t>097-578-0889</t>
  </si>
  <si>
    <t>0972-22-5806</t>
  </si>
  <si>
    <t>097-574-4781</t>
  </si>
  <si>
    <t>097-574-4782</t>
  </si>
  <si>
    <t>0972-24-2460</t>
  </si>
  <si>
    <t>0972-24-2439</t>
  </si>
  <si>
    <t>097-553-4890</t>
  </si>
  <si>
    <t>0979-24-8335</t>
  </si>
  <si>
    <t>0979-25-0260</t>
  </si>
  <si>
    <t>0979-53-7260</t>
  </si>
  <si>
    <t>0972-22-4194</t>
  </si>
  <si>
    <t>0972-22-8065</t>
  </si>
  <si>
    <t>097-560-1627</t>
  </si>
  <si>
    <t>097-560-1628</t>
  </si>
  <si>
    <t>097-511-3959</t>
  </si>
  <si>
    <t>097-507-7844</t>
  </si>
  <si>
    <t>097-575-0015</t>
  </si>
  <si>
    <t>097-575-0065</t>
  </si>
  <si>
    <t>097-535-8307</t>
  </si>
  <si>
    <t>097-535-8317</t>
  </si>
  <si>
    <t>097-595-0775</t>
  </si>
  <si>
    <t>097-528-1316</t>
  </si>
  <si>
    <t>097-528-1323</t>
  </si>
  <si>
    <t>0972-23-0585</t>
  </si>
  <si>
    <t>0972-28-7078</t>
  </si>
  <si>
    <t>0972-28-5559</t>
  </si>
  <si>
    <t>0972-28-5560</t>
  </si>
  <si>
    <t>097-594-0884</t>
  </si>
  <si>
    <t>097-594-0886</t>
  </si>
  <si>
    <t>0973-52-2463</t>
  </si>
  <si>
    <t>0973-52-3463</t>
  </si>
  <si>
    <t>097-527-2245</t>
  </si>
  <si>
    <t>097-527-2246</t>
  </si>
  <si>
    <t>097-547-8777</t>
  </si>
  <si>
    <t>097-547-8444</t>
  </si>
  <si>
    <t>097-534-0349</t>
  </si>
  <si>
    <t>097-532-7168</t>
  </si>
  <si>
    <t>097-558-5538</t>
  </si>
  <si>
    <t>097-558-5539</t>
  </si>
  <si>
    <t>097-545-7878</t>
  </si>
  <si>
    <t>097-545-3955</t>
  </si>
  <si>
    <t>097-533-5528</t>
  </si>
  <si>
    <t>097-533-7247</t>
  </si>
  <si>
    <t>097-523-3632</t>
  </si>
  <si>
    <t>097-507-9588</t>
  </si>
  <si>
    <t>0979-32-8010</t>
  </si>
  <si>
    <t>0979-32-8020</t>
  </si>
  <si>
    <t>097-597-3835</t>
  </si>
  <si>
    <t>097-558-1771</t>
  </si>
  <si>
    <t>097-558-1781</t>
  </si>
  <si>
    <t>0973-22-1975</t>
  </si>
  <si>
    <t>0973-24-6627</t>
  </si>
  <si>
    <t>097-582-2415</t>
  </si>
  <si>
    <t>097-582-0535</t>
  </si>
  <si>
    <t>0973-23-5180</t>
  </si>
  <si>
    <t>0973-23-5750</t>
  </si>
  <si>
    <t>097-594-1377</t>
  </si>
  <si>
    <t>097-594-1378</t>
  </si>
  <si>
    <t>0978-62-5058</t>
  </si>
  <si>
    <t>0972-20-3335</t>
  </si>
  <si>
    <t>0972-20-3778</t>
  </si>
  <si>
    <t>0973-22-0938</t>
  </si>
  <si>
    <t>0973-22-0936</t>
  </si>
  <si>
    <t>097-567-8522</t>
  </si>
  <si>
    <t>097-567-8515</t>
  </si>
  <si>
    <t>0973-77-7670</t>
  </si>
  <si>
    <t>0973-77-6670</t>
  </si>
  <si>
    <t>097-545-0232</t>
  </si>
  <si>
    <t>097-545-0235</t>
  </si>
  <si>
    <t>097-503-3100</t>
  </si>
  <si>
    <t>097-503-3300</t>
  </si>
  <si>
    <t>097-511-6648</t>
  </si>
  <si>
    <t>097-565-0371</t>
  </si>
  <si>
    <t>0977-72-6664</t>
  </si>
  <si>
    <t>0977-72-8377</t>
  </si>
  <si>
    <t>0974-75-2355</t>
  </si>
  <si>
    <t>0974-78-1571</t>
  </si>
  <si>
    <t>0977-85-3634</t>
  </si>
  <si>
    <t>0977-85-3133</t>
  </si>
  <si>
    <t>097-542-5577</t>
  </si>
  <si>
    <t>097-542-5527</t>
  </si>
  <si>
    <t>0972-46-3008</t>
  </si>
  <si>
    <t>0972-46-3004</t>
  </si>
  <si>
    <t>0978-62-4577</t>
  </si>
  <si>
    <t>097-544-5396</t>
  </si>
  <si>
    <t>097-543-7081</t>
  </si>
  <si>
    <t>0979-53-6004</t>
  </si>
  <si>
    <t>0979-53-9292</t>
  </si>
  <si>
    <t>097-595-0077</t>
  </si>
  <si>
    <t>097-595-0074</t>
  </si>
  <si>
    <t>0979-27-7708</t>
  </si>
  <si>
    <t>0979-27-7709</t>
  </si>
  <si>
    <t>0972-82-4223</t>
  </si>
  <si>
    <t>097-552-5969</t>
  </si>
  <si>
    <t>097-552-4569</t>
  </si>
  <si>
    <t>0973-25-5535</t>
  </si>
  <si>
    <t>0973-25-5545</t>
  </si>
  <si>
    <t>0972-46-0505</t>
  </si>
  <si>
    <t>0972-46-2058</t>
  </si>
  <si>
    <t>0977-76-8812</t>
  </si>
  <si>
    <t>0977-76-8822</t>
  </si>
  <si>
    <t>097-582-1500</t>
  </si>
  <si>
    <t>097-582-2500</t>
  </si>
  <si>
    <t>097-537-0123</t>
  </si>
  <si>
    <t>097-537-4567</t>
  </si>
  <si>
    <t>0974-63-4501</t>
  </si>
  <si>
    <t>097-547-8141</t>
  </si>
  <si>
    <t>097-547-8142</t>
  </si>
  <si>
    <t>0972-24-0871</t>
  </si>
  <si>
    <t>0972-24-0877</t>
  </si>
  <si>
    <t>097-588-1736</t>
  </si>
  <si>
    <t>097-588-1451</t>
  </si>
  <si>
    <t>0974-75-2480</t>
  </si>
  <si>
    <t>0974-78-1036</t>
  </si>
  <si>
    <t>097-532-4735</t>
  </si>
  <si>
    <t>097-574-6601</t>
  </si>
  <si>
    <t>0972-22-2264</t>
  </si>
  <si>
    <t>0972-22-2574</t>
  </si>
  <si>
    <t>0973-52-3071</t>
  </si>
  <si>
    <t>0973-52-3717</t>
  </si>
  <si>
    <t>080-6430-3251</t>
  </si>
  <si>
    <t>0977-67-3865</t>
  </si>
  <si>
    <t>097-578-8472</t>
  </si>
  <si>
    <t>097-578-8473</t>
  </si>
  <si>
    <t>0979-32-5505</t>
  </si>
  <si>
    <t>0979-32-6117</t>
  </si>
  <si>
    <t>0979-27-0337</t>
  </si>
  <si>
    <t>0979-27-0338</t>
  </si>
  <si>
    <t>097-582-2186</t>
  </si>
  <si>
    <t>097-594-1054</t>
  </si>
  <si>
    <t>0978-63-9612</t>
  </si>
  <si>
    <t>097-582-8088</t>
  </si>
  <si>
    <t>097-582-8080</t>
  </si>
  <si>
    <t>0974-62-3510</t>
  </si>
  <si>
    <t>0974-62-3550</t>
  </si>
  <si>
    <t>0972-22-2280</t>
  </si>
  <si>
    <t>0974-63-3582</t>
  </si>
  <si>
    <t>0974-63-3583</t>
  </si>
  <si>
    <t>0972-22-3080</t>
  </si>
  <si>
    <t>0972-24-3097</t>
  </si>
  <si>
    <t>0972-56-5848</t>
  </si>
  <si>
    <t>0972-28-7027</t>
  </si>
  <si>
    <t>097-529-8377</t>
  </si>
  <si>
    <t>097-529-8367</t>
  </si>
  <si>
    <t>097-574-4067</t>
  </si>
  <si>
    <t>097-574-4061</t>
  </si>
  <si>
    <t>0973-22-1343</t>
  </si>
  <si>
    <t>0973-28-5071</t>
  </si>
  <si>
    <t>0979-56-2221</t>
  </si>
  <si>
    <t>0977-23-1913</t>
  </si>
  <si>
    <t>097-552-3266</t>
  </si>
  <si>
    <t>097-556-3164</t>
  </si>
  <si>
    <t>097-535-8132</t>
  </si>
  <si>
    <t>097-535-8133</t>
  </si>
  <si>
    <t>0977-23-1321</t>
  </si>
  <si>
    <t>0977-23-1323</t>
  </si>
  <si>
    <t>0979-33-0081</t>
  </si>
  <si>
    <t>0979-33-0082</t>
  </si>
  <si>
    <t>0978-63-1510</t>
  </si>
  <si>
    <t>0979-33-7737</t>
  </si>
  <si>
    <t>0972-28-5254</t>
  </si>
  <si>
    <t>0979-33-1883</t>
  </si>
  <si>
    <t>0979-32-5998</t>
  </si>
  <si>
    <t>097-529-6129</t>
  </si>
  <si>
    <t>097-529-5486</t>
  </si>
  <si>
    <t>0972-24-8676</t>
  </si>
  <si>
    <t>097-574-6816</t>
  </si>
  <si>
    <t>097-574-6817</t>
  </si>
  <si>
    <t>0977-76-5812</t>
  </si>
  <si>
    <t>0977-76-5813</t>
  </si>
  <si>
    <t>0973-23-3031</t>
  </si>
  <si>
    <t>0974-34-3150</t>
  </si>
  <si>
    <t>0974-34-3101</t>
  </si>
  <si>
    <t>0977-86-2772</t>
  </si>
  <si>
    <t>0977-86-2202</t>
  </si>
  <si>
    <t>097-574-4339</t>
  </si>
  <si>
    <t>097-574-4349</t>
  </si>
  <si>
    <t>0972-44-0440</t>
  </si>
  <si>
    <t>0972-25-3308</t>
  </si>
  <si>
    <t>050-3737-9517</t>
  </si>
  <si>
    <t>097-511-0057</t>
  </si>
  <si>
    <t>097-511-2219</t>
  </si>
  <si>
    <t>097-523-3502</t>
  </si>
  <si>
    <t>097-523-3505</t>
  </si>
  <si>
    <t>097-503-6731</t>
  </si>
  <si>
    <t>097-503-6712</t>
  </si>
  <si>
    <t>0978-74-0418</t>
  </si>
  <si>
    <t>0978-74-1428</t>
  </si>
  <si>
    <t>0978-25-5904</t>
  </si>
  <si>
    <t>0978-25-5905</t>
  </si>
  <si>
    <t>097-583-5544</t>
  </si>
  <si>
    <t>097-522-2355</t>
  </si>
  <si>
    <t>097-524-1147</t>
  </si>
  <si>
    <t>097-592-7788</t>
  </si>
  <si>
    <t>097-592-7789</t>
  </si>
  <si>
    <t>097-529-7575</t>
  </si>
  <si>
    <t>097-529-7373</t>
  </si>
  <si>
    <t>0972-28-3373</t>
  </si>
  <si>
    <t>0972-28-3375</t>
  </si>
  <si>
    <t>0972-23-2952</t>
  </si>
  <si>
    <t>097-574-8560</t>
  </si>
  <si>
    <t>097-574-8710</t>
  </si>
  <si>
    <t>097-552-6085</t>
  </si>
  <si>
    <t>097-594-1455</t>
  </si>
  <si>
    <t>097-594-1488</t>
  </si>
  <si>
    <t>097-568-8465</t>
  </si>
  <si>
    <t>097-568-9461</t>
  </si>
  <si>
    <t>0977-72-6584</t>
  </si>
  <si>
    <t>0974-22-7456</t>
  </si>
  <si>
    <t>097-582-1037</t>
  </si>
  <si>
    <t>097-582-1737</t>
  </si>
  <si>
    <t>097-511-6216</t>
  </si>
  <si>
    <t>097-511-7666</t>
  </si>
  <si>
    <t>0973-52-3053</t>
  </si>
  <si>
    <t>0973-52-3506</t>
  </si>
  <si>
    <t>0972-23-2200</t>
  </si>
  <si>
    <t>0972-23-2208</t>
  </si>
  <si>
    <t>0972-82-2977</t>
  </si>
  <si>
    <t>0977-25-5833</t>
  </si>
  <si>
    <t>0977-25-5899</t>
  </si>
  <si>
    <t>097-503-3434</t>
  </si>
  <si>
    <t>097-503-0344</t>
  </si>
  <si>
    <t>0977-66-6077</t>
  </si>
  <si>
    <t>0977-66-6212</t>
  </si>
  <si>
    <t>0974-22-2378</t>
  </si>
  <si>
    <t>0972-20-5155</t>
  </si>
  <si>
    <t>0972-20-0302</t>
  </si>
  <si>
    <t>097-551-8211</t>
  </si>
  <si>
    <t>097-556-2241</t>
  </si>
  <si>
    <t>097-574-6448</t>
  </si>
  <si>
    <t>097-574-6486</t>
  </si>
  <si>
    <t>097-547-7978</t>
  </si>
  <si>
    <t>097-547-7957</t>
  </si>
  <si>
    <t>097-578-6695</t>
  </si>
  <si>
    <t>097-578-6696</t>
  </si>
  <si>
    <t>0973-73-3811</t>
  </si>
  <si>
    <t>0973-73-3813</t>
  </si>
  <si>
    <t>0978-38-4123</t>
  </si>
  <si>
    <t>0978-38-4124</t>
  </si>
  <si>
    <t>0973-29-8177</t>
  </si>
  <si>
    <t>0973-29-8178</t>
  </si>
  <si>
    <t>0978-32-0192</t>
  </si>
  <si>
    <t>0978-33-3324</t>
  </si>
  <si>
    <t>0979-43-6200</t>
  </si>
  <si>
    <t>097-576-8450</t>
  </si>
  <si>
    <t>097-576-8290</t>
  </si>
  <si>
    <t>0972-82-2426</t>
  </si>
  <si>
    <t>0972-82-6278</t>
  </si>
  <si>
    <t>097-535-7282</t>
  </si>
  <si>
    <t>0978-38-6778</t>
  </si>
  <si>
    <t>0978-38-5596</t>
  </si>
  <si>
    <t>0972-22-8732</t>
  </si>
  <si>
    <t>097-538-3374</t>
  </si>
  <si>
    <t>097-538-3376</t>
  </si>
  <si>
    <t>0978-24-3073</t>
  </si>
  <si>
    <t>0978-24-0123</t>
  </si>
  <si>
    <t>0974-72-1545</t>
  </si>
  <si>
    <t>0972-28-5161</t>
  </si>
  <si>
    <t>0972-28-5162</t>
  </si>
  <si>
    <t>0972-29-2733</t>
  </si>
  <si>
    <t>0979-64-8575</t>
  </si>
  <si>
    <t>0979-64-8521</t>
  </si>
  <si>
    <t>097-597-4767</t>
  </si>
  <si>
    <t>097-574-7957</t>
  </si>
  <si>
    <t>097-553-5337</t>
  </si>
  <si>
    <t>097-574-6208</t>
  </si>
  <si>
    <t>097-578-8337</t>
  </si>
  <si>
    <t>097-578-8338</t>
  </si>
  <si>
    <t>0974-64-0390</t>
  </si>
  <si>
    <t>0974-64-0400</t>
  </si>
  <si>
    <t>0977-76-5780</t>
  </si>
  <si>
    <t>0977-76-5781</t>
  </si>
  <si>
    <t>0977-27-6556</t>
  </si>
  <si>
    <t>0977-27-6558</t>
  </si>
  <si>
    <t>097-578-7808</t>
  </si>
  <si>
    <t>097-578-7810</t>
  </si>
  <si>
    <t>097-524-2882</t>
  </si>
  <si>
    <t>097-594-5383</t>
  </si>
  <si>
    <t>0972-83-5783</t>
  </si>
  <si>
    <t>0972-83-5784</t>
  </si>
  <si>
    <t>097-521-6171</t>
  </si>
  <si>
    <t>097-521-6174</t>
  </si>
  <si>
    <t>0973-72-3166</t>
  </si>
  <si>
    <t>0973-72-3232</t>
  </si>
  <si>
    <t>0977-77-1119</t>
  </si>
  <si>
    <t>0977-77-1555</t>
  </si>
  <si>
    <t>097-528-8255</t>
  </si>
  <si>
    <t>097-528-8277</t>
  </si>
  <si>
    <t>097-529-8055</t>
  </si>
  <si>
    <t>097-529-6808</t>
  </si>
  <si>
    <t>0979-64-8360</t>
  </si>
  <si>
    <t>0979-64-8361</t>
  </si>
  <si>
    <t>0974-22-2021</t>
  </si>
  <si>
    <t>0974-22-2051</t>
  </si>
  <si>
    <t>0973-24-7352</t>
  </si>
  <si>
    <t>0973-28-5119</t>
  </si>
  <si>
    <t>0977-75-8662</t>
  </si>
  <si>
    <t>0977-75-8668</t>
  </si>
  <si>
    <t>097-551-1213</t>
  </si>
  <si>
    <t>097-551-3773</t>
  </si>
  <si>
    <t>097-578-6103</t>
  </si>
  <si>
    <t>097-578-6104</t>
  </si>
  <si>
    <t>0972-48-9261</t>
  </si>
  <si>
    <t>097-534-9400</t>
  </si>
  <si>
    <t>097-534-9443</t>
  </si>
  <si>
    <t>0979-62-3466</t>
  </si>
  <si>
    <t>0979-31-0690</t>
  </si>
  <si>
    <t>097-574-5657</t>
  </si>
  <si>
    <t>0972-32-3450</t>
  </si>
  <si>
    <t>0972-32-2790</t>
  </si>
  <si>
    <t>0977-24-9915</t>
  </si>
  <si>
    <t>0977-24-9922</t>
  </si>
  <si>
    <t>0973-24-5316</t>
  </si>
  <si>
    <t>0973-28-5316</t>
  </si>
  <si>
    <t>0973-24-8577</t>
  </si>
  <si>
    <t>0973-24-8955</t>
  </si>
  <si>
    <t>0973-57-2156</t>
  </si>
  <si>
    <t>0973-57-2130</t>
  </si>
  <si>
    <t>097-578-8316</t>
  </si>
  <si>
    <t>097-578-8317</t>
  </si>
  <si>
    <t>0973-24-4828</t>
  </si>
  <si>
    <t>0973-22-4077</t>
  </si>
  <si>
    <t>0973-28-7773</t>
  </si>
  <si>
    <t>0973-28-7775</t>
  </si>
  <si>
    <t>0973-28-5262</t>
  </si>
  <si>
    <t>0973-28-5263</t>
  </si>
  <si>
    <t>0972-32-3038</t>
  </si>
  <si>
    <t>0972-32-3068</t>
  </si>
  <si>
    <t>0977-22-3711</t>
  </si>
  <si>
    <t>0977-22-3480</t>
  </si>
  <si>
    <t>097-529-7122</t>
  </si>
  <si>
    <t>0978-38-5766</t>
  </si>
  <si>
    <t>0978-38-5769</t>
  </si>
  <si>
    <t>0973-23-5369</t>
  </si>
  <si>
    <t>0973-23-5872</t>
  </si>
  <si>
    <t>0978-33-1100</t>
  </si>
  <si>
    <t>0978-33-3818</t>
  </si>
  <si>
    <t>0973-22-3743</t>
  </si>
  <si>
    <t>0973-22-4734</t>
  </si>
  <si>
    <t>097-574-5027</t>
  </si>
  <si>
    <t>097-574-6460</t>
  </si>
  <si>
    <t>097-535-9211</t>
  </si>
  <si>
    <t>0978-63-0973</t>
  </si>
  <si>
    <t>0978-68-8070</t>
  </si>
  <si>
    <t>097-574-4444</t>
  </si>
  <si>
    <t>097-599-7798</t>
  </si>
  <si>
    <t>097-576-7784</t>
  </si>
  <si>
    <t>0978-62-6366</t>
  </si>
  <si>
    <t>0978-62-6377</t>
  </si>
  <si>
    <t>097-576-8501</t>
  </si>
  <si>
    <t>097-576-8581</t>
  </si>
  <si>
    <t>0973-29-8686</t>
  </si>
  <si>
    <t>0973-29-8890</t>
  </si>
  <si>
    <t>0972-52-1051</t>
  </si>
  <si>
    <t>0977-73-2313</t>
  </si>
  <si>
    <t>0977-72-2314</t>
  </si>
  <si>
    <t>0973-24-9745</t>
  </si>
  <si>
    <t>0973-24-9747</t>
  </si>
  <si>
    <t>097-574-8135</t>
  </si>
  <si>
    <t>097-574-8136</t>
  </si>
  <si>
    <t>0973-28-5431</t>
  </si>
  <si>
    <t>0973-28-5436</t>
  </si>
  <si>
    <t>0979-64-8238</t>
  </si>
  <si>
    <t>0979-64-8237</t>
  </si>
  <si>
    <t>0972-44-0570</t>
  </si>
  <si>
    <t>0978-25-7767</t>
  </si>
  <si>
    <t>0978-32-7311</t>
  </si>
  <si>
    <t>0974-22-0123</t>
  </si>
  <si>
    <t>0974-22-5183</t>
  </si>
  <si>
    <t>097-536-2775</t>
  </si>
  <si>
    <t>097-534-1440</t>
  </si>
  <si>
    <t>0972-67-2838</t>
  </si>
  <si>
    <t>097-574-5539</t>
  </si>
  <si>
    <t>097-574-5549</t>
  </si>
  <si>
    <t>0972-28-7600</t>
  </si>
  <si>
    <t>097-579-6571</t>
  </si>
  <si>
    <t>097-579-6572</t>
  </si>
  <si>
    <t>0978-62-2612</t>
  </si>
  <si>
    <t>0974-22-8760</t>
  </si>
  <si>
    <t>0974-22-8761</t>
  </si>
  <si>
    <t>0973-22-1200</t>
  </si>
  <si>
    <t>0973-23-3890</t>
  </si>
  <si>
    <t>0972-22-5555</t>
  </si>
  <si>
    <t>0972-48-9175</t>
  </si>
  <si>
    <t>0977-76-2562</t>
  </si>
  <si>
    <t>0978-25-5221</t>
  </si>
  <si>
    <t>0974-22-3334</t>
  </si>
  <si>
    <t>0974-22-7859</t>
  </si>
  <si>
    <t>0978-62-0590</t>
  </si>
  <si>
    <t>097-589-8384</t>
  </si>
  <si>
    <t>097-589-8385</t>
  </si>
  <si>
    <t>0977-72-0213</t>
  </si>
  <si>
    <t>0977-72-0313</t>
  </si>
  <si>
    <t>0978-24-1212</t>
  </si>
  <si>
    <t>0978-24-1213</t>
  </si>
  <si>
    <t>097-578-8832</t>
  </si>
  <si>
    <t>0974-34-3611</t>
  </si>
  <si>
    <t>0973-23-0361</t>
  </si>
  <si>
    <t>0973-23-0368</t>
  </si>
  <si>
    <t>0978-74-0728</t>
  </si>
  <si>
    <t>0978-74-0272</t>
  </si>
  <si>
    <t>0977-85-8725</t>
  </si>
  <si>
    <t>0977-85-8726</t>
  </si>
  <si>
    <t>0979-33-7795</t>
  </si>
  <si>
    <t>0979-33-7796</t>
  </si>
  <si>
    <t>0973-72-0542</t>
  </si>
  <si>
    <t>0973-72-0518</t>
  </si>
  <si>
    <t>097-592-7178</t>
  </si>
  <si>
    <t>097-592-7273</t>
  </si>
  <si>
    <t>097-578-9333</t>
  </si>
  <si>
    <t>097-578-9335</t>
  </si>
  <si>
    <t>0973-72-6277</t>
  </si>
  <si>
    <t>0973-72-6287</t>
  </si>
  <si>
    <t>097-545-0555</t>
  </si>
  <si>
    <t>097-545-0566</t>
  </si>
  <si>
    <t>0974-35-2257</t>
  </si>
  <si>
    <t>097-574-6418</t>
  </si>
  <si>
    <t>0979-32-8241</t>
  </si>
  <si>
    <t>0979-33-8815</t>
  </si>
  <si>
    <t>097-576-8251</t>
  </si>
  <si>
    <t>097-576-8262</t>
  </si>
  <si>
    <t>097-592-5000</t>
  </si>
  <si>
    <t>097-592-5331</t>
  </si>
  <si>
    <t>0972-64-7000</t>
  </si>
  <si>
    <t>0972-64-7100</t>
  </si>
  <si>
    <t>097-578-9721</t>
  </si>
  <si>
    <t>097-578-9719</t>
  </si>
  <si>
    <t>097-551-0969</t>
  </si>
  <si>
    <t>097-535-8117</t>
  </si>
  <si>
    <t>0974-72-0893</t>
  </si>
  <si>
    <t>0972-28-5713</t>
  </si>
  <si>
    <t>0972-28-5733</t>
  </si>
  <si>
    <t>0972-63-7624</t>
  </si>
  <si>
    <t>097-529-7291</t>
  </si>
  <si>
    <t>097-529-7296</t>
  </si>
  <si>
    <t>0977-24-1212</t>
  </si>
  <si>
    <t>0977-24-3133</t>
  </si>
  <si>
    <t>0972-48-9314</t>
  </si>
  <si>
    <t>0973-24-1360</t>
  </si>
  <si>
    <t>0973-24-1382</t>
  </si>
  <si>
    <t>0972-28-8000</t>
  </si>
  <si>
    <t>0972-28-8001</t>
  </si>
  <si>
    <t>097-544-7230</t>
  </si>
  <si>
    <t>097-560-1823</t>
  </si>
  <si>
    <t>0978-62-2639</t>
  </si>
  <si>
    <t>0978-62-2820</t>
  </si>
  <si>
    <t>0972-27-7063</t>
  </si>
  <si>
    <t>0972-27-5016</t>
  </si>
  <si>
    <t>0972-27-5017</t>
  </si>
  <si>
    <t>0974-26-4255</t>
  </si>
  <si>
    <t>0974-26-4256</t>
  </si>
  <si>
    <t>097-585-5417</t>
  </si>
  <si>
    <t>097-585-5418</t>
  </si>
  <si>
    <t>0979-62-3430</t>
  </si>
  <si>
    <t>0978-87-2411</t>
  </si>
  <si>
    <t>0978-72-1108</t>
  </si>
  <si>
    <t>0978-72-1206</t>
  </si>
  <si>
    <t>0973-28-6966</t>
  </si>
  <si>
    <t>0973-28-6967</t>
  </si>
  <si>
    <t>097-560-0501</t>
  </si>
  <si>
    <t>097-560-3590</t>
  </si>
  <si>
    <t>0977-51-5955</t>
  </si>
  <si>
    <t>097-585-5127</t>
  </si>
  <si>
    <t>097-585-5128</t>
  </si>
  <si>
    <t>097-556-0545</t>
  </si>
  <si>
    <t>097-560-1647</t>
  </si>
  <si>
    <t>097-583-0097</t>
  </si>
  <si>
    <t>0978-25-4402</t>
  </si>
  <si>
    <t>0978-25-4403</t>
  </si>
  <si>
    <t>0972-83-5829</t>
  </si>
  <si>
    <t>0972-83-5830</t>
  </si>
  <si>
    <t>0974-22-0061</t>
  </si>
  <si>
    <t>0974-22-0006</t>
  </si>
  <si>
    <t>097-529-7275</t>
  </si>
  <si>
    <t>097-529-5031</t>
  </si>
  <si>
    <t>0977-75-8303</t>
  </si>
  <si>
    <t>0977-75-8304</t>
  </si>
  <si>
    <t>0974-76-0055</t>
  </si>
  <si>
    <t>0974-76-0155</t>
  </si>
  <si>
    <t>097-574-4752</t>
  </si>
  <si>
    <t>097-574-4762</t>
  </si>
  <si>
    <t>0972-63-1073</t>
  </si>
  <si>
    <t>0972-83-5223</t>
  </si>
  <si>
    <t>097-574-9380</t>
  </si>
  <si>
    <t>097-574-9582</t>
  </si>
  <si>
    <t>0978-75-4377</t>
  </si>
  <si>
    <t>097-578-9157</t>
  </si>
  <si>
    <t>097-578-9158</t>
  </si>
  <si>
    <t>0979-64-6660</t>
  </si>
  <si>
    <t>0979-64-6661</t>
  </si>
  <si>
    <t>097-576-9524</t>
  </si>
  <si>
    <t>097-576-9526</t>
  </si>
  <si>
    <t>0979-53-8313</t>
  </si>
  <si>
    <t>0979-53-8588</t>
  </si>
  <si>
    <t>097-574-7899</t>
  </si>
  <si>
    <t>097-574-7830</t>
  </si>
  <si>
    <t>097-551-9566</t>
  </si>
  <si>
    <t>097-558-7776</t>
  </si>
  <si>
    <t>0972-48-9033</t>
  </si>
  <si>
    <t>0977-76-6533</t>
  </si>
  <si>
    <t>0977-76-6538</t>
  </si>
  <si>
    <t>097-546-6167</t>
  </si>
  <si>
    <t>097-523-0105</t>
  </si>
  <si>
    <t>097-523-0110</t>
  </si>
  <si>
    <t>0979-26-9915</t>
  </si>
  <si>
    <t>0979-26-9922</t>
  </si>
  <si>
    <t>0979-54-2144</t>
  </si>
  <si>
    <t>0979-54-2077</t>
  </si>
  <si>
    <t>0974-77-2214</t>
  </si>
  <si>
    <t>0974-77-2215</t>
  </si>
  <si>
    <t>0978-25-6850</t>
  </si>
  <si>
    <t>0978-25-8438</t>
  </si>
  <si>
    <t>097-544-7611</t>
  </si>
  <si>
    <t>0978-33-2635</t>
  </si>
  <si>
    <t>0978-33-4417</t>
  </si>
  <si>
    <t>0978-84-0717</t>
  </si>
  <si>
    <t>0978-84-0177</t>
  </si>
  <si>
    <t>097-547-7004</t>
  </si>
  <si>
    <t>097-547-7014</t>
  </si>
  <si>
    <t>0973-77-6139</t>
  </si>
  <si>
    <t>0973-77-6177</t>
  </si>
  <si>
    <t>0977-85-7626</t>
  </si>
  <si>
    <t>0977-85-7627</t>
  </si>
  <si>
    <t>0977-77-2360</t>
  </si>
  <si>
    <t>0977-77-2027</t>
  </si>
  <si>
    <t>0974-27-4032</t>
  </si>
  <si>
    <t>0974-22-0115</t>
  </si>
  <si>
    <t>097-520-5038</t>
  </si>
  <si>
    <t>0978-63-5177</t>
  </si>
  <si>
    <t>0978-72-0303</t>
  </si>
  <si>
    <t>0978-72-0304</t>
  </si>
  <si>
    <t>0979-25-0370</t>
  </si>
  <si>
    <t>0977-21-8677</t>
  </si>
  <si>
    <t>097-565-0464</t>
  </si>
  <si>
    <t>097-511-7109</t>
  </si>
  <si>
    <t>0979-53-9757</t>
  </si>
  <si>
    <t>0979-53-9758</t>
  </si>
  <si>
    <t>0977-66-0458</t>
  </si>
  <si>
    <t>0977-66-7473</t>
  </si>
  <si>
    <t>0978-68-0102</t>
  </si>
  <si>
    <t>0978-67-2253</t>
  </si>
  <si>
    <t>0978-32-4817</t>
  </si>
  <si>
    <t>0973-72-6200</t>
  </si>
  <si>
    <t>0973-72-6201</t>
  </si>
  <si>
    <t>097-523-4658</t>
  </si>
  <si>
    <t>097-574-5213</t>
  </si>
  <si>
    <t>097-529-7061</t>
  </si>
  <si>
    <t>097-529-7062</t>
  </si>
  <si>
    <t>0974-34-2553</t>
  </si>
  <si>
    <t>0974-34-2919</t>
  </si>
  <si>
    <t>097-503-5855</t>
  </si>
  <si>
    <t>097-521-7636</t>
  </si>
  <si>
    <t>0977-67-1002</t>
  </si>
  <si>
    <t>0972-44-0836</t>
  </si>
  <si>
    <t>097-535-7787</t>
  </si>
  <si>
    <t>097-535-7797</t>
  </si>
  <si>
    <t>097-574-8251</t>
  </si>
  <si>
    <t>097-574-8254</t>
  </si>
  <si>
    <t>097-594-7779</t>
  </si>
  <si>
    <t>097-594-6855</t>
  </si>
  <si>
    <t>097-522-0022</t>
  </si>
  <si>
    <t>097-522-0023</t>
  </si>
  <si>
    <t>097-592-8701</t>
  </si>
  <si>
    <t>097-511-4202</t>
  </si>
  <si>
    <t>090-8664-4517</t>
  </si>
  <si>
    <t>097-594-1566</t>
  </si>
  <si>
    <t>097-594-1100</t>
  </si>
  <si>
    <t>0977-23-9551</t>
  </si>
  <si>
    <t>0977-25-2157</t>
  </si>
  <si>
    <t>090-7928-1720</t>
  </si>
  <si>
    <t>0973-72-2744</t>
  </si>
  <si>
    <t>0973-77-2027</t>
  </si>
  <si>
    <t>0974-22-8147</t>
  </si>
  <si>
    <t>0974-22-1653</t>
  </si>
  <si>
    <t>0973-29-8858</t>
  </si>
  <si>
    <t>0973-29-8859</t>
  </si>
  <si>
    <t>0977-24-4337</t>
  </si>
  <si>
    <t>0977-24-4336</t>
  </si>
  <si>
    <t>0979-32-4861</t>
  </si>
  <si>
    <t>0979-32-4871</t>
  </si>
  <si>
    <t>0978-68-8619</t>
  </si>
  <si>
    <t>0978-68-8520</t>
  </si>
  <si>
    <t>0979-53-9260</t>
  </si>
  <si>
    <t>0979-53-9261</t>
  </si>
  <si>
    <t>097-511-4946</t>
  </si>
  <si>
    <t>097-507-6234</t>
  </si>
  <si>
    <t>0972-58-2472</t>
  </si>
  <si>
    <t>0972-56-5681</t>
  </si>
  <si>
    <t>0972-65-2370</t>
  </si>
  <si>
    <t>0972-77-4060</t>
  </si>
  <si>
    <t>097-574-6253</t>
  </si>
  <si>
    <t>097-574-6254</t>
  </si>
  <si>
    <t>097-511-3564</t>
  </si>
  <si>
    <t>097-507-4422</t>
  </si>
  <si>
    <t>0978-38-0525</t>
  </si>
  <si>
    <t>0972-23-1255</t>
  </si>
  <si>
    <t>0972-23-1256</t>
  </si>
  <si>
    <t>097-535-8718</t>
  </si>
  <si>
    <t>097-535-8781</t>
  </si>
  <si>
    <t>0978-22-1131</t>
  </si>
  <si>
    <t>0978-22-3429</t>
  </si>
  <si>
    <t>097-547-0553</t>
  </si>
  <si>
    <t>097-585-5226</t>
  </si>
  <si>
    <t>0977-77-2754</t>
  </si>
  <si>
    <t>0977-51-4091</t>
  </si>
  <si>
    <t>0977-51-4279</t>
  </si>
  <si>
    <t>0977-51-4730</t>
  </si>
  <si>
    <t>097-576-7713</t>
  </si>
  <si>
    <t>097-576-7723</t>
  </si>
  <si>
    <t>0979-23-7397</t>
  </si>
  <si>
    <t>0973-72-1877</t>
  </si>
  <si>
    <t>0973-72-4288</t>
  </si>
  <si>
    <t>0973-23-8252</t>
  </si>
  <si>
    <t>097-523-2605</t>
  </si>
  <si>
    <t>097-523-6493</t>
  </si>
  <si>
    <t>097-511-4154</t>
  </si>
  <si>
    <t>097-507-4885</t>
  </si>
  <si>
    <t>0972-28-8264</t>
  </si>
  <si>
    <t>0972-28-8265</t>
  </si>
  <si>
    <t>0972-83-5997</t>
  </si>
  <si>
    <t>0972-83-5998</t>
  </si>
  <si>
    <t>097-592-2213</t>
  </si>
  <si>
    <t>097-535-7205</t>
  </si>
  <si>
    <t>097-578-6525</t>
  </si>
  <si>
    <t>0979-32-8570</t>
  </si>
  <si>
    <t>0979-32-8571</t>
  </si>
  <si>
    <t>097-521-5591</t>
  </si>
  <si>
    <t>097-521-8091</t>
  </si>
  <si>
    <t>0977-23-5780</t>
  </si>
  <si>
    <t>0977-23-5790</t>
  </si>
  <si>
    <t>0979-27-9019</t>
  </si>
  <si>
    <t>0979-62-9022</t>
  </si>
  <si>
    <t>0979-64-7070</t>
  </si>
  <si>
    <t>0979-64-6286</t>
  </si>
  <si>
    <t>097-511-5570</t>
  </si>
  <si>
    <t>0973-72-6165</t>
  </si>
  <si>
    <t>0977-84-4588</t>
  </si>
  <si>
    <t>0972-46-1789</t>
  </si>
  <si>
    <t>0972-46-2491</t>
  </si>
  <si>
    <t>0979-62-9303</t>
  </si>
  <si>
    <t>0979-62-9302</t>
  </si>
  <si>
    <t>0978-23-1226</t>
  </si>
  <si>
    <t>0978-23-1228</t>
  </si>
  <si>
    <t>097-576-7007</t>
  </si>
  <si>
    <t>097-576-7008</t>
  </si>
  <si>
    <t>0972-24-8249</t>
  </si>
  <si>
    <t>097-528-1105</t>
  </si>
  <si>
    <t>0973-23-5382</t>
  </si>
  <si>
    <t>0973-23-5392</t>
  </si>
  <si>
    <t>0979-27-7301</t>
  </si>
  <si>
    <t>0979-27-7302</t>
  </si>
  <si>
    <t>0972-22-2601</t>
  </si>
  <si>
    <t>0972-22-7179</t>
  </si>
  <si>
    <t>0977-72-3910</t>
  </si>
  <si>
    <t>097-560-4381</t>
  </si>
  <si>
    <t>097-560-4383</t>
  </si>
  <si>
    <t>097-509-0334</t>
  </si>
  <si>
    <t>097-511-5888</t>
  </si>
  <si>
    <t>097-585-5825</t>
  </si>
  <si>
    <t>097-585-5816</t>
  </si>
  <si>
    <t>0974-63-0420</t>
  </si>
  <si>
    <t>0972-48-9084</t>
  </si>
  <si>
    <t>0977-76-2281</t>
  </si>
  <si>
    <t>0977-76-2677</t>
  </si>
  <si>
    <t>0972-52-1006</t>
  </si>
  <si>
    <t>0972-46-1187</t>
  </si>
  <si>
    <t>0972-46-1706</t>
  </si>
  <si>
    <t>097-567-1200</t>
  </si>
  <si>
    <t>0974-75-3588</t>
  </si>
  <si>
    <t>0979-23-1724</t>
  </si>
  <si>
    <t>0979-24-5448</t>
  </si>
  <si>
    <t>0979-27-6222</t>
  </si>
  <si>
    <t>0979-27-6223</t>
  </si>
  <si>
    <t>0979-32-8866</t>
  </si>
  <si>
    <t>0979-32-8877</t>
  </si>
  <si>
    <t>0977-85-8105</t>
  </si>
  <si>
    <t>097-578-9151</t>
  </si>
  <si>
    <t>097-578-9152</t>
  </si>
  <si>
    <t>0979-53-8491</t>
  </si>
  <si>
    <t>0979-53-8492</t>
  </si>
  <si>
    <t>097-511-9678</t>
  </si>
  <si>
    <t>097-511-6241</t>
  </si>
  <si>
    <t>0979-53-9608</t>
  </si>
  <si>
    <t>0979-53-9609</t>
  </si>
  <si>
    <t>097-507-7531</t>
  </si>
  <si>
    <t>097-511-3158</t>
  </si>
  <si>
    <t>0972-63-4949</t>
  </si>
  <si>
    <t>097-585-5066</t>
  </si>
  <si>
    <t>097-596-1112</t>
  </si>
  <si>
    <t>050-1390-0680</t>
  </si>
  <si>
    <t>0974-42-4156</t>
  </si>
  <si>
    <t>0974-42-4158</t>
  </si>
  <si>
    <t>0972-27-5100</t>
  </si>
  <si>
    <t>097-547-9775</t>
  </si>
  <si>
    <t>097-547-9774</t>
  </si>
  <si>
    <t>0972-28-8995</t>
  </si>
  <si>
    <t>097-595-1595</t>
  </si>
  <si>
    <t>097-558-5525</t>
  </si>
  <si>
    <t>097-558-5098</t>
  </si>
  <si>
    <t>0977-25-5625</t>
  </si>
  <si>
    <t>0977-75-6166</t>
  </si>
  <si>
    <t>097-573-3131</t>
  </si>
  <si>
    <t>097-573-3130</t>
  </si>
  <si>
    <t>0974-63-1350</t>
  </si>
  <si>
    <t>0974-63-1361</t>
  </si>
  <si>
    <t>097-547-8170</t>
  </si>
  <si>
    <t>097-547-8171</t>
  </si>
  <si>
    <t>0972-53-2539</t>
  </si>
  <si>
    <t>0973-72-6861</t>
  </si>
  <si>
    <t>0973-77-2525</t>
  </si>
  <si>
    <t>0978-63-4320</t>
  </si>
  <si>
    <t>0977-85-2268</t>
  </si>
  <si>
    <t>0977-70-9239</t>
  </si>
  <si>
    <t>0973-28-6677</t>
  </si>
  <si>
    <t>0973-23-0721</t>
  </si>
  <si>
    <t>0972-24-3393</t>
  </si>
  <si>
    <t>097-560-5180</t>
  </si>
  <si>
    <t>097-560-5181</t>
  </si>
  <si>
    <t>0973-28-5072</t>
  </si>
  <si>
    <t>0973-28-5082</t>
  </si>
  <si>
    <t>0978-53-5519</t>
  </si>
  <si>
    <t>0978-25-5003</t>
  </si>
  <si>
    <t>050-3737-9033</t>
  </si>
  <si>
    <t>097-599-7554</t>
  </si>
  <si>
    <t>097-599-5722</t>
  </si>
  <si>
    <t>0974-34-2135</t>
  </si>
  <si>
    <t>0974-34-2155</t>
  </si>
  <si>
    <t>097-538-7711</t>
  </si>
  <si>
    <t>097-538-7712</t>
  </si>
  <si>
    <t>097-576-9699</t>
  </si>
  <si>
    <t>097-594-1181</t>
  </si>
  <si>
    <t>0978-24-1113</t>
  </si>
  <si>
    <t>097-522-8880</t>
  </si>
  <si>
    <t>0977-77-1810</t>
  </si>
  <si>
    <t>097-568-4600</t>
  </si>
  <si>
    <t>097-569-0121</t>
  </si>
  <si>
    <t>0977-77-2102</t>
  </si>
  <si>
    <t>0977-75-6550</t>
  </si>
  <si>
    <t>0977-75-6551</t>
  </si>
  <si>
    <t>0978-25-9585</t>
  </si>
  <si>
    <t>050-3510-8879</t>
  </si>
  <si>
    <t>097-578-7311</t>
  </si>
  <si>
    <t>097-578-7321</t>
  </si>
  <si>
    <t>0973-24-8677</t>
  </si>
  <si>
    <t>0973-24-8688</t>
  </si>
  <si>
    <t>0979-64-7540</t>
  </si>
  <si>
    <t>0979-64-7541</t>
  </si>
  <si>
    <t>0974-70-5605</t>
  </si>
  <si>
    <t>0979-23-7271</t>
  </si>
  <si>
    <t>0979-33-7337</t>
  </si>
  <si>
    <t>0978-22-0800</t>
  </si>
  <si>
    <t>0978-22-0810</t>
  </si>
  <si>
    <t>0979-33-8098</t>
  </si>
  <si>
    <t>0979-33-8099</t>
  </si>
  <si>
    <t>097-507-9170</t>
  </si>
  <si>
    <t>097-521-2929</t>
  </si>
  <si>
    <t>097-521-6067</t>
  </si>
  <si>
    <t>097-578-7193</t>
  </si>
  <si>
    <t>097-578-8290</t>
  </si>
  <si>
    <t>0972-83-5799</t>
  </si>
  <si>
    <t>097-532-2579</t>
  </si>
  <si>
    <t>097-532-2835</t>
  </si>
  <si>
    <t>0972-30-1555</t>
  </si>
  <si>
    <t>0972-30-1061</t>
  </si>
  <si>
    <t>0973-23-7693</t>
  </si>
  <si>
    <t>0973-23-7694</t>
  </si>
  <si>
    <t>097-583-2055</t>
  </si>
  <si>
    <t>097-544-7888</t>
  </si>
  <si>
    <t>097-544-7889</t>
  </si>
  <si>
    <t>0979-23-2655</t>
  </si>
  <si>
    <t>097-529-7247</t>
  </si>
  <si>
    <t>097-535-8686</t>
  </si>
  <si>
    <t>0973-25-0011</t>
  </si>
  <si>
    <t>0973-25-0012</t>
  </si>
  <si>
    <t>0973-76-2619</t>
  </si>
  <si>
    <t>0973-76-2785</t>
  </si>
  <si>
    <t>0978-68-8405</t>
  </si>
  <si>
    <t>090-4357-9858</t>
  </si>
  <si>
    <t>097-578-7955</t>
  </si>
  <si>
    <t>097-578-7944</t>
  </si>
  <si>
    <t>097-547-8992</t>
  </si>
  <si>
    <t>0978-44-0011</t>
  </si>
  <si>
    <t>0978-44-0606</t>
  </si>
  <si>
    <t>0978-38-1877</t>
  </si>
  <si>
    <t>0978-38-1803</t>
  </si>
  <si>
    <t>097-594-1787</t>
  </si>
  <si>
    <t>097-594-1887</t>
  </si>
  <si>
    <t>0973-23-0975</t>
  </si>
  <si>
    <t>0973-23-0999</t>
  </si>
  <si>
    <t>0977-76-5444</t>
  </si>
  <si>
    <t>0977-75-7890</t>
  </si>
  <si>
    <t>0973-24-5203</t>
  </si>
  <si>
    <t>0973-22-5535</t>
  </si>
  <si>
    <t>0978-33-2703</t>
  </si>
  <si>
    <t>0972-28-7171</t>
  </si>
  <si>
    <t>090-9653-6306</t>
  </si>
  <si>
    <t>097-522-3111</t>
  </si>
  <si>
    <t>097-547-8388</t>
  </si>
  <si>
    <t>0978-33-5347</t>
  </si>
  <si>
    <t>0974-62-2588</t>
  </si>
  <si>
    <t>0979-32-8388</t>
  </si>
  <si>
    <t>0979-32-8389</t>
  </si>
  <si>
    <t>0978-37-3037</t>
  </si>
  <si>
    <t>0978-58-3275</t>
  </si>
  <si>
    <t>097-549-1510</t>
  </si>
  <si>
    <t>097-549-1511</t>
  </si>
  <si>
    <t>097-513-1615</t>
  </si>
  <si>
    <t>0977-76-5329</t>
  </si>
  <si>
    <t>0977-76-5437</t>
  </si>
  <si>
    <t>097-556-8689</t>
  </si>
  <si>
    <t>097-556-8691</t>
  </si>
  <si>
    <t>0978-37-1313</t>
  </si>
  <si>
    <t>0978-58-0797</t>
  </si>
  <si>
    <t>090-4586-7332</t>
  </si>
  <si>
    <t>097-511-0365</t>
  </si>
  <si>
    <t>097-511-1653</t>
  </si>
  <si>
    <t>0978-37-2756</t>
  </si>
  <si>
    <t>097-568-1916</t>
  </si>
  <si>
    <t>0974-32-7128</t>
  </si>
  <si>
    <t>0978-64-0133</t>
  </si>
  <si>
    <t>0978-64-0135</t>
  </si>
  <si>
    <t>0978-25-4454</t>
  </si>
  <si>
    <t>0979-32-1101</t>
  </si>
  <si>
    <t>0979-32-1102</t>
  </si>
  <si>
    <t>097-552-1190</t>
  </si>
  <si>
    <t>097-552-1203</t>
  </si>
  <si>
    <t>0977-80-1509</t>
  </si>
  <si>
    <t>0977-23-6619</t>
  </si>
  <si>
    <t>097-547-8002</t>
  </si>
  <si>
    <t>097-547-8012</t>
  </si>
  <si>
    <t>0973-57-2968</t>
  </si>
  <si>
    <t>0973-57-2967</t>
  </si>
  <si>
    <t>097-545-2331</t>
  </si>
  <si>
    <t>097-545-2941</t>
  </si>
  <si>
    <t>菱田　貴久</t>
  </si>
  <si>
    <t>812-0004</t>
  </si>
  <si>
    <t>高井　和仁</t>
  </si>
  <si>
    <t>838-0068</t>
  </si>
  <si>
    <t>穴井　隆美</t>
  </si>
  <si>
    <t>前田　勝利</t>
  </si>
  <si>
    <t>吉田　靖</t>
  </si>
  <si>
    <t>812-0038</t>
  </si>
  <si>
    <t>田村　有治</t>
  </si>
  <si>
    <t>上村　昭一</t>
  </si>
  <si>
    <t>810-0001</t>
  </si>
  <si>
    <t>藤川　修</t>
  </si>
  <si>
    <t>用貝　洋</t>
  </si>
  <si>
    <t>杉山　恵一郎</t>
  </si>
  <si>
    <t>汐満　哲広</t>
  </si>
  <si>
    <t>812-0025</t>
  </si>
  <si>
    <t>075-351-0928</t>
  </si>
  <si>
    <t>075-341-8327</t>
  </si>
  <si>
    <t>西河　誠</t>
  </si>
  <si>
    <t>812-8518</t>
  </si>
  <si>
    <t>三澤　悟</t>
  </si>
  <si>
    <t>宮村　隆</t>
  </si>
  <si>
    <t>812-0024</t>
  </si>
  <si>
    <t>092-289-8792</t>
  </si>
  <si>
    <t>092-481-8786</t>
  </si>
  <si>
    <t>092-523-9123</t>
  </si>
  <si>
    <t>092-523-9128</t>
  </si>
  <si>
    <t>遠矢　良一</t>
  </si>
  <si>
    <t>山口　尚之</t>
  </si>
  <si>
    <t>湯浅　博嗣</t>
  </si>
  <si>
    <t>812-0062</t>
  </si>
  <si>
    <t>812-0044</t>
  </si>
  <si>
    <t>今林　忠久</t>
  </si>
  <si>
    <t>092-434-9291</t>
  </si>
  <si>
    <t>092-477-7225</t>
  </si>
  <si>
    <t>綿丸　勝之</t>
  </si>
  <si>
    <t>坂田　祥一</t>
  </si>
  <si>
    <t>870-0047</t>
  </si>
  <si>
    <t>牧野　博隆</t>
  </si>
  <si>
    <t>土屋　幹</t>
  </si>
  <si>
    <t>松尾　和彦</t>
  </si>
  <si>
    <t>草野　慶介</t>
  </si>
  <si>
    <t>840-0857</t>
  </si>
  <si>
    <t>梅木　一正</t>
  </si>
  <si>
    <t>03-5700-1111</t>
  </si>
  <si>
    <t>03-5700-1137</t>
  </si>
  <si>
    <t>0836-45-1111</t>
  </si>
  <si>
    <t>0836-45-2535</t>
  </si>
  <si>
    <t>藤内　敬士</t>
  </si>
  <si>
    <t>812-0018</t>
  </si>
  <si>
    <t>樫原　毅</t>
  </si>
  <si>
    <t>092-781-1231</t>
  </si>
  <si>
    <t>092-741-2181</t>
  </si>
  <si>
    <t>福島　洋幸</t>
  </si>
  <si>
    <t>093-671-1631</t>
  </si>
  <si>
    <t>093-671-0774</t>
  </si>
  <si>
    <t>0982-24-1111</t>
  </si>
  <si>
    <t>0982-24-1145</t>
  </si>
  <si>
    <t>江森　清</t>
  </si>
  <si>
    <t>03-5962-1171</t>
  </si>
  <si>
    <t>03-3570-2397</t>
  </si>
  <si>
    <t>0952-23-4144</t>
  </si>
  <si>
    <t>0952-23-4908</t>
  </si>
  <si>
    <t>宮崎　秀和</t>
  </si>
  <si>
    <t>807-0821</t>
  </si>
  <si>
    <t>両羽　信哉</t>
  </si>
  <si>
    <t>山下　正治</t>
  </si>
  <si>
    <t>上岡　信彦</t>
  </si>
  <si>
    <t>810-0062</t>
  </si>
  <si>
    <t>神薗　直樹</t>
  </si>
  <si>
    <t>03-3267-4010</t>
  </si>
  <si>
    <t>03-3267-4409</t>
  </si>
  <si>
    <t>香川　靖弘</t>
  </si>
  <si>
    <t>垰　佑一郎</t>
  </si>
  <si>
    <t>839-0808</t>
  </si>
  <si>
    <t>本田　明男</t>
  </si>
  <si>
    <t>柳森　豊</t>
  </si>
  <si>
    <t>小田原　健司</t>
  </si>
  <si>
    <t>長谷川　知行</t>
  </si>
  <si>
    <t>池野　隆雄</t>
  </si>
  <si>
    <t>812-0879</t>
  </si>
  <si>
    <t>092-631-4040</t>
  </si>
  <si>
    <t>092-631-4043</t>
  </si>
  <si>
    <t>山本　和弘</t>
  </si>
  <si>
    <t>092-562-3024</t>
  </si>
  <si>
    <t>092-562-3050</t>
  </si>
  <si>
    <t>新井　考明</t>
  </si>
  <si>
    <t>福武　伸吾</t>
  </si>
  <si>
    <t>810-0074</t>
  </si>
  <si>
    <t>鈴木　吉保</t>
  </si>
  <si>
    <t>810-0014</t>
  </si>
  <si>
    <t>0947-46-4111</t>
  </si>
  <si>
    <t>0947-46-4120</t>
  </si>
  <si>
    <t>松本　幹雄</t>
  </si>
  <si>
    <t>西　勝治</t>
  </si>
  <si>
    <t>福羅　憲二</t>
  </si>
  <si>
    <t>柴田　稔</t>
  </si>
  <si>
    <t>松本　雅至</t>
  </si>
  <si>
    <t>岸　広明</t>
  </si>
  <si>
    <t>092-461-1100</t>
  </si>
  <si>
    <t>092-461-1400</t>
  </si>
  <si>
    <t>092-941-1530</t>
  </si>
  <si>
    <t>092-941-1522</t>
  </si>
  <si>
    <t>松村　博樹</t>
  </si>
  <si>
    <t>塚本　和也</t>
  </si>
  <si>
    <t>816-0921</t>
  </si>
  <si>
    <t>大石　昌巳</t>
  </si>
  <si>
    <t>藤井　純一</t>
  </si>
  <si>
    <t>小森　浩之</t>
  </si>
  <si>
    <t>812-8513</t>
  </si>
  <si>
    <t>笠浪　裕</t>
  </si>
  <si>
    <t>瀬田　和俊</t>
  </si>
  <si>
    <t>540-0026</t>
  </si>
  <si>
    <t>町田　義文</t>
  </si>
  <si>
    <t>805-8531</t>
  </si>
  <si>
    <t>092-551-1217</t>
  </si>
  <si>
    <t>092-552-2132</t>
  </si>
  <si>
    <t>伊藤　佳典</t>
  </si>
  <si>
    <t>076-441-2201</t>
  </si>
  <si>
    <t>076-441-6645</t>
  </si>
  <si>
    <t>森田　毅矢</t>
  </si>
  <si>
    <t>吉用　和史</t>
  </si>
  <si>
    <t>870-1168</t>
  </si>
  <si>
    <t>布野　幹雄</t>
  </si>
  <si>
    <t>埴田　明伸</t>
  </si>
  <si>
    <t>平井　美智子</t>
  </si>
  <si>
    <t>812-0017</t>
  </si>
  <si>
    <t>井料　光栄</t>
  </si>
  <si>
    <t>北西　隆司</t>
  </si>
  <si>
    <t>市川　康司</t>
  </si>
  <si>
    <t>812-0026</t>
  </si>
  <si>
    <t>0763-66-2306</t>
  </si>
  <si>
    <t>0763-66-2307</t>
  </si>
  <si>
    <t>佐藤　俊夫</t>
  </si>
  <si>
    <t>870-0037</t>
  </si>
  <si>
    <t>0985-56-5110</t>
  </si>
  <si>
    <t>0985-56-5125</t>
  </si>
  <si>
    <t>堤　雅嗣</t>
  </si>
  <si>
    <t>高塚　慶</t>
  </si>
  <si>
    <t>870-0033</t>
  </si>
  <si>
    <t>水村　祐二</t>
  </si>
  <si>
    <t>帷子　幸一</t>
  </si>
  <si>
    <t>03-5809-3964</t>
  </si>
  <si>
    <t>03-5687-3687</t>
  </si>
  <si>
    <t>善積　博章</t>
  </si>
  <si>
    <t>550-0004</t>
  </si>
  <si>
    <t>大久保　貴司</t>
  </si>
  <si>
    <t>佐伯　秀雅</t>
  </si>
  <si>
    <t>870-0902</t>
  </si>
  <si>
    <t>三好　一弘</t>
  </si>
  <si>
    <t>吉武　隆浩</t>
  </si>
  <si>
    <t>530-0005</t>
  </si>
  <si>
    <t>大村　一馬</t>
  </si>
  <si>
    <t>粟木原　宏</t>
  </si>
  <si>
    <t>三好　紀彰</t>
  </si>
  <si>
    <t>小島　和彦</t>
  </si>
  <si>
    <t>渡邉　隆裕</t>
  </si>
  <si>
    <t>802-0003</t>
  </si>
  <si>
    <t>奥田　慎一</t>
  </si>
  <si>
    <t>青木　肇</t>
  </si>
  <si>
    <t>藤本　博志</t>
  </si>
  <si>
    <t>江崎　建</t>
  </si>
  <si>
    <t>806-0001</t>
  </si>
  <si>
    <t>松長　慶志郎</t>
  </si>
  <si>
    <t>豊茂　広隆</t>
  </si>
  <si>
    <t>児玉　美喜雄</t>
  </si>
  <si>
    <t>青地　徹</t>
  </si>
  <si>
    <t>810-0023</t>
  </si>
  <si>
    <t>高野　浩一</t>
  </si>
  <si>
    <t>大迫　修</t>
  </si>
  <si>
    <t>大石　雅俊</t>
  </si>
  <si>
    <t>徳永　末徳</t>
  </si>
  <si>
    <t>山口　耕二</t>
  </si>
  <si>
    <t>810-0044</t>
  </si>
  <si>
    <t>永安　裕次郎</t>
  </si>
  <si>
    <t>812-0893</t>
  </si>
  <si>
    <t>0143-59-3611</t>
  </si>
  <si>
    <t>0143-59-4688</t>
  </si>
  <si>
    <t>前田　勝三</t>
  </si>
  <si>
    <t>横部　義人</t>
  </si>
  <si>
    <t>860-0041</t>
  </si>
  <si>
    <t>上田　哲夫</t>
  </si>
  <si>
    <t>052-935-2353</t>
  </si>
  <si>
    <t>052-935-2850</t>
  </si>
  <si>
    <t>古屋　真</t>
  </si>
  <si>
    <t>紀平　敏行</t>
  </si>
  <si>
    <t>815-0083</t>
  </si>
  <si>
    <t>田村　充</t>
  </si>
  <si>
    <t>西原　正剛</t>
  </si>
  <si>
    <t>03-5815-5050</t>
  </si>
  <si>
    <t>03-3822-9770</t>
  </si>
  <si>
    <t>810-8686</t>
  </si>
  <si>
    <t>中谷　圭児</t>
  </si>
  <si>
    <t>湯原　克佳</t>
  </si>
  <si>
    <t>810-8607</t>
  </si>
  <si>
    <t>吉田　一広</t>
  </si>
  <si>
    <t>812-0034</t>
  </si>
  <si>
    <t>田中　宏治</t>
  </si>
  <si>
    <t>永井　健護</t>
  </si>
  <si>
    <t>清水　隆司</t>
  </si>
  <si>
    <t>052-853-2361</t>
  </si>
  <si>
    <t>052-853-3701</t>
  </si>
  <si>
    <t>0964-23-1111</t>
  </si>
  <si>
    <t>0964-26-1000</t>
  </si>
  <si>
    <t>北原　勝彦</t>
  </si>
  <si>
    <t>河口　健士</t>
  </si>
  <si>
    <t>0897-33-5141</t>
  </si>
  <si>
    <t>0897-33-9142</t>
  </si>
  <si>
    <t>812-0012</t>
  </si>
  <si>
    <t>手塚　信一</t>
  </si>
  <si>
    <t>寺尾　俊哉</t>
  </si>
  <si>
    <t>浜辺　安裕</t>
  </si>
  <si>
    <t>807-0876</t>
  </si>
  <si>
    <t>永山　志郎</t>
  </si>
  <si>
    <t>林　伊知郎</t>
  </si>
  <si>
    <t>木原　愼二</t>
  </si>
  <si>
    <t>森田　隆文</t>
  </si>
  <si>
    <t>鈴木　浩</t>
  </si>
  <si>
    <t>冨永　浩史</t>
  </si>
  <si>
    <t>室積　次郎</t>
  </si>
  <si>
    <t>812-0023</t>
  </si>
  <si>
    <t>今橋　隆</t>
  </si>
  <si>
    <t>丸山　浩和</t>
  </si>
  <si>
    <t>小西　真臣</t>
  </si>
  <si>
    <t>本田　龍司</t>
  </si>
  <si>
    <t>870-0831</t>
  </si>
  <si>
    <t>山田　洸介</t>
  </si>
  <si>
    <t>0952-60-7711</t>
  </si>
  <si>
    <t>0952-60-7717</t>
  </si>
  <si>
    <t>牛嶋　直幹</t>
  </si>
  <si>
    <t>812-0878</t>
  </si>
  <si>
    <t>原川　崇</t>
  </si>
  <si>
    <t>03-6221-0808</t>
  </si>
  <si>
    <t>03-6221-1902</t>
  </si>
  <si>
    <t>810-8502</t>
  </si>
  <si>
    <t>052-451-8261</t>
  </si>
  <si>
    <t>052-451-2373</t>
  </si>
  <si>
    <t>048-835-6361</t>
  </si>
  <si>
    <t>048-835-6370</t>
  </si>
  <si>
    <t>太田　信孝</t>
  </si>
  <si>
    <t>06-6440-2500</t>
  </si>
  <si>
    <t>06-6440-2510</t>
  </si>
  <si>
    <t>永翁　広志</t>
  </si>
  <si>
    <t>大江田　慎太朗</t>
  </si>
  <si>
    <t>810-0802</t>
  </si>
  <si>
    <t>03-3454-1385</t>
  </si>
  <si>
    <t>03-3452-4260</t>
  </si>
  <si>
    <t>豊岡　正一</t>
  </si>
  <si>
    <t>車田　直毅</t>
  </si>
  <si>
    <t>812-0039</t>
  </si>
  <si>
    <t>093-371-1468</t>
  </si>
  <si>
    <t>093-371-7238</t>
  </si>
  <si>
    <t>安部　正信</t>
  </si>
  <si>
    <t>三宅　達也</t>
  </si>
  <si>
    <t>毛利　正彦</t>
  </si>
  <si>
    <t>0952-26-2551</t>
  </si>
  <si>
    <t>0952-24-2315</t>
  </si>
  <si>
    <t>内山　竜二</t>
  </si>
  <si>
    <t>03-5215-7483</t>
  </si>
  <si>
    <t>03-5215-6909</t>
  </si>
  <si>
    <t>862-0910</t>
  </si>
  <si>
    <t>塩見　義郎</t>
  </si>
  <si>
    <t>866-0831</t>
  </si>
  <si>
    <t>西村　聡</t>
  </si>
  <si>
    <t>812-0042</t>
  </si>
  <si>
    <t>川口　淳二</t>
  </si>
  <si>
    <t>山口　詞寿</t>
  </si>
  <si>
    <t>辻　正昭</t>
  </si>
  <si>
    <t>812-0003</t>
  </si>
  <si>
    <t>810-8577</t>
  </si>
  <si>
    <t>金子　久志</t>
  </si>
  <si>
    <t>岡田　良彦</t>
  </si>
  <si>
    <t>801-0804</t>
  </si>
  <si>
    <t>室　英之</t>
  </si>
  <si>
    <t>06-6614-8343</t>
  </si>
  <si>
    <t>佐藤　千修</t>
  </si>
  <si>
    <t>杉田　真臣</t>
  </si>
  <si>
    <t>當間　豊</t>
  </si>
  <si>
    <t>大内　和人</t>
  </si>
  <si>
    <t>高田　泰希</t>
  </si>
  <si>
    <t>吉峰　慎一</t>
  </si>
  <si>
    <t>870-0021</t>
  </si>
  <si>
    <t>阿比留　和紀</t>
  </si>
  <si>
    <t>佐藤　里志</t>
  </si>
  <si>
    <t>藤木　義順</t>
  </si>
  <si>
    <t>03-3270-4381</t>
  </si>
  <si>
    <t>03-3270-4340</t>
  </si>
  <si>
    <t>佐藤　浩</t>
  </si>
  <si>
    <t>山口　貴臣</t>
  </si>
  <si>
    <t>小川　和男</t>
  </si>
  <si>
    <t>国料　博信</t>
  </si>
  <si>
    <t>092-962-1431</t>
  </si>
  <si>
    <t>092-962-1433</t>
  </si>
  <si>
    <t>宮内　洋</t>
  </si>
  <si>
    <t>田島　知実</t>
  </si>
  <si>
    <t>平尾　亮一</t>
  </si>
  <si>
    <t>布施　克磨</t>
  </si>
  <si>
    <t>矢内原　淳</t>
  </si>
  <si>
    <t>丸山　勝彦</t>
  </si>
  <si>
    <t>馬場　摩貴雄</t>
  </si>
  <si>
    <t>及川　慎一朗</t>
  </si>
  <si>
    <t>山口　和徳</t>
  </si>
  <si>
    <t>山田　真二</t>
  </si>
  <si>
    <t>812-0006</t>
  </si>
  <si>
    <t>小田　朋行</t>
  </si>
  <si>
    <t>後藤　省二</t>
  </si>
  <si>
    <t>古渡　昭之</t>
  </si>
  <si>
    <t>浜窪　正久</t>
  </si>
  <si>
    <t>浦本　浩二</t>
  </si>
  <si>
    <t>06-6205-7815</t>
  </si>
  <si>
    <t>06-6205-7834</t>
  </si>
  <si>
    <t>岡本　和博</t>
  </si>
  <si>
    <t>過能　圭介</t>
  </si>
  <si>
    <t>819-0005</t>
  </si>
  <si>
    <t>宮崎　龍一</t>
  </si>
  <si>
    <t>095-825-1413</t>
  </si>
  <si>
    <t>095-827-3825</t>
  </si>
  <si>
    <t>副島　昭裕</t>
  </si>
  <si>
    <t>竹下　幸一郎</t>
  </si>
  <si>
    <t>柿野　寛</t>
  </si>
  <si>
    <t>濱崎　満雄</t>
  </si>
  <si>
    <t>野村　信二</t>
  </si>
  <si>
    <t>0956-31-9358</t>
  </si>
  <si>
    <t>0956-32-2711</t>
  </si>
  <si>
    <t>房村　慎一郎</t>
  </si>
  <si>
    <t>吉岡　祐二</t>
  </si>
  <si>
    <t>島崎　浩成</t>
  </si>
  <si>
    <t>811-1311</t>
  </si>
  <si>
    <t>池田　正人</t>
  </si>
  <si>
    <t>工藤　春生</t>
  </si>
  <si>
    <t>澤谷　善政</t>
  </si>
  <si>
    <t>錦邉　忠彦</t>
  </si>
  <si>
    <t>中　裕一</t>
  </si>
  <si>
    <t>日向　章博</t>
  </si>
  <si>
    <t>816-0922</t>
  </si>
  <si>
    <t>農上　賢治</t>
  </si>
  <si>
    <t>福久　友己</t>
  </si>
  <si>
    <t>06-6585-9374</t>
  </si>
  <si>
    <t>06-6585-9379</t>
  </si>
  <si>
    <t>栗山　雄一</t>
  </si>
  <si>
    <t>赤星　勝之</t>
  </si>
  <si>
    <t>村吉　裕樹</t>
  </si>
  <si>
    <t>浦崎　仁裕</t>
  </si>
  <si>
    <t>0256-45-1251</t>
  </si>
  <si>
    <t>0256-45-2204</t>
  </si>
  <si>
    <t>06-6632-1051</t>
  </si>
  <si>
    <t>06-6632-1060</t>
  </si>
  <si>
    <t>杉本　裕紀</t>
  </si>
  <si>
    <t>532-0012</t>
  </si>
  <si>
    <t>06-6394-1171</t>
  </si>
  <si>
    <t>06-6394-1251</t>
  </si>
  <si>
    <t>神倉　正法</t>
  </si>
  <si>
    <t>815-0073</t>
  </si>
  <si>
    <t>藤田　満</t>
  </si>
  <si>
    <t>吉田　忠司</t>
  </si>
  <si>
    <t>0985-47-4077</t>
  </si>
  <si>
    <t>0985-47-2764</t>
  </si>
  <si>
    <t>03-5762-5500</t>
  </si>
  <si>
    <t>03-5762-5519</t>
  </si>
  <si>
    <t>瀬口　義幸</t>
  </si>
  <si>
    <t>吉嵜　利彦</t>
  </si>
  <si>
    <t>092-844-6501</t>
  </si>
  <si>
    <t>092-852-1008</t>
  </si>
  <si>
    <t>佐々木　淳</t>
  </si>
  <si>
    <t>887-0031</t>
  </si>
  <si>
    <t>久米　博和</t>
  </si>
  <si>
    <t>092-584-5111</t>
  </si>
  <si>
    <t>092-584-5115</t>
  </si>
  <si>
    <t>0944-73-6177</t>
  </si>
  <si>
    <t>0944-73-6179</t>
  </si>
  <si>
    <t>今水　和明</t>
  </si>
  <si>
    <t>06-6555-7052</t>
  </si>
  <si>
    <t>06-6555-7080</t>
  </si>
  <si>
    <t>082-876-2111</t>
  </si>
  <si>
    <t>082-876-2828</t>
  </si>
  <si>
    <t>093-761-6835</t>
  </si>
  <si>
    <t>093-761-6069</t>
  </si>
  <si>
    <t>野見山　竜一</t>
  </si>
  <si>
    <t>0956-23-6221</t>
  </si>
  <si>
    <t>0956-25-0784</t>
  </si>
  <si>
    <t>03-6455-8151</t>
  </si>
  <si>
    <t>03-6455-8226</t>
  </si>
  <si>
    <t>廣瀬　栄治</t>
  </si>
  <si>
    <t>池田　慎太郎</t>
  </si>
  <si>
    <t>原　計吾</t>
  </si>
  <si>
    <t>安達　洋二</t>
  </si>
  <si>
    <t>092-611-5231</t>
  </si>
  <si>
    <t>中村　康孝</t>
  </si>
  <si>
    <t>山下　茂生</t>
  </si>
  <si>
    <t>宮野　岳知</t>
  </si>
  <si>
    <t>弓指　太</t>
  </si>
  <si>
    <t>812-0068</t>
  </si>
  <si>
    <t>03-3265-4851</t>
  </si>
  <si>
    <t>03-3239-4685</t>
  </si>
  <si>
    <t>高橋　昭</t>
  </si>
  <si>
    <t>870-0395</t>
  </si>
  <si>
    <t>0798-65-2111</t>
  </si>
  <si>
    <t>0798-63-1211</t>
  </si>
  <si>
    <t>長濱　励</t>
  </si>
  <si>
    <t>萱野　実</t>
  </si>
  <si>
    <t>812-8531</t>
  </si>
  <si>
    <t>815-0075</t>
  </si>
  <si>
    <t>03-5487-6483</t>
  </si>
  <si>
    <t>03-5487-6459</t>
  </si>
  <si>
    <t>平　隆則</t>
  </si>
  <si>
    <t>岡崎　幸一</t>
  </si>
  <si>
    <t>092-522-6811</t>
  </si>
  <si>
    <t>092-531-5645</t>
  </si>
  <si>
    <t>鈴木　謙治</t>
  </si>
  <si>
    <t>110-0016</t>
  </si>
  <si>
    <t>092-603-0415</t>
  </si>
  <si>
    <t>092-603-2431</t>
  </si>
  <si>
    <t>096-326-2345</t>
  </si>
  <si>
    <t>096-326-2424</t>
  </si>
  <si>
    <t>03-5733-6691</t>
  </si>
  <si>
    <t>03-5733-6675</t>
  </si>
  <si>
    <t>025-255-4161</t>
  </si>
  <si>
    <t>025-255-3301</t>
  </si>
  <si>
    <t>06-6911-7100</t>
  </si>
  <si>
    <t>06-6911-7077</t>
  </si>
  <si>
    <t>田鹿　慎介</t>
  </si>
  <si>
    <t>466-0857</t>
  </si>
  <si>
    <t>06-6338-1852</t>
  </si>
  <si>
    <t>06-6384-3870</t>
  </si>
  <si>
    <t>藤原　詔司</t>
  </si>
  <si>
    <t>0942-45-5321</t>
  </si>
  <si>
    <t>0942-45-5324</t>
  </si>
  <si>
    <t>03-3842-1621</t>
  </si>
  <si>
    <t>03-3845-1766</t>
  </si>
  <si>
    <t>古賀　秀一</t>
  </si>
  <si>
    <t>甫本　竜太</t>
  </si>
  <si>
    <t>03-5646-1601</t>
  </si>
  <si>
    <t>03-5646-1602</t>
  </si>
  <si>
    <t>中島　英久</t>
  </si>
  <si>
    <t>上原　好一</t>
  </si>
  <si>
    <t>532-0011</t>
  </si>
  <si>
    <t>099-267-0061</t>
  </si>
  <si>
    <t>06-4703-2345</t>
  </si>
  <si>
    <t>06-4703-1188</t>
  </si>
  <si>
    <t>仲元寺　宣明</t>
  </si>
  <si>
    <t>佐藤　広康</t>
  </si>
  <si>
    <t>869-0113</t>
  </si>
  <si>
    <t>辻中　昭彦</t>
  </si>
  <si>
    <t>渡辺　貴哉</t>
  </si>
  <si>
    <t>福田　克己</t>
  </si>
  <si>
    <t>811-1323</t>
  </si>
  <si>
    <t>059-326-3931</t>
  </si>
  <si>
    <t>059-326-6758</t>
  </si>
  <si>
    <t>045-680-5530</t>
  </si>
  <si>
    <t>045-680-5575</t>
  </si>
  <si>
    <t>092-725-8888</t>
  </si>
  <si>
    <t>092-725-5883</t>
  </si>
  <si>
    <t>宇留嶋　貞二</t>
  </si>
  <si>
    <t>093-202-1288</t>
  </si>
  <si>
    <t>荒木　智裕</t>
  </si>
  <si>
    <t>807-0001</t>
  </si>
  <si>
    <t>092-585-3355</t>
  </si>
  <si>
    <t>092-585-3423</t>
  </si>
  <si>
    <t>柳井　雅晴</t>
  </si>
  <si>
    <t>吉村　昭寛</t>
  </si>
  <si>
    <t>0770-25-2200</t>
  </si>
  <si>
    <t>0770-21-2200</t>
  </si>
  <si>
    <t>096-272-5521</t>
  </si>
  <si>
    <t>096-272-5581</t>
  </si>
  <si>
    <t>092-711-8811</t>
  </si>
  <si>
    <t>092-711-8842</t>
  </si>
  <si>
    <t>0982-33-6266</t>
  </si>
  <si>
    <t>0982-33-5000</t>
  </si>
  <si>
    <t>岩尾　淳</t>
  </si>
  <si>
    <t>810-8555</t>
  </si>
  <si>
    <t>平賀　伸一</t>
  </si>
  <si>
    <t>870-0847</t>
  </si>
  <si>
    <t>0944-73-9216</t>
  </si>
  <si>
    <t>0944-73-1590</t>
  </si>
  <si>
    <t>0256-32-0006</t>
  </si>
  <si>
    <t>0256-34-7601</t>
  </si>
  <si>
    <t>前畑　達実</t>
  </si>
  <si>
    <t>松本　勇</t>
  </si>
  <si>
    <t>青木　勝幸</t>
  </si>
  <si>
    <t>092-522-3163</t>
  </si>
  <si>
    <t>092-522-0295</t>
  </si>
  <si>
    <t>0985-47-3585</t>
  </si>
  <si>
    <t>0985-47-3586</t>
  </si>
  <si>
    <t>0952-30-2161</t>
  </si>
  <si>
    <t>0952-31-4031</t>
  </si>
  <si>
    <t>菊森　慎吾</t>
  </si>
  <si>
    <t>岡田　裕志</t>
  </si>
  <si>
    <t>03-3431-8070</t>
  </si>
  <si>
    <t>03-3431-8116</t>
  </si>
  <si>
    <t>06-6452-2325</t>
  </si>
  <si>
    <t>06-6452-2056</t>
  </si>
  <si>
    <t>099-285-5181</t>
  </si>
  <si>
    <t>099-285-5182</t>
  </si>
  <si>
    <t>深澤　惣悟</t>
  </si>
  <si>
    <t>川口　政秋</t>
  </si>
  <si>
    <t>06-6355-3000</t>
  </si>
  <si>
    <t>06-6882-5568</t>
  </si>
  <si>
    <t>福田　幹士</t>
  </si>
  <si>
    <t>092-582-9200</t>
  </si>
  <si>
    <t>092-582-9206</t>
  </si>
  <si>
    <t>092-471-1600</t>
  </si>
  <si>
    <t>092-471-1595</t>
  </si>
  <si>
    <t>原口　勇一郎</t>
  </si>
  <si>
    <t>813-0042</t>
  </si>
  <si>
    <t>812-0877</t>
  </si>
  <si>
    <t>長嶺　安孝</t>
  </si>
  <si>
    <t>900-0021</t>
  </si>
  <si>
    <t>025-283-9301</t>
  </si>
  <si>
    <t>025-285-6388</t>
  </si>
  <si>
    <t>055-266-6644</t>
  </si>
  <si>
    <t>055-266-6645</t>
  </si>
  <si>
    <t>多良　栄真</t>
  </si>
  <si>
    <t>092-541-2031</t>
  </si>
  <si>
    <t>092-561-6735</t>
  </si>
  <si>
    <t>06-6351-7290</t>
  </si>
  <si>
    <t>06-6352-4687</t>
  </si>
  <si>
    <t>小林　紀征</t>
  </si>
  <si>
    <t>092-589-0153</t>
  </si>
  <si>
    <t>092-589-0174</t>
  </si>
  <si>
    <t>092-473-8831</t>
  </si>
  <si>
    <t>092-473-8833</t>
  </si>
  <si>
    <t>神尾　哲</t>
  </si>
  <si>
    <t>吉田　祐二郎</t>
  </si>
  <si>
    <t>861-2106</t>
  </si>
  <si>
    <t>嶋崎　慶一</t>
  </si>
  <si>
    <t>0532-48-4511</t>
  </si>
  <si>
    <t>0532-48-4520</t>
  </si>
  <si>
    <t>0944-52-6732</t>
  </si>
  <si>
    <t>0944-54-1525</t>
  </si>
  <si>
    <t>092-582-0511</t>
  </si>
  <si>
    <t>092-592-4600</t>
  </si>
  <si>
    <t>扇　慎二郎</t>
  </si>
  <si>
    <t>092-472-2909</t>
  </si>
  <si>
    <t>092-472-2900</t>
  </si>
  <si>
    <t>今井　博</t>
  </si>
  <si>
    <t>棚田　昌一</t>
  </si>
  <si>
    <t>川越　敏彦</t>
  </si>
  <si>
    <t>092-411-4002</t>
  </si>
  <si>
    <t>092-451-7023</t>
  </si>
  <si>
    <t>03-3590-0301</t>
  </si>
  <si>
    <t>03-3590-3396</t>
  </si>
  <si>
    <t>083-252-2419</t>
  </si>
  <si>
    <t>083-252-2720</t>
  </si>
  <si>
    <t>片江　生馬</t>
  </si>
  <si>
    <t>03-5931-8507</t>
  </si>
  <si>
    <t>03-5931-8510</t>
  </si>
  <si>
    <t>藤原　秀聡</t>
  </si>
  <si>
    <t>06-6766-2777</t>
  </si>
  <si>
    <t>06-6766-2788</t>
  </si>
  <si>
    <t>岡永　行雄</t>
  </si>
  <si>
    <t>石塚　一博</t>
  </si>
  <si>
    <t>松尾　規文</t>
  </si>
  <si>
    <t>梶原　雄吾</t>
  </si>
  <si>
    <t>岡田　学</t>
  </si>
  <si>
    <t>03-3724-7201</t>
  </si>
  <si>
    <t>03-3724-7203</t>
  </si>
  <si>
    <t>084-955-1275</t>
  </si>
  <si>
    <t>084-955-2481</t>
  </si>
  <si>
    <t>075-702-1177</t>
  </si>
  <si>
    <t>075-702-1235</t>
  </si>
  <si>
    <t>谷　奈生絵</t>
  </si>
  <si>
    <t>870-0023</t>
  </si>
  <si>
    <t>吉田　優子</t>
  </si>
  <si>
    <t>03-6381-6215</t>
  </si>
  <si>
    <t>釘崎　勇二</t>
  </si>
  <si>
    <t>竹田　強</t>
  </si>
  <si>
    <t>599-8254</t>
  </si>
  <si>
    <t>福田　充</t>
  </si>
  <si>
    <t>812-0037</t>
  </si>
  <si>
    <t>久保田　浩二</t>
  </si>
  <si>
    <t>03-3221-5558</t>
  </si>
  <si>
    <t>03-3221-5521</t>
  </si>
  <si>
    <t>06-6461-6551</t>
  </si>
  <si>
    <t>06-6461-6555</t>
  </si>
  <si>
    <t>下重　透</t>
  </si>
  <si>
    <t>673-8666</t>
  </si>
  <si>
    <t>上田　学</t>
  </si>
  <si>
    <t>870-0953</t>
  </si>
  <si>
    <t>086-222-9210</t>
  </si>
  <si>
    <t>086-222-9236</t>
  </si>
  <si>
    <t>杉本　裕二</t>
  </si>
  <si>
    <t>045-401-1441</t>
  </si>
  <si>
    <t>045-439-1150</t>
  </si>
  <si>
    <t>06-6396-7414</t>
  </si>
  <si>
    <t>06-6394-2278</t>
  </si>
  <si>
    <t>03-6478-1330</t>
  </si>
  <si>
    <t>050-3535-9411</t>
  </si>
  <si>
    <t>802-0005</t>
  </si>
  <si>
    <t>原田　享</t>
  </si>
  <si>
    <t>06-6346-0036</t>
  </si>
  <si>
    <t>06-6346-0038</t>
  </si>
  <si>
    <t>075-634-7033</t>
  </si>
  <si>
    <t>075-634-7034</t>
  </si>
  <si>
    <t>吉村　康男</t>
  </si>
  <si>
    <t>土田　智雄</t>
  </si>
  <si>
    <t>819-0006</t>
  </si>
  <si>
    <t>手塚　啓貴</t>
  </si>
  <si>
    <t>810-8530</t>
  </si>
  <si>
    <t>鶴田　重昭</t>
  </si>
  <si>
    <t>03-4366-1200</t>
  </si>
  <si>
    <t>03-4366-1300</t>
  </si>
  <si>
    <t>吉田　和宏</t>
  </si>
  <si>
    <t>811-2304</t>
  </si>
  <si>
    <t>三嶋　昭</t>
  </si>
  <si>
    <t>812-8608</t>
  </si>
  <si>
    <t>03-3518-8600</t>
  </si>
  <si>
    <t>03-3518-8601</t>
  </si>
  <si>
    <t>黒田　二郎</t>
  </si>
  <si>
    <t>092-481-8639</t>
  </si>
  <si>
    <t>092-474-3955</t>
  </si>
  <si>
    <t>092-894-6168</t>
  </si>
  <si>
    <t>092-894-6172</t>
  </si>
  <si>
    <t>安達　将嗣</t>
  </si>
  <si>
    <t>0898-48-1600</t>
  </si>
  <si>
    <t>0898-48-3244</t>
  </si>
  <si>
    <t>0957-24-3455</t>
  </si>
  <si>
    <t>0957-22-0821</t>
  </si>
  <si>
    <t>096-358-6600</t>
  </si>
  <si>
    <t>096-358-0754</t>
  </si>
  <si>
    <t>仁田　経之</t>
  </si>
  <si>
    <t>奥村　卓也</t>
  </si>
  <si>
    <t>812-0897</t>
  </si>
  <si>
    <t>山田　竜郎</t>
  </si>
  <si>
    <t>06-6448-2200</t>
  </si>
  <si>
    <t>06-6448-2250</t>
  </si>
  <si>
    <t>043-351-9170</t>
  </si>
  <si>
    <t>043-351-9178</t>
  </si>
  <si>
    <t>宮下　学</t>
  </si>
  <si>
    <t>野下　建</t>
  </si>
  <si>
    <t>山下　隆一</t>
  </si>
  <si>
    <t>06-6779-7731</t>
  </si>
  <si>
    <t>06-6779-7133</t>
  </si>
  <si>
    <t>815-0004</t>
  </si>
  <si>
    <t>092-833-5333</t>
  </si>
  <si>
    <t>092-833-5334</t>
  </si>
  <si>
    <t>杉山　敏和</t>
  </si>
  <si>
    <t>三村　竜輝</t>
  </si>
  <si>
    <t>下薗　博文</t>
  </si>
  <si>
    <t>093-571-5850</t>
  </si>
  <si>
    <t>吉田　武史</t>
  </si>
  <si>
    <t>803-8530</t>
  </si>
  <si>
    <t>045-505-7370</t>
  </si>
  <si>
    <t>045-505-7983</t>
  </si>
  <si>
    <t>小畠　貴浩</t>
  </si>
  <si>
    <t>鬼頭　伸郎</t>
  </si>
  <si>
    <t>530-0018</t>
  </si>
  <si>
    <t>048-445-7388</t>
  </si>
  <si>
    <t>048-445-7385</t>
  </si>
  <si>
    <t>03-3642-8181</t>
  </si>
  <si>
    <t>03-3643-7094</t>
  </si>
  <si>
    <t>衛藤　誠</t>
  </si>
  <si>
    <t>06-6380-8181</t>
  </si>
  <si>
    <t>06-6330-3835</t>
  </si>
  <si>
    <t>052-857-9001</t>
  </si>
  <si>
    <t>052-857-9006</t>
  </si>
  <si>
    <t>03-5244-5311</t>
  </si>
  <si>
    <t>03-5244-5661</t>
  </si>
  <si>
    <t>右田　育男</t>
  </si>
  <si>
    <t>874-0909</t>
  </si>
  <si>
    <t>092-771-7641</t>
  </si>
  <si>
    <t>092-741-2432</t>
  </si>
  <si>
    <t>高瀬　直弘</t>
  </si>
  <si>
    <t>内山　朋之</t>
  </si>
  <si>
    <t>869-3601</t>
  </si>
  <si>
    <t>092-720-6820</t>
  </si>
  <si>
    <t>092-720-6821</t>
  </si>
  <si>
    <t>03-6256-0600</t>
  </si>
  <si>
    <t>03-6433-1709</t>
  </si>
  <si>
    <t>古賀　昌弘</t>
  </si>
  <si>
    <t>天野　賢一</t>
  </si>
  <si>
    <t>川邉　祐三</t>
  </si>
  <si>
    <t>宮川　慎一</t>
  </si>
  <si>
    <t>751-0806</t>
  </si>
  <si>
    <t>坪内　潔</t>
  </si>
  <si>
    <t>03-5775-8475</t>
  </si>
  <si>
    <t>03-5775-8921</t>
  </si>
  <si>
    <t>田神　淳</t>
  </si>
  <si>
    <t>06-6482-6660</t>
  </si>
  <si>
    <t>06-6481-5455</t>
  </si>
  <si>
    <t>牛原　正臣</t>
  </si>
  <si>
    <t>06-6422-8014</t>
  </si>
  <si>
    <t>06-6422-3724</t>
  </si>
  <si>
    <t>03-6907-7512</t>
  </si>
  <si>
    <t>03-6907-7522</t>
  </si>
  <si>
    <t>093-588-7432</t>
  </si>
  <si>
    <t>永溝　亮祐</t>
  </si>
  <si>
    <t>河野　寿人茂</t>
  </si>
  <si>
    <t>870-0884</t>
  </si>
  <si>
    <t>092-282-5628</t>
  </si>
  <si>
    <t>092-282-5629</t>
  </si>
  <si>
    <t>石田　透</t>
  </si>
  <si>
    <t>栫　博明</t>
  </si>
  <si>
    <t>895-0066</t>
  </si>
  <si>
    <t>093-644-0111</t>
  </si>
  <si>
    <t>093-644-0112</t>
  </si>
  <si>
    <t>松田　誠司</t>
  </si>
  <si>
    <t>052-352-1795</t>
  </si>
  <si>
    <t>052-351-1326</t>
  </si>
  <si>
    <t>0942-34-3456</t>
  </si>
  <si>
    <t>0942-39-4079</t>
  </si>
  <si>
    <t>吉村　一佳</t>
  </si>
  <si>
    <t>稲岡　純子</t>
  </si>
  <si>
    <t>073-422-7151</t>
  </si>
  <si>
    <t>073-422-7152</t>
  </si>
  <si>
    <t>丸山　竜司</t>
  </si>
  <si>
    <t>816-0873</t>
  </si>
  <si>
    <t>小市　勉</t>
  </si>
  <si>
    <t>093-871-8061</t>
  </si>
  <si>
    <t>093-871-8232</t>
  </si>
  <si>
    <t>浅野　勲</t>
  </si>
  <si>
    <t>秋末　敏宏</t>
  </si>
  <si>
    <t>092-551-2121</t>
  </si>
  <si>
    <t>092-561-5100</t>
  </si>
  <si>
    <t>018-893-4840</t>
  </si>
  <si>
    <t>018-893-4841</t>
  </si>
  <si>
    <t>532-0004</t>
  </si>
  <si>
    <t>三浦　良二</t>
  </si>
  <si>
    <t>冬室　裕司</t>
  </si>
  <si>
    <t>06-6563-7350</t>
  </si>
  <si>
    <t>06-6563-7351</t>
  </si>
  <si>
    <t>松原　修身</t>
  </si>
  <si>
    <t>729-0393</t>
  </si>
  <si>
    <t>03-3544-3133</t>
  </si>
  <si>
    <t>03-3544-3050</t>
  </si>
  <si>
    <t>中尾　達郎</t>
  </si>
  <si>
    <t>鈴木　真人</t>
  </si>
  <si>
    <t>136-8627</t>
  </si>
  <si>
    <t>池田　祐貴</t>
  </si>
  <si>
    <t>納田　啓司</t>
  </si>
  <si>
    <t>03-5419-6022</t>
  </si>
  <si>
    <t>03-3452-0802</t>
  </si>
  <si>
    <t>092-451-2822</t>
  </si>
  <si>
    <t>092-451-2829</t>
  </si>
  <si>
    <t>093-612-3542</t>
  </si>
  <si>
    <t>093-612-3543</t>
  </si>
  <si>
    <t>099-274-2109</t>
  </si>
  <si>
    <t>099-274-6467</t>
  </si>
  <si>
    <t>059-234-9260</t>
  </si>
  <si>
    <t>059-234-9262</t>
  </si>
  <si>
    <t>葛城　繁利</t>
  </si>
  <si>
    <t>陶山　康紀</t>
  </si>
  <si>
    <t>050-3807-1000</t>
  </si>
  <si>
    <t>050-3809-1418</t>
  </si>
  <si>
    <t>樗木　雅伸</t>
  </si>
  <si>
    <t>819-1124</t>
  </si>
  <si>
    <t>092-751-1112</t>
  </si>
  <si>
    <t>092-752-1690</t>
  </si>
  <si>
    <t>042-560-2042</t>
  </si>
  <si>
    <t>042-560-2273</t>
  </si>
  <si>
    <t>上村　心</t>
  </si>
  <si>
    <t xml:space="preserve">   -</t>
  </si>
  <si>
    <t>0863-23-2600</t>
  </si>
  <si>
    <t>0863-23-2612</t>
  </si>
  <si>
    <t>092-288-7159</t>
  </si>
  <si>
    <t>092-288-7168</t>
  </si>
  <si>
    <t>048-525-7233</t>
  </si>
  <si>
    <t>048-526-2177</t>
  </si>
  <si>
    <t>03-3793-5411</t>
  </si>
  <si>
    <t>03-3793-3474</t>
  </si>
  <si>
    <t>03-5783-2200</t>
  </si>
  <si>
    <t>03-5769-7551</t>
  </si>
  <si>
    <t>03-5546-8202</t>
  </si>
  <si>
    <t>03-5546-2005</t>
  </si>
  <si>
    <t>03-3685-4321</t>
  </si>
  <si>
    <t>03-3685-4250</t>
  </si>
  <si>
    <t>042-362-5311</t>
  </si>
  <si>
    <t>042-361-9571</t>
  </si>
  <si>
    <t>03-5985-1711</t>
  </si>
  <si>
    <t>03-5985-1712</t>
  </si>
  <si>
    <t>03-5765-1330</t>
  </si>
  <si>
    <t>03-5765-1340</t>
  </si>
  <si>
    <t>045-662-5459</t>
  </si>
  <si>
    <t>045-662-5468</t>
  </si>
  <si>
    <t>0465-29-0752</t>
  </si>
  <si>
    <t>0465-29-0828</t>
  </si>
  <si>
    <t>0547-45-3141</t>
  </si>
  <si>
    <t>0547-46-4123</t>
  </si>
  <si>
    <t>053-423-2400</t>
  </si>
  <si>
    <t>053-423-2410</t>
  </si>
  <si>
    <t>0748-55-8008</t>
  </si>
  <si>
    <t>0748-55-8018</t>
  </si>
  <si>
    <t>0774-66-2201</t>
  </si>
  <si>
    <t>0774-66-2202</t>
  </si>
  <si>
    <t>06-6582-3001</t>
  </si>
  <si>
    <t>06-6584-0051</t>
  </si>
  <si>
    <t>06-6966-2041</t>
  </si>
  <si>
    <t>06-6966-2043</t>
  </si>
  <si>
    <t>06-6355-2107</t>
  </si>
  <si>
    <t>06-6358-6733</t>
  </si>
  <si>
    <t>072-229-5252</t>
  </si>
  <si>
    <t>072-229-7171</t>
  </si>
  <si>
    <t>072-949-6591</t>
  </si>
  <si>
    <t>072-948-2257</t>
  </si>
  <si>
    <t>0794-82-0100</t>
  </si>
  <si>
    <t>0794-82-1314</t>
  </si>
  <si>
    <t>079-236-8818</t>
  </si>
  <si>
    <t>079-236-8878</t>
  </si>
  <si>
    <t>0742-43-1711</t>
  </si>
  <si>
    <t>0742-46-8786</t>
  </si>
  <si>
    <t>086-297-3905</t>
  </si>
  <si>
    <t>086-297-5707</t>
  </si>
  <si>
    <t>0823-83-6290</t>
  </si>
  <si>
    <t>0823-83-0475</t>
  </si>
  <si>
    <t>084-963-5500</t>
  </si>
  <si>
    <t>084-963-5508</t>
  </si>
  <si>
    <t>082-295-3083</t>
  </si>
  <si>
    <t>082-295-3673</t>
  </si>
  <si>
    <t>082-429-2100</t>
  </si>
  <si>
    <t>082-429-0614</t>
  </si>
  <si>
    <t>087-845-1111</t>
  </si>
  <si>
    <t>087-845-7442</t>
  </si>
  <si>
    <t>0875-63-4111</t>
  </si>
  <si>
    <t>0875-63-8721</t>
  </si>
  <si>
    <t>089-952-5060</t>
  </si>
  <si>
    <t>089-952-5551</t>
  </si>
  <si>
    <t>089-971-7775</t>
  </si>
  <si>
    <t>089-971-7776</t>
  </si>
  <si>
    <t>092-441-8306</t>
  </si>
  <si>
    <t>092-441-8307</t>
  </si>
  <si>
    <t>0942-51-3030</t>
  </si>
  <si>
    <t>0942-51-3377</t>
  </si>
  <si>
    <t>0948-72-0390</t>
  </si>
  <si>
    <t>0948-72-1335</t>
  </si>
  <si>
    <t>093-644-0220</t>
  </si>
  <si>
    <t>093-644-0222</t>
  </si>
  <si>
    <t>092-865-1800</t>
  </si>
  <si>
    <t>092-865-1103</t>
  </si>
  <si>
    <t>092-531-4734</t>
  </si>
  <si>
    <t>092-522-2031</t>
  </si>
  <si>
    <t>092-623-2121</t>
  </si>
  <si>
    <t>092-623-2090</t>
  </si>
  <si>
    <t>092-593-6861</t>
  </si>
  <si>
    <t>092-593-6860</t>
  </si>
  <si>
    <t>092-281-1717</t>
  </si>
  <si>
    <t>092-281-1140</t>
  </si>
  <si>
    <t>092-511-5101</t>
  </si>
  <si>
    <t>092-552-7609</t>
  </si>
  <si>
    <t>092-573-6660</t>
  </si>
  <si>
    <t>092-573-7446</t>
  </si>
  <si>
    <t>092-504-2942</t>
  </si>
  <si>
    <t>092-504-2943</t>
  </si>
  <si>
    <t>092-866-1711</t>
  </si>
  <si>
    <t>092-866-1793</t>
  </si>
  <si>
    <t>0942-34-4132</t>
  </si>
  <si>
    <t>0942-39-8060</t>
  </si>
  <si>
    <t>092-771-1181</t>
  </si>
  <si>
    <t>092-712-3037</t>
  </si>
  <si>
    <t>092-561-2717</t>
  </si>
  <si>
    <t>092-512-0057</t>
  </si>
  <si>
    <t>0930-24-6488</t>
  </si>
  <si>
    <t>0930-25-2410</t>
  </si>
  <si>
    <t>092-651-4847</t>
  </si>
  <si>
    <t>092-641-2278</t>
  </si>
  <si>
    <t>0944-88-0033</t>
  </si>
  <si>
    <t>0944-88-0081</t>
  </si>
  <si>
    <t>092-731-5581</t>
  </si>
  <si>
    <t>092-721-6799</t>
  </si>
  <si>
    <t>092-722-0722</t>
  </si>
  <si>
    <t>092-722-4304</t>
  </si>
  <si>
    <t>092-504-5005</t>
  </si>
  <si>
    <t>092-504-5008</t>
  </si>
  <si>
    <t>093-631-6600</t>
  </si>
  <si>
    <t>093-642-7596</t>
  </si>
  <si>
    <t>093-381-2468</t>
  </si>
  <si>
    <t>093-381-8600</t>
  </si>
  <si>
    <t>092-804-8801</t>
  </si>
  <si>
    <t>092-804-8808</t>
  </si>
  <si>
    <t>092-891-5865</t>
  </si>
  <si>
    <t>092-891-6559</t>
  </si>
  <si>
    <t>093-761-6333</t>
  </si>
  <si>
    <t>092-927-1002</t>
  </si>
  <si>
    <t>092-927-1005</t>
  </si>
  <si>
    <t>0979-82-3357</t>
  </si>
  <si>
    <t>0979-82-2233</t>
  </si>
  <si>
    <t>0930-25-4140</t>
  </si>
  <si>
    <t>092-477-1014</t>
  </si>
  <si>
    <t>092-477-1015</t>
  </si>
  <si>
    <t>0948-22-2025</t>
  </si>
  <si>
    <t>0948-22-9066</t>
  </si>
  <si>
    <t>0946-24-7070</t>
  </si>
  <si>
    <t>0946-24-7079</t>
  </si>
  <si>
    <t>092-851-7839</t>
  </si>
  <si>
    <t>092-851-7850</t>
  </si>
  <si>
    <t>092-926-7167</t>
  </si>
  <si>
    <t>092-926-7014</t>
  </si>
  <si>
    <t>092-643-0777</t>
  </si>
  <si>
    <t>092-292-7011</t>
  </si>
  <si>
    <t>092-451-6680</t>
  </si>
  <si>
    <t>092-451-6688</t>
  </si>
  <si>
    <t>0947-28-3315</t>
  </si>
  <si>
    <t>0947-28-3450</t>
  </si>
  <si>
    <t>092-475-5129</t>
  </si>
  <si>
    <t>092-475-5261</t>
  </si>
  <si>
    <t>093-434-0474</t>
  </si>
  <si>
    <t>093-434-3210</t>
  </si>
  <si>
    <t>093-881-3333</t>
  </si>
  <si>
    <t>093-881-3919</t>
  </si>
  <si>
    <t>092-721-4678</t>
  </si>
  <si>
    <t>092-715-3946</t>
  </si>
  <si>
    <t>092-651-4131</t>
  </si>
  <si>
    <t>092-651-4149</t>
  </si>
  <si>
    <t>092-589-3123</t>
  </si>
  <si>
    <t>092-589-3317</t>
  </si>
  <si>
    <t>092-571-1697</t>
  </si>
  <si>
    <t>092-571-1678</t>
  </si>
  <si>
    <t>092-558-2844</t>
  </si>
  <si>
    <t>092-558-2845</t>
  </si>
  <si>
    <t>092-588-2300</t>
  </si>
  <si>
    <t>092-588-2301</t>
  </si>
  <si>
    <t>092-503-1850</t>
  </si>
  <si>
    <t>092-503-1851</t>
  </si>
  <si>
    <t>093-751-0350</t>
  </si>
  <si>
    <t>093-751-0837</t>
  </si>
  <si>
    <t>092-791-2212</t>
  </si>
  <si>
    <t>092-791-2218</t>
  </si>
  <si>
    <t>0930-28-8296</t>
  </si>
  <si>
    <t>050-3198-9872</t>
  </si>
  <si>
    <t>092-651-3671</t>
  </si>
  <si>
    <t>092-651-2726</t>
  </si>
  <si>
    <t>092-441-3805</t>
  </si>
  <si>
    <t>092-475-5883</t>
  </si>
  <si>
    <t>092-415-3733</t>
  </si>
  <si>
    <t>092-415-3755</t>
  </si>
  <si>
    <t>092-513-0235</t>
  </si>
  <si>
    <t>092-513-0236</t>
  </si>
  <si>
    <t>092-409-7431</t>
  </si>
  <si>
    <t>092-776-3853</t>
  </si>
  <si>
    <t>092-474-2181</t>
  </si>
  <si>
    <t>092-451-4411</t>
  </si>
  <si>
    <t>092-864-4649</t>
  </si>
  <si>
    <t>092-400-8211</t>
  </si>
  <si>
    <t>092-471-7396</t>
  </si>
  <si>
    <t>092-622-0085</t>
  </si>
  <si>
    <t>092-626-1240</t>
  </si>
  <si>
    <t>0955-23-2266</t>
  </si>
  <si>
    <t>0955-23-2223</t>
  </si>
  <si>
    <t>0952-74-2525</t>
  </si>
  <si>
    <t>0952-74-2527</t>
  </si>
  <si>
    <t>0956-23-2177</t>
  </si>
  <si>
    <t>0956-23-2170</t>
  </si>
  <si>
    <t>0956-20-3103</t>
  </si>
  <si>
    <t>0956-20-3104</t>
  </si>
  <si>
    <t>0956-47-4611</t>
  </si>
  <si>
    <t>0956-47-4627</t>
  </si>
  <si>
    <t>0956-31-5126</t>
  </si>
  <si>
    <t>0956-31-5196</t>
  </si>
  <si>
    <t>0967-32-1438</t>
  </si>
  <si>
    <t>0967-32-1888</t>
  </si>
  <si>
    <t>096-342-6505</t>
  </si>
  <si>
    <t>096-342-6506</t>
  </si>
  <si>
    <t>096-385-9295</t>
  </si>
  <si>
    <t>096-385-0694</t>
  </si>
  <si>
    <t>096-379-5225</t>
  </si>
  <si>
    <t>096-379-0161</t>
  </si>
  <si>
    <t>096-365-8001</t>
  </si>
  <si>
    <t>096-365-8002</t>
  </si>
  <si>
    <t>0966-24-5650</t>
  </si>
  <si>
    <t>0966-24-2960</t>
  </si>
  <si>
    <t>0968-42-9051</t>
  </si>
  <si>
    <t>0968-42-9052</t>
  </si>
  <si>
    <t>福村　竜一</t>
  </si>
  <si>
    <t>0964-22-7411</t>
  </si>
  <si>
    <t>0964-22-3483</t>
  </si>
  <si>
    <t>096-382-5844</t>
  </si>
  <si>
    <t>096-382-5846</t>
  </si>
  <si>
    <t>0982-33-5211</t>
  </si>
  <si>
    <t>0982-32-5041</t>
  </si>
  <si>
    <t>0982-34-8228</t>
  </si>
  <si>
    <t>0982-21-5190</t>
  </si>
  <si>
    <t>0982-32-6278</t>
  </si>
  <si>
    <t>0982-32-6279</t>
  </si>
  <si>
    <t>0985-77-7610</t>
  </si>
  <si>
    <t>0985-77-7620</t>
  </si>
  <si>
    <t>0985-82-8700</t>
  </si>
  <si>
    <t>0985-82-8701</t>
  </si>
  <si>
    <t>0985-53-9252</t>
  </si>
  <si>
    <t>0985-53-9259</t>
  </si>
  <si>
    <t>0985-50-6600</t>
  </si>
  <si>
    <t>0985-52-1471</t>
  </si>
  <si>
    <t>0982-20-4425</t>
  </si>
  <si>
    <t>0982-20-4426</t>
  </si>
  <si>
    <t>099-262-1201</t>
  </si>
  <si>
    <t>099-262-0333</t>
  </si>
  <si>
    <t>099-268-2014</t>
  </si>
  <si>
    <t>099-267-7939</t>
  </si>
  <si>
    <t>099-265-1126</t>
  </si>
  <si>
    <t>099-265-7103</t>
  </si>
  <si>
    <t>件数</t>
    <rPh sb="0" eb="2">
      <t>ケンスウ</t>
    </rPh>
    <phoneticPr fontId="2"/>
  </si>
  <si>
    <t>ペガサス業者名簿貼付け⇒</t>
    <rPh sb="4" eb="8">
      <t>ギョウシャメイボ</t>
    </rPh>
    <rPh sb="8" eb="10">
      <t>ハリツ</t>
    </rPh>
    <phoneticPr fontId="2"/>
  </si>
  <si>
    <t>法第１３条第１項及び省令第７条に基づく書面（公共機関用）</t>
    <rPh sb="0" eb="1">
      <t>ホウ</t>
    </rPh>
    <rPh sb="1" eb="2">
      <t>ダイ</t>
    </rPh>
    <rPh sb="4" eb="5">
      <t>ジョウ</t>
    </rPh>
    <rPh sb="5" eb="6">
      <t>ダイ</t>
    </rPh>
    <rPh sb="7" eb="8">
      <t>コウ</t>
    </rPh>
    <rPh sb="8" eb="9">
      <t>オヨ</t>
    </rPh>
    <rPh sb="10" eb="12">
      <t>ショウレイ</t>
    </rPh>
    <rPh sb="12" eb="13">
      <t>ダイ</t>
    </rPh>
    <rPh sb="14" eb="15">
      <t>ジョウ</t>
    </rPh>
    <rPh sb="16" eb="17">
      <t>モト</t>
    </rPh>
    <rPh sb="19" eb="21">
      <t>ショメン</t>
    </rPh>
    <rPh sb="22" eb="24">
      <t>コウキョウ</t>
    </rPh>
    <rPh sb="24" eb="26">
      <t>キカン</t>
    </rPh>
    <rPh sb="26" eb="27">
      <t>ヨウ</t>
    </rPh>
    <phoneticPr fontId="74"/>
  </si>
  <si>
    <t>下請予定合計金額</t>
    <rPh sb="0" eb="2">
      <t>シタウ</t>
    </rPh>
    <rPh sb="2" eb="4">
      <t>ヨテイ</t>
    </rPh>
    <rPh sb="4" eb="6">
      <t>ゴウケイ</t>
    </rPh>
    <rPh sb="6" eb="8">
      <t>キンガク</t>
    </rPh>
    <phoneticPr fontId="24"/>
  </si>
  <si>
    <t>印</t>
    <rPh sb="0" eb="1">
      <t>イン</t>
    </rPh>
    <phoneticPr fontId="2"/>
  </si>
  <si>
    <t>未定の場合は「1」を入力してください。</t>
    <rPh sb="0" eb="2">
      <t>ミテイ</t>
    </rPh>
    <rPh sb="3" eb="5">
      <t>バアイ</t>
    </rPh>
    <rPh sb="10" eb="12">
      <t>ニュウリョク</t>
    </rPh>
    <phoneticPr fontId="2"/>
  </si>
  <si>
    <t>下請発注予定なしの場合「1」を入力してください。</t>
    <rPh sb="0" eb="2">
      <t>シタウ</t>
    </rPh>
    <rPh sb="2" eb="4">
      <t>ハッチュウ</t>
    </rPh>
    <rPh sb="4" eb="6">
      <t>ヨテイ</t>
    </rPh>
    <rPh sb="9" eb="11">
      <t>バアイ</t>
    </rPh>
    <rPh sb="15" eb="17">
      <t>ニュウリョク</t>
    </rPh>
    <phoneticPr fontId="2"/>
  </si>
  <si>
    <t>元請業者の建設業許可保有業種に「1」を入力してください。</t>
    <rPh sb="0" eb="4">
      <t>モトウケギョウシャ</t>
    </rPh>
    <rPh sb="5" eb="10">
      <t>ケンセツギョウキョカ</t>
    </rPh>
    <rPh sb="10" eb="12">
      <t>ホユウ</t>
    </rPh>
    <rPh sb="12" eb="14">
      <t>ギョウシュ</t>
    </rPh>
    <rPh sb="19" eb="21">
      <t>ニュウリョク</t>
    </rPh>
    <phoneticPr fontId="2"/>
  </si>
  <si>
    <t>　　通知書の写し等を添付すること（該当する者についてしるし等でわかるように</t>
    <rPh sb="17" eb="19">
      <t>ガイトウ</t>
    </rPh>
    <rPh sb="21" eb="22">
      <t>モノ</t>
    </rPh>
    <rPh sb="29" eb="30">
      <t>ナド</t>
    </rPh>
    <phoneticPr fontId="2"/>
  </si>
  <si>
    <t>　　表記すること。また、基礎年金番号等の証明に不必要な個人情報は黒塗りする</t>
    <phoneticPr fontId="2"/>
  </si>
  <si>
    <t>　　こと）。</t>
    <phoneticPr fontId="2"/>
  </si>
  <si>
    <t>Ver.1.0e</t>
    <phoneticPr fontId="2"/>
  </si>
  <si>
    <t>大西　俊一</t>
  </si>
  <si>
    <t>山口　政義</t>
  </si>
  <si>
    <t>森﨑　貴嗣</t>
  </si>
  <si>
    <t>藤内　修一</t>
  </si>
  <si>
    <t xml:space="preserve">	兒玉　康弘</t>
  </si>
  <si>
    <t>高野　剛</t>
  </si>
  <si>
    <t>高村　聡</t>
  </si>
  <si>
    <t>百田　鉄志</t>
  </si>
  <si>
    <t>奈良　崇史</t>
  </si>
  <si>
    <t>松尾　寿一</t>
  </si>
  <si>
    <t>北野　善隆</t>
  </si>
  <si>
    <t>大久保　信昭</t>
  </si>
  <si>
    <t>遠山　実</t>
  </si>
  <si>
    <t xml:space="preserve">	法野　裕二郎</t>
  </si>
  <si>
    <t>渡邉　仁</t>
  </si>
  <si>
    <t>工藤　伸仁</t>
  </si>
  <si>
    <t>山本　勝紀</t>
  </si>
  <si>
    <t>衛藤　博司</t>
  </si>
  <si>
    <t>金子　成人</t>
  </si>
  <si>
    <t>［注］「健康保険料等」とは、健康保険料、介護保険料、厚生年金保険料、
      子ども・子育て拠出金、雇用保険料及び労働者災害補償保険料をいう。</t>
    <phoneticPr fontId="2"/>
  </si>
  <si>
    <t>円　＞</t>
  </si>
  <si>
    <t>＜　工事価格のうち、法定福利費（建設工事に従事する者の健康保険料等の</t>
    <phoneticPr fontId="2"/>
  </si>
  <si>
    <t xml:space="preserve">事業主負担額）         </t>
    <phoneticPr fontId="2"/>
  </si>
  <si>
    <t>２　発注者は、受注者の施工する工事及び設計図書に示した他の機関の発注に係る他の工事が施工上密接に関連する場合におい</t>
  </si>
  <si>
    <t>　て、必要があるときは、その施工につき、当該他の機関と調整を行うものとする。この場合においては、受注者は、発注者の</t>
  </si>
  <si>
    <t>　調整に従い、当該他の機関の発注に係る工事の円滑な施工に協力しなければならない。</t>
  </si>
  <si>
    <t>２　内訳書には、法定福利費（建設工事に従事する者の健康保険料等の事業主負担額をいう。）を明示するものとする。</t>
  </si>
  <si>
    <t>３　発注者は、第一項の協議に当たっては、受注者からの意見の趣旨をできる限り勘案し十分な協議を行うように留意すると</t>
  </si>
  <si>
    <t>３　発注者は、第１項の協議に当たっては、受注者からの意見の趣旨をできる限り勘案し十分な協議を行うように留意するとと</t>
    <phoneticPr fontId="2"/>
  </si>
  <si>
    <t>４　この約款の規定により、受注者が増加費用を必要とした場合又は損害を受けた場合に発注者が負担する必要な費用の額につ</t>
    <phoneticPr fontId="2"/>
  </si>
  <si>
    <t>９　発注者は、第３項又は第７項の協議に当たっては、受注者からの意見の趣旨をできる限り勘案し十分な協議を行うように</t>
    <phoneticPr fontId="2"/>
  </si>
  <si>
    <t>（科目別内訳）</t>
    <rPh sb="1" eb="3">
      <t>カモク</t>
    </rPh>
    <rPh sb="3" eb="4">
      <t>ベツ</t>
    </rPh>
    <rPh sb="4" eb="6">
      <t>ウチワケ</t>
    </rPh>
    <phoneticPr fontId="2"/>
  </si>
  <si>
    <t>※支店名は○○支店まで入力してください。</t>
    <rPh sb="1" eb="3">
      <t>シテン</t>
    </rPh>
    <rPh sb="3" eb="4">
      <t>メイ</t>
    </rPh>
    <rPh sb="7" eb="9">
      <t>シテン</t>
    </rPh>
    <rPh sb="11" eb="13">
      <t>ニュウリョク</t>
    </rPh>
    <phoneticPr fontId="2"/>
  </si>
  <si>
    <t>中津市沖代町１－４－２８</t>
  </si>
  <si>
    <t>大分市舞鶴町１－３－１８</t>
  </si>
  <si>
    <t>大分市豊海４－３－１９</t>
  </si>
  <si>
    <t>大分市中島西３－５－１</t>
  </si>
  <si>
    <t>大分市大字津留１９７９－１</t>
  </si>
  <si>
    <t>日田市大字高瀬１２４８－１</t>
  </si>
  <si>
    <t>日田市中津江村栃野５３０１－２</t>
  </si>
  <si>
    <t>中津市中央町１－４－３６</t>
  </si>
  <si>
    <t>大分市向原西２－６－２５</t>
  </si>
  <si>
    <t>日田市清岸寺町１０３３－１</t>
  </si>
  <si>
    <t>中津市沖代町２－２－１３</t>
  </si>
  <si>
    <t>大分市寺崎町２－３－６</t>
  </si>
  <si>
    <t>津久見市大字津久見１５７５－１</t>
  </si>
  <si>
    <t>大分市高松１－２－２７　サンオブサンエージェンシービル</t>
  </si>
  <si>
    <t>097-556-0431</t>
  </si>
  <si>
    <t>大分市新貝６－７</t>
  </si>
  <si>
    <t>竹田市荻町恵良原７６９－１</t>
  </si>
  <si>
    <t>大分市新貝４－４６</t>
  </si>
  <si>
    <t>宇佐市大字長洲５５４－５</t>
  </si>
  <si>
    <t>大分市向原東２－２－３０</t>
  </si>
  <si>
    <t>大分市西新地１－３２－１</t>
  </si>
  <si>
    <t>日田市大字高瀬１００５－１</t>
  </si>
  <si>
    <t>新家　正久</t>
  </si>
  <si>
    <t>中津市字小祝６３８－３</t>
  </si>
  <si>
    <t>大分市東大道２－５－４７</t>
  </si>
  <si>
    <t>大分市大字横尾２０６２－１</t>
  </si>
  <si>
    <t>00028417</t>
  </si>
  <si>
    <t>プライム</t>
  </si>
  <si>
    <t>（株）プライム</t>
  </si>
  <si>
    <t>田島　茂喜</t>
  </si>
  <si>
    <t>大分市羽田７７４－３</t>
  </si>
  <si>
    <t>097-569-6025</t>
  </si>
  <si>
    <t>097-569-7802</t>
  </si>
  <si>
    <t>臼杵市大字野田字平ノ下２６６－１</t>
  </si>
  <si>
    <t>別府市石垣東１０－３－４０</t>
  </si>
  <si>
    <t>00029831</t>
  </si>
  <si>
    <t>別府市亀川１６９９－１</t>
  </si>
  <si>
    <t>大分市古国府６－３－２５</t>
  </si>
  <si>
    <t>江藤　佳史</t>
  </si>
  <si>
    <t>大分市乙津町１－１６</t>
  </si>
  <si>
    <t>大分市舞鶴町１－１２－１９</t>
  </si>
  <si>
    <t>由布市湯布院町川上３０５３－１１</t>
  </si>
  <si>
    <t>大分市弁天２－６－３２</t>
  </si>
  <si>
    <t>大分市花津留１－１６－８</t>
  </si>
  <si>
    <t>大分市大字下郡字高畑１７３８－３</t>
  </si>
  <si>
    <t>大分市上野町１０－１２</t>
  </si>
  <si>
    <t>大分市西新地１－８－３０</t>
  </si>
  <si>
    <t>大分市萩原４－１５－６</t>
  </si>
  <si>
    <t>大分市大州浜１－４－３４</t>
  </si>
  <si>
    <t>大分市牧１－４－１３</t>
  </si>
  <si>
    <t>大分市王子西町１３－３</t>
  </si>
  <si>
    <t>大分市弁天２－３－１</t>
  </si>
  <si>
    <t>由布市湯布院町川上１０２５－７</t>
  </si>
  <si>
    <t>大分市城東町１－３９</t>
  </si>
  <si>
    <t>大分市三佐１－１４－７</t>
  </si>
  <si>
    <t>大分市大字下郡３７０８－１９</t>
  </si>
  <si>
    <t>大分市大字上戸次３９７７－１</t>
  </si>
  <si>
    <t>大分市乙津港町２－８－２８</t>
  </si>
  <si>
    <t>大分市花園２－４－４４</t>
  </si>
  <si>
    <t>大分市新川町２－５－４１</t>
  </si>
  <si>
    <t>大分市大字下郡９９３－１</t>
  </si>
  <si>
    <t>大分市大字勢家１０９８－３５</t>
  </si>
  <si>
    <t>大分市顕徳町２－１－２６</t>
  </si>
  <si>
    <t>大分市弁天２－７－１</t>
  </si>
  <si>
    <t>大分市大字永興１－４－１</t>
  </si>
  <si>
    <t>大分市中島中央３－１－１１</t>
  </si>
  <si>
    <t>由布市湯布院町川南３５－４</t>
  </si>
  <si>
    <t>大分市上田町１－６－１</t>
  </si>
  <si>
    <t>大分市向原沖１－１－３０</t>
  </si>
  <si>
    <t>大分市東浜１－７－２１</t>
  </si>
  <si>
    <t>大分市田室町８－３３</t>
  </si>
  <si>
    <t>大分市牧１－１１－１５</t>
  </si>
  <si>
    <t>大分市大字野津原８４３－３</t>
  </si>
  <si>
    <t>大分市大字丹生３０－６１</t>
  </si>
  <si>
    <t>大分市大手町１－５－３３</t>
  </si>
  <si>
    <t>大分市大字皆春１６４２－１</t>
  </si>
  <si>
    <t>大分市大字鶴崎１７６１－１</t>
  </si>
  <si>
    <t>大分市西新地１－１－４９</t>
  </si>
  <si>
    <t>大分市大字三芳４１１－７</t>
  </si>
  <si>
    <t>大分市西大道２－２－２７</t>
  </si>
  <si>
    <t>大分市大字松岡字上木ノ下３７０４－３</t>
  </si>
  <si>
    <t>大分市城崎町１－３－２８</t>
  </si>
  <si>
    <t>大分市王子北町１－２９</t>
  </si>
  <si>
    <t>大分市金池南２－１６－１７</t>
  </si>
  <si>
    <t>大分市徳島１－５－１８</t>
  </si>
  <si>
    <t>由布市挾間町向原３３５－１</t>
  </si>
  <si>
    <t>大分市大字丹川７４－３</t>
  </si>
  <si>
    <t>大分市青崎１－２－３６</t>
  </si>
  <si>
    <t>大分市大字中戸次５８７９－２</t>
  </si>
  <si>
    <t>大分市城東町２－５</t>
  </si>
  <si>
    <t>大分市下郡南３－２－３４</t>
  </si>
  <si>
    <t>大分市大字中判田１７１２－４</t>
  </si>
  <si>
    <t>大分市住吉町２－４－１１</t>
  </si>
  <si>
    <t>大分市花園２－１４０７ー１</t>
  </si>
  <si>
    <t>大分市豊海５－４－１６</t>
  </si>
  <si>
    <t>中島　巌</t>
  </si>
  <si>
    <t>大分市大字皆春１５２０－１</t>
  </si>
  <si>
    <t>幸野　譲二</t>
  </si>
  <si>
    <t>大分市下郡南２－４－２０</t>
  </si>
  <si>
    <t>由布市湯布院町川北２１６８－１</t>
  </si>
  <si>
    <t>大分市大字下宗方１１４０－１</t>
  </si>
  <si>
    <t>大分市坂ノ市南４－６－３２</t>
  </si>
  <si>
    <t>臼杵市大字前田１７０２－３１</t>
  </si>
  <si>
    <t>大分市大字下郡１７１６－１０</t>
  </si>
  <si>
    <t>大分市大字細２０５－２</t>
  </si>
  <si>
    <t>大分市原新町９－９</t>
  </si>
  <si>
    <t>別府市原町１０－１</t>
  </si>
  <si>
    <t>0977-25-5510</t>
  </si>
  <si>
    <t>別府市石垣東２－１０－１６</t>
  </si>
  <si>
    <t>杵築市大字南杵築２４６５－１</t>
  </si>
  <si>
    <t>宇佐市大字辛島１４－１</t>
  </si>
  <si>
    <t>別府市石垣東１－９－３１</t>
  </si>
  <si>
    <t>別府市光町７－２６</t>
  </si>
  <si>
    <t>別府市大字鶴見４１４２－８</t>
  </si>
  <si>
    <t>速見郡日出町大字真那井３１６５－２</t>
  </si>
  <si>
    <t>別府市末広町４－５</t>
  </si>
  <si>
    <t>別府市末広町７－１７</t>
  </si>
  <si>
    <t>速見郡日出町大字藤原２６３７－１</t>
  </si>
  <si>
    <t>別府市京町４－１９</t>
  </si>
  <si>
    <t>別府市小倉町６６－３９</t>
  </si>
  <si>
    <t>速見郡日出町２９８１－１</t>
  </si>
  <si>
    <t>杵築市大字大内５９６０－１</t>
  </si>
  <si>
    <t>別府市竹の内町２２－３６</t>
  </si>
  <si>
    <t>杵築市大字杵築６８－１</t>
  </si>
  <si>
    <t>別府市亀川東町２７－４４</t>
  </si>
  <si>
    <t>別府市富士見町７－１５</t>
  </si>
  <si>
    <t>別府市東荘園９－１－５３</t>
  </si>
  <si>
    <t>速見郡日出町藤原５２８８－６</t>
  </si>
  <si>
    <t>豊後高田市中真玉２１３０－１１</t>
  </si>
  <si>
    <t>豊後高田市界７９－１</t>
  </si>
  <si>
    <t>豊後高田市美和１７３７－１</t>
  </si>
  <si>
    <t>豊後高田市臼野３５６９－１</t>
  </si>
  <si>
    <t>豊後高田市来縄２４４４－１</t>
  </si>
  <si>
    <t>0978-22-0149</t>
  </si>
  <si>
    <t>杵築市山香町大字小武４２０－１</t>
  </si>
  <si>
    <t>豊後高田市高田２１０６－１</t>
  </si>
  <si>
    <t>豊後高田市新地１６７３－２</t>
  </si>
  <si>
    <t>南浴　功治</t>
  </si>
  <si>
    <t>豊後高田市見目７４７－１</t>
  </si>
  <si>
    <t>豊後高田市高田２９２１－２</t>
  </si>
  <si>
    <t>豊後高田市玉津１５５０－６</t>
  </si>
  <si>
    <t>豊後高田市新地１０８８－１</t>
  </si>
  <si>
    <t>国東市武蔵町麻田２０８５－２</t>
  </si>
  <si>
    <t>国東市国東町田深６６６－１</t>
  </si>
  <si>
    <t>国東市安岐町大字西本１０５９－１</t>
  </si>
  <si>
    <t>国東市国東町富来浦１６２５－１</t>
  </si>
  <si>
    <t>秋田　裕範</t>
  </si>
  <si>
    <t>国東市国見町野田３１０３－１</t>
  </si>
  <si>
    <t>国東市武蔵町古市３１０－１</t>
  </si>
  <si>
    <t>国東市安岐町朝来２７４９－３</t>
  </si>
  <si>
    <t>国東市国東町浜５１３９－１</t>
  </si>
  <si>
    <t>国東市国東町小原１８１１－１</t>
  </si>
  <si>
    <t>国東市安岐町塩屋２９１－３</t>
  </si>
  <si>
    <t>国東市国東町鶴川１６２６－１</t>
  </si>
  <si>
    <t>臼杵市大字市浜字中通り６５１－２</t>
  </si>
  <si>
    <t>津久見市志手町２－７</t>
  </si>
  <si>
    <t>嵯峨　彰仁</t>
  </si>
  <si>
    <t>大分市大字佐賀関４－３３４１－４</t>
  </si>
  <si>
    <t>津久見市地蔵町５－１６</t>
  </si>
  <si>
    <t>大分市大字津守６０－１</t>
  </si>
  <si>
    <t>臼杵市大字市浜１１３７－１</t>
  </si>
  <si>
    <t>シンコウプラントケンセツ</t>
  </si>
  <si>
    <t>新興プラント建設（株）</t>
  </si>
  <si>
    <t>臼杵市大字海添２５６０－１</t>
  </si>
  <si>
    <t>津久見市文京町１２－１８</t>
  </si>
  <si>
    <t>臼杵市大字江無田１９４－１</t>
  </si>
  <si>
    <t>津久見市大字上青江３３７５－８</t>
  </si>
  <si>
    <t>臼杵市大字佐志生１０３－２</t>
  </si>
  <si>
    <t>臼杵市大字末広４１４－１</t>
  </si>
  <si>
    <t>大分市大字白木２－３５７１</t>
  </si>
  <si>
    <t>臼杵市大字諏訪９０２－１</t>
  </si>
  <si>
    <t>津久見市井無田町３－９</t>
  </si>
  <si>
    <t>臼杵市大字市浜字京泊り７０４－５</t>
  </si>
  <si>
    <t>臼杵市大字前田１９８８－１</t>
  </si>
  <si>
    <t>大分市大字佐賀関２２３２－７８</t>
  </si>
  <si>
    <t>津久見市宮本町２３－２５</t>
  </si>
  <si>
    <t>津久見市地蔵町６－１７</t>
  </si>
  <si>
    <t>臼杵市大字大野１－１</t>
  </si>
  <si>
    <t>津久見市中央町２－８</t>
  </si>
  <si>
    <t>津久見市大字千怒５１４０</t>
  </si>
  <si>
    <t>津久見市入船西町２１－１</t>
  </si>
  <si>
    <t>津久見市大字上青江３７４８－１</t>
  </si>
  <si>
    <t>津久見市港町９－１５</t>
  </si>
  <si>
    <t>佐伯市東町１１－１９</t>
  </si>
  <si>
    <t>佐伯市鶴見大字吹浦１９８０－８</t>
  </si>
  <si>
    <t>佐伯市長島町３－３－１１</t>
  </si>
  <si>
    <t>876-0824</t>
  </si>
  <si>
    <t>佐伯市新女島２－７４４４</t>
  </si>
  <si>
    <t>佐伯市大字海崎８４８－１</t>
  </si>
  <si>
    <t>佐伯市宇目大字千束２０４９－２</t>
  </si>
  <si>
    <t>佐伯市長島町１－３－１３</t>
  </si>
  <si>
    <t>佐伯市中村北町７－２１</t>
  </si>
  <si>
    <t>佐伯市東町１６－８</t>
  </si>
  <si>
    <t>佐伯市池船町１５－２４</t>
  </si>
  <si>
    <t>佐伯市蒲江大字蒲江浦２－２１９８－１</t>
  </si>
  <si>
    <t>佐伯市鶴岡町２－５－３９</t>
  </si>
  <si>
    <t>佐伯市上浦大字津井浦１３６８－１０</t>
  </si>
  <si>
    <t>佐伯市女島３－１０４２９－３</t>
  </si>
  <si>
    <t>佐伯市中の島１－１０－５０</t>
  </si>
  <si>
    <t>豊後大野市三重町赤嶺１９２７－１</t>
  </si>
  <si>
    <t>風戸　惠子</t>
  </si>
  <si>
    <t>佐伯市弥生大字江良１０６８－１</t>
  </si>
  <si>
    <t>佐伯市大字池田１７２５－５</t>
  </si>
  <si>
    <t>佐伯市女島２－９０２９－１</t>
  </si>
  <si>
    <t>豊後大野市三重町菅生１－３０３</t>
  </si>
  <si>
    <t>豊後大野市三重町内田３２０５－１</t>
  </si>
  <si>
    <t>豊後大野市大野町大原１１７２－２</t>
  </si>
  <si>
    <t>豊後大野市千歳町長峰１５７９－１</t>
  </si>
  <si>
    <t>豊後大野市犬飼町田原２５１－７</t>
  </si>
  <si>
    <t>豊後大野市三重町赤嶺１２２４－３</t>
  </si>
  <si>
    <t>豊後大野市犬飼町下津尾３５０５－９</t>
  </si>
  <si>
    <t>竹田市久住町大字有氏４８６－１</t>
  </si>
  <si>
    <t>豊後大野市犬飼町久原３４７－１２</t>
  </si>
  <si>
    <t>Ｃ－ＴＥＣＨ（株）</t>
  </si>
  <si>
    <t>竹田市大字竹田２０６３－１５</t>
  </si>
  <si>
    <t>竹田市大字飛田川３３９７－１</t>
  </si>
  <si>
    <t>竹田市大字会々３６４５－１</t>
  </si>
  <si>
    <t>竹田市大字植木１８９５－１</t>
  </si>
  <si>
    <t>竹田市大字会々２８０８－５</t>
  </si>
  <si>
    <t>竹田市大字君ケ園８８３－８</t>
  </si>
  <si>
    <t>竹田市大字会々４６９３－１</t>
  </si>
  <si>
    <t>今山　裕也</t>
  </si>
  <si>
    <t>佐伯市大字上岡５０３－１</t>
  </si>
  <si>
    <t>080-8567-4919</t>
  </si>
  <si>
    <t>竹田市大字竹田２６０１－３</t>
  </si>
  <si>
    <t>竹田市久住町大字久住６２６４－１</t>
  </si>
  <si>
    <t>竹田市久住町大字久住５－１</t>
  </si>
  <si>
    <t>竹田市大字竹田２４１２－１</t>
  </si>
  <si>
    <t>竹田市大字門田３２９２－８</t>
  </si>
  <si>
    <t>玖珠郡九重町大字右田７１９－３</t>
  </si>
  <si>
    <t>玖珠郡九重町大字右田３４０２－１</t>
  </si>
  <si>
    <t>玖珠郡九重町大字引治５６１</t>
  </si>
  <si>
    <t>玖珠郡九重町大字田野１２５７－１</t>
  </si>
  <si>
    <t>玖珠郡玖珠町大字大隈９７２－５</t>
  </si>
  <si>
    <t>玖珠郡玖珠町大字帆足８４１－２</t>
  </si>
  <si>
    <t>玖珠郡玖珠町大字戸畑９７６－１６</t>
  </si>
  <si>
    <t>玖珠郡九重町大字野上１２８８－１</t>
  </si>
  <si>
    <t>玖珠郡玖珠町大字帆足４７３－１</t>
  </si>
  <si>
    <t>玖珠郡九重町大字町田４４８８－１</t>
  </si>
  <si>
    <t>日田市大字高瀬７２８－５</t>
  </si>
  <si>
    <t>大関　晋太郎</t>
  </si>
  <si>
    <t>日田市大字友田１８３－３</t>
  </si>
  <si>
    <t>日田市城町１－２－５４</t>
  </si>
  <si>
    <t>日田市田島１－１０－２１</t>
  </si>
  <si>
    <t>日田市大字有田３１９－２７</t>
  </si>
  <si>
    <t>日田市大字三和２１２－１</t>
  </si>
  <si>
    <t>日田市大字渡里１６－５</t>
  </si>
  <si>
    <t>日田市天瀬町赤岩２６－１</t>
  </si>
  <si>
    <t>日田市城町１－８－４６</t>
  </si>
  <si>
    <t>日田市大字竹田４１６－９</t>
  </si>
  <si>
    <t>日田市大字渡里２１－３</t>
  </si>
  <si>
    <t>日田市本庄町４－２０</t>
  </si>
  <si>
    <t>日田市大字庄手３７８－２</t>
  </si>
  <si>
    <t>日田市大字友田１３５９－２７</t>
  </si>
  <si>
    <t>豊後大野市朝地町下野７７６－３</t>
  </si>
  <si>
    <t>日田市誠和町８２３－１</t>
  </si>
  <si>
    <t>中津市大字東浜１１２８－１８</t>
  </si>
  <si>
    <t>中津市大字田尻崎８－５</t>
  </si>
  <si>
    <t>中津市大字宮夫２７３－７</t>
  </si>
  <si>
    <t>中津市大字万田５６３－６</t>
  </si>
  <si>
    <t>中津市大字上宮永３９８－１</t>
  </si>
  <si>
    <t>中津市大字牛神３３８－２</t>
  </si>
  <si>
    <t>笹原　徹也</t>
  </si>
  <si>
    <t>中津市大字下池永９２９－１</t>
  </si>
  <si>
    <t>中津市耶馬溪町大字大島１７９－１</t>
  </si>
  <si>
    <t>中津市耶馬溪町大字柿坂５３４－３</t>
  </si>
  <si>
    <t>宇佐市大字山本６４０－３</t>
  </si>
  <si>
    <t>宇佐市城井２００６</t>
  </si>
  <si>
    <t>宇佐市大字別府５９０－１</t>
  </si>
  <si>
    <t>宇佐市院内町副１６３３－２</t>
  </si>
  <si>
    <t>宇佐市安心院町下毛１８９０－１</t>
  </si>
  <si>
    <t>宇佐市院内町副１２４４－１</t>
  </si>
  <si>
    <t>宇佐市大字森山１０８０－２</t>
  </si>
  <si>
    <t>元吉　敏勝</t>
  </si>
  <si>
    <t>宇佐市大字四日市５５－１</t>
  </si>
  <si>
    <t>豊田　雅貴</t>
  </si>
  <si>
    <t>宇佐市安心院町飯田１１１－１</t>
  </si>
  <si>
    <t>宇佐市大字上田１５３２－２</t>
  </si>
  <si>
    <t>宇佐市大字山下９０７－１</t>
  </si>
  <si>
    <t>宇佐市安心院町龍王１５７－３</t>
  </si>
  <si>
    <t>0978-44-0100</t>
  </si>
  <si>
    <t>宇佐市院内町二日市１９４－１</t>
  </si>
  <si>
    <t>宇佐市大字下高家８６５－１</t>
  </si>
  <si>
    <t>住本　謙太</t>
  </si>
  <si>
    <t>宇佐市大字松崎３６０－１</t>
  </si>
  <si>
    <t>河野　拓允</t>
  </si>
  <si>
    <t>宇佐市安心院町荘５８９－１</t>
  </si>
  <si>
    <t>宇佐市安心院町木裳３８２－２</t>
  </si>
  <si>
    <t>宇佐市大字北宇佐１７４４－１</t>
  </si>
  <si>
    <t>宇佐市安心院町下毛２０２２－１０</t>
  </si>
  <si>
    <t>一木　正行</t>
  </si>
  <si>
    <t>宇佐市大字長洲３１９４－１</t>
  </si>
  <si>
    <t>宇佐市大字四日市４０４－６</t>
  </si>
  <si>
    <t>宇佐市安心院町木裳２６２－３</t>
  </si>
  <si>
    <t>衞藤　政通</t>
  </si>
  <si>
    <t>宇佐市安心院町上市２２０－１</t>
  </si>
  <si>
    <t>宇佐市大字四日市４５１５－３</t>
  </si>
  <si>
    <t>宇佐市大字蜷木１１０６－１</t>
  </si>
  <si>
    <t>宇佐市院内町下恵良７９３－１</t>
  </si>
  <si>
    <t>宇佐市大字四日市３２６８－４</t>
  </si>
  <si>
    <t>宇佐市大字四日市３２５０－１</t>
  </si>
  <si>
    <t>宇佐市大字下高８５８－２</t>
  </si>
  <si>
    <t>宇佐市大字富山５１２－１</t>
  </si>
  <si>
    <t>宇佐市院内町櫛野６８－１０</t>
  </si>
  <si>
    <t>宇佐市大字森山字上原６１２－２</t>
  </si>
  <si>
    <t>宇佐市大字四日市１００４－２</t>
  </si>
  <si>
    <t>宇佐市安心院町矢崎５６１－５</t>
  </si>
  <si>
    <t>宇佐市院内町原口３４９－２</t>
  </si>
  <si>
    <t>宇佐市大字上高６７０－３</t>
  </si>
  <si>
    <t>宇佐市安心院町尾立５５－１</t>
  </si>
  <si>
    <t>宇佐市大字富山１１９１－３</t>
  </si>
  <si>
    <t>宇佐市大字上元重２５４－１３</t>
  </si>
  <si>
    <t>大分市徳島１－１－１１</t>
  </si>
  <si>
    <t>大分市大字種具字台の上１３１６－１</t>
  </si>
  <si>
    <t>大分市角子南１－２－１８</t>
  </si>
  <si>
    <t>由布市湯布院町川南１８０－４</t>
  </si>
  <si>
    <t>大分市花園２－２－１８</t>
  </si>
  <si>
    <t>龍泉寺　寿隆</t>
  </si>
  <si>
    <t>大分市高城本町５－３１</t>
  </si>
  <si>
    <t>大分市原新町３－７</t>
  </si>
  <si>
    <t>870-1135</t>
  </si>
  <si>
    <t>大分市光吉新町４－９－３</t>
  </si>
  <si>
    <t>097-599-3021</t>
  </si>
  <si>
    <t>大分市三川新町１－３－４５</t>
  </si>
  <si>
    <t>大分市大字羽田７８８－１</t>
  </si>
  <si>
    <t>大分市大字城原４２－１</t>
  </si>
  <si>
    <t>楢木　皓也</t>
  </si>
  <si>
    <t>大分市向原東１－６－７</t>
  </si>
  <si>
    <t>大分市大字光吉字ヲサテ４５６－２</t>
  </si>
  <si>
    <t>大分市賀来北１－１６－１３</t>
  </si>
  <si>
    <t>大分市森町西１－１－２３</t>
  </si>
  <si>
    <t>大分市大字東上野２５６５－２</t>
  </si>
  <si>
    <t>大分市向原東１－１０－１２</t>
  </si>
  <si>
    <t>大分市大字賀来８３－１</t>
  </si>
  <si>
    <t>大分市大字津守１２３５－１</t>
  </si>
  <si>
    <t>大分市大字田尻４７－１</t>
  </si>
  <si>
    <t>大分市大字政所２８６０－１</t>
  </si>
  <si>
    <t>大分市花園１－８－１４</t>
  </si>
  <si>
    <t>平松　大亮</t>
  </si>
  <si>
    <t>大分市下郡中央３－３－１５</t>
  </si>
  <si>
    <t>大分市乙津港町２－８－３７</t>
  </si>
  <si>
    <t>大分市中春日町１４－２９</t>
  </si>
  <si>
    <t>別府市天満町２－３９</t>
  </si>
  <si>
    <t>別府市大字鉄輪２９６－５（２階１号室）</t>
  </si>
  <si>
    <t>別府市原町８－３</t>
  </si>
  <si>
    <t>別府市堀田町２７－４８</t>
  </si>
  <si>
    <t>別府市上野口町２２－７</t>
  </si>
  <si>
    <t>速見郡日出町２５６０－４</t>
  </si>
  <si>
    <t>別府市千代町６－３</t>
  </si>
  <si>
    <t>別府市大字野田５７－３</t>
  </si>
  <si>
    <t>別府市青山町６－２７</t>
  </si>
  <si>
    <t>別府市荘園町３７－８</t>
  </si>
  <si>
    <t>別府市石垣東８－２－１７</t>
  </si>
  <si>
    <t>日田市天瀬町合田３１０９－１２</t>
  </si>
  <si>
    <t>速見郡日出町大字大神１２５５－４</t>
  </si>
  <si>
    <t>別府市大字北石垣１３６０－１</t>
  </si>
  <si>
    <t>別府市天満町２－３</t>
  </si>
  <si>
    <t>別府市石垣東８－１－１３</t>
  </si>
  <si>
    <t>杵築市大字猪尾６４－５</t>
  </si>
  <si>
    <t>速見郡日出町大字豊岡１２１６－１０</t>
  </si>
  <si>
    <t>速見郡日出町大字藤原５８８２－４</t>
  </si>
  <si>
    <t>別府市鶴見２－５－３４</t>
  </si>
  <si>
    <t>別府市野口元町３－３３</t>
  </si>
  <si>
    <t>別府市古市町８８１－１８２</t>
  </si>
  <si>
    <t>速見郡日出町３１３７－５</t>
  </si>
  <si>
    <t>別府市新港町１－１８</t>
  </si>
  <si>
    <t>速見郡日出町大字川崎５０１－１</t>
  </si>
  <si>
    <t>別府市光町１５－２</t>
  </si>
  <si>
    <t>杵築市山香町大字久木野尾３１６５－１</t>
  </si>
  <si>
    <t>別府市石垣西８－１－５３</t>
  </si>
  <si>
    <t>大分市花津留２－１９－１０</t>
  </si>
  <si>
    <t>臼杵市大字諏訪６４２－３</t>
  </si>
  <si>
    <t>津久見市千怒３４８８－２</t>
  </si>
  <si>
    <t>津久見市中央町２－１９</t>
  </si>
  <si>
    <t>津久見市地蔵町１１－７</t>
  </si>
  <si>
    <t>津久見市大字堅浦１３８１－１</t>
  </si>
  <si>
    <t>佐伯市城南町１０－２０</t>
  </si>
  <si>
    <t>佐伯市大字鶴望２２９５－３</t>
  </si>
  <si>
    <t>佐伯市女島２－９０３０</t>
  </si>
  <si>
    <t>三又　和歌</t>
  </si>
  <si>
    <t>佐伯市大字鶴望２５４９－１</t>
  </si>
  <si>
    <t>佐伯市大字長谷１０３２６－１０</t>
  </si>
  <si>
    <t>佐伯市宇目大字小野市４９８５－２</t>
  </si>
  <si>
    <t>御手洗　哲也</t>
  </si>
  <si>
    <t>佐伯市弥生大字井崎１３８７－１</t>
  </si>
  <si>
    <t>佐伯市大字池田１９０７－２</t>
  </si>
  <si>
    <t>佐伯市弥生大字江良１８６８－１</t>
  </si>
  <si>
    <t>佐伯市鶴見大字吹浦４０８－２</t>
  </si>
  <si>
    <t>佐伯市女島３－１０３８３－１</t>
  </si>
  <si>
    <t>佐伯市大字海崎８４２－１２</t>
  </si>
  <si>
    <t>佐伯市向島１－９－２７</t>
  </si>
  <si>
    <t>佐伯市中の島２－１９－２３</t>
  </si>
  <si>
    <t>佐伯市蒲江大字蒲江浦３５５３－７</t>
  </si>
  <si>
    <t>050-3548-2516</t>
  </si>
  <si>
    <t>佐伯市中の島２－２１－２３</t>
  </si>
  <si>
    <t>佐伯市弥生大字小田１０８９－２</t>
  </si>
  <si>
    <t>佐伯市大字長良４７２０－２</t>
  </si>
  <si>
    <t>佐伯市西浜１０８３４－６５</t>
  </si>
  <si>
    <t>佐伯市上灘９８０４－８６</t>
  </si>
  <si>
    <t>佐伯市大字上岡１３４６－５</t>
  </si>
  <si>
    <t>佐伯市米水津大字浦代浦４００－１</t>
  </si>
  <si>
    <t>佐伯市大字鶴望２５８１－５</t>
  </si>
  <si>
    <t>日田市大字北豆田１７３３－１１</t>
  </si>
  <si>
    <t>日田市大字求来里２０９７－２</t>
  </si>
  <si>
    <t>濱田　明隆</t>
  </si>
  <si>
    <t>日田市大字高瀬１２４８－２</t>
  </si>
  <si>
    <t>野村　猛</t>
  </si>
  <si>
    <t>日田市大字渡里２５－８</t>
  </si>
  <si>
    <t>日田市大字有田３１９－１２</t>
  </si>
  <si>
    <t>日田市大字十二町６４６－１１</t>
  </si>
  <si>
    <t>日田市大字庄手３７０－３</t>
  </si>
  <si>
    <t>日田市大字高瀬１５４８－３</t>
  </si>
  <si>
    <t>日田市中津江村栃野１２５２－１</t>
  </si>
  <si>
    <t>日田市大字北豆田１７３３－２４</t>
  </si>
  <si>
    <t>河津　千穂</t>
  </si>
  <si>
    <t>日田市大字石井３６９－８</t>
  </si>
  <si>
    <t>日田市上城内町９１４－３</t>
  </si>
  <si>
    <t>日田市大字日高町１４５６－３</t>
  </si>
  <si>
    <t>日田市丸山１－３－１５</t>
  </si>
  <si>
    <t>日田市城町１－３－６</t>
  </si>
  <si>
    <t>日田市大字日高１９８４－１</t>
  </si>
  <si>
    <t>玖珠郡玖珠町大字帆足２０３７－２</t>
  </si>
  <si>
    <t>玖珠郡九重町大字松木４２６４－１</t>
  </si>
  <si>
    <t>玖珠郡玖珠町大字大隈３０７－６</t>
  </si>
  <si>
    <t>玖珠郡玖珠町大字大隈１４９５－１</t>
  </si>
  <si>
    <t>玖珠郡九重町大字田野２４１５－６２９</t>
  </si>
  <si>
    <t>玖珠郡玖珠町大字帆足６１９－２</t>
  </si>
  <si>
    <t>奥村　隆文</t>
  </si>
  <si>
    <t>玖珠郡九重町大字田野１３９３－１</t>
  </si>
  <si>
    <t>玖珠郡玖珠町大字山下１６０６－２</t>
  </si>
  <si>
    <t>玖珠郡九重町大字田野２４１５－３１２</t>
  </si>
  <si>
    <t>玖珠郡九重町大字右田４０７６－２</t>
  </si>
  <si>
    <t>玖珠郡九重町大字町田５４７－４</t>
  </si>
  <si>
    <t>玖珠郡九重町大字粟野１８０－２</t>
  </si>
  <si>
    <t>大分市三佐２－４－１０</t>
  </si>
  <si>
    <t>衞藤　正一</t>
  </si>
  <si>
    <t>大分市三川下２－７－７</t>
  </si>
  <si>
    <t>大分市大字久原７９６－１</t>
  </si>
  <si>
    <t>大分市大字種具１４０２－１</t>
  </si>
  <si>
    <t>大分市大字城原６９２－１</t>
  </si>
  <si>
    <t>大分市大道町５－４－１４</t>
  </si>
  <si>
    <t>大分市花高松３－６－３２</t>
  </si>
  <si>
    <t>大分市大字皆春１１０５－８</t>
  </si>
  <si>
    <t>岩谷　匠</t>
  </si>
  <si>
    <t>大分市大字下郡３２０７－７</t>
  </si>
  <si>
    <t>大分市大字横尾３８３６－２</t>
  </si>
  <si>
    <t>大分市ひばりヶ丘５－６－９</t>
  </si>
  <si>
    <t>大分市大字上宗方字川下２９６－２</t>
  </si>
  <si>
    <t>由布市挾間町赤野８２０－１</t>
  </si>
  <si>
    <t>日田市大字庄手中釣町４７３－５</t>
  </si>
  <si>
    <t>大分市三川下２－２－２１</t>
  </si>
  <si>
    <t>大分市大字城原字蓮池２４０４－１</t>
  </si>
  <si>
    <t>大分市東原１－３－３</t>
  </si>
  <si>
    <t>大分市三佐１－１０－１３</t>
  </si>
  <si>
    <t>大分市大字中戸次４７２９－１</t>
  </si>
  <si>
    <t>大分市大字片島２９９５－５</t>
  </si>
  <si>
    <t>河野　真司</t>
  </si>
  <si>
    <t>大分市大字下郡３０２１－３</t>
  </si>
  <si>
    <t>大分市西新地１－９－２８</t>
  </si>
  <si>
    <t>大分市大字小池原１６８４－１</t>
  </si>
  <si>
    <t>大分市大字中戸次４２２７－３</t>
  </si>
  <si>
    <t>大分市横尾東町２－１０－２４</t>
  </si>
  <si>
    <t>大分市萩原４－４－１９</t>
  </si>
  <si>
    <t>大分市徳島１－３１８５－２</t>
  </si>
  <si>
    <t>大塚　諭</t>
  </si>
  <si>
    <t>大分市萩原２－２－２０</t>
  </si>
  <si>
    <t>大分市大州浜１－３－５</t>
  </si>
  <si>
    <t>大分市大字鴛野８７８－３</t>
  </si>
  <si>
    <t>大分市西新地１－２－２０</t>
  </si>
  <si>
    <t>大分市大字下郡１６１５－１</t>
  </si>
  <si>
    <t>大分市ふじが丘西２－８－２４</t>
  </si>
  <si>
    <t>大分市大字森３９３－２</t>
  </si>
  <si>
    <t>大分市明磧町２－１３－１８</t>
  </si>
  <si>
    <t>竹田市大字穴井迫４７４－３</t>
  </si>
  <si>
    <t>大分市都町１－１－３</t>
  </si>
  <si>
    <t>大分市住吉町２－６－３４</t>
  </si>
  <si>
    <t>大分市原川３－２－１３</t>
  </si>
  <si>
    <t>大分市牧上町１１－２７</t>
  </si>
  <si>
    <t>大分市大字駄原１４１５－２</t>
  </si>
  <si>
    <t>870-0148</t>
  </si>
  <si>
    <t>大分市高城台３－３－２</t>
  </si>
  <si>
    <t>大分市三川上１－１－３１</t>
  </si>
  <si>
    <t>由布市庄内町野畑７３２－２</t>
  </si>
  <si>
    <t>大分市生石港町１－３－１１</t>
  </si>
  <si>
    <t>由布市湯布院町川上３７２１－１</t>
  </si>
  <si>
    <t>大分市大字下郡字向新地３７４０－１</t>
  </si>
  <si>
    <t>大分市大字片島字上川田５４０－１</t>
  </si>
  <si>
    <t>大分市日吉町４－８</t>
  </si>
  <si>
    <t>大分市大字家島１０２８－２</t>
  </si>
  <si>
    <t>大分市星和台１－８－１</t>
  </si>
  <si>
    <t>廣瀬　美寿</t>
  </si>
  <si>
    <t>大分市大字高瀬４１５－２</t>
  </si>
  <si>
    <t>大分市賀来南１－１４－７</t>
  </si>
  <si>
    <t>大分市萩原４－１２－３４</t>
  </si>
  <si>
    <t>福井　隆馬</t>
  </si>
  <si>
    <t>大分市寺崎町２－１－２７</t>
  </si>
  <si>
    <t>大分市豊饒２－６－３８</t>
  </si>
  <si>
    <t>大分市大字羽田１８６－３</t>
  </si>
  <si>
    <t>大分市生石１－５－３</t>
  </si>
  <si>
    <t>大分市大字国分字森の木７８－１</t>
  </si>
  <si>
    <t>大分市大字片島１２４０－３</t>
  </si>
  <si>
    <t>大分市大字田原２－２</t>
  </si>
  <si>
    <t>大分市大字横尾３５１４－１</t>
  </si>
  <si>
    <t>大分市新栄町５－１３</t>
  </si>
  <si>
    <t>大分市大字寒田５２２－１</t>
  </si>
  <si>
    <t>大分市小中島３－１－４</t>
  </si>
  <si>
    <t>大分市大字津留１９５３－２</t>
  </si>
  <si>
    <t>大分市大字羽田１０７７－５</t>
  </si>
  <si>
    <t>由布市挾間町古野５８６－２</t>
  </si>
  <si>
    <t>大分市大字猪野６７７－１</t>
  </si>
  <si>
    <t>大分市三川下１－６－６</t>
  </si>
  <si>
    <t>大分市竹の上１０－２２</t>
  </si>
  <si>
    <t>大分市花津留２－２２－４</t>
  </si>
  <si>
    <t>笠木　俊佑</t>
  </si>
  <si>
    <t>大分市高城南町１２－３</t>
  </si>
  <si>
    <t>大分市光吉台１－２０－３</t>
  </si>
  <si>
    <t>由布市庄内町柿原１１２５－３</t>
  </si>
  <si>
    <t>大分市大字岡川１５５０－３</t>
  </si>
  <si>
    <t>後藤　弘樹</t>
  </si>
  <si>
    <t>大分市高江西１－４３２３－４</t>
  </si>
  <si>
    <t>大分市城崎町１－４－１５</t>
  </si>
  <si>
    <t>大分市山津町２－４－２５</t>
  </si>
  <si>
    <t>大分市萩原４－２－７</t>
  </si>
  <si>
    <t>大分市青崎１－３－３４</t>
  </si>
  <si>
    <t>大分市大字下郡字千鳥３２３１－２１</t>
  </si>
  <si>
    <t>大分市三川下３－６－１４</t>
  </si>
  <si>
    <t>大分市大字片島７５－１</t>
  </si>
  <si>
    <t>由布市庄内町西長宝１７５２－１</t>
  </si>
  <si>
    <t>大分市花高松１－４－１６</t>
  </si>
  <si>
    <t>大分市大字皆春字高畑４７１－４</t>
  </si>
  <si>
    <t>大分市大字鴛野１０２２－２</t>
  </si>
  <si>
    <t>中津市大字万田１８－４</t>
  </si>
  <si>
    <t>中津市大字永添２７５１－８１</t>
  </si>
  <si>
    <t>大分市大字小池原７９７－５</t>
  </si>
  <si>
    <t>中津市大字福島４５０－２</t>
  </si>
  <si>
    <t>中津市大字万田６４８－１</t>
  </si>
  <si>
    <t>中津市本耶馬渓町跡田４６１－１</t>
  </si>
  <si>
    <t>中津市本耶馬渓町跡田１３－８</t>
  </si>
  <si>
    <t>中津市大字角木１４９－２</t>
  </si>
  <si>
    <t>中津市耶馬溪町大字宮園４７６－４</t>
  </si>
  <si>
    <t>中津市大字植野５１８－１</t>
  </si>
  <si>
    <t>東国東郡姫島村２３３７－２８</t>
  </si>
  <si>
    <t>国東市国見町櫛海１５４－１</t>
  </si>
  <si>
    <t>木村　茂利</t>
  </si>
  <si>
    <t>国東市国東町田深１２２３－３</t>
  </si>
  <si>
    <t>国東市国東町田深９１５－１</t>
  </si>
  <si>
    <t>国東市安岐町瀬戸田１０４４－２</t>
  </si>
  <si>
    <t>国東市安岐町中園４３０－１</t>
  </si>
  <si>
    <t>国東市安岐町瀬戸田１２５１－３</t>
  </si>
  <si>
    <t>国東市安岐町下原３８４－２２</t>
  </si>
  <si>
    <t>国東市武蔵町古市１７０－３</t>
  </si>
  <si>
    <t>国東市武蔵町糸原１２９－１</t>
  </si>
  <si>
    <t>杵築市大字大内４８８６－６</t>
  </si>
  <si>
    <t>国東市国東町東堅来２０６－１</t>
  </si>
  <si>
    <t>国東市武蔵町古市１３４２－１</t>
  </si>
  <si>
    <t>国東市国見町伊美２７０７－１</t>
  </si>
  <si>
    <t>臼杵市大字市浜６３１－１</t>
  </si>
  <si>
    <t>臼杵市大字井村２０４５－１</t>
  </si>
  <si>
    <t>臼杵市大字井村１９４３－６</t>
  </si>
  <si>
    <t>臼杵市大字佐志生６４６２－１</t>
  </si>
  <si>
    <t>大分市坂ノ市南３－９－２８</t>
  </si>
  <si>
    <t>津久見市大字津久見１４５３－１</t>
  </si>
  <si>
    <t>臼杵市大字前田９３３－１</t>
  </si>
  <si>
    <t>臼杵市大字諏訪６４６－８</t>
  </si>
  <si>
    <t>日田市大山町西大山４３１８－３</t>
  </si>
  <si>
    <t>臼杵市大字江無田３７０－６</t>
  </si>
  <si>
    <t>臼杵市大字井村字塩入１９９６－２</t>
  </si>
  <si>
    <t>臼杵市大字末広２６３２－１</t>
  </si>
  <si>
    <t>津久見市入船西町１６－９</t>
  </si>
  <si>
    <t>津久見市入船西町１５－６</t>
  </si>
  <si>
    <t>臼杵市大字戸室９１７－１</t>
  </si>
  <si>
    <t>豊後大野市緒方町越生３２７－１２</t>
  </si>
  <si>
    <t>臼杵市野津町大字西畑５８９－４</t>
  </si>
  <si>
    <t>豊後大野市千歳町前田１０５１－７</t>
  </si>
  <si>
    <t>豊後大野市緒方町辻９４－１</t>
  </si>
  <si>
    <t>臼杵市野津町大字原１４３１－２</t>
  </si>
  <si>
    <t>豊後大野市犬飼町田原２９８４－２</t>
  </si>
  <si>
    <t>097-578-0099</t>
  </si>
  <si>
    <t>豊後大野市三重町菅生１－２４６</t>
  </si>
  <si>
    <t>板井建設（株）</t>
  </si>
  <si>
    <t>豊後大野市緒方町軸丸２７４９－１</t>
  </si>
  <si>
    <t>豊後大野市千歳町新殿２１８－１</t>
  </si>
  <si>
    <t>豊後大野市緒方町馬場８３－１</t>
  </si>
  <si>
    <t>豊後大野市清川町臼尾２６４－２</t>
  </si>
  <si>
    <t>豊後大野市大野町酒井寺５４－１</t>
  </si>
  <si>
    <t>臼杵市野津町大字都原２４３５－４</t>
  </si>
  <si>
    <t>豊後大野市大野町田代１２４２－１</t>
  </si>
  <si>
    <t>豊後大野市犬飼町田原８９３－２</t>
  </si>
  <si>
    <t>豊後大野市千歳町下山１２７９－１</t>
  </si>
  <si>
    <t>豊後大野市三重町内田３２３３－１</t>
  </si>
  <si>
    <t>豊後大野市三重町赤嶺１１８３－１７</t>
  </si>
  <si>
    <t>豊後大野市緒方町下自在１２２－１</t>
  </si>
  <si>
    <t>国東市国見町伊美２３３２－２</t>
  </si>
  <si>
    <t>豊後高田市鼎１７１－４</t>
  </si>
  <si>
    <t>豊後高田市高田２３６８－２</t>
  </si>
  <si>
    <t>豊後高田市玉津４６６－１</t>
  </si>
  <si>
    <t>中津市大字植野８１９－５</t>
  </si>
  <si>
    <t>杵築市大田石丸４２６－１</t>
  </si>
  <si>
    <t>豊後高田市田染池部５００－１</t>
  </si>
  <si>
    <t>竹田市大字植木９３８－１</t>
  </si>
  <si>
    <t>竹田市久住町大字久住６１８６－１</t>
  </si>
  <si>
    <t>竹田市久住町大字栢木５７４－７</t>
  </si>
  <si>
    <t>竹田市大字植木１９３１－２</t>
  </si>
  <si>
    <t>竹田市大字飛田川２１１５－３</t>
  </si>
  <si>
    <t>竹田市大字三宅９０－１</t>
  </si>
  <si>
    <t>竹田市大字飛田川２５４５－２</t>
  </si>
  <si>
    <t>竹田市大字会々３５４４－１</t>
  </si>
  <si>
    <t>竹田市大字久保６３１－１</t>
  </si>
  <si>
    <t>竹田市久住町大字白丹２９５４－１</t>
  </si>
  <si>
    <t>竹田市荻町馬場１０７８－３</t>
  </si>
  <si>
    <t>竹田市荻町北原５００４－３８</t>
  </si>
  <si>
    <t>豊後大野市大野町大原５１６－１</t>
  </si>
  <si>
    <t>別府市大字鶴見２９０－４７</t>
  </si>
  <si>
    <t>速見郡日出町大字川崎２２３３－１</t>
  </si>
  <si>
    <t>別府市東荘園２－７－９</t>
  </si>
  <si>
    <t>別府市幸町８－３２</t>
  </si>
  <si>
    <t>杵築市大字大内３７８５－１７</t>
  </si>
  <si>
    <t>別府市船小路町２－１０</t>
  </si>
  <si>
    <t>速見郡日出町八日市２４８０－２</t>
  </si>
  <si>
    <t>別府市亀川東町１７－２０</t>
  </si>
  <si>
    <t>別府市堀田町２２－２４</t>
  </si>
  <si>
    <t>速見郡日出町藤原４３１１－１</t>
  </si>
  <si>
    <t>別府市上原町１３－３５</t>
  </si>
  <si>
    <t>別府市扇山６－１７－３６</t>
  </si>
  <si>
    <t>速見郡日出町大字藤原４７０８－４８</t>
  </si>
  <si>
    <t>速見郡日出町大字大神７０９７－５</t>
  </si>
  <si>
    <t>杵築市山香町大字内河野３０１２－２</t>
  </si>
  <si>
    <t>杵築市大字宮司２７４－１</t>
  </si>
  <si>
    <t>別府市北的ケ浜町５－２５</t>
  </si>
  <si>
    <t>別府市大字鶴見９０４－１</t>
  </si>
  <si>
    <t>村上　直史</t>
  </si>
  <si>
    <t>別府市実相寺町３－１７</t>
  </si>
  <si>
    <t>杵築市大字本庄１３５７－１</t>
  </si>
  <si>
    <t>杵築市山香町大字久木野尾３９１５－１</t>
  </si>
  <si>
    <t>中津市東本町３－７</t>
  </si>
  <si>
    <t>中津市三光臼木４０２－２</t>
  </si>
  <si>
    <t>中津市大字田尻２７４－１２</t>
  </si>
  <si>
    <t>中津市大字犬丸７３７－１</t>
  </si>
  <si>
    <t>中津市山国町守実４１７－３</t>
  </si>
  <si>
    <t>中津市大字定留８１６－１</t>
  </si>
  <si>
    <t>中津市大字大貞３６６－３グランドベルサス１０６</t>
  </si>
  <si>
    <t>0979-33-8477</t>
  </si>
  <si>
    <t>0979-33-8478</t>
  </si>
  <si>
    <t>中津市本耶馬渓町跡田字中島１３－８</t>
  </si>
  <si>
    <t>中津市中殿町３－２７－３</t>
  </si>
  <si>
    <t>中津市中殿町３－２４－１</t>
  </si>
  <si>
    <t>中津市沖代町２－６－３４</t>
  </si>
  <si>
    <t>日田市大字西有田２６４－４</t>
  </si>
  <si>
    <t>日田市大字北豆田１２８４－１</t>
  </si>
  <si>
    <t>日田市大字渡里２７５－３</t>
  </si>
  <si>
    <t>日田市大字石井３８５－３</t>
  </si>
  <si>
    <t>日田市吹上町９－２３</t>
  </si>
  <si>
    <t>梅木　駿</t>
  </si>
  <si>
    <t>日田市大字山田７６４－１</t>
  </si>
  <si>
    <t>日田市大字高瀬６４０－１</t>
  </si>
  <si>
    <t>日田市亀山町４－１５</t>
  </si>
  <si>
    <t>日田市大山町西大山４３５３－２</t>
  </si>
  <si>
    <t>臼杵市大字臼杵字洲崎７２－１８１</t>
  </si>
  <si>
    <t>臼杵市大字市浜字京泊り７０４－４</t>
  </si>
  <si>
    <t>臼杵市大字市浜１１３３－７</t>
  </si>
  <si>
    <t>中津市大字永添３４６－６</t>
  </si>
  <si>
    <t>中津市大字犬丸８４６－３</t>
  </si>
  <si>
    <t>中津市三光原口６５５－１４</t>
  </si>
  <si>
    <t>中津市大字永添９８５－１６７</t>
  </si>
  <si>
    <t>大分市大字中尾６６１－１</t>
  </si>
  <si>
    <t>大分市大字森１２４０－２</t>
  </si>
  <si>
    <t>大分市大字小野鶴６３５－１</t>
  </si>
  <si>
    <t>池田　富士生</t>
  </si>
  <si>
    <t>大分市向原沖１－１－６３</t>
  </si>
  <si>
    <t>大分市大字松岡４９６０－２５</t>
  </si>
  <si>
    <t>大分市ふじが丘東３－２－６</t>
  </si>
  <si>
    <t>大分市畑中２－８－５６</t>
  </si>
  <si>
    <t>大分市向原東１－７－１</t>
  </si>
  <si>
    <t>大分市大字曲１１３０－１</t>
  </si>
  <si>
    <t>大分市大字三佐２２３３－１</t>
  </si>
  <si>
    <t>大分市大字片島１３８０－３</t>
  </si>
  <si>
    <t>大分市大字三芳１８５５－１３</t>
  </si>
  <si>
    <t>大分市大字荏隈７９２－１３９</t>
  </si>
  <si>
    <t>大分市大字鴛野１１３１－８</t>
  </si>
  <si>
    <t>大分市大字光吉２１０９－１</t>
  </si>
  <si>
    <t>44007441</t>
  </si>
  <si>
    <t>イチハラコウギヨウ</t>
  </si>
  <si>
    <t>（有）市原工業</t>
  </si>
  <si>
    <t>市原　敏秀</t>
  </si>
  <si>
    <t>大分市大字葛木１９８</t>
  </si>
  <si>
    <t>097-521-1881</t>
  </si>
  <si>
    <t>097-521-1882</t>
  </si>
  <si>
    <t>大分市三佐１－２－８３</t>
  </si>
  <si>
    <t>大分市高松１－９－８</t>
  </si>
  <si>
    <t>大分市大字片島３８３－２</t>
  </si>
  <si>
    <t>大分市下郡南３－５－４６</t>
  </si>
  <si>
    <t>大分市大字中戸次１５４０－１</t>
  </si>
  <si>
    <t>日田市大字高瀬８０５８－１</t>
  </si>
  <si>
    <t>大分市大州浜１－４－１０</t>
  </si>
  <si>
    <t>杵築市山香町大字広瀬６３０－１</t>
  </si>
  <si>
    <t>杵築市大字八坂２８３０－１</t>
  </si>
  <si>
    <t>大分市大字野津原１７０－１</t>
  </si>
  <si>
    <t>別府市石垣東４－１－３</t>
  </si>
  <si>
    <t>別府市野口中町１７－４</t>
  </si>
  <si>
    <t>杵築市大字大内６８５３－１６</t>
  </si>
  <si>
    <t>別府市石垣東６－６－１８</t>
  </si>
  <si>
    <t>別府市南立石板地町９－７</t>
  </si>
  <si>
    <t>別府市春木町４－６</t>
  </si>
  <si>
    <t>別府市大字北石垣１１１０－１９</t>
  </si>
  <si>
    <t>別府市小倉町６６－２７</t>
  </si>
  <si>
    <t>別府市朝日ケ丘町５－１９</t>
  </si>
  <si>
    <t>別府市小倉町６５－５０</t>
  </si>
  <si>
    <t>別府市大字鶴見１０３－２０</t>
  </si>
  <si>
    <t>別府市新別府町３３－３６</t>
  </si>
  <si>
    <t>別府市北浜３－１１－２５</t>
  </si>
  <si>
    <t>速見郡日出町３４０８－２</t>
  </si>
  <si>
    <t>別府市上原町１－３０</t>
  </si>
  <si>
    <t>別府市大字鉄輪１３５３－４</t>
  </si>
  <si>
    <t>別府市扇山６－７－１</t>
  </si>
  <si>
    <t>44007649</t>
  </si>
  <si>
    <t>（有）藤原建築</t>
  </si>
  <si>
    <t>加藤　浩二</t>
  </si>
  <si>
    <t>杵築市大字宮司９０５</t>
  </si>
  <si>
    <t>0978-62-5741</t>
  </si>
  <si>
    <t>0978-62-4429</t>
  </si>
  <si>
    <t>別府市石垣西７－４－１３</t>
  </si>
  <si>
    <t>別府市鶴見４－１５－１</t>
  </si>
  <si>
    <t>別府市古市町１０－２７</t>
  </si>
  <si>
    <t>臼杵市大字末広２６３２－２</t>
  </si>
  <si>
    <t>臼杵市大字井村字黒友２１４５－３</t>
  </si>
  <si>
    <t>臼杵市大字板知屋１－１２</t>
  </si>
  <si>
    <t>臼杵市大字臼杵７２－２２</t>
  </si>
  <si>
    <t>臼杵市大字臼杵字洲崎７２－２６６</t>
  </si>
  <si>
    <t>臼杵市大字戸室３５５－５</t>
  </si>
  <si>
    <t>臼杵市大字福良１８０８－２</t>
  </si>
  <si>
    <t>臼杵市大字江無田１６６４－２</t>
  </si>
  <si>
    <t>臼杵市大字田井９９３－１</t>
  </si>
  <si>
    <t>中津市大字永添１８６４－１４</t>
  </si>
  <si>
    <t>中津市耶馬溪町大字戸原１０７９－２</t>
  </si>
  <si>
    <t>中津市大字大貞３７１－１６４</t>
  </si>
  <si>
    <t>中津市豊田町７－２</t>
  </si>
  <si>
    <t>中津市大字湯屋３３８－２</t>
  </si>
  <si>
    <t>中津市三光臼木９６４－１</t>
  </si>
  <si>
    <t>0979-77-5191</t>
  </si>
  <si>
    <t>0979-77-4064</t>
  </si>
  <si>
    <t>大分市大字下郡字千鳥３２２５－２３</t>
  </si>
  <si>
    <t>大分市大字常行１９７－３</t>
  </si>
  <si>
    <t>大分市花園２－１１－２３</t>
  </si>
  <si>
    <t>大分市羽屋４－８－１０</t>
  </si>
  <si>
    <t>大分市岩田町３－２－１</t>
  </si>
  <si>
    <t>大分市新明治６－５－１</t>
  </si>
  <si>
    <t>宇佐市院内町香下字妙見７４４－２</t>
  </si>
  <si>
    <t>大分市大字日吉原１－３５</t>
  </si>
  <si>
    <t>大分市高松１－２－５</t>
  </si>
  <si>
    <t>大分市大字中戸次３７１０－２</t>
  </si>
  <si>
    <t>大分市大州浜１－９－４</t>
  </si>
  <si>
    <t>大分市大字寒田７７３－１</t>
  </si>
  <si>
    <t>日田市大字渡里字後の迫３７３－２</t>
  </si>
  <si>
    <t>日田市大字二串７６５－１</t>
  </si>
  <si>
    <t>日田市大字石井２８５－１</t>
  </si>
  <si>
    <t>日田市大字有田字水目３１６－１</t>
  </si>
  <si>
    <t>日田市大山町西大山８１４１－５</t>
  </si>
  <si>
    <t>日田市大字三和１６６－２</t>
  </si>
  <si>
    <t>和田山　久司</t>
  </si>
  <si>
    <t>日田市大字三和２６９４－１</t>
  </si>
  <si>
    <t>日田市神来町５３８－１</t>
  </si>
  <si>
    <t>日田市大字花月字長田１１９８－２</t>
  </si>
  <si>
    <t>日田市下井手町３８－２</t>
  </si>
  <si>
    <t>日田市大字有田１７２０－１</t>
  </si>
  <si>
    <t>日田市大字高瀬４０４４－４</t>
  </si>
  <si>
    <t>日田市大字十二町５８１－４</t>
  </si>
  <si>
    <t>日田市隈２－１－１８</t>
  </si>
  <si>
    <t>日田市中津江村栃野２９６７－２</t>
  </si>
  <si>
    <t>日田市大山町東大山４７４－１</t>
  </si>
  <si>
    <t>国東市武蔵町糸原４７８－１</t>
  </si>
  <si>
    <t>国東市安岐町成久５６９－２</t>
  </si>
  <si>
    <t>国東市武蔵町池ノ内１７５２－３</t>
  </si>
  <si>
    <t>中津市耶馬溪町大字柿坂６３３－３</t>
  </si>
  <si>
    <t>中津市山国町守実２３５９－３</t>
  </si>
  <si>
    <t>中津市豊田町２－５３７－１</t>
  </si>
  <si>
    <t>中津市大字福島２３２６－３</t>
  </si>
  <si>
    <t>中津市大字加来２２８３－８</t>
  </si>
  <si>
    <t>中津市大字牛神１５０－２</t>
  </si>
  <si>
    <t>中津市耶馬溪町大字戸原１１０９－１</t>
  </si>
  <si>
    <t>中津市上宮永町９８－７</t>
  </si>
  <si>
    <t>中津市大字上宮永９６６－２</t>
  </si>
  <si>
    <t>中津市大字是則３０１－１</t>
  </si>
  <si>
    <t>中津市大字諸田１０６－１</t>
  </si>
  <si>
    <t>中津市大字大悟法７２－１</t>
  </si>
  <si>
    <t>宮名利　光</t>
  </si>
  <si>
    <t>中津市大字大悟法７９６－６</t>
  </si>
  <si>
    <t>中津市大字諸田９８１－１</t>
  </si>
  <si>
    <t>由布市挾間町鬼瀬３６５－１</t>
  </si>
  <si>
    <t>大分市大字下徳丸２９－１</t>
  </si>
  <si>
    <t>大分市花高松１－１－４</t>
  </si>
  <si>
    <t>大分市三佐５－２－５１</t>
  </si>
  <si>
    <t>由布市湯布院町中川３３６－４</t>
  </si>
  <si>
    <t>大分市錦町３－６－１４</t>
  </si>
  <si>
    <t>大分市三川新町１－１－９</t>
  </si>
  <si>
    <t>由布市湯布院町川南１１－１</t>
  </si>
  <si>
    <t>大分市曙台１－１－９</t>
  </si>
  <si>
    <t>大分市大字東院２３２－２</t>
  </si>
  <si>
    <t>大分市原川１－２－８</t>
  </si>
  <si>
    <t>江藤　康之</t>
  </si>
  <si>
    <t>大分市乙津町１－１８</t>
  </si>
  <si>
    <t>44009097</t>
  </si>
  <si>
    <t>コウノセツビ</t>
  </si>
  <si>
    <t>（有）幸野設備</t>
  </si>
  <si>
    <t>幸野　広恵</t>
  </si>
  <si>
    <t>大分市大字下郡字神下田２５０－１</t>
  </si>
  <si>
    <t>097-569-6583</t>
  </si>
  <si>
    <t>097-569-6584</t>
  </si>
  <si>
    <t>大分市畑中４－２－８</t>
  </si>
  <si>
    <t>44009113</t>
  </si>
  <si>
    <t>カヤジマコウムテン</t>
  </si>
  <si>
    <t>（株）茅嶋工務店</t>
  </si>
  <si>
    <t>茅嶋　昭典</t>
  </si>
  <si>
    <t>大分市下郡南５－１７－７４</t>
  </si>
  <si>
    <t>097-568-0878</t>
  </si>
  <si>
    <t>097-568-2967</t>
  </si>
  <si>
    <t>大分市大字森町１１１５－１</t>
  </si>
  <si>
    <t>由布市庄内町東長宝１５６－２</t>
  </si>
  <si>
    <t>大分市大字松岡１８９２－４</t>
  </si>
  <si>
    <t>大分市大字曲８５１－８</t>
  </si>
  <si>
    <t>大分市古国府２－２－７０</t>
  </si>
  <si>
    <t>大分市光吉台１－８－３</t>
  </si>
  <si>
    <t>大分市大字関園５１０－２</t>
  </si>
  <si>
    <t>大分市大字八幡１７５４－１</t>
  </si>
  <si>
    <t>渡邊　由布子</t>
  </si>
  <si>
    <t>大分市東津留２－１２－１</t>
  </si>
  <si>
    <t>大分市中春日町９－５</t>
  </si>
  <si>
    <t>大分市大字駄原２７９５－１</t>
  </si>
  <si>
    <t>大分市大字田尻６７０－３</t>
  </si>
  <si>
    <t>大分市大字関園９４０－１</t>
  </si>
  <si>
    <t>大分市西大道３－１－５３</t>
  </si>
  <si>
    <t>大分市大字皆春３７３－４</t>
  </si>
  <si>
    <t>大分市牧１－４－１６</t>
  </si>
  <si>
    <t>大分市大字宮河内３８３０－１８３</t>
  </si>
  <si>
    <t>大分市向原西１－８－２９</t>
  </si>
  <si>
    <t>大分市乙津町３－１１</t>
  </si>
  <si>
    <t>大分市原新町１７－２２</t>
  </si>
  <si>
    <t>大分市大字三佐６４９－１</t>
  </si>
  <si>
    <t>大分市東浜２－３－１４</t>
  </si>
  <si>
    <t>大分市大字羽田１９９－１コミュニティ羽田八番館１０６</t>
  </si>
  <si>
    <t>大分市大字片島字米良山１９６３－１</t>
  </si>
  <si>
    <t>大分市田中町１－１１－６</t>
  </si>
  <si>
    <t>坂口　貴史</t>
  </si>
  <si>
    <t>大分市竹の上９－１</t>
  </si>
  <si>
    <t>大分市久原南１－９－８</t>
  </si>
  <si>
    <t>大分市三川下３－６－２１</t>
  </si>
  <si>
    <t>玖珠郡九重町大字田野１３７３－１２</t>
  </si>
  <si>
    <t>大分市高江西１－４３２３－２３</t>
  </si>
  <si>
    <t>大分市大字三佐２１５２－２</t>
  </si>
  <si>
    <t>大分市大字常行４７８－３６</t>
  </si>
  <si>
    <t>佐伯市西浜２－８</t>
  </si>
  <si>
    <t>佐伯市上岡２３１１－５</t>
  </si>
  <si>
    <t>佐伯市女島１－１２３６４－１８</t>
  </si>
  <si>
    <t>佐伯市長島町４－２－２</t>
  </si>
  <si>
    <t>佐伯市蒲江大字丸市尾浦６７３－１</t>
  </si>
  <si>
    <t>御手洗　輝正</t>
  </si>
  <si>
    <t>佐伯市弥生大字大坂本８１３－３</t>
  </si>
  <si>
    <t>佐伯市鶴岡町１－８－３４</t>
  </si>
  <si>
    <t>佐伯市大字稲垣４５５－１</t>
  </si>
  <si>
    <t>杵築市大字大内４７０２－１</t>
  </si>
  <si>
    <t>別府市堀田町１１－３５</t>
  </si>
  <si>
    <t>別府市扇山３－２５－４６</t>
  </si>
  <si>
    <t>別府市大字亀川１０６２－５</t>
  </si>
  <si>
    <t>0977-67-6500</t>
  </si>
  <si>
    <t>別府市上人仲町４－２２</t>
  </si>
  <si>
    <t>別府市天満町２－２４</t>
  </si>
  <si>
    <t>別府市幸町３－１０</t>
  </si>
  <si>
    <t>杵築市山香町大字広瀬５８２－１</t>
  </si>
  <si>
    <t>日田市大字石井４２０－３</t>
  </si>
  <si>
    <t>大分市上田町２－２－２５</t>
  </si>
  <si>
    <t>大分市生石２－２－２２</t>
  </si>
  <si>
    <t>宇佐市大字西大堀７２１－１</t>
  </si>
  <si>
    <t>速見郡日出町大字川崎１８２３－２</t>
  </si>
  <si>
    <t>冨松　比佐美</t>
  </si>
  <si>
    <t>佐伯市蒲江大字畑野浦１６７８－１</t>
  </si>
  <si>
    <t>臼杵市野津町大字野津市５５５－１</t>
  </si>
  <si>
    <t>別府市石垣西４－３－３</t>
  </si>
  <si>
    <t>杵築市大字杵築１２９－１３</t>
  </si>
  <si>
    <t>大分市三川下３－５－１</t>
  </si>
  <si>
    <t>大分市横田２－１３－１８</t>
  </si>
  <si>
    <t>日田市大字西有田１１７７－２</t>
  </si>
  <si>
    <t>日田市大字小野４５２－１</t>
  </si>
  <si>
    <t>日田市南元町２７－３１</t>
  </si>
  <si>
    <t>別府市大字内竈１８０－１７３</t>
  </si>
  <si>
    <t>大分市大字葛木３０３－３</t>
  </si>
  <si>
    <t>中津市大字東浜１１２８－２０</t>
  </si>
  <si>
    <t>大分市向原西１－７－２２</t>
  </si>
  <si>
    <t>大分市西新地１－５－１６</t>
  </si>
  <si>
    <t>日田市大字日高２３５９－７</t>
  </si>
  <si>
    <t>臼杵市大字野田１３９１－１３</t>
  </si>
  <si>
    <t>大分市三佐４－４－７</t>
  </si>
  <si>
    <t>中津市大字大塚４５１－１２</t>
  </si>
  <si>
    <t>川邉　和恵</t>
  </si>
  <si>
    <t>大分市大字久土２２６９－１</t>
  </si>
  <si>
    <t>大分市須賀１－９－４１</t>
  </si>
  <si>
    <t>大分市大字小野鶴字大手ヶ迫１９１６－１</t>
  </si>
  <si>
    <t>日田市天瀬町本城５０５－１</t>
  </si>
  <si>
    <t>大分市原新町２－１９</t>
  </si>
  <si>
    <t>大分市光吉台３－１７－１</t>
  </si>
  <si>
    <t>大分市西新地２－１－４６</t>
  </si>
  <si>
    <t>由布市湯布院町川南８２３－８</t>
  </si>
  <si>
    <t>別府市大字内竈１２２２－３</t>
  </si>
  <si>
    <t>別府市大字平道３７１－１</t>
  </si>
  <si>
    <t>日田市前津江町大野２９４１－１</t>
  </si>
  <si>
    <t>宇佐市大字長洲３２３０－２</t>
  </si>
  <si>
    <t>大分市日吉町１１－２３</t>
  </si>
  <si>
    <t>佐伯市弥生大字大坂本１７０８－１</t>
  </si>
  <si>
    <t>大分市金池町１－９－３１</t>
  </si>
  <si>
    <t>日田市大字求来里字蛇迫１１７０－１</t>
  </si>
  <si>
    <t>豊後高田市玉津１３５２－２</t>
  </si>
  <si>
    <t>宇佐市大字上拝田４１７－２</t>
  </si>
  <si>
    <t>サンキュウキュウシュウビジネス</t>
  </si>
  <si>
    <t>山九九州ビジネス（株）</t>
  </si>
  <si>
    <t>大分市向原沖１－１－１１</t>
  </si>
  <si>
    <t>0972-28-7100</t>
  </si>
  <si>
    <t>宇佐市安心院町東椎屋５８－２</t>
  </si>
  <si>
    <t>別府市大畑町２１－４３</t>
  </si>
  <si>
    <t>杵築市大字杵築６６５－５０５</t>
  </si>
  <si>
    <t>大分市大字鴛野９９３－４</t>
  </si>
  <si>
    <t>佐伯市大字上岡３３９８－３</t>
  </si>
  <si>
    <t>大分市向原東２－７－７</t>
  </si>
  <si>
    <t>大分市ふじが丘南３－８－４</t>
  </si>
  <si>
    <t>佐伯市弥生大字上小倉１０８３－１</t>
  </si>
  <si>
    <t>大分市三佐１－２１－３</t>
  </si>
  <si>
    <t>大分市徳島１－７－２３</t>
  </si>
  <si>
    <t>大分市三川上１－１－１５</t>
  </si>
  <si>
    <t>中津市田尻崎８－４</t>
  </si>
  <si>
    <t>大分市大字一木１２１２－６０</t>
  </si>
  <si>
    <t>日田市大字東有田２０７７－１</t>
  </si>
  <si>
    <t>日田市大字北豆田１７７７－１</t>
  </si>
  <si>
    <t>日田市大字十二町８２－１</t>
  </si>
  <si>
    <t>竹田市大字玉来７７９－１</t>
  </si>
  <si>
    <t>大分市古ケ鶴２－５－６</t>
  </si>
  <si>
    <t>44010209</t>
  </si>
  <si>
    <t>イーグルコウギヨウ</t>
  </si>
  <si>
    <t>（有）イーグル工業</t>
  </si>
  <si>
    <t>釘宮　強</t>
  </si>
  <si>
    <t>大分市大字関園９６２－２</t>
  </si>
  <si>
    <t>097-527-2525</t>
  </si>
  <si>
    <t>097-527-2555</t>
  </si>
  <si>
    <t>大分市乙津町４－７</t>
  </si>
  <si>
    <t>大分市西鶴崎２－７－１７</t>
  </si>
  <si>
    <t>大分市大字片島４４４－１</t>
  </si>
  <si>
    <t>別府市大字鶴見６６－６</t>
  </si>
  <si>
    <t>大分市寺崎町１－６－９</t>
  </si>
  <si>
    <t>佐伯市蒲江大字葛原浦１２３７－１</t>
  </si>
  <si>
    <t>臼杵市大字佐志生６７００－１</t>
  </si>
  <si>
    <t>日田市大字上野４４－２０</t>
  </si>
  <si>
    <t>臼杵市大字市浜１１４０－１</t>
  </si>
  <si>
    <t>別府市小倉町６－２９</t>
  </si>
  <si>
    <t>0977-25-7278</t>
  </si>
  <si>
    <t>大分市古ケ鶴１－７－７</t>
  </si>
  <si>
    <t>大分市大字片島１３６２－１３</t>
  </si>
  <si>
    <t>中津市大字大貞３４２－５</t>
  </si>
  <si>
    <t>大分市光吉台２－３－２</t>
  </si>
  <si>
    <t>大分市大字木上字小柳４０７－２</t>
  </si>
  <si>
    <t>別府市石垣西１０－５－１５</t>
  </si>
  <si>
    <t>875-0223</t>
  </si>
  <si>
    <t>臼杵市大字臼杵７２－２３８</t>
  </si>
  <si>
    <t>国東市武蔵町古市６１４－１</t>
  </si>
  <si>
    <t>日田市大山町東大山１９８６－３</t>
  </si>
  <si>
    <t>日田市大字北豆田８３３－１８</t>
  </si>
  <si>
    <t>宇佐市大字南宇佐１２６７－１</t>
  </si>
  <si>
    <t>大分市大字八幡１８４８－３</t>
  </si>
  <si>
    <t>大分市小佐井１－４－１７</t>
  </si>
  <si>
    <t>川野　翔太朗</t>
  </si>
  <si>
    <t>大分市錦町３－７－２９－１</t>
  </si>
  <si>
    <t>大分市大字丹生３０－４１</t>
  </si>
  <si>
    <t>大分市牧上町１６－１２</t>
  </si>
  <si>
    <t>杵築市大字八坂１１７１－１</t>
  </si>
  <si>
    <t>加藤　出</t>
  </si>
  <si>
    <t>国東市安岐町吉松４３－２</t>
  </si>
  <si>
    <t>豊後大野市三重町赤嶺１０９４－７</t>
  </si>
  <si>
    <t>大分市青崎１－１０－５</t>
  </si>
  <si>
    <t>里見　陵</t>
  </si>
  <si>
    <t>大分市乙津港町１－８－２７</t>
  </si>
  <si>
    <t>別府市大字鉄輪１１６６－５</t>
  </si>
  <si>
    <t>宇佐市院内町上恵良７－１</t>
  </si>
  <si>
    <t>玖珠郡九重町大字町田３０７８－１</t>
  </si>
  <si>
    <t>玖珠郡玖珠町大字帆足２２８－４</t>
  </si>
  <si>
    <t>速見郡日出町大字藤原２６３６－３</t>
  </si>
  <si>
    <t>別府市堀田町５－６３</t>
  </si>
  <si>
    <t>由布市挾間町鬼瀬７５１－６</t>
  </si>
  <si>
    <t>中津市山国町中摩３２５０－１</t>
  </si>
  <si>
    <t>大分市大字下郡１５１０－１６</t>
  </si>
  <si>
    <t>中津市大字加来２２８３－３３３</t>
  </si>
  <si>
    <t>大分市下郡北３－１６－２</t>
  </si>
  <si>
    <t>豊後大野市大野町屋原３９３－１</t>
  </si>
  <si>
    <t>豊後大野市朝地町市万田１０６９－２</t>
  </si>
  <si>
    <t>中津市大字伊藤田１１５－１</t>
  </si>
  <si>
    <t>由布市庄内町柿原１８７４－２</t>
  </si>
  <si>
    <t>古庄　栄</t>
  </si>
  <si>
    <t>宇佐市大字小向野３５４－３</t>
  </si>
  <si>
    <t>大分市大字三佐字遠見２３８０－１１</t>
  </si>
  <si>
    <t>大分市角子原１－１－１２</t>
  </si>
  <si>
    <t>豊後大野市三重町内田３５８８－１</t>
  </si>
  <si>
    <t>大分市三佐６－３－２５</t>
  </si>
  <si>
    <t>宇佐市大字赤尾７８９－２</t>
  </si>
  <si>
    <t>中津市大字蛎瀬１２１５－２５</t>
  </si>
  <si>
    <t>臼杵市大字望月９５２－１</t>
  </si>
  <si>
    <t>大分市三川新町１－２－１１</t>
  </si>
  <si>
    <t>大分市大字猪野１２４３－１</t>
  </si>
  <si>
    <t>大分市大字片島５５－１</t>
  </si>
  <si>
    <t>大分市大字片島５０３－１</t>
  </si>
  <si>
    <t>津久見市大字上青江３３７５－１０</t>
  </si>
  <si>
    <t>玖珠郡九重町大字引治４１３－１</t>
  </si>
  <si>
    <t>玖珠郡玖珠町大字戸畑１７９７－１</t>
  </si>
  <si>
    <t>佐伯市新女島２－７１６９－３</t>
  </si>
  <si>
    <t>大分市大字寒田８７３－４</t>
  </si>
  <si>
    <t>大分市法勝台１－１－１３</t>
  </si>
  <si>
    <t>874-0830</t>
  </si>
  <si>
    <t>別府市山の手新町５－２</t>
  </si>
  <si>
    <t>後藤　英明</t>
  </si>
  <si>
    <t>大分市大字猪野６５８－４</t>
  </si>
  <si>
    <t>高田　留里子</t>
  </si>
  <si>
    <t>玖珠郡玖珠町大字大隈１００６－２</t>
  </si>
  <si>
    <t>日田市吹上町３－１６</t>
  </si>
  <si>
    <t>大分市田尻中央１７－１２</t>
  </si>
  <si>
    <t>大分市羽屋新町３－２－２</t>
  </si>
  <si>
    <t>中津市大字福島２５１６－８</t>
  </si>
  <si>
    <t>杵築市山香町大字立石１３１－１</t>
  </si>
  <si>
    <t>宇佐市大字尾永井８３２－６</t>
  </si>
  <si>
    <t>大分市大在北３－１１－３８</t>
  </si>
  <si>
    <t>佐伯市中の島１－５６４２－２</t>
  </si>
  <si>
    <t>別府市野口元町１１－３３</t>
  </si>
  <si>
    <t>44010762</t>
  </si>
  <si>
    <t>オーエスケイ</t>
  </si>
  <si>
    <t>（有）ＯＳＫ</t>
  </si>
  <si>
    <t>岡　雅章</t>
  </si>
  <si>
    <t>879-5517</t>
  </si>
  <si>
    <t>由布市挾間町内成３１８６</t>
  </si>
  <si>
    <t>097-583-1600</t>
  </si>
  <si>
    <t>097-583-3977</t>
  </si>
  <si>
    <t>大分市下郡中央３－９－４１</t>
  </si>
  <si>
    <t>大分市南太平寺１－９－１</t>
  </si>
  <si>
    <t>速見郡日出町大字藤原２２３４－１</t>
  </si>
  <si>
    <t>臼杵市大字海添字浜２５７３－３５</t>
  </si>
  <si>
    <t>佐伯市西谷町４－４７</t>
  </si>
  <si>
    <t>中津市大字伊藤田２１６８－１</t>
  </si>
  <si>
    <t>大分市向原西２－７－６</t>
  </si>
  <si>
    <t>宇佐市院内町温見２０９－３</t>
  </si>
  <si>
    <t>佐伯市大字鶴望４１０４－２</t>
  </si>
  <si>
    <t>臼杵市大字福良１２５－１</t>
  </si>
  <si>
    <t>大分市畑中２－６－６</t>
  </si>
  <si>
    <t>大分市判田台北３－４－８</t>
  </si>
  <si>
    <t>日田市天瀬町女子畑小谷６００－１</t>
  </si>
  <si>
    <t>別府市大字亀川１０６２－８</t>
  </si>
  <si>
    <t>別府市大字鶴見３３１４－１</t>
  </si>
  <si>
    <t>大分市大字小野鶴１１５２－１</t>
  </si>
  <si>
    <t>速見郡日出町大字豊岡４８３２－２</t>
  </si>
  <si>
    <t>津久見市大字上青江４０７６－２</t>
  </si>
  <si>
    <t>大分市東浜１－１１－１０</t>
  </si>
  <si>
    <t>佐伯市中の島３－５８９８－３８</t>
  </si>
  <si>
    <t>874-0823</t>
  </si>
  <si>
    <t>別府市南立石本町２２－５</t>
  </si>
  <si>
    <t>佐伯市東町２－１</t>
  </si>
  <si>
    <t>玖珠郡玖珠町大字戸畑２３１６－２</t>
  </si>
  <si>
    <t>別府市上人本町２－２８</t>
  </si>
  <si>
    <t>日田市大字三和６４９－３</t>
  </si>
  <si>
    <t>由布市挾間町筒口１８５４－２</t>
  </si>
  <si>
    <t>大分市横田１－１０－５</t>
  </si>
  <si>
    <t>中津市耶馬溪町大字柿５２５－７</t>
  </si>
  <si>
    <t>（株）若山電設</t>
  </si>
  <si>
    <t>中津市大字永添８２０－１１０</t>
  </si>
  <si>
    <t>大分市泉町１１－１５</t>
  </si>
  <si>
    <t>速見郡日出町大字藤原８４１－７</t>
  </si>
  <si>
    <t>大分市新川町１－７－１８</t>
  </si>
  <si>
    <t>大分市久原中央２－８－２８</t>
  </si>
  <si>
    <t>杵築市大字南杵築２６９２－１</t>
  </si>
  <si>
    <t>日田市田島本町２－１３</t>
  </si>
  <si>
    <t>日田市天瀬町湯山１０６２－１</t>
  </si>
  <si>
    <t>別府市石垣西５－４－５６</t>
  </si>
  <si>
    <t>大分市大字片島１１８１－２</t>
  </si>
  <si>
    <t>大分市青崎２－３－４</t>
  </si>
  <si>
    <t>大分市大字中戸次字不動寺４９２－６</t>
  </si>
  <si>
    <t>大分市牧２－１１－１６</t>
  </si>
  <si>
    <t>大分市高松東３－３－６</t>
  </si>
  <si>
    <t>大分市東浜１－７－１３</t>
  </si>
  <si>
    <t>大分市大字猪野６６－１</t>
  </si>
  <si>
    <t>原田　阿子</t>
  </si>
  <si>
    <t>由布市挾間町北方１３５－１</t>
  </si>
  <si>
    <t>宇佐市大字下元重１２－１</t>
  </si>
  <si>
    <t>大分市大字横瀬２３０１－１</t>
  </si>
  <si>
    <t>大分市大字高崎１１７６－２</t>
  </si>
  <si>
    <t>阿部　義明</t>
  </si>
  <si>
    <t>玖珠郡玖珠町大字塚脇３６９－２</t>
  </si>
  <si>
    <t>宇佐市大字長洲１０４９－１</t>
  </si>
  <si>
    <t>大分市三佐６－３－１６</t>
  </si>
  <si>
    <t>豊後大野市三重町百枝３２５８－３５</t>
  </si>
  <si>
    <t>大分市大字小池原５２４－３</t>
  </si>
  <si>
    <t>大分市大在北３－１３－９</t>
  </si>
  <si>
    <t>大分市三佐２－１３－５</t>
  </si>
  <si>
    <t>中津市本耶馬渓町跡田９０－３</t>
  </si>
  <si>
    <t>大分市久原中央３－３－１３</t>
  </si>
  <si>
    <t>大分市竹の上１２－５１</t>
  </si>
  <si>
    <t>豊後大野市大野町屋原５８７－１</t>
  </si>
  <si>
    <t>津久見市大字網代５６６４－７</t>
  </si>
  <si>
    <t>佐伯市大字鶴望４４８４－１</t>
  </si>
  <si>
    <t>大分市寺崎町２－４－２４</t>
  </si>
  <si>
    <t>大分市大字片島２４５６－１７</t>
  </si>
  <si>
    <t>豊後高田市草地１７９１－１</t>
  </si>
  <si>
    <t>竹田市大字吉田３３１－１</t>
  </si>
  <si>
    <t>宇佐市大字辛島２９５－１</t>
  </si>
  <si>
    <t>大分市大字津留１９７０－９</t>
  </si>
  <si>
    <t>佐伯市蒲江大字森崎浦１１４９－１</t>
  </si>
  <si>
    <t>臼杵市野津町大字千塚６３２－２</t>
  </si>
  <si>
    <t>日田市大字小山２３１－１</t>
  </si>
  <si>
    <t>臼杵市大字諏訪１６１６－９</t>
  </si>
  <si>
    <t>大分市三川上２－１－１</t>
  </si>
  <si>
    <t>竹田市大字玉来５４３－３７</t>
  </si>
  <si>
    <t>大分市大字寒田１４９０－１９</t>
  </si>
  <si>
    <t>別府市大字内竈字上別府１２２３－５</t>
  </si>
  <si>
    <t>速見郡日出町大字川崎４３３９－３</t>
  </si>
  <si>
    <t>豊後高田市高田２１４５－１</t>
  </si>
  <si>
    <t>佐伯市鶴見大字地松浦５５０－１９</t>
  </si>
  <si>
    <t>国東市武蔵町古市２３７－１</t>
  </si>
  <si>
    <t>0978-68-1331</t>
  </si>
  <si>
    <t>臼杵市野津町大字西寒田２０４３－１</t>
  </si>
  <si>
    <t>大分市大字本神崎８４３－３</t>
  </si>
  <si>
    <t>中津市大字大塚８３２－５</t>
  </si>
  <si>
    <t>杵築市大字狩宿１２８０－１</t>
  </si>
  <si>
    <t>日田市天瀬町馬原５３０－２</t>
  </si>
  <si>
    <t>玖珠郡九重町大字松木１１３０－８</t>
  </si>
  <si>
    <t>臼杵市大字前田１９８６－９</t>
  </si>
  <si>
    <t>大分市大字松岡５４９６－１</t>
  </si>
  <si>
    <t>別府市石垣東７－５－１２</t>
  </si>
  <si>
    <t>大分市大字小池原１７５８－５</t>
  </si>
  <si>
    <t>佐伯市大字稲垣４９５－３</t>
  </si>
  <si>
    <t>中津市大字宮夫２３９－１</t>
  </si>
  <si>
    <t>大分市横尾東町３－１１－１４</t>
  </si>
  <si>
    <t>佐伯市弥生大字井崎１０８１－２</t>
  </si>
  <si>
    <t>国東市安岐町成久５９０－１７</t>
  </si>
  <si>
    <t>臼杵市大字板知屋字大寺浦１２５７－１１</t>
  </si>
  <si>
    <t>0972-83-5520</t>
  </si>
  <si>
    <t>大分市大字鶴崎１８０５－１</t>
  </si>
  <si>
    <t>速見郡日出町大字大神２６７２－１</t>
  </si>
  <si>
    <t>大分市大字本神崎７９－８</t>
  </si>
  <si>
    <t>中津市三光下秣字大源寺平３１０－１</t>
  </si>
  <si>
    <t>別府市富士見町８－２０</t>
  </si>
  <si>
    <t>山本　基代志</t>
  </si>
  <si>
    <t>日田市大字西有田１２４０－３</t>
  </si>
  <si>
    <t>大分市大字横尾４０５９－２</t>
  </si>
  <si>
    <t>大分市大字今市６５３－２</t>
  </si>
  <si>
    <t>大分市三川新町１－１－１５</t>
  </si>
  <si>
    <t>別府市大字野田５７－３　松田ビル３０１号</t>
  </si>
  <si>
    <t>大分市大字鴛野１０８８－２</t>
  </si>
  <si>
    <t>佐伯市直川大字仁田原４０５９－１</t>
  </si>
  <si>
    <t>中津市大字大塚７９４－６</t>
  </si>
  <si>
    <t>44011674</t>
  </si>
  <si>
    <t>ツチヤコウギヨウ</t>
  </si>
  <si>
    <t>（有）土谷工業</t>
  </si>
  <si>
    <t>土谷　健二</t>
  </si>
  <si>
    <t>大分市松原町２－５－４</t>
  </si>
  <si>
    <t>097-552-8646</t>
  </si>
  <si>
    <t>097-552-8676</t>
  </si>
  <si>
    <t>中津市大字島田４２３－８</t>
  </si>
  <si>
    <t>中津市中央町１－６－７３</t>
  </si>
  <si>
    <t>大分市大字下郡１６１７－１</t>
  </si>
  <si>
    <t>中津市大字植野６９－１</t>
  </si>
  <si>
    <t>大分市新栄町１２－３０</t>
  </si>
  <si>
    <t>大分市大字森町１１０９－５７</t>
  </si>
  <si>
    <t>宇佐市大字南宇佐１８９８－１</t>
  </si>
  <si>
    <t>大分市新栄町８－１１</t>
  </si>
  <si>
    <t>由布市挾間町来鉢１８２６－１</t>
  </si>
  <si>
    <t>097-583-6030</t>
  </si>
  <si>
    <t>別府市大字鶴見３２３－１</t>
  </si>
  <si>
    <t>日田市大字三和２７１９－６</t>
  </si>
  <si>
    <t>玖珠郡九重町大字菅原４１２－１</t>
  </si>
  <si>
    <t>中津市大字大貞１６５－１</t>
  </si>
  <si>
    <t>別府市荘園町６６－２５－１サンハイツ荘苑</t>
  </si>
  <si>
    <t>中津市大字全徳３５６－５</t>
  </si>
  <si>
    <t>日田市田島本町１－５（イエロービル３階３０１号室）</t>
  </si>
  <si>
    <t>大分市花高松２－１０－１１</t>
  </si>
  <si>
    <t>竹田市大字会々字平２７９３－１７</t>
  </si>
  <si>
    <t>別府市富士見町１３－５</t>
  </si>
  <si>
    <t>宇佐市大字清水２４０－１</t>
  </si>
  <si>
    <t>大分市大字中尾１０３６－７</t>
  </si>
  <si>
    <t>佐伯　賢一</t>
  </si>
  <si>
    <t>大分市大字中判田１２４－１</t>
  </si>
  <si>
    <t>佐藤　賢司</t>
  </si>
  <si>
    <t>大分市大字羽田１９３－１</t>
  </si>
  <si>
    <t>大分市大字津守５０１－３</t>
  </si>
  <si>
    <t>日田市大山町西大山６９３６－１</t>
  </si>
  <si>
    <t>豊後大野市三重町市場１２７６－１</t>
  </si>
  <si>
    <t>44011823</t>
  </si>
  <si>
    <t>サンケイケンセツ</t>
  </si>
  <si>
    <t>（株）三慶建設</t>
  </si>
  <si>
    <t>加藤　三幸</t>
  </si>
  <si>
    <t>別府市亀川東町３－２１</t>
  </si>
  <si>
    <t>0977-67-4296</t>
  </si>
  <si>
    <t>0977-67-4301</t>
  </si>
  <si>
    <t>日田市大字求来里１７４９－１</t>
  </si>
  <si>
    <t>大分市明野北５－１３－１３</t>
  </si>
  <si>
    <t>竹田市久住町大字栢木５８０２－７</t>
  </si>
  <si>
    <t>豊後大野市三重町芦刈４８１－４８</t>
  </si>
  <si>
    <t>大分市大字横尾１６５９－８</t>
  </si>
  <si>
    <t>別府市大字北石垣８２６－３</t>
  </si>
  <si>
    <t>佐伯市大字長良８６１－１</t>
  </si>
  <si>
    <t>豊後大野市千歳町高畑３－４</t>
  </si>
  <si>
    <t>芦刈　第吉</t>
  </si>
  <si>
    <t>臼杵市大字臼杵５６－１</t>
  </si>
  <si>
    <t>別府市大字鶴見４０４１－４１</t>
  </si>
  <si>
    <t>大分市大字小池原９６４－５</t>
  </si>
  <si>
    <t>大分市久原中央２－１－２２</t>
  </si>
  <si>
    <t>梶原　琢</t>
  </si>
  <si>
    <t>玖珠郡玖珠町大字森９８２－１</t>
  </si>
  <si>
    <t>別府市富士見町１０－２０</t>
  </si>
  <si>
    <t>大分市大字中戸次４４６３－１</t>
  </si>
  <si>
    <t>豊後高田市中真玉２１３０－８</t>
  </si>
  <si>
    <t>佐伯市本匠大字笠掛１５７９－１</t>
  </si>
  <si>
    <t>津久見市大字千怒３８７６－１</t>
  </si>
  <si>
    <t>大分市大字下郡字松女ヶ迫１２９０－５</t>
  </si>
  <si>
    <t>国東市国東町田深１２０８－１</t>
  </si>
  <si>
    <t>大分市大字寒田３８２－４５</t>
  </si>
  <si>
    <t>大分市大字中戸次１２６０－１</t>
  </si>
  <si>
    <t>大分市大字城原２５－５</t>
  </si>
  <si>
    <t>大分市下郡北２－４－３０</t>
  </si>
  <si>
    <t>佐伯市大字稲垣１０８９－１６</t>
  </si>
  <si>
    <t>玖珠郡玖珠町大字大隈２７２－１３</t>
  </si>
  <si>
    <t>大分市新栄町４－５</t>
  </si>
  <si>
    <t>別府市扇山３－４－８</t>
  </si>
  <si>
    <t>大分市萩原２－４－１</t>
  </si>
  <si>
    <t>豊後大野市三重町赤嶺１１５１－６</t>
  </si>
  <si>
    <t>大分市大字東上野２５０２－４</t>
  </si>
  <si>
    <t>44012070</t>
  </si>
  <si>
    <t>ティキム</t>
  </si>
  <si>
    <t>（株）ＴＫＩＭ</t>
  </si>
  <si>
    <t>垣迫　武範</t>
  </si>
  <si>
    <t>速見郡日出町大字川崎２０３２－２</t>
  </si>
  <si>
    <t>0977-73-0355</t>
  </si>
  <si>
    <t>0977-73-0365</t>
  </si>
  <si>
    <t>日田市大字三和１７６０－１</t>
  </si>
  <si>
    <t>大分市大字永興１４５９－２</t>
  </si>
  <si>
    <t>佐伯市船頭町１－１７</t>
  </si>
  <si>
    <t>日田市大字西有田１２０７－１</t>
  </si>
  <si>
    <t>大分市羽屋４－３－２５</t>
  </si>
  <si>
    <t>大分市大字荏隈３１０－３</t>
  </si>
  <si>
    <t>大分市坂ノ市中央３－３－５</t>
  </si>
  <si>
    <t>別府市原町１１－２６</t>
  </si>
  <si>
    <t>大分市舞鶴町１－３－１８（大分梅林三井ビル）</t>
  </si>
  <si>
    <t>豊後大野市朝地町下野１６４３－１</t>
  </si>
  <si>
    <t>大分市大字城原１７８５－１</t>
  </si>
  <si>
    <t>大分市原新町２－４</t>
  </si>
  <si>
    <t>佐伯市弥生大字床木１１３－１</t>
  </si>
  <si>
    <t>日田市大字三和６４３－４</t>
  </si>
  <si>
    <t>竹田市大字入田３５０９－１</t>
  </si>
  <si>
    <t>由布市庄内町大龍１６５２－１</t>
  </si>
  <si>
    <t>大分市大字丹生１９３－６</t>
  </si>
  <si>
    <t>大分市賀来北２－１６－１０</t>
  </si>
  <si>
    <t>竹田市大字飛田川２２３９－８</t>
  </si>
  <si>
    <t>大分市富士見が丘西４－２９－１</t>
  </si>
  <si>
    <t>中津市牛神町１－１１－１</t>
  </si>
  <si>
    <t>別府市野田３１０－１０</t>
  </si>
  <si>
    <t>大分市大字鶴崎１８１２－２</t>
  </si>
  <si>
    <t>宇佐市大字下庄１６７５－１</t>
  </si>
  <si>
    <t>大分市向原沖１－２－６２</t>
  </si>
  <si>
    <t>大分市中津留１－２－２０</t>
  </si>
  <si>
    <t>大分市大字横尾７６８－１</t>
  </si>
  <si>
    <t>別府市石垣西６－１－４５</t>
  </si>
  <si>
    <t>別府市東荘園６－６－６</t>
  </si>
  <si>
    <t>中津市三光臼木３３５－１</t>
  </si>
  <si>
    <t>大分市大道町１－３－２１</t>
  </si>
  <si>
    <t>別府市扇山５－２２－６</t>
  </si>
  <si>
    <t>別府市鉄輪１２９８－１</t>
  </si>
  <si>
    <t>別府市大字内竈１２０４－１</t>
  </si>
  <si>
    <t>日田市三本松１－１３－２４</t>
  </si>
  <si>
    <t>臼杵市大字井村１０４０－１</t>
  </si>
  <si>
    <t>由布市挾間町筒口１０６５－２</t>
  </si>
  <si>
    <t>大分市大字羽田字久保１０４４－５</t>
  </si>
  <si>
    <t>竹田市久住町大字久住６２８３－１</t>
  </si>
  <si>
    <t>大分市新川西２－３－７</t>
  </si>
  <si>
    <t>大分市大字下郡３２６－１</t>
  </si>
  <si>
    <t>大分市大字乙津１３２－３</t>
  </si>
  <si>
    <t>大分市大字野津原２２８３－３</t>
  </si>
  <si>
    <t>佐伯市弥生大字井崎１６２８－２</t>
  </si>
  <si>
    <t>大分市王ノ瀬２－１０－３３</t>
  </si>
  <si>
    <t>大分市大字猪野６５８－６</t>
  </si>
  <si>
    <t>大分市大字田原２－１</t>
  </si>
  <si>
    <t>竹田市直入町大字長湯８２２８－５</t>
  </si>
  <si>
    <t>大分市豊町１－５－２５</t>
  </si>
  <si>
    <t>中津市大字福島２１４９－１</t>
  </si>
  <si>
    <t>大分市判田台東１－１－４</t>
  </si>
  <si>
    <t>由布市庄内町五ヶ瀬字長尾４８０－１</t>
  </si>
  <si>
    <t>中嶋　佳奈恵</t>
  </si>
  <si>
    <t>中津市中殿町３－１５－２</t>
  </si>
  <si>
    <t>大分市大字白木３０９－２</t>
  </si>
  <si>
    <t>大分市萩原４－１１－２０</t>
  </si>
  <si>
    <t>日田市大字高瀬３９８６－４</t>
  </si>
  <si>
    <t>佐伯市直川大字赤木３１５８－１</t>
  </si>
  <si>
    <t>大分市大字常行２３１－２</t>
  </si>
  <si>
    <t>大分市大字丹生９３０－９</t>
  </si>
  <si>
    <t>佐伯市女島３－１０８３３－１８６</t>
  </si>
  <si>
    <t>由布市庄内町柿原３８０－１</t>
  </si>
  <si>
    <t>大分市大字下郡６７０－６２</t>
  </si>
  <si>
    <t>杵築市山香町大字野原１６８１－１</t>
  </si>
  <si>
    <t>0977-75-1307</t>
  </si>
  <si>
    <t>日田市中本町５－３３</t>
  </si>
  <si>
    <t>中津市大字犬丸２３３２－１</t>
  </si>
  <si>
    <t>佐伯市鶴見大字沖松浦４０１－１</t>
  </si>
  <si>
    <t>宇佐市大字下乙女４４９－９</t>
  </si>
  <si>
    <t>別府市実相寺町２５－１</t>
  </si>
  <si>
    <t>大分市上宗方南１－３－２３</t>
  </si>
  <si>
    <t>大分市大字下戸次５３３２－１</t>
  </si>
  <si>
    <t>大分市南太平寺２－３－５</t>
  </si>
  <si>
    <t>竹田市大字会々字平３６４５－６</t>
  </si>
  <si>
    <t>大分市末広町２－６－３－３０６（アスティオン末広）</t>
  </si>
  <si>
    <t>大分市大洲浜１－３－５</t>
  </si>
  <si>
    <t>日田市大字庄手５９１－３</t>
  </si>
  <si>
    <t>大分市大字廻栖野２５１１－１０</t>
  </si>
  <si>
    <t>竹田市大字君ヶ園９７０－１</t>
  </si>
  <si>
    <t>大分市三川上３－１－１３</t>
  </si>
  <si>
    <t>大分市大分市上田町１－２－１</t>
  </si>
  <si>
    <t>別府市大字鉄輪９６０－８</t>
  </si>
  <si>
    <t>竹田市大字片ヶ瀬７６２－９</t>
  </si>
  <si>
    <t>大分市碩田町２－２－５</t>
  </si>
  <si>
    <t>宇佐市大字下乙女４９８－１</t>
  </si>
  <si>
    <t>玖珠郡玖珠町大字塚脇１２０－１</t>
  </si>
  <si>
    <t>由布市挾間町高崎１５２－４</t>
  </si>
  <si>
    <t>大分市三川新町２－１－５５</t>
  </si>
  <si>
    <t>佐伯市大字鶴望２２８－８</t>
  </si>
  <si>
    <t>大分市大字津守字積ノ下４９９－１３</t>
  </si>
  <si>
    <t>佐伯市大字堅田５３０８－２</t>
  </si>
  <si>
    <t>大分市南津留１９－２５</t>
  </si>
  <si>
    <t>中津市大字万田６６８－３</t>
  </si>
  <si>
    <t>中津市大字相原３０３２－２０</t>
  </si>
  <si>
    <t>佐伯市田の浦町３－７</t>
  </si>
  <si>
    <t>大分市上宗方２５７（ＡＩビル２Ｆ）</t>
  </si>
  <si>
    <t>大分市大字高瀬４８－１</t>
  </si>
  <si>
    <t>大分市大字三佐１９１４－１４</t>
  </si>
  <si>
    <t>大分市大字上戸次字田ノ尻３３０２－１</t>
  </si>
  <si>
    <t>097-578-6838</t>
  </si>
  <si>
    <t>佐伯市野岡町２－５－５</t>
  </si>
  <si>
    <t>44012687</t>
  </si>
  <si>
    <t>キョウセイケンセツコウギョウ</t>
  </si>
  <si>
    <t>（株）キョウセイ建設工業</t>
  </si>
  <si>
    <t>三重野　精一</t>
  </si>
  <si>
    <t>870-1164</t>
  </si>
  <si>
    <t>大分市雄城台中央１－１３－１</t>
  </si>
  <si>
    <t>097-542-0919</t>
  </si>
  <si>
    <t>佐伯市大字池田１３３３－１</t>
  </si>
  <si>
    <t>大分市富士見が丘東４－１２－１０</t>
  </si>
  <si>
    <t>日田市大山町西大山２１０－１</t>
  </si>
  <si>
    <t>大分市大字迫３６９－１</t>
  </si>
  <si>
    <t>大分市大字日吉原１－８</t>
  </si>
  <si>
    <t>大分市新川西１－４－１７</t>
  </si>
  <si>
    <t>大分市向原東１－６－４</t>
  </si>
  <si>
    <t>大分市豊饒２－１－６</t>
  </si>
  <si>
    <t>大分市末広町２－９－２４</t>
  </si>
  <si>
    <t>大分市須賀２－９－２２</t>
  </si>
  <si>
    <t>中津市大字植野１７６－１</t>
  </si>
  <si>
    <t>大分市ひばりケ丘２－３－６</t>
  </si>
  <si>
    <t>大分市花高松２－９－３</t>
  </si>
  <si>
    <t>日田市大字三和１９６３－１</t>
  </si>
  <si>
    <t>由布市庄内町五ヶ瀬７８－１</t>
  </si>
  <si>
    <t>大分市大字下郡３９６－１</t>
  </si>
  <si>
    <t>879-0007</t>
  </si>
  <si>
    <t>杵築市片野７４６</t>
  </si>
  <si>
    <t>0977-66-7131</t>
  </si>
  <si>
    <t>佐伯市西浜１０８９７－６７</t>
  </si>
  <si>
    <t>日田市大字十二町字前川２４１－５</t>
  </si>
  <si>
    <t>44012806</t>
  </si>
  <si>
    <t>ジョウシンコウギョウ</t>
  </si>
  <si>
    <t>常信工業（有）</t>
  </si>
  <si>
    <t>佐西　智也</t>
  </si>
  <si>
    <t>大分市大字津守１８１－３</t>
  </si>
  <si>
    <t>097-567-3400</t>
  </si>
  <si>
    <t>097-567-3397</t>
  </si>
  <si>
    <t>大分市ふじが丘北２－２－５</t>
  </si>
  <si>
    <t>玖珠郡九重町大字右田８３１－５</t>
  </si>
  <si>
    <t>大分市大道町１－３－３</t>
  </si>
  <si>
    <t>大分市萩原４－１０－２０</t>
  </si>
  <si>
    <t>大分市畑中２－１０－１６</t>
  </si>
  <si>
    <t>速見郡日出町大字藤原４４１５－３</t>
  </si>
  <si>
    <t>竹田市直入町大字下田北１０４－１</t>
  </si>
  <si>
    <t>由布市湯布院町川南４１７－１</t>
  </si>
  <si>
    <t>佐伯市弥生大字山梨子１５３１－１</t>
  </si>
  <si>
    <t>杵築市大字大内３１０５－４</t>
  </si>
  <si>
    <t>大分市尼が瀬１－２－４３</t>
  </si>
  <si>
    <t>菅田　翔太</t>
  </si>
  <si>
    <t>大分市大字杉原５１１－１</t>
  </si>
  <si>
    <t>大分市原川３－２－１</t>
  </si>
  <si>
    <t>日田市上手町１－１－２</t>
  </si>
  <si>
    <t>佐伯市弥生大字井崎１８７０－６</t>
  </si>
  <si>
    <t>別府市荘園町８－１２</t>
  </si>
  <si>
    <t>由布市庄内町野畑７６０－４</t>
  </si>
  <si>
    <t>大分市西春日町１－６０</t>
  </si>
  <si>
    <t>大分市城南南２－５－３５</t>
  </si>
  <si>
    <t>佐伯市野岡町１－９－２６</t>
  </si>
  <si>
    <t>大分市大字廻栖野１８５９－１</t>
  </si>
  <si>
    <t>竹田市直入町大字上田北５１０－６０</t>
  </si>
  <si>
    <t>大分市城崎町１－３－２１</t>
  </si>
  <si>
    <t>日田市大山町西大山１４０９－１</t>
  </si>
  <si>
    <t>別府市大字北石垣８５９－１</t>
  </si>
  <si>
    <t>大分市大字中尾１３０５</t>
  </si>
  <si>
    <t>097-576-9669</t>
  </si>
  <si>
    <t>由布市挾間町古野４８４－１６</t>
  </si>
  <si>
    <t>中津市大字田尻崎８－３</t>
  </si>
  <si>
    <t>中津市１７３１－３</t>
  </si>
  <si>
    <t>矢野　公子</t>
  </si>
  <si>
    <t>杵築市大字狩宿２１０２－１４</t>
  </si>
  <si>
    <t>佐伯市大字長谷６１３８－２</t>
  </si>
  <si>
    <t>竹田市大字君ケ園８０１－６</t>
  </si>
  <si>
    <t>佐伯市中の島１－２－２７</t>
  </si>
  <si>
    <t>佐伯市本匠大字宇津々２０１２－１</t>
  </si>
  <si>
    <t>大分市向原西２－８－３０</t>
  </si>
  <si>
    <t>大分市三佐３－１－３</t>
  </si>
  <si>
    <t>日田市城町１－３－６２</t>
  </si>
  <si>
    <t>別府市石垣東７－６－１２</t>
  </si>
  <si>
    <t>大分市大津町１－１６－２０</t>
  </si>
  <si>
    <t>別府市餅ケ浜町５－１５</t>
  </si>
  <si>
    <t>中津市大字加来２２８３－６３７</t>
  </si>
  <si>
    <t>佐伯市大字長谷１０３２６－２３４</t>
  </si>
  <si>
    <t>大分市三佐６－１２－１０</t>
  </si>
  <si>
    <t>佐伯市向島２－７－２０</t>
  </si>
  <si>
    <t>堀　智二</t>
  </si>
  <si>
    <t>大分市大字三芳１０４１－１</t>
  </si>
  <si>
    <t>別府市大字鶴見２９９８－７</t>
  </si>
  <si>
    <t>日田市大字田島４８５－３</t>
  </si>
  <si>
    <t>豊後大野市大野町大原６３４－２</t>
  </si>
  <si>
    <t>大分市大字片島１２１５－２</t>
  </si>
  <si>
    <t>佐伯市蒲江大字森崎浦３７１－１</t>
  </si>
  <si>
    <t>佐伯市弥生大字床木２９－２</t>
  </si>
  <si>
    <t>大分市大津町１－５７</t>
  </si>
  <si>
    <t>大分市大字三佐２４０５－５</t>
  </si>
  <si>
    <t>大分市大字皆春２５９－２０</t>
  </si>
  <si>
    <t>国東市国東町浜崎４７８－１</t>
  </si>
  <si>
    <t>小關　新雄</t>
  </si>
  <si>
    <t>宇佐市大字宮熊３５８－１</t>
  </si>
  <si>
    <t>由布市挾間町北方２７０－１</t>
  </si>
  <si>
    <t>大分市志村１－４－７</t>
  </si>
  <si>
    <t>大分市大字小野鶴７２６－１</t>
  </si>
  <si>
    <t>米澤　貴史</t>
  </si>
  <si>
    <t>876-0854</t>
  </si>
  <si>
    <t>佐伯市中村南町９－１０</t>
  </si>
  <si>
    <t>大分市大字小野鶴７８１－２</t>
  </si>
  <si>
    <t>大分市大字牧９６８－１</t>
  </si>
  <si>
    <t>大分市原新町６－１５</t>
  </si>
  <si>
    <t>小森　智幸</t>
  </si>
  <si>
    <t>大分市大字旦野原９１０－５８</t>
  </si>
  <si>
    <t>速見郡日出町川崎５８５４－２０１</t>
  </si>
  <si>
    <t>豊後大野市三重町芦刈２８６－６</t>
  </si>
  <si>
    <t>由布市庄内町櫟木７２０－７</t>
  </si>
  <si>
    <t>大分市大字永興１４５４－１</t>
  </si>
  <si>
    <t>日田市大山町西大山４７４９－１</t>
  </si>
  <si>
    <t>佐伯市中村北町１－２５</t>
  </si>
  <si>
    <t>後藤　力</t>
  </si>
  <si>
    <t>別府市南立石生目町３－１</t>
  </si>
  <si>
    <t>大分市新貝１２－１</t>
  </si>
  <si>
    <t>別府市大字野田１３７－１</t>
  </si>
  <si>
    <t>豊後大野市三重町芦刈４８１－５</t>
  </si>
  <si>
    <t>佐伯市鶴岡町３－２－１０</t>
  </si>
  <si>
    <t>大分市萩原４－１１－９</t>
  </si>
  <si>
    <t>大分市大字上宗方２４８－７</t>
  </si>
  <si>
    <t>大分市横塚２－１－３７</t>
  </si>
  <si>
    <t>大分市賀来南１－１－３</t>
  </si>
  <si>
    <t>玖珠郡九重町大字田野１６２４－９４</t>
  </si>
  <si>
    <t>宇佐市大字江須賀１２５９－１</t>
  </si>
  <si>
    <t>日田市田島２－２６６－１大幸ビル１階５号</t>
  </si>
  <si>
    <t>宇佐市大字山下１４９０－１</t>
  </si>
  <si>
    <t>樋田　佳胤</t>
  </si>
  <si>
    <t>中津市三光臼木７９１－１</t>
  </si>
  <si>
    <t>大分市大字横尾３７３３－１</t>
  </si>
  <si>
    <t>津久見市港町２－１９</t>
  </si>
  <si>
    <t>大分市青崎２－３０２</t>
  </si>
  <si>
    <t>097-535-7283</t>
  </si>
  <si>
    <t>榎田　道代</t>
  </si>
  <si>
    <t>佐伯市大字長谷７００４－１</t>
  </si>
  <si>
    <t>大分市王子南町２－２４　アルバＣ．Ｒ．Ｔ２Ｆ</t>
  </si>
  <si>
    <t>豊後高田市草地３２２５－５</t>
  </si>
  <si>
    <t>佐伯市向島１－５－３２</t>
  </si>
  <si>
    <t>佐伯市上灘９８０４－２５</t>
  </si>
  <si>
    <t>中津市大字犬丸５４－３</t>
  </si>
  <si>
    <t>野尻　春一</t>
  </si>
  <si>
    <t>大分市三川下１－３－２３</t>
  </si>
  <si>
    <t>高田　篤</t>
  </si>
  <si>
    <t>大分市青崎１－３－３９</t>
  </si>
  <si>
    <t>竹田市大字入田１７－２</t>
  </si>
  <si>
    <t>アイテクノ</t>
  </si>
  <si>
    <t>アイテクノ（株）</t>
  </si>
  <si>
    <t>大分市大字片島１３６８－５</t>
  </si>
  <si>
    <t>097-535-8681</t>
  </si>
  <si>
    <t>097-535-8682</t>
  </si>
  <si>
    <t>速見郡日出町大字大神２１６１－４５</t>
  </si>
  <si>
    <t>別府市小倉町３３－１</t>
  </si>
  <si>
    <t>大分市須賀２－５－３８</t>
  </si>
  <si>
    <t>大分市豊海四丁目１９９４－２１８</t>
  </si>
  <si>
    <t>大分市乙津町８－８</t>
  </si>
  <si>
    <t>別府市浜脇１－４０７６－８</t>
  </si>
  <si>
    <t>清水　哲則</t>
  </si>
  <si>
    <t>大分市須賀１－１－２６</t>
  </si>
  <si>
    <t>大分市大字市５５０－１</t>
  </si>
  <si>
    <t>中津市豊田町１－１１</t>
  </si>
  <si>
    <t>豊後大野市三重町菅生１－２０１</t>
  </si>
  <si>
    <t>城全　将孝</t>
  </si>
  <si>
    <t>別府市浜町５２４２－１</t>
  </si>
  <si>
    <t>大分市松原町３－４－２０</t>
  </si>
  <si>
    <t>大分市豊町１－３－７</t>
  </si>
  <si>
    <t>中津市山国町守実４１８－１</t>
  </si>
  <si>
    <t>大分市西大道４－２－２０</t>
  </si>
  <si>
    <t>097-574-5639</t>
  </si>
  <si>
    <t>別府市竹の内町３１－６</t>
  </si>
  <si>
    <t>日田市大字有田１５９３－１２</t>
  </si>
  <si>
    <t>日田市上諸留町１１２５－１</t>
  </si>
  <si>
    <t>日田市天瀬町桜竹６３４－１</t>
  </si>
  <si>
    <t>大分市大字旦野原１８８－４</t>
  </si>
  <si>
    <t>日田市大字有田１５８５－４</t>
  </si>
  <si>
    <t>日田市大字庄手８０３－２</t>
  </si>
  <si>
    <t>日田市田島１－９－２</t>
  </si>
  <si>
    <t>佐伯市上浦大字津井浦２－１</t>
  </si>
  <si>
    <t>別府市若草町３－３４</t>
  </si>
  <si>
    <t>大分市大字横尾８８４－１</t>
  </si>
  <si>
    <t>日田市大字求来里６００－５</t>
  </si>
  <si>
    <t>宇佐市大字四日市２８７３－８</t>
  </si>
  <si>
    <t>日田市大字友田１１１２－１２</t>
  </si>
  <si>
    <t>大分市錦町３－７－２９－２</t>
  </si>
  <si>
    <t>杵築市大字大内６４６１－１</t>
  </si>
  <si>
    <t>大分市萩原３－４－８</t>
  </si>
  <si>
    <t>大分市大字森８８５－２６</t>
  </si>
  <si>
    <t>杵築市大字宮司５５３－１</t>
  </si>
  <si>
    <t>速見郡日出町大字大神１７４５－１</t>
  </si>
  <si>
    <t>大分市下郡北３－１８－４３</t>
  </si>
  <si>
    <t>日田市大字三和１００９－１（財津町）</t>
  </si>
  <si>
    <t>中津市中央町１－５－７</t>
  </si>
  <si>
    <t>佐伯市蒲江大字丸市尾浦４６９－１</t>
  </si>
  <si>
    <t>宇佐市大字中原１８６－２</t>
  </si>
  <si>
    <t>大分市大手町１－２－１</t>
  </si>
  <si>
    <t>臼杵市大字臼杵２－１０７－７２８</t>
  </si>
  <si>
    <t>0972-77-5066</t>
  </si>
  <si>
    <t>シーダブリュイー</t>
  </si>
  <si>
    <t>佐伯市弥生大字井崎１５３２－１</t>
  </si>
  <si>
    <t>大分市三佐２－６－２</t>
  </si>
  <si>
    <t>杵築市大字杵築７０５－５</t>
  </si>
  <si>
    <t>豊後大野市三重町赤嶺２５７１－６</t>
  </si>
  <si>
    <t>梶原　将志</t>
  </si>
  <si>
    <t>日田市大字石井３４４－１</t>
  </si>
  <si>
    <t>佐伯市葛港８－１５</t>
  </si>
  <si>
    <t>杵築市山香町大字立石２１９７－１</t>
  </si>
  <si>
    <t>豊後大野市三重町小坂３７６７－２</t>
  </si>
  <si>
    <t>杵築市大字相原３０３－３</t>
  </si>
  <si>
    <t>大分市大字入蔵１３４－１</t>
  </si>
  <si>
    <t>速見郡日出町大字大神３１４３</t>
  </si>
  <si>
    <t>豊後高田市来縄２１７２－１</t>
  </si>
  <si>
    <t>豊後大野市大野町酒井寺５９－２</t>
  </si>
  <si>
    <t>日田市玉川３－１５１０－４</t>
  </si>
  <si>
    <t>国東市国東町富来浦２３４４－６</t>
  </si>
  <si>
    <t>速見郡日出町大字豊岡８０２－２</t>
  </si>
  <si>
    <t>中津市永添１８６４－２</t>
  </si>
  <si>
    <t>玖珠郡玖珠町大字帆足３６９－３</t>
  </si>
  <si>
    <t>44013770</t>
  </si>
  <si>
    <t>ホウショウテック</t>
  </si>
  <si>
    <t>（有）豊翔テック</t>
  </si>
  <si>
    <t>森　穣</t>
  </si>
  <si>
    <t>大分市萩原２－９－２７</t>
  </si>
  <si>
    <t>097-511-7290</t>
  </si>
  <si>
    <t>097-511-7289</t>
  </si>
  <si>
    <t>大分市久原中央３－３－２０　サンシティ久原１０２</t>
  </si>
  <si>
    <t>大分市東原２－６－１</t>
  </si>
  <si>
    <t>玖珠郡玖珠町大字太田字本村２５５－５</t>
  </si>
  <si>
    <t>大分市大字荏隈１７２３－１</t>
  </si>
  <si>
    <t>豊後大野市清川町六種３１７－２</t>
  </si>
  <si>
    <t>大分市大字上宗方２４８－１</t>
  </si>
  <si>
    <t>中津市大字赤迫４３１－３</t>
  </si>
  <si>
    <t>大分市大字松岡６６５２－４７</t>
  </si>
  <si>
    <t>大分市大字丹生４７３－１</t>
  </si>
  <si>
    <t>臼杵市大字臼杵６１６－３</t>
  </si>
  <si>
    <t>大分市牧２－５－２６</t>
  </si>
  <si>
    <t>44013817</t>
  </si>
  <si>
    <t>オオサコセツビ</t>
  </si>
  <si>
    <t>大迫設備（株）</t>
  </si>
  <si>
    <t>大迫　一男</t>
  </si>
  <si>
    <t>大分市星和台１－８－３</t>
  </si>
  <si>
    <t>097-569-9533</t>
  </si>
  <si>
    <t>097-535-9798</t>
  </si>
  <si>
    <t>大分市花津留１－３－２</t>
  </si>
  <si>
    <t>豊後大野市朝地町市万田６４４－３</t>
  </si>
  <si>
    <t>佐伯市大字上岡２４２２－１</t>
  </si>
  <si>
    <t>大分市花江川８－２０</t>
  </si>
  <si>
    <t>別府市船小路町３－４３</t>
  </si>
  <si>
    <t>876-0851</t>
  </si>
  <si>
    <t>佐伯市常盤東町５－８</t>
  </si>
  <si>
    <t>0972-28-7168</t>
  </si>
  <si>
    <t>0972-28-5952</t>
  </si>
  <si>
    <t>佐伯市大字鶴望２３８８－６</t>
  </si>
  <si>
    <t>日田市田島２－１２－８</t>
  </si>
  <si>
    <t>佐伯市弥生大字床木２８８－１</t>
  </si>
  <si>
    <t>大分市畑中２－２－２８</t>
  </si>
  <si>
    <t>佐伯市大字戸穴３３７－１</t>
  </si>
  <si>
    <t>44013867</t>
  </si>
  <si>
    <t>オオイタジュウケン</t>
  </si>
  <si>
    <t>大分住建</t>
  </si>
  <si>
    <t>渡邉　拓治</t>
  </si>
  <si>
    <t>豊後大野市三重町芦刈１００６－４</t>
  </si>
  <si>
    <t>0974-22-7718</t>
  </si>
  <si>
    <t>大分市豊海３－８－９</t>
  </si>
  <si>
    <t>中津市山国町守実２３５０－１</t>
  </si>
  <si>
    <t>東国東郡姫島村３６０９－２</t>
  </si>
  <si>
    <t>国東市国東町田深５２７－２</t>
  </si>
  <si>
    <t>日田市大字三和２６２９－３</t>
  </si>
  <si>
    <t>大分市横尾東町３－１１－６</t>
  </si>
  <si>
    <t>44013884</t>
  </si>
  <si>
    <t>アラカネソウケン</t>
  </si>
  <si>
    <t>（株）荒金総建</t>
  </si>
  <si>
    <t>荒金　一仁</t>
  </si>
  <si>
    <t>別府市大字南立石１７０８－１</t>
  </si>
  <si>
    <t>0977-85-7165</t>
  </si>
  <si>
    <t>0977-85-7166</t>
  </si>
  <si>
    <t>大分市大字羽田１９９－１</t>
  </si>
  <si>
    <t>大分市向原沖３－２－２４</t>
  </si>
  <si>
    <t>由布市挾間町赤野７８２－１</t>
  </si>
  <si>
    <t>宇佐市大字上乙女２６１－１</t>
  </si>
  <si>
    <t>臼杵市大字井村７２７－１</t>
  </si>
  <si>
    <t>大分市二又町１－１－６</t>
  </si>
  <si>
    <t>臼杵市大字臼杵２－１０７－１１０</t>
  </si>
  <si>
    <t>44013937</t>
  </si>
  <si>
    <t>（株）コウセイ</t>
  </si>
  <si>
    <t>田村　孝正</t>
  </si>
  <si>
    <t>由布市挾間町下市７５９－２</t>
  </si>
  <si>
    <t>097-583-3039</t>
  </si>
  <si>
    <t>大分市大字下郡３６６６－６４</t>
  </si>
  <si>
    <t>44013946</t>
  </si>
  <si>
    <t>キョウコウ</t>
  </si>
  <si>
    <t>（株）共功</t>
  </si>
  <si>
    <t>谷口　慶郎</t>
  </si>
  <si>
    <t>大分市大字下戸次３３６８－１</t>
  </si>
  <si>
    <t>097-597-3177</t>
  </si>
  <si>
    <t>大分市大字横尾１８９６－１</t>
  </si>
  <si>
    <t>中津市大字福島１１２０－１</t>
  </si>
  <si>
    <t>大分市大字荏隈３０９－５</t>
  </si>
  <si>
    <t>中津市沖代町２－６－２１</t>
  </si>
  <si>
    <t>大分市大字海原７３９－３</t>
  </si>
  <si>
    <t>大分市向原西２－６－１６</t>
  </si>
  <si>
    <t>佐伯市女島２－９０２９－２７</t>
  </si>
  <si>
    <t>44013979</t>
  </si>
  <si>
    <t>イケナガセメントコウギョウショ</t>
  </si>
  <si>
    <t>（株）池永セメント工業所</t>
  </si>
  <si>
    <t>池永　亀一郎</t>
  </si>
  <si>
    <t>大分市大字中戸次４７６３</t>
  </si>
  <si>
    <t>097-597-3113</t>
  </si>
  <si>
    <t>097-597-3116</t>
  </si>
  <si>
    <t>ユーホームテック（株）</t>
  </si>
  <si>
    <t>別府市大字鶴見５２０－８</t>
  </si>
  <si>
    <t>大分市畑中２－６－７</t>
  </si>
  <si>
    <t>中津市山国町中摩３４６９－４</t>
  </si>
  <si>
    <t>中津市耶馬溪町大字柿坂４８６－２４</t>
  </si>
  <si>
    <t>竹田市久住町大字栢木５７４－８３</t>
  </si>
  <si>
    <t>宇佐市大字富山９７１－１０</t>
  </si>
  <si>
    <t>大分市明磧町１－５－４５</t>
  </si>
  <si>
    <t>宇佐市大字上高２０６－１</t>
  </si>
  <si>
    <t>国東市国見町竹田津３５６９－２</t>
  </si>
  <si>
    <t>速見郡日出町大字大神１６－１</t>
  </si>
  <si>
    <t>別府市石垣東５－２－１１</t>
  </si>
  <si>
    <t>豊後大野市三重町秋葉７１４－３</t>
  </si>
  <si>
    <t>杵築市大字八坂２２５０－４９</t>
  </si>
  <si>
    <t>国東市国東町田深１５３６－１</t>
  </si>
  <si>
    <t>中津市大字永添１９９６－１３</t>
  </si>
  <si>
    <t>別府市堀田町２７－４７</t>
  </si>
  <si>
    <t>大分市大字関園２６１－１</t>
  </si>
  <si>
    <t>中津市大字福島１０６７－２０</t>
  </si>
  <si>
    <t>臼杵市大字市江無田２９８－８</t>
  </si>
  <si>
    <t>0972-77-5888</t>
  </si>
  <si>
    <t>今川　和彦</t>
  </si>
  <si>
    <t>874-0884</t>
  </si>
  <si>
    <t>別府市大字鶴見８４８－７</t>
  </si>
  <si>
    <t>国東市武蔵町古市１０３３－１</t>
  </si>
  <si>
    <t>宇佐市大字葛原６２８－１４</t>
  </si>
  <si>
    <t>玖珠郡玖珠町大字帆足４５７－１</t>
  </si>
  <si>
    <t>大分市乙津町９－１８</t>
  </si>
  <si>
    <t>大分市向原西２－６－８</t>
  </si>
  <si>
    <t>大分市大字三佐２１２２－８</t>
  </si>
  <si>
    <t>別府市大字亀川１６７９－３</t>
  </si>
  <si>
    <t>大分市東浜２－７－２０</t>
  </si>
  <si>
    <t>大分市大字高瀬２－５</t>
  </si>
  <si>
    <t>大分市西鶴崎１－１１－１８</t>
  </si>
  <si>
    <t>由布市挾間町篠原７４１－１</t>
  </si>
  <si>
    <t>44014176</t>
  </si>
  <si>
    <t>ガナル</t>
  </si>
  <si>
    <t>（株）Ｇａｎａｒｕ</t>
  </si>
  <si>
    <t>姫野　賢司</t>
  </si>
  <si>
    <t>大分市大字上宗方１２５０－７</t>
  </si>
  <si>
    <t>097-511-7890</t>
  </si>
  <si>
    <t>大分市王子町１２－１４</t>
  </si>
  <si>
    <t>097-574-4741</t>
  </si>
  <si>
    <t>由布市挾間町来鉢２５５－９</t>
  </si>
  <si>
    <t>別府市浜脇１－１９－３</t>
  </si>
  <si>
    <t>大分市日吉町８－１２</t>
  </si>
  <si>
    <t>玖珠郡玖珠町大字大隈５４－８</t>
  </si>
  <si>
    <t>日田市中本町７５３－３</t>
  </si>
  <si>
    <t>別府市野口元町１２－３５</t>
  </si>
  <si>
    <t>中津市大字大悟法７４７－６</t>
  </si>
  <si>
    <t>杵築市大字南杵築２３２７－１</t>
  </si>
  <si>
    <t>大分市今津留１－１－１７</t>
  </si>
  <si>
    <t>44014257</t>
  </si>
  <si>
    <t>ソウシン</t>
  </si>
  <si>
    <t>（株）蒼新</t>
  </si>
  <si>
    <t>三ヶ尻　治明</t>
  </si>
  <si>
    <t>宇佐市大字住江２２５－２</t>
  </si>
  <si>
    <t>0978-38-4870</t>
  </si>
  <si>
    <t>0978-38-4847</t>
  </si>
  <si>
    <t>佐伯市本匠大字三股７３０－３</t>
  </si>
  <si>
    <t>（株）ｉ－ｓｔｅｐ</t>
  </si>
  <si>
    <t>津久見市宮本町１－１２</t>
  </si>
  <si>
    <t>大分市田中町１－３－１０</t>
  </si>
  <si>
    <t>大分市大字上判田５４８７－２２</t>
  </si>
  <si>
    <t>44014297</t>
  </si>
  <si>
    <t>イーエムエーソウゴウエンジニアリング</t>
  </si>
  <si>
    <t>ＥＭＡ総合エンジニアリング（株）</t>
  </si>
  <si>
    <t>石田　光太朗</t>
  </si>
  <si>
    <t>大分市大津町１－２３－１</t>
  </si>
  <si>
    <t>097-594-1162</t>
  </si>
  <si>
    <t>097-594-1163</t>
  </si>
  <si>
    <t>佐伯市大手町３－２－２６</t>
  </si>
  <si>
    <t>大分市森町西２－１－２</t>
  </si>
  <si>
    <t>44014307</t>
  </si>
  <si>
    <t>ケンセイコウギョウ</t>
  </si>
  <si>
    <t>（株）ケンセイ工業</t>
  </si>
  <si>
    <t>長谷川　健治</t>
  </si>
  <si>
    <t>大分市高松東３－４－５</t>
  </si>
  <si>
    <t>097-511-0405</t>
  </si>
  <si>
    <t>44014322</t>
  </si>
  <si>
    <t>サポート</t>
  </si>
  <si>
    <t>（株）サポート</t>
  </si>
  <si>
    <t>小西　優子</t>
  </si>
  <si>
    <t>097-523-0003</t>
  </si>
  <si>
    <t>097-523-0004</t>
  </si>
  <si>
    <t>大分市新栄町１－１１</t>
  </si>
  <si>
    <t>大分市大字横瀬３８１－１</t>
  </si>
  <si>
    <t>097-585-5326</t>
  </si>
  <si>
    <t>別府市堀田町２７－４３</t>
  </si>
  <si>
    <t>大分市賀来南２－３－２４　シンシアビル賀来１０２</t>
  </si>
  <si>
    <t>中津市大字相原２９４５－４</t>
  </si>
  <si>
    <t>日田市日高２３５９－１２</t>
  </si>
  <si>
    <t>大分市三佐１－１４－１８</t>
  </si>
  <si>
    <t>大分市坂ノ市南１－４－２４</t>
  </si>
  <si>
    <t>佐伯市弥生大字井崎１４３２－４</t>
  </si>
  <si>
    <t>臼杵市大字海添２５０９－８</t>
  </si>
  <si>
    <t>大分市大字下郡４７７－１</t>
  </si>
  <si>
    <t>中津市大字福島２６１５－２２</t>
  </si>
  <si>
    <t>大分市大字関園１２０－１１</t>
  </si>
  <si>
    <t>中津市大字加来１９７３－１</t>
  </si>
  <si>
    <t>中津市大字福島２３７２－１</t>
  </si>
  <si>
    <t>大分市森町西４－４－７</t>
  </si>
  <si>
    <t>097-511-5135</t>
  </si>
  <si>
    <t>44014415</t>
  </si>
  <si>
    <t>（株）アイシン</t>
  </si>
  <si>
    <t>岩下　進</t>
  </si>
  <si>
    <t>日田市三芳小渕町１３３</t>
  </si>
  <si>
    <t>0973-22-5557</t>
  </si>
  <si>
    <t>0973-22-5567</t>
  </si>
  <si>
    <t>中津市大字蛎瀬８１７－１</t>
  </si>
  <si>
    <t>豊後高田市呉崎７５５－４５</t>
  </si>
  <si>
    <t>大分市金池町１－５－８菅ビル４階</t>
  </si>
  <si>
    <t>佐伯市女島３－１０４４７－４　Ｖｉｃｔｏｉｒｅ１０１</t>
  </si>
  <si>
    <t>大分市大字宮河内１６６３－４４</t>
  </si>
  <si>
    <t>44014477</t>
  </si>
  <si>
    <t>タシマデンキ</t>
  </si>
  <si>
    <t>（株）田嶋電気</t>
  </si>
  <si>
    <t>田嶋　涼平</t>
  </si>
  <si>
    <t>大分市大字佐野４２９３</t>
  </si>
  <si>
    <t>090-6776-4541</t>
  </si>
  <si>
    <t>中津市三光諌山１３１０－３</t>
  </si>
  <si>
    <t>佐伯市常盤南町８－３３</t>
  </si>
  <si>
    <t>大分市大在北３－１２－２６コモジャス壱番館２０１</t>
  </si>
  <si>
    <t>大分市大字曲字一ノ瀬８５４－１</t>
  </si>
  <si>
    <t>大分市東大道１－８－３４－５１１</t>
  </si>
  <si>
    <t>竹田市大字吉田１９９５－２</t>
  </si>
  <si>
    <t>44014497</t>
  </si>
  <si>
    <t>アズマテック</t>
  </si>
  <si>
    <t>（有）ａｚｕｍａｔｅｃ</t>
  </si>
  <si>
    <t>中野　潔</t>
  </si>
  <si>
    <t>大分市今津留２－２－９</t>
  </si>
  <si>
    <t>097-507-4476</t>
  </si>
  <si>
    <t>097-507-8171</t>
  </si>
  <si>
    <t>佐伯市女島２－９０３７－６</t>
  </si>
  <si>
    <t>杵築市山香町大字立石２１９０－２</t>
  </si>
  <si>
    <t>佐伯市弥生大字井崎１３２８－１</t>
  </si>
  <si>
    <t>大分市大字片島２４５６－２１</t>
  </si>
  <si>
    <t>竹田市直入町大字長湯８２４４－１</t>
  </si>
  <si>
    <t>44014540</t>
  </si>
  <si>
    <t>サカノウエセツビ</t>
  </si>
  <si>
    <t>（株）坂之上設備</t>
  </si>
  <si>
    <t>坂之上　博昭</t>
  </si>
  <si>
    <t>大分市横塚１－１４－１５</t>
  </si>
  <si>
    <t>097-592-0040</t>
  </si>
  <si>
    <t>097-511-8994</t>
  </si>
  <si>
    <t>中津市大字大悟法７３７－４０</t>
  </si>
  <si>
    <t>中津市大字大貞字中ノ林３８３－７４</t>
  </si>
  <si>
    <t>別府市平田町１５－２１</t>
  </si>
  <si>
    <t>0977-85-8106</t>
  </si>
  <si>
    <t>大分市角子原２－３－１４</t>
  </si>
  <si>
    <t>44014557</t>
  </si>
  <si>
    <t>ガスセツビ</t>
  </si>
  <si>
    <t>（株）ガス設備</t>
  </si>
  <si>
    <t>林　健一</t>
  </si>
  <si>
    <t>大分市大字鶴崎２１５４－１</t>
  </si>
  <si>
    <t>097-527-3175</t>
  </si>
  <si>
    <t>097-527-3177</t>
  </si>
  <si>
    <t>中津市大字犬丸２２８７－８</t>
  </si>
  <si>
    <t>44014565</t>
  </si>
  <si>
    <t>コウノクラフト</t>
  </si>
  <si>
    <t>（株）コウノクラフト</t>
  </si>
  <si>
    <t>河野　賢太</t>
  </si>
  <si>
    <t>大分市大字猪野７２３－９</t>
  </si>
  <si>
    <t>097-507-9799</t>
  </si>
  <si>
    <t>097-511-9653</t>
  </si>
  <si>
    <t>大分市敷戸南町１１－４</t>
  </si>
  <si>
    <t>中津市大字加来２２６２－１</t>
  </si>
  <si>
    <t>大分市大字横尾２６４－１</t>
  </si>
  <si>
    <t>臼杵市大字江無田４０９－８</t>
  </si>
  <si>
    <t>由布市挾間町赤野４４４－３</t>
  </si>
  <si>
    <t>大分市大字下郡字神下田２５０－３</t>
  </si>
  <si>
    <t>豊後大野市緒方町下自在２１－２</t>
  </si>
  <si>
    <t>佐伯市大字狩生２－１５６２－３</t>
  </si>
  <si>
    <t>大分市大字八幡３９－１２</t>
  </si>
  <si>
    <t>佐伯市弥生大字井崎１７８４－２</t>
  </si>
  <si>
    <t>大分市三川下３－２－３６</t>
  </si>
  <si>
    <t>別府市石垣東４－４－１４－５０２　第３若草ビル</t>
  </si>
  <si>
    <t>大分市都町２－１－１０</t>
  </si>
  <si>
    <t>竹田市大字君ケ園１６９６－１</t>
  </si>
  <si>
    <t>大分市原新町１１－２０</t>
  </si>
  <si>
    <t>44014640</t>
  </si>
  <si>
    <t>リュウショウ</t>
  </si>
  <si>
    <t>（株）隆昇</t>
  </si>
  <si>
    <t>尾割　隆志</t>
  </si>
  <si>
    <t>大分市大字中判田２１３３－５</t>
  </si>
  <si>
    <t>097-510-5075</t>
  </si>
  <si>
    <t>44014649</t>
  </si>
  <si>
    <t>カネナエケンセツコウギョウ</t>
  </si>
  <si>
    <t>金苗建設工業（株）</t>
  </si>
  <si>
    <t>金苗　慶憲</t>
  </si>
  <si>
    <t>宇佐市大字南宇佐７０２－４</t>
  </si>
  <si>
    <t>0978-37-0840</t>
  </si>
  <si>
    <t>44014650</t>
  </si>
  <si>
    <t>シュウエイ</t>
  </si>
  <si>
    <t>（株）修栄</t>
  </si>
  <si>
    <t>小野　修平</t>
  </si>
  <si>
    <t>佐伯市大字海崎２４４５－１</t>
  </si>
  <si>
    <t>0972-27-6363</t>
  </si>
  <si>
    <t>玖珠郡玖珠町大字塚脇３２０－３</t>
  </si>
  <si>
    <t>下原　幸一郎</t>
  </si>
  <si>
    <t>杵築市大字南杵築３９７－３</t>
  </si>
  <si>
    <t>0978-69-7010</t>
  </si>
  <si>
    <t>由布市湯布院町川北１１７５－７</t>
  </si>
  <si>
    <t>大分市大字片島１２２５－１</t>
  </si>
  <si>
    <t>日田市大字西有田１６０－２</t>
  </si>
  <si>
    <t>佐伯市中村北町５－３５</t>
  </si>
  <si>
    <t>大分市西新地２－５－１２</t>
  </si>
  <si>
    <t>日田市大字求来里６２９－１</t>
  </si>
  <si>
    <t>豊後高田市西真玉３５６７－１</t>
  </si>
  <si>
    <t>豊後高田市界１５９２－２</t>
  </si>
  <si>
    <t>44014708</t>
  </si>
  <si>
    <t>オダコウギョウ</t>
  </si>
  <si>
    <t>小田工業</t>
  </si>
  <si>
    <t>小田　晃一</t>
  </si>
  <si>
    <t>872-0328</t>
  </si>
  <si>
    <t>宇佐市院内町高並９９７</t>
  </si>
  <si>
    <t>0978-58-3516</t>
  </si>
  <si>
    <t>大分市大字津守６４－１</t>
  </si>
  <si>
    <t>豊後大野市大野町屋原１５２８－１</t>
  </si>
  <si>
    <t>44014722</t>
  </si>
  <si>
    <t>フジジュウキクレーン</t>
  </si>
  <si>
    <t>（株）富士重機クレーン</t>
  </si>
  <si>
    <t>奈良　浩司</t>
  </si>
  <si>
    <t>大分市大字千歳字尾崎２１５１</t>
  </si>
  <si>
    <t>097-551-6333</t>
  </si>
  <si>
    <t>097-553-1177</t>
  </si>
  <si>
    <t>大分市大字生石字久保田４１６－１０</t>
  </si>
  <si>
    <t>大分市舞鶴町１－３－２８　ネクスト舞鶴ビル６階</t>
  </si>
  <si>
    <t>豊後高田市来縄２６０５－１</t>
  </si>
  <si>
    <t>中津留　晃広</t>
  </si>
  <si>
    <t>大分市大字羽田２７２－１</t>
  </si>
  <si>
    <t>別府市大字北石垣９５８－５</t>
  </si>
  <si>
    <t>大分市下郡北１－２－１２</t>
  </si>
  <si>
    <t>別府市東荘園２－１１－１２</t>
  </si>
  <si>
    <t>別府市京町６－３３</t>
  </si>
  <si>
    <t>宇佐市大字森山６１２－１</t>
  </si>
  <si>
    <t>大分市高城西町８－１６</t>
  </si>
  <si>
    <t>44014787</t>
  </si>
  <si>
    <t>アヤベケンチク</t>
  </si>
  <si>
    <t>（有）綾部建築</t>
  </si>
  <si>
    <t>綾部　富男</t>
  </si>
  <si>
    <t>別府市大字野田５０３</t>
  </si>
  <si>
    <t>0977-66-2525</t>
  </si>
  <si>
    <t>別府市春木町５－１</t>
  </si>
  <si>
    <t>0977-51-4194</t>
  </si>
  <si>
    <t>0977-77-2718</t>
  </si>
  <si>
    <t>日田市大字東有田１０９６－１</t>
  </si>
  <si>
    <t>中津市大字牛神２２１－１</t>
  </si>
  <si>
    <t>竹田市荻町馬背野５８－５</t>
  </si>
  <si>
    <t>44014798</t>
  </si>
  <si>
    <t>フジサワサンギョウ</t>
  </si>
  <si>
    <t>フジサワ産業（株）</t>
  </si>
  <si>
    <t>藤澤　隆一</t>
  </si>
  <si>
    <t>大分市南春日町１０－１３</t>
  </si>
  <si>
    <t>097-529-6625</t>
  </si>
  <si>
    <t>097-529-6725</t>
  </si>
  <si>
    <t>中津市大字高瀬１０１６－１</t>
  </si>
  <si>
    <t>豊後高田市草地４３８７－１</t>
  </si>
  <si>
    <t>44014815</t>
  </si>
  <si>
    <t>ショウダイケンセツ</t>
  </si>
  <si>
    <t>（株）昌大建設</t>
  </si>
  <si>
    <t>別府市大字鶴見字鶴見原４５４８－４９８</t>
  </si>
  <si>
    <t>080-1543-8587</t>
  </si>
  <si>
    <t>050-3606-6405</t>
  </si>
  <si>
    <t>大分市向原西１－７－２５</t>
  </si>
  <si>
    <t>大分市大字鶴崎２０２０－３</t>
  </si>
  <si>
    <t>佐伯市向島１－２－５</t>
  </si>
  <si>
    <t>0972-30-1227</t>
  </si>
  <si>
    <t>44014827</t>
  </si>
  <si>
    <t>インザックス</t>
  </si>
  <si>
    <t>（株）ｉＮＳＡＸ</t>
  </si>
  <si>
    <t>佐矢　優</t>
  </si>
  <si>
    <t>速見郡日出町大字豊岡７８０番地１</t>
  </si>
  <si>
    <t>090-8413-0563</t>
  </si>
  <si>
    <t>0978-42-6680</t>
  </si>
  <si>
    <t>大分市生石４－１－２０</t>
  </si>
  <si>
    <t>大分市大字葛木２０５ー１８</t>
  </si>
  <si>
    <t>097-576-8286</t>
  </si>
  <si>
    <t>日田市東有田２５７９－１９</t>
  </si>
  <si>
    <t>由布市挾間町鬼崎２７５７－１</t>
  </si>
  <si>
    <t>大分市ふじが丘西３－１４－６</t>
  </si>
  <si>
    <t>中津市大字万田字辻畠１６５－１</t>
  </si>
  <si>
    <t>大分市大字三芳１１２９－１</t>
  </si>
  <si>
    <t>日田市豆田町１０－１６シティタカセ１階１－１号室</t>
  </si>
  <si>
    <t>44014869</t>
  </si>
  <si>
    <t>オオタギケン</t>
  </si>
  <si>
    <t>（株）太田技建</t>
  </si>
  <si>
    <t>太田　淳治</t>
  </si>
  <si>
    <t>大分市徳島２－１４－２６</t>
  </si>
  <si>
    <t>097-511-4902</t>
  </si>
  <si>
    <t>玖珠郡九重町大字松木４８８２－２</t>
  </si>
  <si>
    <t>杵築市大字相原６０－７</t>
  </si>
  <si>
    <t>0978-69-8525</t>
  </si>
  <si>
    <t>44014885</t>
  </si>
  <si>
    <t>カイセイ</t>
  </si>
  <si>
    <t>（株）ＫＡＩＳＥＩ</t>
  </si>
  <si>
    <t>浅野　師磨</t>
  </si>
  <si>
    <t>大分市大字東上野２５１０－１</t>
  </si>
  <si>
    <t>097-579-6152</t>
  </si>
  <si>
    <t>44014902</t>
  </si>
  <si>
    <t>ナラセツビ</t>
  </si>
  <si>
    <t>（株）奈良設備</t>
  </si>
  <si>
    <t>奈良　勝則</t>
  </si>
  <si>
    <t>大分市大字宮崎９８１－２</t>
  </si>
  <si>
    <t>097-507-6961</t>
  </si>
  <si>
    <t>大分市王子西町１０－２２</t>
  </si>
  <si>
    <t>大分市日岡３－１－１６サンヒルズ・クレスト２０２</t>
  </si>
  <si>
    <t>宇佐市安心院町折敷田１５４－１</t>
  </si>
  <si>
    <t>宇佐市大字江須賀２７２０－８</t>
  </si>
  <si>
    <t>大分市大字猪野字原口８２－６</t>
  </si>
  <si>
    <t>日田市中央１－１－２０－７０２</t>
  </si>
  <si>
    <t>44014936</t>
  </si>
  <si>
    <t>イノケンセツ</t>
  </si>
  <si>
    <t>（株）猪野建設</t>
  </si>
  <si>
    <t>猪野　元成</t>
  </si>
  <si>
    <t>大分市大字鴛野３３６－１２</t>
  </si>
  <si>
    <t>097-578-9982</t>
  </si>
  <si>
    <t>097-578-9983</t>
  </si>
  <si>
    <t>別府市大字野田８３２－１</t>
  </si>
  <si>
    <t>日田市大字日高２５１８－９</t>
  </si>
  <si>
    <t>宇佐市大字四日市１５０１－６</t>
  </si>
  <si>
    <t>別府市小倉町４５番４号</t>
  </si>
  <si>
    <t>大分市大字迫字丸山６５８－１</t>
  </si>
  <si>
    <t>宇佐市大字上高１２７６－２</t>
  </si>
  <si>
    <t>竹田市大字拝田原６０７－１</t>
  </si>
  <si>
    <t>中津市大字福島２０５６－１</t>
  </si>
  <si>
    <t>大分市大字金谷迫１５５４－２</t>
  </si>
  <si>
    <t>別府市実相寺町１－３メゾンボザールＣ－２０１号</t>
  </si>
  <si>
    <t>44015013</t>
  </si>
  <si>
    <t>タツキ</t>
  </si>
  <si>
    <t>（株）ＴＡＴＳＵＫＩ</t>
  </si>
  <si>
    <t>泥谷　早由利</t>
  </si>
  <si>
    <t>大分市大字津留１９４１内川ビル１０３</t>
  </si>
  <si>
    <t>097-574-4786</t>
  </si>
  <si>
    <t>097-574-4787</t>
  </si>
  <si>
    <t>大分市萩原３－５－５</t>
  </si>
  <si>
    <t>44015018</t>
  </si>
  <si>
    <t>ヤマショウ</t>
  </si>
  <si>
    <t>山翔（株）</t>
  </si>
  <si>
    <t>山崎　祐介</t>
  </si>
  <si>
    <t>大分市大字中尾５８６－１２</t>
  </si>
  <si>
    <t>097-578-6161</t>
  </si>
  <si>
    <t>097-578-6255</t>
  </si>
  <si>
    <t>44015036</t>
  </si>
  <si>
    <t>フジタボウサイ</t>
  </si>
  <si>
    <t>（株）藤田防災</t>
  </si>
  <si>
    <t>藤田　博文</t>
  </si>
  <si>
    <t>870-0129</t>
  </si>
  <si>
    <t>大分市京が丘南４－９－１</t>
  </si>
  <si>
    <t>097-578-7447</t>
  </si>
  <si>
    <t>097-507-2694</t>
  </si>
  <si>
    <t>宇佐市大字東大堀２０１－３</t>
  </si>
  <si>
    <t>44015056</t>
  </si>
  <si>
    <t>カワヅデンコウ</t>
  </si>
  <si>
    <t>河津電工</t>
  </si>
  <si>
    <t>河津　茂幸</t>
  </si>
  <si>
    <t>日田市大字庄手３０３－１</t>
  </si>
  <si>
    <t>090-4991-8555</t>
  </si>
  <si>
    <t>大分市大字片島４３４－１</t>
  </si>
  <si>
    <t>臼杵市野津町大字藤小野９６２－１</t>
  </si>
  <si>
    <t>杵築市大字杵築３８６－１</t>
  </si>
  <si>
    <t>中津市大字定留１０５０－１</t>
  </si>
  <si>
    <t>大分市花高松１－１－１５</t>
  </si>
  <si>
    <t>44015094</t>
  </si>
  <si>
    <t>ユウシン</t>
  </si>
  <si>
    <t>（株）ユウシン</t>
  </si>
  <si>
    <t>山本　真也</t>
  </si>
  <si>
    <t>別府市大字北石垣８６６－３２</t>
  </si>
  <si>
    <t>0977-67-6010</t>
  </si>
  <si>
    <t>44015095</t>
  </si>
  <si>
    <t>エアテックキュウシュウ</t>
  </si>
  <si>
    <t>（株）エアテック九州</t>
  </si>
  <si>
    <t>矢野　浩英</t>
  </si>
  <si>
    <t>大分市大字津守２１７－７</t>
  </si>
  <si>
    <t>097-568-6060</t>
  </si>
  <si>
    <t>097-568-6068</t>
  </si>
  <si>
    <t>別府市南荘園町１７－１３</t>
  </si>
  <si>
    <t>44015149</t>
  </si>
  <si>
    <t>ゴトウデンキ</t>
  </si>
  <si>
    <t>後藤電気</t>
  </si>
  <si>
    <t>立川　浩一</t>
  </si>
  <si>
    <t>臼杵市野津町大字野津市２０２１－２</t>
  </si>
  <si>
    <t>0974-32-3585</t>
  </si>
  <si>
    <t>44015165</t>
  </si>
  <si>
    <t>オオイタデンソウ</t>
  </si>
  <si>
    <t>大分電装（株）</t>
  </si>
  <si>
    <t>春岡　彰</t>
  </si>
  <si>
    <t>臼杵市野津町大字宮原２８５６－２６</t>
  </si>
  <si>
    <t>0974-32-7240</t>
  </si>
  <si>
    <t>44015166</t>
  </si>
  <si>
    <t>ホンマケンセツ</t>
  </si>
  <si>
    <t>本間建設（株）</t>
  </si>
  <si>
    <t>本間　暢人</t>
  </si>
  <si>
    <t>871-0096</t>
  </si>
  <si>
    <t>中津市大字角木３３８－４</t>
  </si>
  <si>
    <t>0979-77-5048</t>
  </si>
  <si>
    <t>44015178</t>
  </si>
  <si>
    <t>アリコーンテック</t>
  </si>
  <si>
    <t>（株）アリコーンテック</t>
  </si>
  <si>
    <t>佐藤　敏徳</t>
  </si>
  <si>
    <t>由布市庄内町直野内山１０９６</t>
  </si>
  <si>
    <t>097-547-8264</t>
  </si>
  <si>
    <t>097-547-8266</t>
  </si>
  <si>
    <t>44015187</t>
  </si>
  <si>
    <t>（株）裕神建設</t>
  </si>
  <si>
    <t>塩穴　裕司</t>
  </si>
  <si>
    <t>大分市大字常行１２４－１</t>
  </si>
  <si>
    <t>050-3390-4993</t>
  </si>
  <si>
    <t>050-3134-7645</t>
  </si>
  <si>
    <t>日田市天瀬町出口１１２８－３</t>
  </si>
  <si>
    <t>44015194</t>
  </si>
  <si>
    <t>スイエンス</t>
  </si>
  <si>
    <t>スイエンス（株）</t>
  </si>
  <si>
    <t>浦田　浩治</t>
  </si>
  <si>
    <t>大分市日岡１－３－１４</t>
  </si>
  <si>
    <t>097-556-5550</t>
  </si>
  <si>
    <t>097-556-5520</t>
  </si>
  <si>
    <t>44015197</t>
  </si>
  <si>
    <t>ダイメイ</t>
  </si>
  <si>
    <t>（株）大明</t>
  </si>
  <si>
    <t>井上　奨大</t>
  </si>
  <si>
    <t>宇佐市大字北宇佐２５１－３</t>
  </si>
  <si>
    <t>090-6894-7092</t>
  </si>
  <si>
    <t>44015228</t>
  </si>
  <si>
    <t>ミズケン</t>
  </si>
  <si>
    <t>（株）ｍｉｚｋｅｎ</t>
  </si>
  <si>
    <t>谷口　謙治</t>
  </si>
  <si>
    <t>大分市大字駄原２２０８－３</t>
  </si>
  <si>
    <t>097-579-6302</t>
  </si>
  <si>
    <t>44015230</t>
  </si>
  <si>
    <t>（株）川野設備</t>
  </si>
  <si>
    <t>川野　武</t>
  </si>
  <si>
    <t>玖珠郡玖珠町大字森１３－１１</t>
  </si>
  <si>
    <t>0973-72-3255</t>
  </si>
  <si>
    <t>44015233</t>
  </si>
  <si>
    <t>カリキタデンコウ</t>
  </si>
  <si>
    <t>苅北電工（株）</t>
  </si>
  <si>
    <t>苅北　貞寿</t>
  </si>
  <si>
    <t>宇佐市大字下高２２３２</t>
  </si>
  <si>
    <t>0978-25-5388</t>
  </si>
  <si>
    <t>0978-25-8533</t>
  </si>
  <si>
    <t>44015241</t>
  </si>
  <si>
    <t>ナントツウショウ</t>
  </si>
  <si>
    <t>（株）南都通商</t>
  </si>
  <si>
    <t>藤原　剛平</t>
  </si>
  <si>
    <t>大分市中津留２－１－１２玉田ビル１０２</t>
  </si>
  <si>
    <t>097-551-3028</t>
  </si>
  <si>
    <t>44015260</t>
  </si>
  <si>
    <t>トムズジャパン</t>
  </si>
  <si>
    <t>（株）Ｔｏｍ’ｓ　Ｊａｐａｎ</t>
  </si>
  <si>
    <t>野上　聡也</t>
  </si>
  <si>
    <t>大分市豊町１－９－８</t>
  </si>
  <si>
    <t>090-9407-2100</t>
  </si>
  <si>
    <t>097-511-7123</t>
  </si>
  <si>
    <t>44015281</t>
  </si>
  <si>
    <t>ヘイワテック</t>
  </si>
  <si>
    <t>（株）ヘイワテック</t>
  </si>
  <si>
    <t>平川　和也</t>
  </si>
  <si>
    <t>大分市大字家島２４０－１　家島ビルＢ</t>
  </si>
  <si>
    <t>097-565-0968</t>
  </si>
  <si>
    <t>44015287</t>
  </si>
  <si>
    <t>カネンテ</t>
  </si>
  <si>
    <t>（株）カネンテ</t>
  </si>
  <si>
    <t>小野　浩一</t>
  </si>
  <si>
    <t>大分市富士見が丘東５－１１－８</t>
  </si>
  <si>
    <t>097-511-9560</t>
  </si>
  <si>
    <t>44015301</t>
  </si>
  <si>
    <t>デンテック</t>
  </si>
  <si>
    <t>（株）ＤＥＮＴＥＣ</t>
  </si>
  <si>
    <t>佐藤　秀樹</t>
  </si>
  <si>
    <t>豊後大野市三重町赤嶺３１８５－１</t>
  </si>
  <si>
    <t>080-5243-5791</t>
  </si>
  <si>
    <t>44015308</t>
  </si>
  <si>
    <t>冨田　太志</t>
  </si>
  <si>
    <t>臼杵市大字野田５２８</t>
  </si>
  <si>
    <t>0972-77-5270</t>
  </si>
  <si>
    <t>0972-62-5010</t>
  </si>
  <si>
    <t>大分市南春日町１１－５</t>
  </si>
  <si>
    <t>44015327</t>
  </si>
  <si>
    <t>シンケン</t>
  </si>
  <si>
    <t>（株）進兼</t>
  </si>
  <si>
    <t>榎田　祥平</t>
  </si>
  <si>
    <t>宇佐市大字長洲１７４７－３</t>
  </si>
  <si>
    <t>0978-41-0019</t>
  </si>
  <si>
    <t>0978-41-0020</t>
  </si>
  <si>
    <t>44015330</t>
  </si>
  <si>
    <t>ケーズキカク</t>
  </si>
  <si>
    <t>（株）Ｋ．Ｓ企画</t>
  </si>
  <si>
    <t>河津　徹</t>
  </si>
  <si>
    <t>日田市大字日高９５３－１</t>
  </si>
  <si>
    <t>080-2015-1422</t>
  </si>
  <si>
    <t>0973-73-7309</t>
  </si>
  <si>
    <t>44015332</t>
  </si>
  <si>
    <t>ファーストハウジング</t>
  </si>
  <si>
    <t>（株）ファーストハウジング</t>
  </si>
  <si>
    <t>高原　裕二</t>
  </si>
  <si>
    <t>中津市豊田町６－２０</t>
  </si>
  <si>
    <t>0979-23-6187</t>
  </si>
  <si>
    <t>0979-23-6188</t>
  </si>
  <si>
    <t>44015338</t>
  </si>
  <si>
    <t>（株）ムラカミ</t>
  </si>
  <si>
    <t>村上　義元</t>
  </si>
  <si>
    <t>090-3326-2039</t>
  </si>
  <si>
    <t>44015342</t>
  </si>
  <si>
    <t>ドライト</t>
  </si>
  <si>
    <t>（株）Ｄｒｙｔ</t>
  </si>
  <si>
    <t>大久保　大地</t>
  </si>
  <si>
    <t>874-0879</t>
  </si>
  <si>
    <t>別府市扇山４丁目２３番３４号</t>
  </si>
  <si>
    <t>080-2483-9659</t>
  </si>
  <si>
    <t>44015346</t>
  </si>
  <si>
    <t>ヨシダセツビコウギョウ</t>
  </si>
  <si>
    <t>（株）吉田設備工業</t>
  </si>
  <si>
    <t>吉田　悠衣</t>
  </si>
  <si>
    <t>中津市大字北原５８７</t>
  </si>
  <si>
    <t>0979-32-1500</t>
  </si>
  <si>
    <t>0979-53-9905</t>
  </si>
  <si>
    <t>44015347</t>
  </si>
  <si>
    <t>ノリメンケンセツコウギョウ</t>
  </si>
  <si>
    <t>法面建設工業（株）</t>
  </si>
  <si>
    <t>狹間　良和</t>
  </si>
  <si>
    <t>870-0161</t>
  </si>
  <si>
    <t>大分市明野東４－３－２</t>
  </si>
  <si>
    <t>097-547-7492</t>
  </si>
  <si>
    <t>44015349</t>
  </si>
  <si>
    <t>マリンオートオオイタ</t>
  </si>
  <si>
    <t>（有）マリンオート大分</t>
  </si>
  <si>
    <t>下村　千代</t>
  </si>
  <si>
    <t>豊後高田市中真玉２０６７－１</t>
  </si>
  <si>
    <t>0978-53-4545</t>
  </si>
  <si>
    <t>0978-53-4989</t>
  </si>
  <si>
    <t>44015369</t>
  </si>
  <si>
    <t>キムラケンセツ</t>
  </si>
  <si>
    <t>（株）木村建設</t>
  </si>
  <si>
    <t>木村　恭介</t>
  </si>
  <si>
    <t>由布市湯布院町川上６４４－５</t>
  </si>
  <si>
    <t>0977-75-6727</t>
  </si>
  <si>
    <t>44015375</t>
  </si>
  <si>
    <t>カトウブロックコウギョウショ</t>
  </si>
  <si>
    <t>（有）加藤ブロック工業所</t>
  </si>
  <si>
    <t>加藤　俊一</t>
  </si>
  <si>
    <t>国東市安岐町中園４９９</t>
  </si>
  <si>
    <t>0978-67-0139</t>
  </si>
  <si>
    <t>44015401</t>
  </si>
  <si>
    <t>ナゴヤドボク</t>
  </si>
  <si>
    <t>（株）名護屋土木</t>
  </si>
  <si>
    <t>松森　小夜</t>
  </si>
  <si>
    <t>0972-44-0337</t>
  </si>
  <si>
    <t>44015408</t>
  </si>
  <si>
    <t>レイダイ</t>
  </si>
  <si>
    <t>（株）礼大</t>
  </si>
  <si>
    <t>岡本　司</t>
  </si>
  <si>
    <t>大分市大字下判田字堂ノ山２８２３－１</t>
  </si>
  <si>
    <t>097-511-6744</t>
  </si>
  <si>
    <t>44015422</t>
  </si>
  <si>
    <t>ラクシー</t>
  </si>
  <si>
    <t>（株）ＲＡＸＹ</t>
  </si>
  <si>
    <t>日下部　惣親</t>
  </si>
  <si>
    <t>大分市花江川６－２０－１</t>
  </si>
  <si>
    <t>097-500-0197</t>
  </si>
  <si>
    <t>大垣市神田町２－５５</t>
  </si>
  <si>
    <t>092-477-5077</t>
  </si>
  <si>
    <t>092-477-5087</t>
  </si>
  <si>
    <t>福岡市博多区榎田２－９－３８</t>
  </si>
  <si>
    <t>大阪市旭区高殿２－１０－１４</t>
  </si>
  <si>
    <t>0946-24-1212</t>
  </si>
  <si>
    <t>0946-24-1217</t>
  </si>
  <si>
    <t>朝倉市甘木３０７－１</t>
  </si>
  <si>
    <t>福岡市博多区諸岡５－２５－２５</t>
  </si>
  <si>
    <t>097-524-5550</t>
  </si>
  <si>
    <t>097-596-7660</t>
  </si>
  <si>
    <t>大分市高江西２－７－１</t>
  </si>
  <si>
    <t>平川　亮一</t>
  </si>
  <si>
    <t>大阪市北区大淀北１－９－５</t>
  </si>
  <si>
    <t>092-437-3883</t>
  </si>
  <si>
    <t>092-437-3885</t>
  </si>
  <si>
    <t>福岡市博多区東比恵２－７－３３　西原ビル２号</t>
  </si>
  <si>
    <t>大阪市北区本庄東２－３－４１</t>
  </si>
  <si>
    <t>092-707-1175</t>
  </si>
  <si>
    <t>092-707-1180</t>
  </si>
  <si>
    <t>福岡市博多区祇園町７－２０博多祇園センタープレイス５階</t>
  </si>
  <si>
    <t>大阪市西区立売堀４－２－２１</t>
  </si>
  <si>
    <t>092-441-3665</t>
  </si>
  <si>
    <t>092-441-3664</t>
  </si>
  <si>
    <t>福岡市博多区博多駅東２－４－１７</t>
  </si>
  <si>
    <t>大阪市西区阿波座２－１－４</t>
  </si>
  <si>
    <t>092-791-9344</t>
  </si>
  <si>
    <t>092-791-9355</t>
  </si>
  <si>
    <t>福岡市中央区天神１－１０－２０天神ビジネスセンター５階</t>
  </si>
  <si>
    <t>中央区佃２－１－６</t>
  </si>
  <si>
    <t>092-282-1341</t>
  </si>
  <si>
    <t>092-282-1309</t>
  </si>
  <si>
    <t>伊藤　泰生</t>
  </si>
  <si>
    <t>福岡市博多区上呉服町１０－１</t>
  </si>
  <si>
    <t>中央区東日本橋３－１０－６　Ｄａｉｗａ東日本橋ビル</t>
  </si>
  <si>
    <t>097-552-4222</t>
  </si>
  <si>
    <t>097-552-4223</t>
  </si>
  <si>
    <t>敦賀市若泉町３</t>
  </si>
  <si>
    <t>092-292-6408</t>
  </si>
  <si>
    <t>092-292-6495</t>
  </si>
  <si>
    <t>福岡市博多区博多駅南３－７－１０</t>
  </si>
  <si>
    <t>梶村　啓吾</t>
  </si>
  <si>
    <t>渋谷区渋谷３－２９－２０</t>
  </si>
  <si>
    <t>050-3665-8242</t>
  </si>
  <si>
    <t>092-928-5110</t>
  </si>
  <si>
    <t>818-0131</t>
  </si>
  <si>
    <t>太宰府市水城２－１５－１５</t>
  </si>
  <si>
    <t>大阪市天王寺区餌差町７－６</t>
  </si>
  <si>
    <t>092-504-7270</t>
  </si>
  <si>
    <t>092-504-7271</t>
  </si>
  <si>
    <t>南宮　竜</t>
  </si>
  <si>
    <t>福岡市博多区金の隈３－１６－６６</t>
  </si>
  <si>
    <t>品川区大崎１－５－１</t>
  </si>
  <si>
    <t>092-273-7190</t>
  </si>
  <si>
    <t>092-273-7195</t>
  </si>
  <si>
    <t>福岡市博多区店屋町５－１８</t>
  </si>
  <si>
    <t>京都市下京区西洞院通塩小路上る東塩小路町６０８－９</t>
  </si>
  <si>
    <t>新宿区西新宿１－２５－１</t>
  </si>
  <si>
    <t>092-475-5702</t>
  </si>
  <si>
    <t>092-475-5737</t>
  </si>
  <si>
    <t>福岡市博多区住吉４－１－２７</t>
  </si>
  <si>
    <t>中央区新川２－２７－１</t>
  </si>
  <si>
    <t>092-481-0931</t>
  </si>
  <si>
    <t>092-481-0933</t>
  </si>
  <si>
    <t>福岡市博多区博多駅南１－２－１３</t>
  </si>
  <si>
    <t>広島市西区観音新町１－２０－２４</t>
  </si>
  <si>
    <t>092-282-5323</t>
  </si>
  <si>
    <t>092-282-5325</t>
  </si>
  <si>
    <t>福岡市博多区綱場町１－１</t>
  </si>
  <si>
    <t>福岡市博多区竹下１－１８－１７</t>
  </si>
  <si>
    <t>福岡市中央区清川２－１３－６</t>
  </si>
  <si>
    <t>大阪市浪速区難波中２－１０－７０</t>
  </si>
  <si>
    <t>092-473-0945</t>
  </si>
  <si>
    <t>092-472-2044</t>
  </si>
  <si>
    <t>福岡市博多区博多駅前２－１９－２９</t>
  </si>
  <si>
    <t>津川　能行</t>
  </si>
  <si>
    <t>横浜市西区みなとみらい５－１－２</t>
  </si>
  <si>
    <t>092-452-2811</t>
  </si>
  <si>
    <t>092-452-2796</t>
  </si>
  <si>
    <t>福岡市博多区博多駅前３－２８－３</t>
  </si>
  <si>
    <t>港区三田２－１１－１５</t>
  </si>
  <si>
    <t>092-292-4386</t>
  </si>
  <si>
    <t>092-418-1180</t>
  </si>
  <si>
    <t>後藤　学</t>
  </si>
  <si>
    <t>福岡市博多区博多駅南２－９－１１</t>
  </si>
  <si>
    <t>川崎市中原区市ノ坪１６０</t>
  </si>
  <si>
    <t>092-629-8081</t>
  </si>
  <si>
    <t>092-629-4763</t>
  </si>
  <si>
    <t>福岡市東区松島１－１２－２８</t>
  </si>
  <si>
    <t>中央区日本橋本町４－１２－１９</t>
  </si>
  <si>
    <t>092-645-1621</t>
  </si>
  <si>
    <t>092-645-1632</t>
  </si>
  <si>
    <t>成瀬　賢二</t>
  </si>
  <si>
    <t>福岡市博多区千代１－１７－１</t>
  </si>
  <si>
    <t>北九州市八幡東区西本町３－２－５</t>
  </si>
  <si>
    <t>092-641-7361</t>
  </si>
  <si>
    <t>092-641-8890</t>
  </si>
  <si>
    <t>福岡市東区箱崎４－１５－３７</t>
  </si>
  <si>
    <t>福岡市博多区博多駅南２－１２－２２</t>
  </si>
  <si>
    <t>北九州市小倉北区貴船町９－１３</t>
  </si>
  <si>
    <t>0979-64-8771</t>
  </si>
  <si>
    <t>0979-64-8772</t>
  </si>
  <si>
    <t>中津市大字永添２２６６－５</t>
  </si>
  <si>
    <t>札幌市中央区北１条西６－２</t>
  </si>
  <si>
    <t>092-287-1611</t>
  </si>
  <si>
    <t>092-287-1612</t>
  </si>
  <si>
    <t>塘　和寿</t>
  </si>
  <si>
    <t>福岡市博多区博多駅東３－１－２６</t>
  </si>
  <si>
    <t>千代田区岩本町１－１－５</t>
  </si>
  <si>
    <t>092-411-0193</t>
  </si>
  <si>
    <t>092-411-0555</t>
  </si>
  <si>
    <t>福岡市博多区東光２－３－１８</t>
  </si>
  <si>
    <t>金沢市金石北３－１６－１０</t>
  </si>
  <si>
    <t>092-473-6331</t>
  </si>
  <si>
    <t>092-473-8885</t>
  </si>
  <si>
    <t>副島　基宏</t>
  </si>
  <si>
    <t>福岡市博多区博多駅前３－２２－８　朝日生命博多駅前ビル５Ｆ</t>
  </si>
  <si>
    <t>高槻市宮田町１－１－８</t>
  </si>
  <si>
    <t>092-771-1381</t>
  </si>
  <si>
    <t>092-714-6660</t>
  </si>
  <si>
    <t>福岡市中央区渡辺通２－１－８２</t>
  </si>
  <si>
    <t>板垣　治</t>
  </si>
  <si>
    <t>大阪市淀川区宮原４－３－２９</t>
  </si>
  <si>
    <t>092-751-1824</t>
  </si>
  <si>
    <t>092-751-1820</t>
  </si>
  <si>
    <t>倉前　純一郎</t>
  </si>
  <si>
    <t>福岡市中央区天神４－１－３７</t>
  </si>
  <si>
    <t>中央区京橋２－５－１２</t>
  </si>
  <si>
    <t>092-451-4491</t>
  </si>
  <si>
    <t>092-461-1684</t>
  </si>
  <si>
    <t>福岡市博多区博多駅前４－１３－１１</t>
  </si>
  <si>
    <t>神戸市中央区浜辺通４－１－１１</t>
  </si>
  <si>
    <t>097-558-8181</t>
  </si>
  <si>
    <t>097-558-8184</t>
  </si>
  <si>
    <t>大分市向原東１－６－２</t>
  </si>
  <si>
    <t>伊万里市黒川町塩屋５－１</t>
  </si>
  <si>
    <t>0952-27-3310</t>
  </si>
  <si>
    <t>0952-27-3311</t>
  </si>
  <si>
    <t>佐賀市鍋島町大字八戸３０５６－２</t>
  </si>
  <si>
    <t>北九州市小倉北区砂津１－５－１２</t>
  </si>
  <si>
    <t>0979-22-3621</t>
  </si>
  <si>
    <t>川口市仲町５－１１</t>
  </si>
  <si>
    <t>092-771-0381</t>
  </si>
  <si>
    <t>092-771-0379</t>
  </si>
  <si>
    <t>関根　崇晶</t>
  </si>
  <si>
    <t>福岡市中央区天神１－１５－６</t>
  </si>
  <si>
    <t>大田区池上５－６－１６</t>
  </si>
  <si>
    <t>宇部市厚南中央２－１－１４</t>
  </si>
  <si>
    <t>岐阜市香蘭１－１</t>
  </si>
  <si>
    <t>097-537-7033</t>
  </si>
  <si>
    <t>097-537-7034</t>
  </si>
  <si>
    <t>大分市舞鶴町１－３－３０</t>
  </si>
  <si>
    <t>新宿区西新宿２－６－１</t>
  </si>
  <si>
    <t>092-260-8536</t>
  </si>
  <si>
    <t>092-260-8537</t>
  </si>
  <si>
    <t>愛川　文久</t>
  </si>
  <si>
    <t>寄神　裕佑</t>
  </si>
  <si>
    <t>神戸市兵庫区七宮町２－１－１</t>
  </si>
  <si>
    <t>092-574-1600</t>
  </si>
  <si>
    <t>092-574-1577</t>
  </si>
  <si>
    <t>福岡市南区井尻３－１５－１２</t>
  </si>
  <si>
    <t>福岡市中央区薬院２－３－４１</t>
  </si>
  <si>
    <t>延岡市本小路７４</t>
  </si>
  <si>
    <t>097-576-7756</t>
  </si>
  <si>
    <t>097-576-7799</t>
  </si>
  <si>
    <t>大分市西新地１－５－３２</t>
  </si>
  <si>
    <t>北九州市八幡東区山王１－９－１０</t>
  </si>
  <si>
    <t>延岡市土々呂町６－１６３３</t>
  </si>
  <si>
    <t>文京区本郷１－１９－６</t>
  </si>
  <si>
    <t>092-481-8877</t>
  </si>
  <si>
    <t>092-481-8857</t>
  </si>
  <si>
    <t>森山　哲也</t>
  </si>
  <si>
    <t>福岡市博多区東那珂１－１３－５３</t>
  </si>
  <si>
    <t>千代田区神田須田町１－２４</t>
  </si>
  <si>
    <t>092-741-4762</t>
  </si>
  <si>
    <t>092-741-4764</t>
  </si>
  <si>
    <t>福岡市中央区大名１－１４－４５</t>
  </si>
  <si>
    <t>熊本市中央区萩原町１４－４５</t>
  </si>
  <si>
    <t>097-547-8888</t>
  </si>
  <si>
    <t>097-547-8882</t>
  </si>
  <si>
    <t>内藤　修一</t>
  </si>
  <si>
    <t>大分市西新地２－５－４</t>
  </si>
  <si>
    <t>港区虎ノ門４－３－１３</t>
  </si>
  <si>
    <t>092-281-2606</t>
  </si>
  <si>
    <t>092-291-1083</t>
  </si>
  <si>
    <t>草野　康成</t>
  </si>
  <si>
    <t>港区台場２－３－４</t>
  </si>
  <si>
    <t>佐賀市天神１－４－３</t>
  </si>
  <si>
    <t>大阪市西淀川区柏里２－４－１</t>
  </si>
  <si>
    <t>093-641-7811</t>
  </si>
  <si>
    <t>093-641-7814</t>
  </si>
  <si>
    <t>北九州市八幡西区陣原３－２６－１０</t>
  </si>
  <si>
    <t>港区虎ノ門１－１７－１</t>
  </si>
  <si>
    <t>092-771-3122</t>
  </si>
  <si>
    <t>092-771-3129</t>
  </si>
  <si>
    <t>高橋　一太</t>
  </si>
  <si>
    <t>福岡市中央区薬院１－１４－５</t>
  </si>
  <si>
    <t>伊勢市竹ケ鼻町９９－９６</t>
  </si>
  <si>
    <t>092-441-6201</t>
  </si>
  <si>
    <t>092-441-6033</t>
  </si>
  <si>
    <t>坂本　健太郎</t>
  </si>
  <si>
    <t>福岡市博多区博多駅前４－１３－６</t>
  </si>
  <si>
    <t>文京区後楽２－２－８</t>
  </si>
  <si>
    <t>097-538-4154</t>
  </si>
  <si>
    <t>097-532-8121</t>
  </si>
  <si>
    <t>大分市中島西１－５－３　鈴木ビル</t>
  </si>
  <si>
    <t>新宿区津久戸町２－１</t>
  </si>
  <si>
    <t>092-721-0200</t>
  </si>
  <si>
    <t>092-721-0209</t>
  </si>
  <si>
    <t>福岡市中央区渡辺通４－１０－１０</t>
  </si>
  <si>
    <t>金岡　裕之</t>
  </si>
  <si>
    <t>広島市東区上大須賀町１－１</t>
  </si>
  <si>
    <t>092-441-1540</t>
  </si>
  <si>
    <t>092-441-1809</t>
  </si>
  <si>
    <t>福岡市博多区博多駅南１－１１－１７</t>
  </si>
  <si>
    <t>千代田区神田三崎町２－５－３</t>
  </si>
  <si>
    <t>092-736-5115</t>
  </si>
  <si>
    <t>092-736-5132</t>
  </si>
  <si>
    <t>遠田　喜一</t>
  </si>
  <si>
    <t>福岡市中央区荒戸２－１－５</t>
  </si>
  <si>
    <t>広島市中区大手町３－９－５</t>
  </si>
  <si>
    <t>097-521-1641</t>
  </si>
  <si>
    <t>097-521-1646</t>
  </si>
  <si>
    <t>大分市大字家島字東中洲１２１９－１</t>
  </si>
  <si>
    <t>港区東新橋１－９－１</t>
  </si>
  <si>
    <t>092-739-7002</t>
  </si>
  <si>
    <t>092-739-7016</t>
  </si>
  <si>
    <t>中村　誠治</t>
  </si>
  <si>
    <t>福岡市中央区長浜２－４－１（東芝福岡ビル）</t>
  </si>
  <si>
    <t>新宿区東五軒町３－２５</t>
  </si>
  <si>
    <t>中央区日本橋箱崎町７－８</t>
  </si>
  <si>
    <t>092-451-4385</t>
  </si>
  <si>
    <t>092-451-4390</t>
  </si>
  <si>
    <t>福岡市博多区比恵町９－２６</t>
  </si>
  <si>
    <t>東広島市西条町御薗宇６４００－３</t>
  </si>
  <si>
    <t>0942-43-5076</t>
  </si>
  <si>
    <t>0942-41-1131</t>
  </si>
  <si>
    <t>久留米市東合川新町１１－２８</t>
  </si>
  <si>
    <t>メルコビルエンジニアリング</t>
  </si>
  <si>
    <t>メルコビルエンジニアリング（株）</t>
  </si>
  <si>
    <t>高野　則弘</t>
  </si>
  <si>
    <t>100-0014</t>
  </si>
  <si>
    <t>千代田区永田町２－１４－２</t>
  </si>
  <si>
    <t>092-271-7265</t>
  </si>
  <si>
    <t>092-272-2245</t>
  </si>
  <si>
    <t>福岡市博多区住吉１－２－２５</t>
  </si>
  <si>
    <t>井上　学</t>
  </si>
  <si>
    <t>堺市堺区大浜西町３</t>
  </si>
  <si>
    <t>092-523-5550</t>
  </si>
  <si>
    <t>092-523-0303</t>
  </si>
  <si>
    <t>松永　勉</t>
  </si>
  <si>
    <t>福岡市中央区高砂１－１１－３</t>
  </si>
  <si>
    <t>築地　功</t>
  </si>
  <si>
    <t>港区港南１－８－１５</t>
  </si>
  <si>
    <t>092-771-3562</t>
  </si>
  <si>
    <t>092-716-1973</t>
  </si>
  <si>
    <t>福岡市中央区渡辺通５－１４－１２</t>
  </si>
  <si>
    <t>札幌市中央区北２条東１７－２</t>
  </si>
  <si>
    <t>092-409-8701</t>
  </si>
  <si>
    <t>092-409-8702</t>
  </si>
  <si>
    <t>佐々木　政章</t>
  </si>
  <si>
    <t>福岡市博多区博多駅前３－２７－２４</t>
  </si>
  <si>
    <t>大阪市北区中之島６－２－２７</t>
  </si>
  <si>
    <t>093-883-0766</t>
  </si>
  <si>
    <t>093-861-2501</t>
  </si>
  <si>
    <t>北九州市戸畑区中原先ノ浜４６－２０８</t>
  </si>
  <si>
    <t>品川区東五反田２－１７－１</t>
  </si>
  <si>
    <t>092-409-8270</t>
  </si>
  <si>
    <t>092-409-8275</t>
  </si>
  <si>
    <t>安樂　貴志</t>
  </si>
  <si>
    <t>福岡市博多区千代２－１５－１２</t>
  </si>
  <si>
    <t>港区海岸１－１４－５</t>
  </si>
  <si>
    <t>092-432-9550</t>
  </si>
  <si>
    <t>092-432-9566</t>
  </si>
  <si>
    <t>福岡市博多区博多駅前１－４－１</t>
  </si>
  <si>
    <t>名古屋市熱田区三本松町１－１</t>
  </si>
  <si>
    <t>092-572-5811</t>
  </si>
  <si>
    <t>092-572-5775</t>
  </si>
  <si>
    <t>福岡市博多区銀天町２－２－２８</t>
  </si>
  <si>
    <t>福岡市東区箱崎２－５４－２１</t>
  </si>
  <si>
    <t>滝本　嗣久</t>
  </si>
  <si>
    <t>名古屋市中区栄１－３１－２３</t>
  </si>
  <si>
    <t>092-419-0300</t>
  </si>
  <si>
    <t>092-419-0302</t>
  </si>
  <si>
    <t>尼子　照高</t>
  </si>
  <si>
    <t>福岡市博多区博多駅南２－１－９</t>
  </si>
  <si>
    <t>福岡市博多区美野島１－２－１</t>
  </si>
  <si>
    <t>097-534-4660</t>
  </si>
  <si>
    <t>097-536-5536</t>
  </si>
  <si>
    <t>大分市金池町２－４－６　九州電力（株）大分支社別館２階</t>
  </si>
  <si>
    <t>福岡市南区野間３－７－２０</t>
  </si>
  <si>
    <t>クラフティア</t>
  </si>
  <si>
    <t>（株）クラフティア</t>
  </si>
  <si>
    <t>福岡市中央区天神１－１１－１　ＯＮＥ　ＦＵＫＵＯＫＡ　ＢＬＤＧ．１４階</t>
  </si>
  <si>
    <t>097-553-2552</t>
  </si>
  <si>
    <t>097-551-0870</t>
  </si>
  <si>
    <t>大分市花津留２－２５－１６</t>
  </si>
  <si>
    <t>岐阜市宇佐南１－３－１１</t>
  </si>
  <si>
    <t>092-771-0561</t>
  </si>
  <si>
    <t>092-712-8912</t>
  </si>
  <si>
    <t>福岡市中央区大手門２－１－３４</t>
  </si>
  <si>
    <t>千代田区二番町３－１３</t>
  </si>
  <si>
    <t>092-521-7364</t>
  </si>
  <si>
    <t>092-524-9301</t>
  </si>
  <si>
    <t>福岡市中央区平尾１－８－２４</t>
  </si>
  <si>
    <t>新宿区新小川町８－２７</t>
  </si>
  <si>
    <t>092-714-6501</t>
  </si>
  <si>
    <t>092-752-2104</t>
  </si>
  <si>
    <t>早川　雅隆</t>
  </si>
  <si>
    <t>福岡市中央区渡辺通３－６－１５</t>
  </si>
  <si>
    <t>田川市大字糒８２４</t>
  </si>
  <si>
    <t>光石　昌弘</t>
  </si>
  <si>
    <t>福岡市南区清水３－５－２２</t>
  </si>
  <si>
    <t>097-503-6128</t>
  </si>
  <si>
    <t>097-503-6129</t>
  </si>
  <si>
    <t>大分市青崎２－４－３９</t>
  </si>
  <si>
    <t>鹿児島市伊敷５－１７－５</t>
  </si>
  <si>
    <t>092-711-0739</t>
  </si>
  <si>
    <t>092-731-7888</t>
  </si>
  <si>
    <t>福岡市中央区赤坂１－１３－１０　赤坂有楽ビル３Ｆ</t>
  </si>
  <si>
    <t>中央区日本橋小網町７－２</t>
  </si>
  <si>
    <t>092-451-4171</t>
  </si>
  <si>
    <t>092-474-5264</t>
  </si>
  <si>
    <t>小澤　慎一</t>
  </si>
  <si>
    <t>福岡市博多区博多駅前４－１－１</t>
  </si>
  <si>
    <t>渋谷区代々木３－２２－７</t>
  </si>
  <si>
    <t>097-558-0856</t>
  </si>
  <si>
    <t>097-551-2701</t>
  </si>
  <si>
    <t>大分市高城本町５－３</t>
  </si>
  <si>
    <t>中央区日本橋箱崎町１９－２１</t>
  </si>
  <si>
    <t>092-273-0500</t>
  </si>
  <si>
    <t>092-273-0505</t>
  </si>
  <si>
    <t>福岡市博多区店屋町１－３５</t>
  </si>
  <si>
    <t>西村　陽</t>
  </si>
  <si>
    <t>京都市右京区梅津高畝町４７</t>
  </si>
  <si>
    <t>092-451-6931</t>
  </si>
  <si>
    <t>092-472-2667</t>
  </si>
  <si>
    <t>福岡市博多区博多駅前３－３０－２３</t>
  </si>
  <si>
    <t>中央区銀座５－１１－１０</t>
  </si>
  <si>
    <t>092-441-3222</t>
  </si>
  <si>
    <t>092-441-3344</t>
  </si>
  <si>
    <t>福岡市博多区東比恵３－１２－１６</t>
  </si>
  <si>
    <t>福岡市博多区博多駅南１－８－３１</t>
  </si>
  <si>
    <t>古賀市駅東３－３－１</t>
  </si>
  <si>
    <t>大阪市中央区南船場２－３－２　南船場ハートビル１２階</t>
  </si>
  <si>
    <t>097-536-1333</t>
  </si>
  <si>
    <t>097-536-1335</t>
  </si>
  <si>
    <t>大分市豊海３－５－７</t>
  </si>
  <si>
    <t>港区芝公園２－９－３</t>
  </si>
  <si>
    <t>092-588-3755</t>
  </si>
  <si>
    <t>092-588-3756</t>
  </si>
  <si>
    <t>大野城市仲畑２－８－３９</t>
  </si>
  <si>
    <t>中央区晴海１－８－１１</t>
  </si>
  <si>
    <t>092-554-8500</t>
  </si>
  <si>
    <t>092-554-8530</t>
  </si>
  <si>
    <t>田宮　英司</t>
  </si>
  <si>
    <t>福岡市南区向野２－９－２６</t>
  </si>
  <si>
    <t>江東区富岡１－２６－２０</t>
  </si>
  <si>
    <t>092-651-4731</t>
  </si>
  <si>
    <t>092-632-5945</t>
  </si>
  <si>
    <t>福岡市博多区千代２－８－３２</t>
  </si>
  <si>
    <t>広島市中区小網町６－１２</t>
  </si>
  <si>
    <t>092-531-3661</t>
  </si>
  <si>
    <t>092-524-1655</t>
  </si>
  <si>
    <t>福岡市中央区薬院３－６－２０</t>
  </si>
  <si>
    <t>代表取締役会長兼社長</t>
  </si>
  <si>
    <t>押味　至一</t>
  </si>
  <si>
    <t>港区元赤坂１－３－１</t>
  </si>
  <si>
    <t>092-481-8001</t>
  </si>
  <si>
    <t>092-481-8023</t>
  </si>
  <si>
    <t>福岡市博多区博多駅前３－１２－１０</t>
  </si>
  <si>
    <t>福岡市中央区高砂１－１０－１</t>
  </si>
  <si>
    <t>097-522-1213</t>
  </si>
  <si>
    <t>097-522-1261</t>
  </si>
  <si>
    <t>津口　陽一</t>
  </si>
  <si>
    <t>大分市大字青崎３－２</t>
  </si>
  <si>
    <t>中央区銀座７－１２－７</t>
  </si>
  <si>
    <t>097-535-8520</t>
  </si>
  <si>
    <t>097-535-8525</t>
  </si>
  <si>
    <t>大分市政所１－１２－３２</t>
  </si>
  <si>
    <t>川崎市川崎区東田町１－２</t>
  </si>
  <si>
    <t>06-6941-5555</t>
  </si>
  <si>
    <t>06-6941-5559</t>
  </si>
  <si>
    <t>大阪市中央区内本町１－３－５</t>
  </si>
  <si>
    <t>大阪市阿倍野区松崎町２－２－２</t>
  </si>
  <si>
    <t>093-671-3131</t>
  </si>
  <si>
    <t>093-681-3834</t>
  </si>
  <si>
    <t>北九州市八幡東区山王２－１９－１</t>
  </si>
  <si>
    <t>福岡市南区寺塚１－２８－５</t>
  </si>
  <si>
    <t>世田谷区太子堂１－４－２１</t>
  </si>
  <si>
    <t>092-713-5811</t>
  </si>
  <si>
    <t>092-771-6838</t>
  </si>
  <si>
    <t>富山市奥田新町１２－３</t>
  </si>
  <si>
    <t>千代田区外神田２－２－３</t>
  </si>
  <si>
    <t>092-411-4471</t>
  </si>
  <si>
    <t>092-411-4476</t>
  </si>
  <si>
    <t>河村　文雄</t>
  </si>
  <si>
    <t>福岡市博多区博多駅前１－４－４</t>
  </si>
  <si>
    <t>花田　晋吾</t>
  </si>
  <si>
    <t>大阪市浪速区敷津東１－２－４７</t>
  </si>
  <si>
    <t>092-473-2401</t>
  </si>
  <si>
    <t>092-472-0094</t>
  </si>
  <si>
    <t>福岡市博多区博多駅前３－２－８</t>
  </si>
  <si>
    <t>福岡市中央区薬院１－１３－８</t>
  </si>
  <si>
    <t>097-579-6149</t>
  </si>
  <si>
    <t>097-579-6159</t>
  </si>
  <si>
    <t>大分市松が丘２－１６－２</t>
  </si>
  <si>
    <t>品川区大崎１－１１－３</t>
  </si>
  <si>
    <t>097-597-2370</t>
  </si>
  <si>
    <t>097-597-6484</t>
  </si>
  <si>
    <t>港区芝大門２－１１－８</t>
  </si>
  <si>
    <t>092-731-1055</t>
  </si>
  <si>
    <t>092-731-1282</t>
  </si>
  <si>
    <t>大下　英治</t>
  </si>
  <si>
    <t>福岡市中央区赤坂１－１３－１０</t>
  </si>
  <si>
    <t>大阪市西区北堀江１－１２－１９</t>
  </si>
  <si>
    <t>092-451-6623</t>
  </si>
  <si>
    <t>092-471-7696</t>
  </si>
  <si>
    <t>福岡市博多区博多駅南１－３－１１</t>
  </si>
  <si>
    <t>細田　修吾</t>
  </si>
  <si>
    <t>大田区羽田旭町１１－１</t>
  </si>
  <si>
    <t>092-415-8321</t>
  </si>
  <si>
    <t>092-415-8315</t>
  </si>
  <si>
    <t>福岡市博多区美野島１－２－８　ＮＴビル</t>
  </si>
  <si>
    <t>所沢市くすのき台１－１１－１</t>
  </si>
  <si>
    <t>092-411-5221</t>
  </si>
  <si>
    <t>092-482-3023</t>
  </si>
  <si>
    <t>福岡市博多区博多駅東２－５－２８</t>
  </si>
  <si>
    <t>大阪市中央区北久宝寺町３－６－１</t>
  </si>
  <si>
    <t>092-721-5700</t>
  </si>
  <si>
    <t>092-721-5054</t>
  </si>
  <si>
    <t>福岡市中央区長浜１－１－３５</t>
  </si>
  <si>
    <t>大阪市中央区道修町４－５－１７</t>
  </si>
  <si>
    <t>092-477-6711</t>
  </si>
  <si>
    <t>092-477-6701</t>
  </si>
  <si>
    <t>福岡市博多区博多駅南１－１０－１９</t>
  </si>
  <si>
    <t>千代田区神田神保町１－１０５</t>
  </si>
  <si>
    <t>092-577-1040</t>
  </si>
  <si>
    <t>092-577-1047</t>
  </si>
  <si>
    <t>松本　典人</t>
  </si>
  <si>
    <t>福岡市博多区上川端町１３－１５　安田第７ビル８階</t>
  </si>
  <si>
    <t>新宿区西新宿３－７－１</t>
  </si>
  <si>
    <t>092-472-3713</t>
  </si>
  <si>
    <t>092-472-1052</t>
  </si>
  <si>
    <t>岡　禎之</t>
  </si>
  <si>
    <t>福岡市博多区博多駅前１－６－１６</t>
  </si>
  <si>
    <t>大阪市浪速区湊町１－２－３マルイト難波ビル</t>
  </si>
  <si>
    <t>092-411-0636</t>
  </si>
  <si>
    <t>092-475-6460</t>
  </si>
  <si>
    <t>福入　信広</t>
  </si>
  <si>
    <t>福岡市博多区博多駅東３－１４－１　Ｔ－ＢｕｉｌｄｉｎｇＨＡＫＡＴＡＥＡＳＴ</t>
  </si>
  <si>
    <t>南砺市祖山３９</t>
  </si>
  <si>
    <t>宮脇　一朋</t>
  </si>
  <si>
    <t>福岡市中央区白金２－５－１６</t>
  </si>
  <si>
    <t>097-532-0925</t>
  </si>
  <si>
    <t>097-534-7757</t>
  </si>
  <si>
    <t>大分市東春日町６－１　つつみビル４０５</t>
  </si>
  <si>
    <t>宮崎市大字赤江２</t>
  </si>
  <si>
    <t>大田区大森北１－５－１</t>
  </si>
  <si>
    <t>092-409-3173</t>
  </si>
  <si>
    <t>092-409-3183</t>
  </si>
  <si>
    <t>福岡市博多区博多駅東２－１０－３５</t>
  </si>
  <si>
    <t>奥村　雄二</t>
  </si>
  <si>
    <t>新潟市中央区西湊町通三ノ町３３００－３</t>
  </si>
  <si>
    <t>092-474-0127</t>
  </si>
  <si>
    <t>092-471-7980</t>
  </si>
  <si>
    <t>福岡市博多区博多駅東２－８－３</t>
  </si>
  <si>
    <t>102-8175</t>
  </si>
  <si>
    <t>千代田区富士見２－１５－１０</t>
  </si>
  <si>
    <t>097-532-4350</t>
  </si>
  <si>
    <t>097-532-6150</t>
  </si>
  <si>
    <t>大田尾　祐士</t>
  </si>
  <si>
    <t>大分市千代町１－３－２２松本ビル４０２</t>
  </si>
  <si>
    <t>福岡市博多区博多駅東３－７－１</t>
  </si>
  <si>
    <t>097-558-6411</t>
  </si>
  <si>
    <t>097-554-1123</t>
  </si>
  <si>
    <t>大分市日吉町１７－５</t>
  </si>
  <si>
    <t>中央区新川１－２４－４</t>
  </si>
  <si>
    <t>092-473-0421</t>
  </si>
  <si>
    <t>092-473-8684</t>
  </si>
  <si>
    <t>福岡市博多区博多駅南５－２４－１６</t>
  </si>
  <si>
    <t>千代田区岩本町２－４－２</t>
  </si>
  <si>
    <t>中新川郡立山町鉾木２２０</t>
  </si>
  <si>
    <t>06-6459-1612</t>
  </si>
  <si>
    <t>06-6459-1625</t>
  </si>
  <si>
    <t>大阪市西区靭本町１－９－１５</t>
  </si>
  <si>
    <t>港区芝浦４－１５－３３　芝浦清水ビル</t>
  </si>
  <si>
    <t>092-292-4735</t>
  </si>
  <si>
    <t>092-292-4736</t>
  </si>
  <si>
    <t>室蘭市東町２－２５－１６</t>
  </si>
  <si>
    <t>097-558-2929</t>
  </si>
  <si>
    <t>097-556-6921</t>
  </si>
  <si>
    <t>東大阪市長田東３－２－７</t>
  </si>
  <si>
    <t>092-501-0301</t>
  </si>
  <si>
    <t>092-501-2010</t>
  </si>
  <si>
    <t>福岡市博多区板付６－３－２４</t>
  </si>
  <si>
    <t>千代田区丸の内１－６－５</t>
  </si>
  <si>
    <t>092-471-1411</t>
  </si>
  <si>
    <t>092-471-1679</t>
  </si>
  <si>
    <t>福岡市博多区博多駅前１－９－３</t>
  </si>
  <si>
    <t>伊勢崎市長沼町２２２３</t>
  </si>
  <si>
    <t>06-7730-9848</t>
  </si>
  <si>
    <t>06-7730-9849</t>
  </si>
  <si>
    <t>新野　力寿</t>
  </si>
  <si>
    <t>大阪市北区中之島３－２－４</t>
  </si>
  <si>
    <t>岐阜市六条大溝３－１３－３</t>
  </si>
  <si>
    <t>092-441-5481</t>
  </si>
  <si>
    <t>092-441-4517</t>
  </si>
  <si>
    <t>福岡市博多区博多駅東１－１２－６</t>
  </si>
  <si>
    <t>横浜市中区寿町２－５－１</t>
  </si>
  <si>
    <t>092-474-5651</t>
  </si>
  <si>
    <t>092-474-0155</t>
  </si>
  <si>
    <t>福岡市博多区博多駅南１－３－６</t>
  </si>
  <si>
    <t>岡山市北区内山下１－１－１３</t>
  </si>
  <si>
    <t>092-771-6981</t>
  </si>
  <si>
    <t>092-771-3086</t>
  </si>
  <si>
    <t>福岡市中央区大名２－２－７　大名センタービル７Ｆ</t>
  </si>
  <si>
    <t>千代田区富士見２－１０－２</t>
  </si>
  <si>
    <t>092-451-1546</t>
  </si>
  <si>
    <t>092-451-1615</t>
  </si>
  <si>
    <t>塚本　修史</t>
  </si>
  <si>
    <t>福岡市博多区博多駅東２－１４－１</t>
  </si>
  <si>
    <t>千代田区西神田１－４－５</t>
  </si>
  <si>
    <t>092-522-2111</t>
  </si>
  <si>
    <t>092-524-1419</t>
  </si>
  <si>
    <t>福岡市中央区薬院３－１５－６</t>
  </si>
  <si>
    <t>長崎　裕之</t>
  </si>
  <si>
    <t>明石市二見町南二見１５－３</t>
  </si>
  <si>
    <t>093-284-3053</t>
  </si>
  <si>
    <t>093-284-3064</t>
  </si>
  <si>
    <t>北九州市小倉北区米町１－１－２１</t>
  </si>
  <si>
    <t>松阪市大津町１６０７－１</t>
  </si>
  <si>
    <t>092-406-2536</t>
  </si>
  <si>
    <t>092-406-2559</t>
  </si>
  <si>
    <t>福岡市中央区大宮２－６－１１　第１４泰平ビル</t>
  </si>
  <si>
    <t>郡山市西田町鬼生田字阿広木１</t>
  </si>
  <si>
    <t>092-481-2876</t>
  </si>
  <si>
    <t>092-481-2892</t>
  </si>
  <si>
    <t>福岡市博多区比恵町１－３０－２０６</t>
  </si>
  <si>
    <t>大阪市中央区本町４－１－１３</t>
  </si>
  <si>
    <t>092-711-1211</t>
  </si>
  <si>
    <t>092-761-1385</t>
  </si>
  <si>
    <t>福岡市中央区天神４－２－２０</t>
  </si>
  <si>
    <t>中央区勝どき６－５－２３</t>
  </si>
  <si>
    <t>093-645-7252</t>
  </si>
  <si>
    <t>093-645-7243</t>
  </si>
  <si>
    <t>北九州市八幡西区築地町１０</t>
  </si>
  <si>
    <t>港区芝浦１－２－３</t>
  </si>
  <si>
    <t>097-544-2422</t>
  </si>
  <si>
    <t>097-544-2038</t>
  </si>
  <si>
    <t>大分市大字三芳字庄ノ原１２９０－１４</t>
  </si>
  <si>
    <t>姫路市広畑区正門通３－６－２</t>
  </si>
  <si>
    <t>092-451-4917</t>
  </si>
  <si>
    <t>092-451-9667</t>
  </si>
  <si>
    <t>福岡市博多区博多駅東２－２－２</t>
  </si>
  <si>
    <t>アルソック</t>
  </si>
  <si>
    <t>ＡＬＳＯＫ（株）</t>
  </si>
  <si>
    <t>港区元赤坂１－６－６</t>
  </si>
  <si>
    <t>097-536-2641</t>
  </si>
  <si>
    <t>097-537-8913</t>
  </si>
  <si>
    <t>村上　慎太郎</t>
  </si>
  <si>
    <t>大分市末広町２－３－２２　オーシー第２ビル３階</t>
  </si>
  <si>
    <t>大阪市中央区備後町１－７－１０</t>
  </si>
  <si>
    <t>092-282-8130</t>
  </si>
  <si>
    <t>092-282-8131</t>
  </si>
  <si>
    <t>福岡市博多区住吉２－１１－２７</t>
  </si>
  <si>
    <t>港区浜松町１－２５－７</t>
  </si>
  <si>
    <t>092-761-5826</t>
  </si>
  <si>
    <t>092-711-1138</t>
  </si>
  <si>
    <t>福岡市中央区警固２－１７－６</t>
  </si>
  <si>
    <t>品川区大井１－４９－１０</t>
  </si>
  <si>
    <t>092-418-2020</t>
  </si>
  <si>
    <t>092-418-2018</t>
  </si>
  <si>
    <t>福岡市博多区博多駅東３－１３－２８</t>
  </si>
  <si>
    <t>広島市東区光町２－６－３１</t>
  </si>
  <si>
    <t>097-597-8807</t>
  </si>
  <si>
    <t>097-597-8808</t>
  </si>
  <si>
    <t>大分市大字上戸次字長川原３６０６－１</t>
  </si>
  <si>
    <t>横浜市鶴見区平安町２－２９－１</t>
  </si>
  <si>
    <t>092-451-4621</t>
  </si>
  <si>
    <t>092-472-3357</t>
  </si>
  <si>
    <t>濱崎　顕三</t>
  </si>
  <si>
    <t>福岡市博多区博多駅南１－３－１　日本生命博多南ビル８階</t>
  </si>
  <si>
    <t>望月　尚幸</t>
  </si>
  <si>
    <t>港区芝４－８－２</t>
  </si>
  <si>
    <t>092-411-0011</t>
  </si>
  <si>
    <t>092-472-6598</t>
  </si>
  <si>
    <t>福岡市博多区博多駅前１－１９－３</t>
  </si>
  <si>
    <t>大阪市中央区日本橋１－１７－１７</t>
  </si>
  <si>
    <t>092-477-8505</t>
  </si>
  <si>
    <t>092-477-8506</t>
  </si>
  <si>
    <t>福岡市博多区東光２－２２－３５</t>
  </si>
  <si>
    <t>南砺市苗島４７６０</t>
  </si>
  <si>
    <t>092-431-7288</t>
  </si>
  <si>
    <t>092-473-7288</t>
  </si>
  <si>
    <t>林　克宣</t>
  </si>
  <si>
    <t>福岡市博多区博多駅東２－７－２７</t>
  </si>
  <si>
    <t>渋谷区笹塚１－５４－５</t>
  </si>
  <si>
    <t>092-712-5501</t>
  </si>
  <si>
    <t>092-712-5468</t>
  </si>
  <si>
    <t>福岡市中央区六本松３－１１－２９</t>
  </si>
  <si>
    <t>西宮市池田町１２－２０</t>
  </si>
  <si>
    <t>092-432-3270</t>
  </si>
  <si>
    <t>092-432-3285</t>
  </si>
  <si>
    <t>下入佐　茂樹</t>
  </si>
  <si>
    <t>福岡市博多区博多駅前３－１９－５</t>
  </si>
  <si>
    <t>さいたま市大宮区桜木町４－１９９－３</t>
  </si>
  <si>
    <t>092-431-8781</t>
  </si>
  <si>
    <t>092-431-8786</t>
  </si>
  <si>
    <t>福岡市博多区那珂３－２１－２９</t>
  </si>
  <si>
    <t>室蘭市崎守町３８５</t>
  </si>
  <si>
    <t>佐賀市多布施１－４－２７</t>
  </si>
  <si>
    <t>097-556-0161</t>
  </si>
  <si>
    <t>097-552-1784</t>
  </si>
  <si>
    <t>大分市新貝３－２０</t>
  </si>
  <si>
    <t>台東区池之端１－２－２３</t>
  </si>
  <si>
    <t>096-355-3195</t>
  </si>
  <si>
    <t>096-355-3197</t>
  </si>
  <si>
    <t>熊本市中央区細工町４－１２－１２</t>
  </si>
  <si>
    <t>佐藤　俊美</t>
  </si>
  <si>
    <t>港区港南２－１５－２</t>
  </si>
  <si>
    <t>092-271-3811</t>
  </si>
  <si>
    <t>050-3000-2443</t>
  </si>
  <si>
    <t>福岡市中央区天神１－１４－１８</t>
  </si>
  <si>
    <t>名古屋市東区葵３－１９－７</t>
  </si>
  <si>
    <t>姫路市広畑区正門通４－３－３</t>
  </si>
  <si>
    <t>097-558-0948</t>
  </si>
  <si>
    <t>097-558-0918</t>
  </si>
  <si>
    <t>児玉　親生</t>
  </si>
  <si>
    <t>大分市萩原４－７－３</t>
  </si>
  <si>
    <t>新潟市中央区一番堀通町３－１０</t>
  </si>
  <si>
    <t>092-475-6033</t>
  </si>
  <si>
    <t>092-413-4877</t>
  </si>
  <si>
    <t>福岡市博多区博多駅南３－７－３５</t>
  </si>
  <si>
    <t>豊島区南大塚２－２６－２０</t>
  </si>
  <si>
    <t>092-751-3720</t>
  </si>
  <si>
    <t>092-721-1429</t>
  </si>
  <si>
    <t>大塚　弘之</t>
  </si>
  <si>
    <t>福岡市中央区舞鶴２－１－１０</t>
  </si>
  <si>
    <t>名古屋市熱田区千年１－２－７０</t>
  </si>
  <si>
    <t>092-534-2050</t>
  </si>
  <si>
    <t>092-534-2030</t>
  </si>
  <si>
    <t>福岡市南区高宮５－３－１２　ニシコーリビング高宮５階</t>
  </si>
  <si>
    <t>名古屋市名東区照が丘２３９－２</t>
  </si>
  <si>
    <t>092-451-6111</t>
  </si>
  <si>
    <t>092-411-9730</t>
  </si>
  <si>
    <t>福岡市博多区堅粕３－１６－４１</t>
  </si>
  <si>
    <t>新宿区四谷２－１０－３</t>
  </si>
  <si>
    <t>092-402-0587</t>
  </si>
  <si>
    <t>092-402-0272</t>
  </si>
  <si>
    <t>福岡市博多区山王１－１－２９</t>
  </si>
  <si>
    <t>北区田端６－１－１</t>
  </si>
  <si>
    <t>千代田区丸の内２－７－３</t>
  </si>
  <si>
    <t>092-721-2142</t>
  </si>
  <si>
    <t>092-721-2209</t>
  </si>
  <si>
    <t>後藤　公久</t>
  </si>
  <si>
    <t>福岡市中央区天神２－１２－１（天神ビル）</t>
  </si>
  <si>
    <t>港区芝５－２９－１１</t>
  </si>
  <si>
    <t>092-233-1098</t>
  </si>
  <si>
    <t>092-233-1068</t>
  </si>
  <si>
    <t>福岡市博多区博多駅東２－９－１</t>
  </si>
  <si>
    <t>新村　達也</t>
  </si>
  <si>
    <t>中央区京橋２－１６－１</t>
  </si>
  <si>
    <t>092-716-2002</t>
  </si>
  <si>
    <t>092-781-4774</t>
  </si>
  <si>
    <t>福岡市中央区渡辺通３－６－１１</t>
  </si>
  <si>
    <t>栗原　祥浩</t>
  </si>
  <si>
    <t>大阪市北区南森町１－４－２４</t>
  </si>
  <si>
    <t>092-291-8494</t>
  </si>
  <si>
    <t>092-291-5509</t>
  </si>
  <si>
    <t>福岡市博多区下呉服町２－２９</t>
  </si>
  <si>
    <t>中央区晴海１－８－１０</t>
  </si>
  <si>
    <t>092-281-0223</t>
  </si>
  <si>
    <t>092-281-0224</t>
  </si>
  <si>
    <t>福岡市博多区店屋町１－３１</t>
  </si>
  <si>
    <t>港区芝大門１－１－３０</t>
  </si>
  <si>
    <t>092-441-2511</t>
  </si>
  <si>
    <t>092-431-6773</t>
  </si>
  <si>
    <t>石黒　友二</t>
  </si>
  <si>
    <t>福岡市博多区博多駅前２－１－１</t>
  </si>
  <si>
    <t>港区六本木７－３－７</t>
  </si>
  <si>
    <t>097-578-0377</t>
  </si>
  <si>
    <t>097-578-0331</t>
  </si>
  <si>
    <t>豊後大野市犬飼町田原１２４４－１</t>
  </si>
  <si>
    <t>大阪市西区西本町２－２－４</t>
  </si>
  <si>
    <t>092-291-3939</t>
  </si>
  <si>
    <t>092-271-0415</t>
  </si>
  <si>
    <t>福岡市博多区祇園町２－１</t>
  </si>
  <si>
    <t>名古屋市瑞穂区豊岡通１－１４</t>
  </si>
  <si>
    <t>米野　洋一</t>
  </si>
  <si>
    <t>宇土市松山町４５４１</t>
  </si>
  <si>
    <t>中央区新川１－１７－２２</t>
  </si>
  <si>
    <t>092-413-0001</t>
  </si>
  <si>
    <t>092-413-1010</t>
  </si>
  <si>
    <t>川崎市幸区堀川町７２－３４</t>
  </si>
  <si>
    <t>092-762-7055</t>
  </si>
  <si>
    <t>092-762-7113</t>
  </si>
  <si>
    <t>福岡市中央区長浜２－４－１</t>
  </si>
  <si>
    <t>新居浜市菊本町２－１４－１</t>
  </si>
  <si>
    <t>大阪市住之江区南港北１－７－８９</t>
  </si>
  <si>
    <t>092-441-1644</t>
  </si>
  <si>
    <t>092-441-1983</t>
  </si>
  <si>
    <t>戸田　憲治</t>
  </si>
  <si>
    <t>福岡市博多区博多駅中央街７－２１</t>
  </si>
  <si>
    <t>川崎市幸区堀川町５８０</t>
  </si>
  <si>
    <t>092-281-2400</t>
  </si>
  <si>
    <t>092-281-2444</t>
  </si>
  <si>
    <t>西田　聡</t>
  </si>
  <si>
    <t>新宿区西新宿８－１７－１</t>
  </si>
  <si>
    <t>092-431-2147</t>
  </si>
  <si>
    <t>092-431-2193</t>
  </si>
  <si>
    <t>入交　護</t>
  </si>
  <si>
    <t>福岡市博多区博多駅南１－４－１８</t>
  </si>
  <si>
    <t>半田市神明町１－１</t>
  </si>
  <si>
    <t>092-741-1253</t>
  </si>
  <si>
    <t>092-741-4811</t>
  </si>
  <si>
    <t>福岡市中央区天神３－１０－１</t>
  </si>
  <si>
    <t>新宿区四谷１－６－１</t>
  </si>
  <si>
    <t>092-272-0831</t>
  </si>
  <si>
    <t>092-272-1371</t>
  </si>
  <si>
    <t>福岡市博多区綱場町３－３</t>
  </si>
  <si>
    <t>宇部市大字妻崎開作８７４－１</t>
  </si>
  <si>
    <t>093-482-6182</t>
  </si>
  <si>
    <t>093-482-6183</t>
  </si>
  <si>
    <t>北九州市八幡西区浅川日の峯２－１５－１０</t>
  </si>
  <si>
    <t>練馬区貫井５－２４－１８</t>
  </si>
  <si>
    <t>092-573-0393</t>
  </si>
  <si>
    <t>092-571-2946</t>
  </si>
  <si>
    <t>福岡市博多区麦野６－２７－２５</t>
  </si>
  <si>
    <t>奥村　恭司</t>
  </si>
  <si>
    <t>中央区日本橋富沢町９－１９</t>
  </si>
  <si>
    <t>092-751-1206</t>
  </si>
  <si>
    <t>092-731-4080</t>
  </si>
  <si>
    <t>牧野　広敏</t>
  </si>
  <si>
    <t>大阪市福島区福島４－６－３１</t>
  </si>
  <si>
    <t>092-472-0151</t>
  </si>
  <si>
    <t>092-481-2407</t>
  </si>
  <si>
    <t>村上　敏昭</t>
  </si>
  <si>
    <t>福岡市博多区東那珂２－１４－２８</t>
  </si>
  <si>
    <t>中央区晴海３－５－１</t>
  </si>
  <si>
    <t>092-741-5736</t>
  </si>
  <si>
    <t>092-761-4806</t>
  </si>
  <si>
    <t>092-735-3536</t>
  </si>
  <si>
    <t>092-736-7511</t>
  </si>
  <si>
    <t>八木　寿朗</t>
  </si>
  <si>
    <t>和歌山市小松原通３－６９</t>
  </si>
  <si>
    <t>092-707-9331</t>
  </si>
  <si>
    <t>092-707-9332</t>
  </si>
  <si>
    <t>福岡市博多区諸岡４－２１－３０　サンコーポあまの２０２</t>
  </si>
  <si>
    <t>中央区日本橋本町３－４－６</t>
  </si>
  <si>
    <t>092-451-2825</t>
  </si>
  <si>
    <t>092-451-2827</t>
  </si>
  <si>
    <t>福岡市博多区東那珂１－１２－２８</t>
  </si>
  <si>
    <t>品川区大崎２－１－１</t>
  </si>
  <si>
    <t>092-476-3151</t>
  </si>
  <si>
    <t>092-473-3753</t>
  </si>
  <si>
    <t>福岡市博多区住吉５－５－３</t>
  </si>
  <si>
    <t>大阪市中央区谷町５－３－１７</t>
  </si>
  <si>
    <t>092-472-5336</t>
  </si>
  <si>
    <t>092-477-3393</t>
  </si>
  <si>
    <t>福岡市博多区博多駅東１－１８－２５</t>
  </si>
  <si>
    <t>目黒区下目黒２－２３－１８</t>
  </si>
  <si>
    <t>097-533-0438</t>
  </si>
  <si>
    <t>097-533-0441</t>
  </si>
  <si>
    <t>大分市碩田町１－１－２３　吉次勧業ビル２階</t>
  </si>
  <si>
    <t>中央区銀座６－１７－１</t>
  </si>
  <si>
    <t>092-281-1314</t>
  </si>
  <si>
    <t>092-272-2768</t>
  </si>
  <si>
    <t>外間　謙二</t>
  </si>
  <si>
    <t>福岡市博多区奈良屋町６－２９</t>
  </si>
  <si>
    <t>千代田区九段北４－２－３５</t>
  </si>
  <si>
    <t>097-569-3351</t>
  </si>
  <si>
    <t>097-569-3352</t>
  </si>
  <si>
    <t>日高　大宙</t>
  </si>
  <si>
    <t>大分市下郡中央２－１－２１－２</t>
  </si>
  <si>
    <t>大阪市港区三先１－１１－１８</t>
  </si>
  <si>
    <t>092-452-0013</t>
  </si>
  <si>
    <t>092-452-0053</t>
  </si>
  <si>
    <t>福岡市博多区博多駅中央街４－８</t>
  </si>
  <si>
    <t>港区芝浦３－６－１８</t>
  </si>
  <si>
    <t>092-586-1601</t>
  </si>
  <si>
    <t>092-586-2133</t>
  </si>
  <si>
    <t>福岡市博多区井相田２－２－３</t>
  </si>
  <si>
    <t>江東区新砂１－１－１</t>
  </si>
  <si>
    <t>092-711-1831</t>
  </si>
  <si>
    <t>092-771-7940</t>
  </si>
  <si>
    <t>福永　嘉之</t>
  </si>
  <si>
    <t>北九州市門司区小森江３－１２－１０</t>
  </si>
  <si>
    <t>097-544-3535</t>
  </si>
  <si>
    <t>097-544-6767</t>
  </si>
  <si>
    <t>大分市要町５－２８</t>
  </si>
  <si>
    <t>中央区銀座７－１４－１</t>
  </si>
  <si>
    <t>092-555-7317</t>
  </si>
  <si>
    <t>092-555-7362</t>
  </si>
  <si>
    <t>福岡市中央区薬院３－１３－２３</t>
  </si>
  <si>
    <t>佐賀市高木瀬西６－９－３</t>
  </si>
  <si>
    <t>高松市中央町５－３</t>
  </si>
  <si>
    <t>092-586-4321</t>
  </si>
  <si>
    <t>092-586-4320</t>
  </si>
  <si>
    <t>福岡市博多区竹丘町１－５－３１</t>
  </si>
  <si>
    <t>高松市郷東町７９２－８</t>
  </si>
  <si>
    <t>092-475-7387</t>
  </si>
  <si>
    <t>092-474-3275</t>
  </si>
  <si>
    <t>福岡市博多区博多駅前２－１９－２４　大博センタービル６階</t>
  </si>
  <si>
    <t>江東区豊洲３－２－２４</t>
  </si>
  <si>
    <t>中央区京橋１－７－１</t>
  </si>
  <si>
    <t>092-753-4111</t>
  </si>
  <si>
    <t>092-726-0351</t>
  </si>
  <si>
    <t>重本　彰</t>
  </si>
  <si>
    <t>福岡市中央区天神２－１３－７</t>
  </si>
  <si>
    <t>名古屋市中村区太閤４－２－８</t>
  </si>
  <si>
    <t>さいたま市浦和区岸町７－１－７</t>
  </si>
  <si>
    <t>108-6015</t>
  </si>
  <si>
    <t>港区港南２－１５－１</t>
  </si>
  <si>
    <t>092-515-1810</t>
  </si>
  <si>
    <t>092-715-7133</t>
  </si>
  <si>
    <t>福岡市中央区大名２－４－３５</t>
  </si>
  <si>
    <t>大阪市北区大淀中１－１－３０</t>
  </si>
  <si>
    <t>田母神　博文</t>
  </si>
  <si>
    <t>港区芝浦４－８－３３</t>
  </si>
  <si>
    <t>050-3186-2901</t>
  </si>
  <si>
    <t>092-738-7309</t>
  </si>
  <si>
    <t>福岡市中央区薬院１－１－１　薬院ビジネスガーデン４Ｆ</t>
  </si>
  <si>
    <t>名古屋市中区錦３－１３－５</t>
  </si>
  <si>
    <t>092-474-5355</t>
  </si>
  <si>
    <t>092-474-5270</t>
  </si>
  <si>
    <t>山本　佳久</t>
  </si>
  <si>
    <t>江東区新砂１－２－８</t>
  </si>
  <si>
    <t>092-526-7833</t>
  </si>
  <si>
    <t>092-526-7922</t>
  </si>
  <si>
    <t>渡邉　紳一朗</t>
  </si>
  <si>
    <t>福岡市中央区白金１－４－２</t>
  </si>
  <si>
    <t>北区滝野川６－３－１</t>
  </si>
  <si>
    <t>0978-66-4020</t>
  </si>
  <si>
    <t>0978-66-4021</t>
  </si>
  <si>
    <t>杵築市大字片野１１５０－２１２</t>
  </si>
  <si>
    <t>北葛城郡広陵町大字平尾１１－１</t>
  </si>
  <si>
    <t>092-273-1161</t>
  </si>
  <si>
    <t>092-262-4113</t>
  </si>
  <si>
    <t>坂本　史英</t>
  </si>
  <si>
    <t>福岡市博多区中洲中島町２－３</t>
  </si>
  <si>
    <t>港区三田３－５－２７</t>
  </si>
  <si>
    <t>名古屋市中区栄４－６－２５</t>
  </si>
  <si>
    <t>092-771-7515</t>
  </si>
  <si>
    <t>092-741-4775</t>
  </si>
  <si>
    <t>福岡市中央区薬院１－６－１３</t>
  </si>
  <si>
    <t>千代田区神田錦町２－１１</t>
  </si>
  <si>
    <t>06-6261-2280</t>
  </si>
  <si>
    <t>06-6261-2281</t>
  </si>
  <si>
    <t>大阪市中央区南船場１－１８－１７</t>
  </si>
  <si>
    <t>松下　太郎</t>
  </si>
  <si>
    <t>渋谷区笹塚１－５０－１</t>
  </si>
  <si>
    <t>092-291-4767</t>
  </si>
  <si>
    <t>092-291-4773</t>
  </si>
  <si>
    <t>小田　治</t>
  </si>
  <si>
    <t>福岡市博多区冷泉町４－２０島津博多ビル５階</t>
  </si>
  <si>
    <t>北九州市門司区大里東口３－１０</t>
  </si>
  <si>
    <t>江東区豊洲５－６－５２</t>
  </si>
  <si>
    <t>092-761-6931</t>
  </si>
  <si>
    <t>092-741-3651</t>
  </si>
  <si>
    <t>藤木　慶博</t>
  </si>
  <si>
    <t>福岡市中央区天神４－２－３１</t>
  </si>
  <si>
    <t>千代田区丸の内２－６－１</t>
  </si>
  <si>
    <t>092-411-3339</t>
  </si>
  <si>
    <t>092-431-0291</t>
  </si>
  <si>
    <t>福岡市博多区博多駅前２－２０－１</t>
  </si>
  <si>
    <t>00004100</t>
  </si>
  <si>
    <t>マツムラグミ</t>
  </si>
  <si>
    <t>（株）松村組</t>
  </si>
  <si>
    <t>村上　修</t>
  </si>
  <si>
    <t>102-0075</t>
  </si>
  <si>
    <t>千代田区三番町２</t>
  </si>
  <si>
    <t>082-243-1121</t>
  </si>
  <si>
    <t>082-242-5935</t>
  </si>
  <si>
    <t>広島九州支店</t>
  </si>
  <si>
    <t>佐藤　成樹</t>
  </si>
  <si>
    <t>広島市中区大手町３－１３－１８</t>
  </si>
  <si>
    <t>宮地　誠</t>
  </si>
  <si>
    <t>中央区新川１－１７－２１　茅場町ファーストビル</t>
  </si>
  <si>
    <t>092-771-4664</t>
  </si>
  <si>
    <t>092-771-4665</t>
  </si>
  <si>
    <t>福岡市中央区大名２－４－２２</t>
  </si>
  <si>
    <t>岡山市北区表町１－５－１</t>
  </si>
  <si>
    <t>092-741-4024</t>
  </si>
  <si>
    <t>092-715-1525</t>
  </si>
  <si>
    <t>福岡市中央区天神１－２－４</t>
  </si>
  <si>
    <t>奥村　英樹</t>
  </si>
  <si>
    <t>神戸市中央区脇浜町１－４－７８</t>
  </si>
  <si>
    <t>092-474-6565</t>
  </si>
  <si>
    <t>092-441-4440</t>
  </si>
  <si>
    <t>坂巻　良昭</t>
  </si>
  <si>
    <t>福岡市博多区博多駅中央街１－１新幹線博多ビル</t>
  </si>
  <si>
    <t>吉田　克之</t>
  </si>
  <si>
    <t>港区新橋６－１９－１５</t>
  </si>
  <si>
    <t>092-411-6910</t>
  </si>
  <si>
    <t>092-471-6841</t>
  </si>
  <si>
    <t>福岡オフィス</t>
  </si>
  <si>
    <t>日高　圭一</t>
  </si>
  <si>
    <t>福岡市博多区博多駅東１－１１－５</t>
  </si>
  <si>
    <t>00004233</t>
  </si>
  <si>
    <t>システムハウスアールアンドシー</t>
  </si>
  <si>
    <t>（株）システムハウスアールアンドシー</t>
  </si>
  <si>
    <t>108-0073</t>
  </si>
  <si>
    <t>港区三田３－１１－２４国際興業三田第二ビル７</t>
  </si>
  <si>
    <t>092-261-5255</t>
  </si>
  <si>
    <t>092-261-5256</t>
  </si>
  <si>
    <t>前田　広樹</t>
  </si>
  <si>
    <t>福岡市博多区下呉服町１－１－４Ｆ</t>
  </si>
  <si>
    <t>佐賀市伊勢町１５－１</t>
  </si>
  <si>
    <t>中野区中野４－１０－１</t>
  </si>
  <si>
    <t>097-538-1700</t>
  </si>
  <si>
    <t>097-538-5900</t>
  </si>
  <si>
    <t>大分市王子町７－１</t>
  </si>
  <si>
    <t>千代田区麹町５－４</t>
  </si>
  <si>
    <t>新潟市中央区弁天橋通１－８－２３</t>
  </si>
  <si>
    <t>096-367-6994</t>
  </si>
  <si>
    <t>096-367-6995</t>
  </si>
  <si>
    <t>一法師　英二</t>
  </si>
  <si>
    <t>熊本市東区健軍本町１－１１</t>
  </si>
  <si>
    <t>品川区上大崎２－１０－４３</t>
  </si>
  <si>
    <t>092-511-6621</t>
  </si>
  <si>
    <t>092-511-6290</t>
  </si>
  <si>
    <t>城戸　義博</t>
  </si>
  <si>
    <t>福岡市南区向野１－１７－２</t>
  </si>
  <si>
    <t>野尻　知巳</t>
  </si>
  <si>
    <t>北区堀船１－１－９</t>
  </si>
  <si>
    <t>0965-33-5683</t>
  </si>
  <si>
    <t>0965-35-0076</t>
  </si>
  <si>
    <t>八代市萩原町１－８－１６</t>
  </si>
  <si>
    <t>宝塚市新明和町１－１</t>
  </si>
  <si>
    <t>092-411-5461</t>
  </si>
  <si>
    <t>092-471-7224</t>
  </si>
  <si>
    <t>福岡市博多区豊１－９－４３</t>
  </si>
  <si>
    <t>中央区明石町８－１</t>
  </si>
  <si>
    <t>092-517-8853</t>
  </si>
  <si>
    <t>092-411-8611</t>
  </si>
  <si>
    <t>世田谷区桜丘５－４８－１６</t>
  </si>
  <si>
    <t>092-713-7371</t>
  </si>
  <si>
    <t>092-713-7389</t>
  </si>
  <si>
    <t>福岡市中央区天神３－１０－２０</t>
  </si>
  <si>
    <t>大阪市中央区森ノ宮中央１－１－３８</t>
  </si>
  <si>
    <t>092-481-3651</t>
  </si>
  <si>
    <t>092-481-3657</t>
  </si>
  <si>
    <t>福岡市博多区博多駅東３－９－７</t>
  </si>
  <si>
    <t>渋谷区神山町４－１４</t>
  </si>
  <si>
    <t>092-716-6901</t>
  </si>
  <si>
    <t>092-716-4008</t>
  </si>
  <si>
    <t>矢野　誠一</t>
  </si>
  <si>
    <t>福岡市中央区六本松１－１－１０</t>
  </si>
  <si>
    <t>大田区南蒲田２－１６－４６</t>
  </si>
  <si>
    <t>092-414-7280</t>
  </si>
  <si>
    <t>092-414-7281</t>
  </si>
  <si>
    <t>福岡市博多区博多駅前４－８－１５</t>
  </si>
  <si>
    <t>中尾　準男</t>
  </si>
  <si>
    <t>大阪市港区築港４－１－１</t>
  </si>
  <si>
    <t>093-321-4164</t>
  </si>
  <si>
    <t>093-322-1140</t>
  </si>
  <si>
    <t>北九州市門司区田野浦海岸１－２６</t>
  </si>
  <si>
    <t>世田谷区太子堂４－１－１</t>
  </si>
  <si>
    <t>092-483-8200</t>
  </si>
  <si>
    <t>092-483-8222</t>
  </si>
  <si>
    <t>大阪市住之江区南港北１－１２－３５</t>
  </si>
  <si>
    <t>06-6614-8186</t>
  </si>
  <si>
    <t>長岡　一郎</t>
  </si>
  <si>
    <t>川崎市幸区大宮町１－５</t>
  </si>
  <si>
    <t>092-472-4111</t>
  </si>
  <si>
    <t>西日本公共ビジネス統括部（福岡）</t>
  </si>
  <si>
    <t>長尾　勇一</t>
  </si>
  <si>
    <t>福岡市博多区東比恵１－５－１３</t>
  </si>
  <si>
    <t>渋谷区恵比寿１－１９－２３</t>
  </si>
  <si>
    <t>092-592-5608</t>
  </si>
  <si>
    <t>092-592-5609</t>
  </si>
  <si>
    <t>福岡市博多区板付７－１０－２７</t>
  </si>
  <si>
    <t>佐野　浩康</t>
  </si>
  <si>
    <t>千代田区丸の内３－３－１</t>
  </si>
  <si>
    <t>092-712-5511</t>
  </si>
  <si>
    <t>092-712-5654</t>
  </si>
  <si>
    <t>福岡市中央区天神３－１５－２４</t>
  </si>
  <si>
    <t>大田区南蒲田１－２１－１２</t>
  </si>
  <si>
    <t>092-523-8001</t>
  </si>
  <si>
    <t>092-523-8002</t>
  </si>
  <si>
    <t>福岡市中央区大宮１－４－３４</t>
  </si>
  <si>
    <t>千代田区九段北４－２－２８</t>
  </si>
  <si>
    <t>092-411-6501</t>
  </si>
  <si>
    <t>092-411-6503</t>
  </si>
  <si>
    <t>福岡市博多区博多駅前３－１０－２４</t>
  </si>
  <si>
    <t>千代田区丸の内１－５－１</t>
  </si>
  <si>
    <t>092-771-6175</t>
  </si>
  <si>
    <t>092-714-6127</t>
  </si>
  <si>
    <t>福岡市中央区大名２－４－３０</t>
  </si>
  <si>
    <t>港区虎ノ門３－１８－５</t>
  </si>
  <si>
    <t>097-537-4105</t>
  </si>
  <si>
    <t>097-537-7259</t>
  </si>
  <si>
    <t>大分市府内町３－８－２５（山田ビル）</t>
  </si>
  <si>
    <t>福岡市博多区博多駅南１－８－１３</t>
  </si>
  <si>
    <t>097-558-3665</t>
  </si>
  <si>
    <t>097-558-3824</t>
  </si>
  <si>
    <t>大分市南津留２－１８</t>
  </si>
  <si>
    <t>00004603</t>
  </si>
  <si>
    <t>ヒタチサンキシステム</t>
  </si>
  <si>
    <t>（株）日立産機システム</t>
  </si>
  <si>
    <t>ジョン　ランドール</t>
  </si>
  <si>
    <t>千代田区外神田１－５－１　住友不動産秋葉原ファーストビル</t>
  </si>
  <si>
    <t>093-582-1175</t>
  </si>
  <si>
    <t>093-582-5148</t>
  </si>
  <si>
    <t>北九州サービスステーション</t>
  </si>
  <si>
    <t>市丸　浩二</t>
  </si>
  <si>
    <t>北九州市小倉北区西港町９２－１２</t>
  </si>
  <si>
    <t>中央区勝どき４－６－２</t>
  </si>
  <si>
    <t>092-473-5981</t>
  </si>
  <si>
    <t>092-481-1584</t>
  </si>
  <si>
    <t>福岡市博多区博多駅東３－１－４　タカ福岡ビル５Ｆ</t>
  </si>
  <si>
    <t>00004633</t>
  </si>
  <si>
    <t>イワサキデンキ</t>
  </si>
  <si>
    <t>岩崎電気（株）</t>
  </si>
  <si>
    <t>伊藤　義剛</t>
  </si>
  <si>
    <t>中央区東日本橋１－１－７</t>
  </si>
  <si>
    <t>092-413-8701</t>
  </si>
  <si>
    <t>092-413-8691</t>
  </si>
  <si>
    <t>原田　淳士</t>
  </si>
  <si>
    <t>福岡市博多区美野島１－２－８</t>
  </si>
  <si>
    <t>港区白金１－１７－３</t>
  </si>
  <si>
    <t>092-281-0045</t>
  </si>
  <si>
    <t>092-281-8177</t>
  </si>
  <si>
    <t>福岡市博多区綱場町４－１</t>
  </si>
  <si>
    <t>横浜市鶴見区末広町２－１</t>
  </si>
  <si>
    <t>092-474-1570</t>
  </si>
  <si>
    <t>092-474-1571</t>
  </si>
  <si>
    <t>堤　　裕</t>
  </si>
  <si>
    <t>徳永　俊昭</t>
  </si>
  <si>
    <t>千代田区丸の内１－６－６</t>
  </si>
  <si>
    <t>092-741-1111</t>
  </si>
  <si>
    <t>092-401-4380</t>
  </si>
  <si>
    <t>山本　真司</t>
  </si>
  <si>
    <t>810-8616</t>
  </si>
  <si>
    <t>福岡市中央区天神１－１１－１</t>
  </si>
  <si>
    <t>中央区日本橋室町２－１－１</t>
  </si>
  <si>
    <t>中楯　伸一</t>
  </si>
  <si>
    <t>取手市下高井１０２０</t>
  </si>
  <si>
    <t>092-771-6346</t>
  </si>
  <si>
    <t>092-752-0486</t>
  </si>
  <si>
    <t>福岡市中央区天神４－１－１８</t>
  </si>
  <si>
    <t>品川区西五反田７－２５－１９</t>
  </si>
  <si>
    <t>092-791-7835</t>
  </si>
  <si>
    <t>092-791-7740</t>
  </si>
  <si>
    <t>あま市篠田面徳２９－１</t>
  </si>
  <si>
    <t>092-292-0253</t>
  </si>
  <si>
    <t>092-432-5025</t>
  </si>
  <si>
    <t>福岡市博多区博多駅南４－１０－３６</t>
  </si>
  <si>
    <t>福岡市博多区東光寺町１－１３－５</t>
  </si>
  <si>
    <t>097-543-6708</t>
  </si>
  <si>
    <t>097-545-9464</t>
  </si>
  <si>
    <t>大分市金池南１－３－３５</t>
  </si>
  <si>
    <t>糟屋郡新宮町下府２－１１－１</t>
  </si>
  <si>
    <t>江東区豊洲５－５－１３</t>
  </si>
  <si>
    <t>092-292-1140</t>
  </si>
  <si>
    <t>092-292-1185</t>
  </si>
  <si>
    <t>姫路市北条１－９２</t>
  </si>
  <si>
    <t>092-531-3231</t>
  </si>
  <si>
    <t>092-524-5163</t>
  </si>
  <si>
    <t>福岡市中央区白金２－８－１２</t>
  </si>
  <si>
    <t>小山　馨</t>
  </si>
  <si>
    <t>中央区日本橋本町３－１１－１１</t>
  </si>
  <si>
    <t>092-411-9241</t>
  </si>
  <si>
    <t>092-481-0767</t>
  </si>
  <si>
    <t>福岡市博多区博多駅南４－１０－８</t>
  </si>
  <si>
    <t>00004968</t>
  </si>
  <si>
    <t>ブンカシヤッター</t>
  </si>
  <si>
    <t>文化シヤッター（株）</t>
  </si>
  <si>
    <t>小倉　博之</t>
  </si>
  <si>
    <t>113-8535</t>
  </si>
  <si>
    <t>文京区西片１－１７－３</t>
  </si>
  <si>
    <t>097-549-6177</t>
  </si>
  <si>
    <t>097-549-6178</t>
  </si>
  <si>
    <t>安部　東洋</t>
  </si>
  <si>
    <t>大分市賀来北２－４－２３</t>
  </si>
  <si>
    <t>中央区築地５－４－１８</t>
  </si>
  <si>
    <t>092-412-6761</t>
  </si>
  <si>
    <t>092-412-6777</t>
  </si>
  <si>
    <t>福岡市博多区博多駅前１－１８－７</t>
  </si>
  <si>
    <t>コクサイデンキ</t>
  </si>
  <si>
    <t>（株）国際電気</t>
  </si>
  <si>
    <t>港区西新橋２－１５－１２</t>
  </si>
  <si>
    <t>092-412-8828</t>
  </si>
  <si>
    <t>092-412-8838</t>
  </si>
  <si>
    <t>辻　孝之</t>
  </si>
  <si>
    <t>福岡市博多区博多駅東２－１３－３４</t>
  </si>
  <si>
    <t>幸手市大字上吉羽２１００－３３</t>
  </si>
  <si>
    <t>092-414-2298</t>
  </si>
  <si>
    <t>092-414-2299</t>
  </si>
  <si>
    <t>韮崎市円野町上円井３１３９</t>
  </si>
  <si>
    <t>092-432-7110</t>
  </si>
  <si>
    <t>092-432-7077</t>
  </si>
  <si>
    <t>福岡市博多区博多駅南２－９－１１　三共福岡ビル５階</t>
  </si>
  <si>
    <t>品川区北品川５－５－１５</t>
  </si>
  <si>
    <t>06-6457-2897</t>
  </si>
  <si>
    <t>06-6457-2899</t>
  </si>
  <si>
    <t>杉浦　路明</t>
  </si>
  <si>
    <t>大阪市北区梅田２－２－２２</t>
  </si>
  <si>
    <t>川崎市幸区堀川町５８０ソリッドスクエア東館</t>
  </si>
  <si>
    <t>092-633-3592</t>
  </si>
  <si>
    <t>092-633-3594</t>
  </si>
  <si>
    <t>福岡市東区箱崎４－５－２</t>
  </si>
  <si>
    <t>050-3191-7172</t>
  </si>
  <si>
    <t>092-735-3446</t>
  </si>
  <si>
    <t>港区芝浦４－１０－１６</t>
  </si>
  <si>
    <t>092-771-9111</t>
  </si>
  <si>
    <t>092-781-3823</t>
  </si>
  <si>
    <t>千代田区九段南４－７－３</t>
  </si>
  <si>
    <t>092-712-1560</t>
  </si>
  <si>
    <t>092-751-1337</t>
  </si>
  <si>
    <t>福岡市中央区薬院２－５－７</t>
  </si>
  <si>
    <t>大友　浩嗣</t>
  </si>
  <si>
    <t>大阪市北区梅田３－３－５</t>
  </si>
  <si>
    <t>092-473-0833</t>
  </si>
  <si>
    <t>092-475-7141</t>
  </si>
  <si>
    <t>戝津　高広</t>
  </si>
  <si>
    <t>福岡市博多区上牟田２－１１－２４</t>
  </si>
  <si>
    <t>台東区東上野２－１６－１</t>
  </si>
  <si>
    <t>092-262-7605</t>
  </si>
  <si>
    <t>092-262-7611</t>
  </si>
  <si>
    <t>福岡市博多区冷泉町２－１</t>
  </si>
  <si>
    <t>台東区蔵前２－１７－４</t>
  </si>
  <si>
    <t>078-232-5470</t>
  </si>
  <si>
    <t>078-232-5475</t>
  </si>
  <si>
    <t>神戸市中央区浜辺通５－１－１４</t>
  </si>
  <si>
    <t>092-272-5300</t>
  </si>
  <si>
    <t>092-272-3100</t>
  </si>
  <si>
    <t>福岡市中央区天神１－１０－２０</t>
  </si>
  <si>
    <t>福岡市東区馬出１－１１－１１</t>
  </si>
  <si>
    <t>097-522-7717</t>
  </si>
  <si>
    <t>097-522-7718</t>
  </si>
  <si>
    <t>菅原　英宗</t>
  </si>
  <si>
    <t>江東区豊洲５－６－３６</t>
  </si>
  <si>
    <t>092-292-0591</t>
  </si>
  <si>
    <t>092-292-0592</t>
  </si>
  <si>
    <t>大阪市中央区淡路町２－５－１１</t>
  </si>
  <si>
    <t>092-272-3114</t>
  </si>
  <si>
    <t>092-272-3217</t>
  </si>
  <si>
    <t>福岡市中央区大濠公園２－３９</t>
  </si>
  <si>
    <t>092-707-6691</t>
  </si>
  <si>
    <t>092-707-6692</t>
  </si>
  <si>
    <t>福岡市西区内浜２－４－３８</t>
  </si>
  <si>
    <t>細山　仁</t>
  </si>
  <si>
    <t>092-707-1582</t>
  </si>
  <si>
    <t>092-707-1583</t>
  </si>
  <si>
    <t>福岡市中央区長浜１－３－４</t>
  </si>
  <si>
    <t>長崎市興善町２－８</t>
  </si>
  <si>
    <t>千代田区神田多町２－９－２</t>
  </si>
  <si>
    <t>092-405-2051</t>
  </si>
  <si>
    <t>092-262-5602</t>
  </si>
  <si>
    <t>福岡市博多区店屋町６－２５</t>
  </si>
  <si>
    <t>山本　武志</t>
  </si>
  <si>
    <t>足立区中川４－１６－２９</t>
  </si>
  <si>
    <t>092-282-3888</t>
  </si>
  <si>
    <t>092-282-3990</t>
  </si>
  <si>
    <t>野川　晃宏</t>
  </si>
  <si>
    <t>福岡市博多区上呉服町１０－１０</t>
  </si>
  <si>
    <t>00005592</t>
  </si>
  <si>
    <t>トウワエンジニアリング</t>
  </si>
  <si>
    <t>（株）東和エンジニアリング</t>
  </si>
  <si>
    <t>新倉　恵里子</t>
  </si>
  <si>
    <t>101-8631</t>
  </si>
  <si>
    <t>千代田区東神田１－７－８</t>
  </si>
  <si>
    <t>06-6292-8555</t>
  </si>
  <si>
    <t>06-6292-8567</t>
  </si>
  <si>
    <t>関西支社</t>
  </si>
  <si>
    <t>澤谷　千</t>
  </si>
  <si>
    <t>530-0015</t>
  </si>
  <si>
    <t>大阪市北区中崎西４－２－２７</t>
  </si>
  <si>
    <t>名古屋市南区南陽通り６－１</t>
  </si>
  <si>
    <t>097-558-1884</t>
  </si>
  <si>
    <t>097-551-1626</t>
  </si>
  <si>
    <t>文京区根津２－１２－１</t>
  </si>
  <si>
    <t>092-451-3831</t>
  </si>
  <si>
    <t>092-451-3829</t>
  </si>
  <si>
    <t>福岡市博多区博多駅前１－１５－２０</t>
  </si>
  <si>
    <t>中央区日本橋２－１３－１０</t>
  </si>
  <si>
    <t>092-235-9500</t>
  </si>
  <si>
    <t>092-235-9501</t>
  </si>
  <si>
    <t>伊藤　明男</t>
  </si>
  <si>
    <t>小平市御幸町３２</t>
  </si>
  <si>
    <t>050-3383-3345</t>
  </si>
  <si>
    <t>092-412-5939</t>
  </si>
  <si>
    <t>久保　潤治</t>
  </si>
  <si>
    <t>港区芝４－６－１２</t>
  </si>
  <si>
    <t>092-262-8020</t>
  </si>
  <si>
    <t>092-262-8025</t>
  </si>
  <si>
    <t>佐世保市日宇町２６９０</t>
  </si>
  <si>
    <t>大阪市北区南森町１－４－１０</t>
  </si>
  <si>
    <t>092-433-5706</t>
  </si>
  <si>
    <t>092-433-5707</t>
  </si>
  <si>
    <t>高島　徹也</t>
  </si>
  <si>
    <t>福岡市博多区博多駅東３－１１－２８</t>
  </si>
  <si>
    <t>新宿区新宿６－２７－３０</t>
  </si>
  <si>
    <t>092-431-8051</t>
  </si>
  <si>
    <t>092-441-1473</t>
  </si>
  <si>
    <t>牧本　浩明</t>
  </si>
  <si>
    <t>福岡市博多区博多駅前２－１９－２４大博センタービル９階</t>
  </si>
  <si>
    <t>港区芝浦３－９－１４</t>
  </si>
  <si>
    <t>097-513-5959</t>
  </si>
  <si>
    <t>097-513-5960</t>
  </si>
  <si>
    <t>大分市東春日町１７－１９</t>
  </si>
  <si>
    <t>守屋　太</t>
  </si>
  <si>
    <t>中央区晴海１－８－１２トリトンスクエアＺ棟</t>
  </si>
  <si>
    <t>092-761-7855</t>
  </si>
  <si>
    <t>092-724-1295</t>
  </si>
  <si>
    <t>宮本　愼也</t>
  </si>
  <si>
    <t>福岡市中央区天神４－１－１第７明星ビル９階</t>
  </si>
  <si>
    <t>港区西新橋１－２－９　日比谷セントラルビル</t>
  </si>
  <si>
    <t>092-441-0471</t>
  </si>
  <si>
    <t>092-441-0476</t>
  </si>
  <si>
    <t>福岡市博多区博多駅中央街７－２１　紙与博多中央ビル６階</t>
  </si>
  <si>
    <t>ゼネラル</t>
  </si>
  <si>
    <t>（株）ゼネラル</t>
  </si>
  <si>
    <t>川崎市高津区末長３－３－１７</t>
  </si>
  <si>
    <t>092-572-2111</t>
  </si>
  <si>
    <t>092-572-2116</t>
  </si>
  <si>
    <t>福岡市南区横手１－１２－４５</t>
  </si>
  <si>
    <t>ダイハツインフィニアース</t>
  </si>
  <si>
    <t>ダイハツインフィニアース（株）</t>
  </si>
  <si>
    <t>092-629-0731</t>
  </si>
  <si>
    <t>092-622-3210</t>
  </si>
  <si>
    <t>福岡市東区多の津２－３－１</t>
  </si>
  <si>
    <t>江東区東雲１－７－１２</t>
  </si>
  <si>
    <t>092-512-6001</t>
  </si>
  <si>
    <t>092-512-6076</t>
  </si>
  <si>
    <t>福岡市南区清水４－４－３４</t>
  </si>
  <si>
    <t>世田谷区上用賀１－７－３</t>
  </si>
  <si>
    <t>092-451-3991</t>
  </si>
  <si>
    <t>092-451-7480</t>
  </si>
  <si>
    <t>福岡市博多区那珂５－３－１３</t>
  </si>
  <si>
    <t>大阪市中央区農人橋２－１－３６</t>
  </si>
  <si>
    <t>097-573-8111</t>
  </si>
  <si>
    <t>097-573-8118</t>
  </si>
  <si>
    <t>大本　健介</t>
  </si>
  <si>
    <t>大分市王子北町５－９</t>
  </si>
  <si>
    <t>澤近　広司</t>
  </si>
  <si>
    <t>新宿区西新宿７－７－３０</t>
  </si>
  <si>
    <t>092-271-8431</t>
  </si>
  <si>
    <t>092-281-5201</t>
  </si>
  <si>
    <t>目黒区三田１－６－２１</t>
  </si>
  <si>
    <t>097-534-8829</t>
  </si>
  <si>
    <t>097-537-8517</t>
  </si>
  <si>
    <t>大分市東春日町１７－１９　大分ソフィアプラザビル２Ｆ</t>
  </si>
  <si>
    <t>名古屋市中村区亀島２－２２－２</t>
  </si>
  <si>
    <t>092-441-2276</t>
  </si>
  <si>
    <t>092-441-2270</t>
  </si>
  <si>
    <t>福岡市博多区博多駅南３－５－１８ニッシンビル２０６号室</t>
  </si>
  <si>
    <t>豊橋市下地町字柳目８</t>
  </si>
  <si>
    <t>092-501-6414</t>
  </si>
  <si>
    <t>092-583-1125</t>
  </si>
  <si>
    <t>大野城市山田２－１－１</t>
  </si>
  <si>
    <t>港区芝公園２－６－３</t>
  </si>
  <si>
    <t>092-441-7912</t>
  </si>
  <si>
    <t>092-441-7913</t>
  </si>
  <si>
    <t>大阪市北区末広町１－２２</t>
  </si>
  <si>
    <t>092-483-7050</t>
  </si>
  <si>
    <t>092-483-7055</t>
  </si>
  <si>
    <t>福岡市博多区豊１－４－２５</t>
  </si>
  <si>
    <t>佐藤　英夫</t>
  </si>
  <si>
    <t>大阪市港区弁天１－２－１</t>
  </si>
  <si>
    <t>濱田　州朗</t>
  </si>
  <si>
    <t>尼崎市金楽寺町２－２－３３</t>
  </si>
  <si>
    <t>092-717-2828</t>
  </si>
  <si>
    <t>092-717-2830</t>
  </si>
  <si>
    <t>福岡市中央区薬院１－１－１</t>
  </si>
  <si>
    <t>海部郡蟹江町大字蟹江新田字下市場１９－１</t>
  </si>
  <si>
    <t>092-451-8089</t>
  </si>
  <si>
    <t>092-451-8088</t>
  </si>
  <si>
    <t>福岡市博多区竹下１－１６－８</t>
  </si>
  <si>
    <t>鹿児島市新栄町１５－７</t>
  </si>
  <si>
    <t>092-582-1261</t>
  </si>
  <si>
    <t>092-582-4078</t>
  </si>
  <si>
    <t>福岡市博多区井相田３－２５－１</t>
  </si>
  <si>
    <t>港区海岸２－７－７０</t>
  </si>
  <si>
    <t>092-715-8545</t>
  </si>
  <si>
    <t>092-715-8540</t>
  </si>
  <si>
    <t>福岡市中央区長浜１－１－１　ＫＢＣビル９階</t>
  </si>
  <si>
    <t>三条市福島新田丙２３１８－１</t>
  </si>
  <si>
    <t>大阪市浪速区元町１－８－１５</t>
  </si>
  <si>
    <t>目黒区東山１－１７－１６</t>
  </si>
  <si>
    <t>06-6306-3150</t>
  </si>
  <si>
    <t>06-6306-3140</t>
  </si>
  <si>
    <t>大阪市淀川区木川東４－８－３３</t>
  </si>
  <si>
    <t>大阪市淀川区三国本町１－１２－３０</t>
  </si>
  <si>
    <t>中野区東中野３－２０－１０</t>
  </si>
  <si>
    <t>092-554-9301</t>
  </si>
  <si>
    <t>092-554-9300</t>
  </si>
  <si>
    <t>福岡市南区大池１－２３－１５</t>
  </si>
  <si>
    <t>港区六本木６－１１－１７</t>
  </si>
  <si>
    <t>092-272-1521</t>
  </si>
  <si>
    <t>092-272-1520</t>
  </si>
  <si>
    <t>松木　淳</t>
  </si>
  <si>
    <t>福岡市博多区住吉３－１－１</t>
  </si>
  <si>
    <t>大阪市北区池田町１－４３　三精ビル</t>
  </si>
  <si>
    <t>092-411-5567</t>
  </si>
  <si>
    <t>092-481-2913</t>
  </si>
  <si>
    <t>福岡市博多区博多駅南４－８－２１</t>
  </si>
  <si>
    <t>大阪市北区天神橋２－北２－６</t>
  </si>
  <si>
    <t>092-452-7771</t>
  </si>
  <si>
    <t>092-452-7772</t>
  </si>
  <si>
    <t>福岡市博多区東比恵３－４－２</t>
  </si>
  <si>
    <t>宮崎市大字小松字下川原１１５８－１１</t>
  </si>
  <si>
    <t>品川区南大井６－２０－１４</t>
  </si>
  <si>
    <t>横浜市西区みなとみらい４－４－２</t>
  </si>
  <si>
    <t>092-471-7823</t>
  </si>
  <si>
    <t>092-471-7884</t>
  </si>
  <si>
    <t>大町　哲也</t>
  </si>
  <si>
    <t>福岡市博多区博多駅中央街８－２７</t>
  </si>
  <si>
    <t>北九州市小倉南区葛原５－２－５</t>
  </si>
  <si>
    <t>0979-22-2008</t>
  </si>
  <si>
    <t>0979-22-2002</t>
  </si>
  <si>
    <t>中津市中央町２－７－５２</t>
  </si>
  <si>
    <t>北九州市小倉北区萩崎町１２－２３</t>
  </si>
  <si>
    <t>0979-33-8075</t>
  </si>
  <si>
    <t>0979-33-8076</t>
  </si>
  <si>
    <t>中津市大字加来１５３７－１</t>
  </si>
  <si>
    <t>福岡市早良区百道１－１８－２５</t>
  </si>
  <si>
    <t>中央区銀座４－７－５</t>
  </si>
  <si>
    <t>0987-23-7701</t>
  </si>
  <si>
    <t>0987-22-2056</t>
  </si>
  <si>
    <t>日南市大字戸高１８５０</t>
  </si>
  <si>
    <t>大阪市北区梅田１－１－３－２７００</t>
  </si>
  <si>
    <t>092-481-0026</t>
  </si>
  <si>
    <t>092-481-0503</t>
  </si>
  <si>
    <t>福岡市南区井尻４－２８－１８</t>
  </si>
  <si>
    <t>柳川市三橋町柳河９３４－４</t>
  </si>
  <si>
    <t>福岡市東区香椎浜ふ頭２－３－１７</t>
  </si>
  <si>
    <t>0979-24-5481</t>
  </si>
  <si>
    <t>0979-24-4450</t>
  </si>
  <si>
    <t>中津市豊田町３－１－３５</t>
  </si>
  <si>
    <t>福岡市博多区山王１－１５－８</t>
  </si>
  <si>
    <t>097-503-9818</t>
  </si>
  <si>
    <t>097-503-9828</t>
  </si>
  <si>
    <t>橋本　修</t>
  </si>
  <si>
    <t>大分市下郡北３－８－３６</t>
  </si>
  <si>
    <t>00007769</t>
  </si>
  <si>
    <t>ツルハラシヨウボウセツビ</t>
  </si>
  <si>
    <t>鶴原消防設備（株）</t>
  </si>
  <si>
    <t>鶴原　誠</t>
  </si>
  <si>
    <t>802-0831</t>
  </si>
  <si>
    <t>北九州市小倉南区八重州町１１－１２</t>
  </si>
  <si>
    <t>0979-24-8760</t>
  </si>
  <si>
    <t>0979-24-4731</t>
  </si>
  <si>
    <t>久野　達典</t>
  </si>
  <si>
    <t>中津市大字湯屋１４８－２</t>
  </si>
  <si>
    <t>大阪市大正区鶴町２－１５－２６</t>
  </si>
  <si>
    <t>広島市安佐南区緑井１－１２－３１</t>
  </si>
  <si>
    <t>北九州市若松区くきのうみ中央７－１８</t>
  </si>
  <si>
    <t>品川区南大井６－１６－１６</t>
  </si>
  <si>
    <t>0942-43-8191</t>
  </si>
  <si>
    <t>0942-44-7674</t>
  </si>
  <si>
    <t>久留米市東合川１－５－２７</t>
  </si>
  <si>
    <t>092-631-0700</t>
  </si>
  <si>
    <t>092-631-1014</t>
  </si>
  <si>
    <t>佐世保市万徳町４－１８</t>
  </si>
  <si>
    <t>港区港南１－２－７０</t>
  </si>
  <si>
    <t>092-415-8381</t>
  </si>
  <si>
    <t>092-415-8388</t>
  </si>
  <si>
    <t>石垣　真一郎</t>
  </si>
  <si>
    <t>092-473-6981</t>
  </si>
  <si>
    <t>097-536-0045</t>
  </si>
  <si>
    <t>097-536-0049</t>
  </si>
  <si>
    <t>大分市舞鶴町１－３－３０　ＳＴビル７階</t>
  </si>
  <si>
    <t>若菜　健司</t>
  </si>
  <si>
    <t>港区港南１－６－４１</t>
  </si>
  <si>
    <t>092-273-0880</t>
  </si>
  <si>
    <t>092-273-0885</t>
  </si>
  <si>
    <t>福岡市博多区店屋町８－３０</t>
  </si>
  <si>
    <t>福岡市博多区吉塚６－６－３６</t>
  </si>
  <si>
    <t>092-611-5256</t>
  </si>
  <si>
    <t>港区西新橋１－７－１４　京阪神虎ノ門ビル２階</t>
  </si>
  <si>
    <t>092-263-8355</t>
  </si>
  <si>
    <t>092-263-3350</t>
  </si>
  <si>
    <t>福岡市博多区中洲中島町２－３福岡フジランドビル４階</t>
  </si>
  <si>
    <t>千代田区内神田１－４－１５</t>
  </si>
  <si>
    <t>092-472-4260</t>
  </si>
  <si>
    <t>092-472-6134</t>
  </si>
  <si>
    <t>福岡市博多区比恵町１０－２８</t>
  </si>
  <si>
    <t>092-271-8871</t>
  </si>
  <si>
    <t>092-271-0653</t>
  </si>
  <si>
    <t>鹿児島市小松原１－１０－８</t>
  </si>
  <si>
    <t>092-292-1802</t>
  </si>
  <si>
    <t>092-292-1803</t>
  </si>
  <si>
    <t>福岡市東区社領１－９－１６</t>
  </si>
  <si>
    <t>大阪市鶴見区鶴見４－１６－４０</t>
  </si>
  <si>
    <t>092-452-5001</t>
  </si>
  <si>
    <t>092-452-5013</t>
  </si>
  <si>
    <t>岩瀬　和彰</t>
  </si>
  <si>
    <t>福岡市博多区榎田２－９－３０</t>
  </si>
  <si>
    <t>千代田区富士見２－４－１１</t>
  </si>
  <si>
    <t>菅野　忠美</t>
  </si>
  <si>
    <t>川崎市幸区堀川町５８０　ソリッドスクエア東館２０階</t>
  </si>
  <si>
    <t>092-651-1525</t>
  </si>
  <si>
    <t>092-651-1526</t>
  </si>
  <si>
    <t>片渕　孝徳</t>
  </si>
  <si>
    <t>千葉市美浜区中瀬２－６－１</t>
  </si>
  <si>
    <t>097-593-5710</t>
  </si>
  <si>
    <t>097-593-5740</t>
  </si>
  <si>
    <t>00009291</t>
  </si>
  <si>
    <t>ワセダギケン</t>
  </si>
  <si>
    <t>ワセダ技研（株）</t>
  </si>
  <si>
    <t>赤熊　英次</t>
  </si>
  <si>
    <t>台東区台東２－９－４</t>
  </si>
  <si>
    <t>03-5829-8751</t>
  </si>
  <si>
    <t>03-5829-8723</t>
  </si>
  <si>
    <t>西宮市芦原町９－５２</t>
  </si>
  <si>
    <t>八幡　健人</t>
  </si>
  <si>
    <t>中央区京橋２－１－３</t>
  </si>
  <si>
    <t>092-472-9783</t>
  </si>
  <si>
    <t>092-472-2409</t>
  </si>
  <si>
    <t>中央区銀座８－２１－１</t>
  </si>
  <si>
    <t>092-292-3087</t>
  </si>
  <si>
    <t>092-292-3269</t>
  </si>
  <si>
    <t>福岡市博多区美野島４－１－６２</t>
  </si>
  <si>
    <t>151-0072</t>
  </si>
  <si>
    <t>渋谷区幡ケ谷１－１－１２</t>
  </si>
  <si>
    <t>092-552-2111</t>
  </si>
  <si>
    <t>092-554-1133</t>
  </si>
  <si>
    <t>虎澤　昌広</t>
  </si>
  <si>
    <t>福岡市南区長丘５－２８－６</t>
  </si>
  <si>
    <t>品川区大崎２－８－１</t>
  </si>
  <si>
    <t>港区三田３－５－１９</t>
  </si>
  <si>
    <t>092-451-9700</t>
  </si>
  <si>
    <t>092-451-9730</t>
  </si>
  <si>
    <t>福岡市博多区上牟田１－１７－１</t>
  </si>
  <si>
    <t>戸田市新曽８００－１</t>
  </si>
  <si>
    <t>092-751-7341</t>
  </si>
  <si>
    <t>092-781-9084</t>
  </si>
  <si>
    <t>福岡市中央区天神４－１－１７</t>
  </si>
  <si>
    <t>寺内　敦</t>
  </si>
  <si>
    <t>092-526-8655</t>
  </si>
  <si>
    <t>092-526-8658</t>
  </si>
  <si>
    <t>藪谷　和浩</t>
  </si>
  <si>
    <t>福岡市中央区白金２－１１－９　ＣＲ福岡ビル６階</t>
  </si>
  <si>
    <t>阿部　雅崇</t>
  </si>
  <si>
    <t>福岡市南区大楠２－１３－７</t>
  </si>
  <si>
    <t>092-292-0637</t>
  </si>
  <si>
    <t>092-292-0693</t>
  </si>
  <si>
    <t>大阪市中央区北浜東４－３３</t>
  </si>
  <si>
    <t>092-482-4600</t>
  </si>
  <si>
    <t>092-482-4602</t>
  </si>
  <si>
    <t>坂田　宏樹</t>
  </si>
  <si>
    <t>福岡市博多区博多駅前１－２１－２８</t>
  </si>
  <si>
    <t>丸田　卓也</t>
  </si>
  <si>
    <t>札幌市厚別区上野幌１条５－１－８</t>
  </si>
  <si>
    <t>03-5817-8931</t>
  </si>
  <si>
    <t>03-5817-8932</t>
  </si>
  <si>
    <t>台東区台東１－２７－１１　佐藤第２ビル２階２０１</t>
  </si>
  <si>
    <t>福岡市東区大岳２－１－１</t>
  </si>
  <si>
    <t>熊本市中央区十禅寺１－４－１２</t>
  </si>
  <si>
    <t>港区浜松町１－１４－５</t>
  </si>
  <si>
    <t>新潟市北区島見町３３０７－１６</t>
  </si>
  <si>
    <t>大阪市鶴見区鶴見６－９－２６</t>
  </si>
  <si>
    <t>江東区深川２－８－１９</t>
  </si>
  <si>
    <t>052-753-9301</t>
  </si>
  <si>
    <t>052-763-7716</t>
  </si>
  <si>
    <t>名古屋市昭和区安田通２－１２小林ビル３階</t>
  </si>
  <si>
    <t>吹田市垂水町３－２８－３３</t>
  </si>
  <si>
    <t>久留米市東合川３－１－１１</t>
  </si>
  <si>
    <t>台東区花川戸２－１１－２</t>
  </si>
  <si>
    <t>台東区北上野２－８－７</t>
  </si>
  <si>
    <t>092-707-0683</t>
  </si>
  <si>
    <t>092-791-4561</t>
  </si>
  <si>
    <t>福岡市中央区天神４－１－１１</t>
  </si>
  <si>
    <t>平岡　誠司</t>
  </si>
  <si>
    <t>品川区南大井６－２６－２</t>
  </si>
  <si>
    <t>097-552-4668</t>
  </si>
  <si>
    <t>097-552-1397</t>
  </si>
  <si>
    <t>大分市三川上４－６－１５</t>
  </si>
  <si>
    <t>市川　剛司</t>
  </si>
  <si>
    <t>江東区福住２－４－３</t>
  </si>
  <si>
    <t>文京区後楽１－７－２７</t>
  </si>
  <si>
    <t>092-431-5485</t>
  </si>
  <si>
    <t>092-431-5482</t>
  </si>
  <si>
    <t>敦賀市観音町１２－１</t>
  </si>
  <si>
    <t>06-6829-7240</t>
  </si>
  <si>
    <t>06-6829-7241</t>
  </si>
  <si>
    <t>大阪市淀川区西中島２－１４－６　新大阪第２ドイビル８階</t>
  </si>
  <si>
    <t>鹿児島市東開町４－７９</t>
  </si>
  <si>
    <t>099-267-5448</t>
  </si>
  <si>
    <t>大阪市住之江区南港北２－１－１０</t>
  </si>
  <si>
    <t>港区海岸３－２０－２０</t>
  </si>
  <si>
    <t>092-513-5103</t>
  </si>
  <si>
    <t>092-586-2135</t>
  </si>
  <si>
    <t>福岡市南区横手１－１２－４８</t>
  </si>
  <si>
    <t>092-718-2130</t>
  </si>
  <si>
    <t>092-718-2144</t>
  </si>
  <si>
    <t>541-0058</t>
  </si>
  <si>
    <t>大阪市中央区南久宝寺３－１－８</t>
  </si>
  <si>
    <t>0968-78-4821</t>
  </si>
  <si>
    <t>0968-78-3512</t>
  </si>
  <si>
    <t>能地　優</t>
  </si>
  <si>
    <t>玉名郡長洲町大字有明１</t>
  </si>
  <si>
    <t>千代田区神田錦町１－１－１</t>
  </si>
  <si>
    <t>092-271-6831</t>
  </si>
  <si>
    <t>092-261-7021</t>
  </si>
  <si>
    <t>福岡市博多区奈良屋町２－１</t>
  </si>
  <si>
    <t>石津　義幸</t>
  </si>
  <si>
    <t>横浜市戸塚区平戸町５５９－６</t>
  </si>
  <si>
    <t>092-433-2363</t>
  </si>
  <si>
    <t>092-433-2364</t>
  </si>
  <si>
    <t>京都市中京区西ノ京東中合町４２</t>
  </si>
  <si>
    <t>092-588-1103</t>
  </si>
  <si>
    <t>092-588-1105</t>
  </si>
  <si>
    <t>福岡市南区弥永２－８－１０</t>
  </si>
  <si>
    <t>四日市市高角町２９９７</t>
  </si>
  <si>
    <t>横浜市中区日本大通１７</t>
  </si>
  <si>
    <t>福岡市中央区赤坂１－９－２０</t>
  </si>
  <si>
    <t>大阪市西区土佐堀１－４－８</t>
  </si>
  <si>
    <t>092-481-7246</t>
  </si>
  <si>
    <t>092-481-7248</t>
  </si>
  <si>
    <t>福岡市博多区博多駅東３－１－２９</t>
  </si>
  <si>
    <t>北九州市八幡西区黒崎城石３－４</t>
  </si>
  <si>
    <t>093-202-4146</t>
  </si>
  <si>
    <t>遠賀郡水巻町猪熊１０－２－１６</t>
  </si>
  <si>
    <t>春日市大土居３－１４５－１</t>
  </si>
  <si>
    <t>福岡市博多区博多駅前１－３１－１７</t>
  </si>
  <si>
    <t>097-574-5743</t>
  </si>
  <si>
    <t>097-574-5744</t>
  </si>
  <si>
    <t>大分市花津留２－１５－２４</t>
  </si>
  <si>
    <t>熊本市西区上熊本３－８－１</t>
  </si>
  <si>
    <t>092-433-3988</t>
  </si>
  <si>
    <t>092-433-3987</t>
  </si>
  <si>
    <t>福岡市博多区博多駅前２－２０－１５　第７岡部ビル９Ｆ</t>
  </si>
  <si>
    <t>敦賀市若葉町２－１７７０</t>
  </si>
  <si>
    <t>熊本市北区植木町石川４５０－１</t>
  </si>
  <si>
    <t>福岡市中央区渡辺通２－９－２２</t>
  </si>
  <si>
    <t>延岡市塩浜町４－１６４０－３１</t>
  </si>
  <si>
    <t>品川区戸越１－７－２０</t>
  </si>
  <si>
    <t>097-554-8110</t>
  </si>
  <si>
    <t>097-554-8120</t>
  </si>
  <si>
    <t>大分市下郡中央３－６－２</t>
  </si>
  <si>
    <t>トウシバ</t>
  </si>
  <si>
    <t>（株）東芝</t>
  </si>
  <si>
    <t>代表取締役社長執行役員ＣＥＯ</t>
  </si>
  <si>
    <t>092-735-3312</t>
  </si>
  <si>
    <t>092-735-3372</t>
  </si>
  <si>
    <t>大岩　愼治</t>
  </si>
  <si>
    <t>福岡市中央区舞鶴１－４－１９</t>
  </si>
  <si>
    <t>097-545-6636</t>
  </si>
  <si>
    <t>097-545-0668</t>
  </si>
  <si>
    <t>大分市広瀬町２－１－３６</t>
  </si>
  <si>
    <t>柳川市大和町徳益７１１－２</t>
  </si>
  <si>
    <t>三条市東三条１－２１－５</t>
  </si>
  <si>
    <t>江東区新砂１－３－３</t>
  </si>
  <si>
    <t>092-441-3767</t>
  </si>
  <si>
    <t>092-472-1608</t>
  </si>
  <si>
    <t>福岡市博多区博多駅前２－２－１</t>
  </si>
  <si>
    <t>宇田　克次</t>
  </si>
  <si>
    <t>港区赤坂７－１－１</t>
  </si>
  <si>
    <t>092-721-6781</t>
  </si>
  <si>
    <t>092-721-6785</t>
  </si>
  <si>
    <t>福岡市中央区天神４－６－７</t>
  </si>
  <si>
    <t>江東区佐賀１－３－７</t>
  </si>
  <si>
    <t>092-741-5180</t>
  </si>
  <si>
    <t>092-741-5182</t>
  </si>
  <si>
    <t>福岡市中央区大宮１－３－１０</t>
  </si>
  <si>
    <t>宮崎市大字跡江３８６－４</t>
  </si>
  <si>
    <t>佐賀市高木瀬西６－９－１</t>
  </si>
  <si>
    <t>加藤　達也</t>
  </si>
  <si>
    <t>大阪市中央区城見２－１－６１</t>
  </si>
  <si>
    <t>092-523-9623</t>
  </si>
  <si>
    <t>092-523-9639</t>
  </si>
  <si>
    <t>福岡市中央区薬院３－１－２４</t>
  </si>
  <si>
    <t>糟屋郡新宮町大字的野字香ノ木７４１－１</t>
  </si>
  <si>
    <t>093-482-5761</t>
  </si>
  <si>
    <t>093-482-5762</t>
  </si>
  <si>
    <t>北九州市戸畑区中原４６－１２７</t>
  </si>
  <si>
    <t>港区新橋６－９－２</t>
  </si>
  <si>
    <t>大阪市福島区海老江８－９－９</t>
  </si>
  <si>
    <t>鹿児島市高麗町３７－２１</t>
  </si>
  <si>
    <t>名古屋市中村区名駅４－２－１１</t>
  </si>
  <si>
    <t>092-761-2611</t>
  </si>
  <si>
    <t>092-781-2915</t>
  </si>
  <si>
    <t>福岡市中央区天神１－６－８</t>
  </si>
  <si>
    <t>川口　祥夫</t>
  </si>
  <si>
    <t>福岡市博多区麦野４－７－６</t>
  </si>
  <si>
    <t>097-556-7887</t>
  </si>
  <si>
    <t>097-556-9987</t>
  </si>
  <si>
    <t>大分市大津町１－２０－３８</t>
  </si>
  <si>
    <t>松尾　康人</t>
  </si>
  <si>
    <t>大阪市北区同心１－７－１４</t>
  </si>
  <si>
    <t>千代田区神田司町２－３</t>
  </si>
  <si>
    <t>092-431-7555</t>
  </si>
  <si>
    <t>092-431-7558</t>
  </si>
  <si>
    <t>福岡市博多区博多駅前２－２０－１　大博多ビル４Ｆ</t>
  </si>
  <si>
    <t>山口　眞</t>
  </si>
  <si>
    <t>西海市大島町１６０５－１</t>
  </si>
  <si>
    <t>092-418-1566</t>
  </si>
  <si>
    <t>092-418-1568</t>
  </si>
  <si>
    <t>松山　善博</t>
  </si>
  <si>
    <t>福岡市博多区井相田３－７－１２</t>
  </si>
  <si>
    <t>福岡市博多区博多駅南３－２５－１</t>
  </si>
  <si>
    <t>池田市豊島南２－１７６－１</t>
  </si>
  <si>
    <t>092-692-2562</t>
  </si>
  <si>
    <t>092-692-2563</t>
  </si>
  <si>
    <t>福岡市東区舞松原２－５－２２</t>
  </si>
  <si>
    <t>豊島区西巣鴨４－１４－５</t>
  </si>
  <si>
    <t>092-558-5607</t>
  </si>
  <si>
    <t>092-558-5608</t>
  </si>
  <si>
    <t>三浦　悟</t>
  </si>
  <si>
    <t>福岡市博多区元町１－７－８　ＭＦビル２－１０２</t>
  </si>
  <si>
    <t>江東区大島３－７－１７</t>
  </si>
  <si>
    <t>098-943-0422</t>
  </si>
  <si>
    <t>098-943-0433</t>
  </si>
  <si>
    <t>那覇市泉崎１－４－１６</t>
  </si>
  <si>
    <t>新潟市中央区女池神明２－３－１２</t>
  </si>
  <si>
    <t>笛吹市境川町石橋１３１４</t>
  </si>
  <si>
    <t>長崎市川口町１０－２</t>
  </si>
  <si>
    <t>092-292-0039</t>
  </si>
  <si>
    <t>092-292-0028</t>
  </si>
  <si>
    <t>大阪市北区東天満２－６－５</t>
  </si>
  <si>
    <t>港区芝浦４－９－２５</t>
  </si>
  <si>
    <t>050-3146-5330</t>
  </si>
  <si>
    <t>050-3146-5339</t>
  </si>
  <si>
    <t>大分市都町１－２－１９　大分都町第一生命ビルディング４階</t>
  </si>
  <si>
    <t>福岡市博多区板付４－６－３３</t>
  </si>
  <si>
    <t>福岡市博多区東光２－７－２５</t>
  </si>
  <si>
    <t>本巣市見延１４３０－８</t>
  </si>
  <si>
    <t>092-724-3060</t>
  </si>
  <si>
    <t>092-724-3086</t>
  </si>
  <si>
    <t>福岡市中央区大手門３－４－２２　ＯＭビル２Ｆ</t>
  </si>
  <si>
    <t>川口市芝下１－１－３</t>
  </si>
  <si>
    <t>096-331-2855</t>
  </si>
  <si>
    <t>096-331-2112</t>
  </si>
  <si>
    <t>熊本市東区東野４－１－３</t>
  </si>
  <si>
    <t>大阪市淀川区田川北１－１２－１１</t>
  </si>
  <si>
    <t>092-473-4590</t>
  </si>
  <si>
    <t>092-473-4599</t>
  </si>
  <si>
    <t>福岡市博多区東光２－１７－１７</t>
  </si>
  <si>
    <t>豊橋市向草間町字北新切９５</t>
  </si>
  <si>
    <t>大牟田市汐屋町５－１５</t>
  </si>
  <si>
    <t>福岡市南区折立町５－５９</t>
  </si>
  <si>
    <t>世田谷区瀬田１－２２－１９</t>
  </si>
  <si>
    <t>092-437-2525</t>
  </si>
  <si>
    <t>092-437-2555</t>
  </si>
  <si>
    <t>福岡市博多区東比恵３－１６－１４</t>
  </si>
  <si>
    <t>福岡市博多区堅粕４－２３－１２</t>
  </si>
  <si>
    <t>飯田市北方１０２３－１</t>
  </si>
  <si>
    <t>092-452-7200</t>
  </si>
  <si>
    <t>092-452-7205</t>
  </si>
  <si>
    <t>福岡市博多区博多駅前１－６－１６　西鉄博多駅前ビル６階</t>
  </si>
  <si>
    <t>文京区関口１－４３－５</t>
  </si>
  <si>
    <t>06-4803-5911</t>
  </si>
  <si>
    <t>06-4803-5921</t>
  </si>
  <si>
    <t>大阪市西区土佐堀２－２－４</t>
  </si>
  <si>
    <t>港区芝浦３－１６－１</t>
  </si>
  <si>
    <t>092-471-8096</t>
  </si>
  <si>
    <t>092-413-7707</t>
  </si>
  <si>
    <t>福岡市博多区博多駅前１－１８－６</t>
  </si>
  <si>
    <t>福岡市博多区東那珂３－５－３３</t>
  </si>
  <si>
    <t>豊島区南池袋１－１１－２２</t>
  </si>
  <si>
    <t>下関市綾羅木新町３－７－１</t>
  </si>
  <si>
    <t>千代田区神田須田町１－２５</t>
  </si>
  <si>
    <t>092-262-7801</t>
  </si>
  <si>
    <t>092-262-7830</t>
  </si>
  <si>
    <t>江東区木場２－１７－１６ビサイド木場１階</t>
  </si>
  <si>
    <t>須賀　高明</t>
  </si>
  <si>
    <t>092-235-3714</t>
  </si>
  <si>
    <t>福岡市中央区白金２－１１－９　ＣＲ福岡ビル２Ｆ</t>
  </si>
  <si>
    <t>092-531-7676</t>
  </si>
  <si>
    <t>092-531-9765</t>
  </si>
  <si>
    <t>茨木市星見町２２－１１</t>
  </si>
  <si>
    <t>092-586-7121</t>
  </si>
  <si>
    <t>092-404-2265</t>
  </si>
  <si>
    <t>福岡市博多区井相田３－６－３０</t>
  </si>
  <si>
    <t>092-771-0383</t>
  </si>
  <si>
    <t>092-771-0384</t>
  </si>
  <si>
    <t>大和市中央林間７－１０－１</t>
  </si>
  <si>
    <t>092-517-8857</t>
  </si>
  <si>
    <t>092-732-3730</t>
  </si>
  <si>
    <t>京都市中京区西ノ京徳大寺町１</t>
  </si>
  <si>
    <t>092-263-0075</t>
  </si>
  <si>
    <t>092-282-3295</t>
  </si>
  <si>
    <t>福岡市博多区冷泉町４－２０島津博多ビル２階</t>
  </si>
  <si>
    <t>名古屋市南区桜台２－５－２４</t>
  </si>
  <si>
    <t>092-433-7086</t>
  </si>
  <si>
    <t>092-433-7087</t>
  </si>
  <si>
    <t>福岡市博多区博多駅南４－３－９　３０４号室</t>
  </si>
  <si>
    <t>目黒区自由が丘３－１６－１５</t>
  </si>
  <si>
    <t>福山市御幸町中津原１７８７－１</t>
  </si>
  <si>
    <t>京都市左京区北白川下池田町７９－１</t>
  </si>
  <si>
    <t>エヌティティニシニホン</t>
  </si>
  <si>
    <t>ＮＴＴ西日本（株）</t>
  </si>
  <si>
    <t>大阪市都島区東野田町４－１５－８２</t>
  </si>
  <si>
    <t>097-537-6868</t>
  </si>
  <si>
    <t>097-537-7448</t>
  </si>
  <si>
    <t>大分市長浜町３－１５－７</t>
  </si>
  <si>
    <t>エヌティティドコモビジネス</t>
  </si>
  <si>
    <t>ＮＴＴドコモビジネス（株）</t>
  </si>
  <si>
    <t>千代田区大手町２－３－１大手町プレイス　ウエストタワー</t>
  </si>
  <si>
    <t>092-738-7555</t>
  </si>
  <si>
    <t>092-733-2528</t>
  </si>
  <si>
    <t>福岡市中央区渡辺通２－６－１</t>
  </si>
  <si>
    <t>ＮＴＴインフラネット（株）</t>
  </si>
  <si>
    <t>中央区東日本橋１－８－１</t>
  </si>
  <si>
    <t>東広島市西条町御薗宇６４００－４</t>
  </si>
  <si>
    <t>0942-41-1700</t>
  </si>
  <si>
    <t>0942-41-1701</t>
  </si>
  <si>
    <t>横浜市港南区港南台３－４－４６</t>
  </si>
  <si>
    <t>072-278-5521</t>
  </si>
  <si>
    <t>072-278-5519</t>
  </si>
  <si>
    <t>堺市中区伏尾４</t>
  </si>
  <si>
    <t>宇部市大字小串字沖ノ山１９８０</t>
  </si>
  <si>
    <t>092-781-2649</t>
  </si>
  <si>
    <t>092-781-2311</t>
  </si>
  <si>
    <t>福岡市中央区天神１－２－１２</t>
  </si>
  <si>
    <t>港区新橋１－１－１３</t>
  </si>
  <si>
    <t>092-436-6910</t>
  </si>
  <si>
    <t>092-436-6915</t>
  </si>
  <si>
    <t>黒瀬　英彰</t>
  </si>
  <si>
    <t>福岡市博多区博多駅前３－８－１０</t>
  </si>
  <si>
    <t>木村　郁雄</t>
  </si>
  <si>
    <t>武蔵野市中町２－９－３２</t>
  </si>
  <si>
    <t>092-272-1301</t>
  </si>
  <si>
    <t>092-272-2321</t>
  </si>
  <si>
    <t>芦田　一郎</t>
  </si>
  <si>
    <t>福岡市博多区御供所町３－２１</t>
  </si>
  <si>
    <t>江東区豊洲３－３－９</t>
  </si>
  <si>
    <t>092-432-6611</t>
  </si>
  <si>
    <t>092-432-6613</t>
  </si>
  <si>
    <t>福岡市博多区博多駅前１－１７－２１</t>
  </si>
  <si>
    <t>千代田区紀尾井町３－２３</t>
  </si>
  <si>
    <t>大阪市此花区四貫島２－２６－７</t>
  </si>
  <si>
    <t>北九州市小倉北区西港町３０－４</t>
  </si>
  <si>
    <t>0978-38-1150</t>
  </si>
  <si>
    <t>0978-38-1151</t>
  </si>
  <si>
    <t>石垣　淳</t>
  </si>
  <si>
    <t>078-921-8588</t>
  </si>
  <si>
    <t>078-921-8581</t>
  </si>
  <si>
    <t>明石市川崎町１－１</t>
  </si>
  <si>
    <t>北九州市小倉北区西港町９０－７</t>
  </si>
  <si>
    <t>097-529-6007</t>
  </si>
  <si>
    <t>097-529-7366</t>
  </si>
  <si>
    <t>大分市下郡東１－７－２</t>
  </si>
  <si>
    <t>岡山市北区大和町１－１－３０</t>
  </si>
  <si>
    <t>延岡市浜町２２２－１</t>
  </si>
  <si>
    <t>097-521-6190</t>
  </si>
  <si>
    <t>097-522-2784</t>
  </si>
  <si>
    <t>大分市大分市三佐６－２－６８</t>
  </si>
  <si>
    <t>横浜市港北区大豆戸町２７５</t>
  </si>
  <si>
    <t>大阪市淀川区新高１－８－１７</t>
  </si>
  <si>
    <t>千代田区大手町１－３－２</t>
  </si>
  <si>
    <t>093-551-4500</t>
  </si>
  <si>
    <t>093-551-4520</t>
  </si>
  <si>
    <t>佐々木　正広</t>
  </si>
  <si>
    <t>北九州市小倉北区堺町２－１－１</t>
  </si>
  <si>
    <t>墨田区両国２－１０－８住友不動産両国ビル</t>
  </si>
  <si>
    <t>097-578-9166</t>
  </si>
  <si>
    <t>097-578-9188</t>
  </si>
  <si>
    <t>大分市鶴崎１８１０－３</t>
  </si>
  <si>
    <t>前田　幸貴</t>
  </si>
  <si>
    <t>大阪市北区梅田１－１３－１　大阪梅田ツインタワーズ・サウス</t>
  </si>
  <si>
    <t>京都市南区東九条中御霊町５３－４</t>
  </si>
  <si>
    <t>渋谷区千駄ヶ谷４－２５－２</t>
  </si>
  <si>
    <t>092-281-0662</t>
  </si>
  <si>
    <t>092-281-0250</t>
  </si>
  <si>
    <t>福岡市中央区舞鶴３－９－３９</t>
  </si>
  <si>
    <t>札幌市清田区平岡９条１－１－６</t>
  </si>
  <si>
    <t>092-892-4521</t>
  </si>
  <si>
    <t>092-892-4522</t>
  </si>
  <si>
    <t>福岡市西区姪浜駅南４－１２－１２　ワコービル２　２階</t>
  </si>
  <si>
    <t>092-523-9744</t>
  </si>
  <si>
    <t>092-523-9717</t>
  </si>
  <si>
    <t>木村　亮</t>
  </si>
  <si>
    <t>大阪市鶴見区横堤５－７－２５</t>
  </si>
  <si>
    <t>092-557-9800</t>
  </si>
  <si>
    <t>092-554-1221</t>
  </si>
  <si>
    <t>福岡市南区清水３－１５－１５</t>
  </si>
  <si>
    <t>保坂　知洋</t>
  </si>
  <si>
    <t>千代田区外神田２－１４－５</t>
  </si>
  <si>
    <t>092-622-0240</t>
  </si>
  <si>
    <t>092-622-0241</t>
  </si>
  <si>
    <t>糟屋郡粕屋町仲原２６４８</t>
  </si>
  <si>
    <t>渋谷区渋谷１－１６－１４</t>
  </si>
  <si>
    <t>092-282-6111</t>
  </si>
  <si>
    <t>092-282-6101</t>
  </si>
  <si>
    <t>千代田区神田駿河台２－９</t>
  </si>
  <si>
    <t>092-724-1153</t>
  </si>
  <si>
    <t>092-724-1142</t>
  </si>
  <si>
    <t>福岡市中央区大名１－８－１０</t>
  </si>
  <si>
    <t>福岡市博多区東那珂２－１９－２５</t>
  </si>
  <si>
    <t>福岡市西区小戸３－５０－２０</t>
  </si>
  <si>
    <t>大阪市中央区南本町２－６－１２</t>
  </si>
  <si>
    <t>092-483-0765</t>
  </si>
  <si>
    <t>092-483-0676</t>
  </si>
  <si>
    <t>福岡市博多区博多駅前２－１１－１６</t>
  </si>
  <si>
    <t>今治市国分１－１－１８</t>
  </si>
  <si>
    <t>00020699</t>
  </si>
  <si>
    <t>ミツビシジュウコウレイネツ</t>
  </si>
  <si>
    <t>三菱重工冷熱（株）</t>
  </si>
  <si>
    <t>岡野　伸泰</t>
  </si>
  <si>
    <t>港区芝浦２－１１－５</t>
  </si>
  <si>
    <t>092-482-0008</t>
  </si>
  <si>
    <t>092-482-0080</t>
  </si>
  <si>
    <t>森口　賢一</t>
  </si>
  <si>
    <t>812-8646</t>
  </si>
  <si>
    <t>福岡市博多区榎田１－３－６２</t>
  </si>
  <si>
    <t>諫早市厚生町３－１８</t>
  </si>
  <si>
    <t>前田　一美</t>
  </si>
  <si>
    <t>熊本市南区野田３－１３－１</t>
  </si>
  <si>
    <t>601-8310</t>
  </si>
  <si>
    <t>京都市南区吉祥院西ノ庄猪之馬場町１</t>
  </si>
  <si>
    <t>092-721-3321</t>
  </si>
  <si>
    <t>092-721-1105</t>
  </si>
  <si>
    <t>福岡市中央区天神２－１２－１</t>
  </si>
  <si>
    <t>片山　剛次</t>
  </si>
  <si>
    <t>神戸市東灘区本山南町８－６－２６</t>
  </si>
  <si>
    <t>092-472-4009</t>
  </si>
  <si>
    <t>092-472-0630</t>
  </si>
  <si>
    <t>福岡市博多区半道橋１－２－１</t>
  </si>
  <si>
    <t>江東区豊洲１－１－１</t>
  </si>
  <si>
    <t>092-473-3003</t>
  </si>
  <si>
    <t>092-472-0791</t>
  </si>
  <si>
    <t>福岡市博多区博多駅前１－１－１</t>
  </si>
  <si>
    <t>大阪市西区京町堀１－６－１７</t>
  </si>
  <si>
    <t>千代田区大手町２－６－４</t>
  </si>
  <si>
    <t>092-741-5193</t>
  </si>
  <si>
    <t>092-741-5227</t>
  </si>
  <si>
    <t>福岡市中央区大名２－１１－１３</t>
  </si>
  <si>
    <t>佐久間　昭司</t>
  </si>
  <si>
    <t>港区芝３－８－２</t>
  </si>
  <si>
    <t>092-441-4329</t>
  </si>
  <si>
    <t>092-451-3680</t>
  </si>
  <si>
    <t>松山市美沢１－９－１</t>
  </si>
  <si>
    <t>092-292-1560</t>
  </si>
  <si>
    <t>092-412-5611</t>
  </si>
  <si>
    <t>福岡市博多区博多駅東３－４－２３</t>
  </si>
  <si>
    <t>大阪市天王寺区四天王寺１－１４－２９</t>
  </si>
  <si>
    <t>八千代市上高野１８２３－１</t>
  </si>
  <si>
    <t>092-477-5666</t>
  </si>
  <si>
    <t>092-477-5661</t>
  </si>
  <si>
    <t>早坂　翔太</t>
  </si>
  <si>
    <t>福岡市南区高木１－４－１０</t>
  </si>
  <si>
    <t>福岡市城南区鳥飼５－１３－３１</t>
  </si>
  <si>
    <t>佐藤　誉司</t>
  </si>
  <si>
    <t>092-452-0018</t>
  </si>
  <si>
    <t>092-441-2840</t>
  </si>
  <si>
    <t>濱田　智一</t>
  </si>
  <si>
    <t>品川区大崎１－５－１　大崎センタービル</t>
  </si>
  <si>
    <t>092-273-7102</t>
  </si>
  <si>
    <t>092-273-7081</t>
  </si>
  <si>
    <t>千代田区丸の内１－４－１</t>
  </si>
  <si>
    <t>092-738-1733</t>
  </si>
  <si>
    <t>品川区西品川１－１－１</t>
  </si>
  <si>
    <t>092-283-1675</t>
  </si>
  <si>
    <t>092-283-1677</t>
  </si>
  <si>
    <t>行橋市西宮市２－１３－１</t>
  </si>
  <si>
    <t>093-571-3023</t>
  </si>
  <si>
    <t>北九州市小倉北区大手町１２－１</t>
  </si>
  <si>
    <t>板橋区新河岸２－３－５</t>
  </si>
  <si>
    <t>097-569-5088</t>
  </si>
  <si>
    <t>097-569-4984</t>
  </si>
  <si>
    <t>黒木　真人</t>
  </si>
  <si>
    <t>大分市下郡東１－８－１６</t>
  </si>
  <si>
    <t>船橋市山野町２７</t>
  </si>
  <si>
    <t>092-431-6187</t>
  </si>
  <si>
    <t>092-451-5286</t>
  </si>
  <si>
    <t>福岡市博多区博多駅東１－１７－２５</t>
  </si>
  <si>
    <t>中野　順</t>
  </si>
  <si>
    <t>06-7709-9512</t>
  </si>
  <si>
    <t>06-7709-9536</t>
  </si>
  <si>
    <t>大阪市北区小松原町２－４　大阪富国生命ビル</t>
  </si>
  <si>
    <t>戸田市本町２－１０－１</t>
  </si>
  <si>
    <t>江東区牡丹３－１４－１５</t>
  </si>
  <si>
    <t>糟屋郡志免町大字志免９０</t>
  </si>
  <si>
    <t>097-560-0107</t>
  </si>
  <si>
    <t>097-560-0108</t>
  </si>
  <si>
    <t>大分市花江川３－３５</t>
  </si>
  <si>
    <t>摂津市千里丘１－６－１７</t>
  </si>
  <si>
    <t>加藤　芳朗</t>
  </si>
  <si>
    <t>名古屋市中区錦３－５－２７</t>
  </si>
  <si>
    <t>天野　圭弘</t>
  </si>
  <si>
    <t>439-0022</t>
  </si>
  <si>
    <t>菊川市東横地３３１１－１</t>
  </si>
  <si>
    <t>06-6152-6530</t>
  </si>
  <si>
    <t>06-6152-6531</t>
  </si>
  <si>
    <t>澤田　友則</t>
  </si>
  <si>
    <t>大阪市淀川区宮原４－３－１２　新大阪明幸ビル</t>
  </si>
  <si>
    <t>818-0024</t>
  </si>
  <si>
    <t>筑紫野市原田５－６－２９</t>
  </si>
  <si>
    <t>0977-75-9264</t>
  </si>
  <si>
    <t>0977-75-9265</t>
  </si>
  <si>
    <t>別府市田の湯町３－７</t>
  </si>
  <si>
    <t>福岡市中央区鳥飼２－６－５１</t>
  </si>
  <si>
    <t>湯川　雅之</t>
  </si>
  <si>
    <t>神栖市砂山１６－５</t>
  </si>
  <si>
    <t>06-6244-0610</t>
  </si>
  <si>
    <t>06-6244-0615</t>
  </si>
  <si>
    <t>大阪市中央区本町４－３－９</t>
  </si>
  <si>
    <t>南河内郡河南町大字一須賀４５３－１</t>
  </si>
  <si>
    <t>0964-56-6000</t>
  </si>
  <si>
    <t>0964-56-6006</t>
  </si>
  <si>
    <t>上天草市大矢野町登立３３５５－１</t>
  </si>
  <si>
    <t>福岡市中央区大名１－４－１</t>
  </si>
  <si>
    <t>千代田区丸の内２－７－２　ＪＰタワー</t>
  </si>
  <si>
    <t>墨田区押上１－１－２</t>
  </si>
  <si>
    <t>092-411-4433</t>
  </si>
  <si>
    <t>092-411-4160</t>
  </si>
  <si>
    <t>福岡市博多区博多駅南４－６－２３</t>
  </si>
  <si>
    <t>北九州市若松区北浜１－７－１</t>
  </si>
  <si>
    <t>093-761-2160</t>
  </si>
  <si>
    <t>093-771-3111</t>
  </si>
  <si>
    <t>福岡市中央区薬院４－１８－２６－８０３</t>
  </si>
  <si>
    <t>097-558-2626</t>
  </si>
  <si>
    <t>097-558-2356</t>
  </si>
  <si>
    <t>大分市明野北５－１７－１１</t>
  </si>
  <si>
    <t>福島市三河北町９－８０</t>
  </si>
  <si>
    <t>083-263-2822</t>
  </si>
  <si>
    <t>083-263-2823</t>
  </si>
  <si>
    <t>下関市一の宮町２－１３－２</t>
  </si>
  <si>
    <t>三鷹市牟礼６－２１－１１</t>
  </si>
  <si>
    <t>092-409-6012</t>
  </si>
  <si>
    <t>092-409-6013</t>
  </si>
  <si>
    <t>渋谷区神宮前１－５－１</t>
  </si>
  <si>
    <t>千代田区神田駿河台１－２－１</t>
  </si>
  <si>
    <t>092-289-0310</t>
  </si>
  <si>
    <t>092-289-0313</t>
  </si>
  <si>
    <t>吉開　　宏</t>
  </si>
  <si>
    <t>福岡市中央区天神１－３－３８　天神１２１ビル６階</t>
  </si>
  <si>
    <t>品川区大崎１－１１－２</t>
  </si>
  <si>
    <t>092-262-7800</t>
  </si>
  <si>
    <t>092-262-7810</t>
  </si>
  <si>
    <t>港区港南２－１５－３</t>
  </si>
  <si>
    <t>097-558-5656</t>
  </si>
  <si>
    <t>097-558-3582</t>
  </si>
  <si>
    <t>九州支社大分営業所</t>
  </si>
  <si>
    <t>木野　喬文</t>
  </si>
  <si>
    <t>大分市向原西１－８－２</t>
  </si>
  <si>
    <t>尼崎市南初島町１２－６</t>
  </si>
  <si>
    <t>近藤　浩太郎</t>
  </si>
  <si>
    <t>日野市旭が丘４－７－１</t>
  </si>
  <si>
    <t>092-762-1230</t>
  </si>
  <si>
    <t>092-762-3750</t>
  </si>
  <si>
    <t>尼崎市猪名寺３－５－１</t>
  </si>
  <si>
    <t>豊島区高田２－１７－２２　目白中野ビル１階</t>
  </si>
  <si>
    <t>港区港南２－３－１３</t>
  </si>
  <si>
    <t>06-6347-5860</t>
  </si>
  <si>
    <t>06-6347-5960</t>
  </si>
  <si>
    <t>大阪事業所</t>
  </si>
  <si>
    <t>湊　惇朗</t>
  </si>
  <si>
    <t>大阪市福島区福島３－１４－２４</t>
  </si>
  <si>
    <t>ニッテツカンキョウエネルギーサービス</t>
  </si>
  <si>
    <t>日鉄環境エネルギーサービス（株）</t>
  </si>
  <si>
    <t>北九州市戸畑区大字中原４６－５９</t>
  </si>
  <si>
    <t>093-588-7361</t>
  </si>
  <si>
    <t>千代田区外神田１－５－１</t>
  </si>
  <si>
    <t>092-262-7610</t>
  </si>
  <si>
    <t>092-262-7980</t>
  </si>
  <si>
    <t>江藤　將志</t>
  </si>
  <si>
    <t>鹿児島市下伊敷１－５３－１６</t>
  </si>
  <si>
    <t>097-547-8934</t>
  </si>
  <si>
    <t>097-547-8937</t>
  </si>
  <si>
    <t>大分市旭町６－１６</t>
  </si>
  <si>
    <t>福岡市博多区上呉服町１－８　北九州銀行呉服町ビル</t>
  </si>
  <si>
    <t>駿東郡長泉町南一色７２０</t>
  </si>
  <si>
    <t>092-431-0838</t>
  </si>
  <si>
    <t>092-474-4660</t>
  </si>
  <si>
    <t>福岡市博多区博多駅南２－９－１１　三共福岡ビル２Ｆ</t>
  </si>
  <si>
    <t>福岡市南区清水４－１９－１８</t>
  </si>
  <si>
    <t>097-568-6236</t>
  </si>
  <si>
    <t>097-568-6377</t>
  </si>
  <si>
    <t>牛島　瑞樹</t>
  </si>
  <si>
    <t>大分市下郡東２－１－３５</t>
  </si>
  <si>
    <t>佐倉市上志津１１１７－２</t>
  </si>
  <si>
    <t>0996-25-2888</t>
  </si>
  <si>
    <t>0996-25-3163</t>
  </si>
  <si>
    <t>薩摩川内市五代町３１８１－１２</t>
  </si>
  <si>
    <t>北九州市八幡西区穴生２－７－３</t>
  </si>
  <si>
    <t>横浜市中区錦町１２</t>
  </si>
  <si>
    <t>097-513-5116</t>
  </si>
  <si>
    <t>097-513-5226</t>
  </si>
  <si>
    <t>大分市都町１－２－１</t>
  </si>
  <si>
    <t>内田　拓秀</t>
  </si>
  <si>
    <t>名古屋市中川区好本町３－６７</t>
  </si>
  <si>
    <t>石田　恒子</t>
  </si>
  <si>
    <t>大田区池上４－１－１０</t>
  </si>
  <si>
    <t>0985-777-280</t>
  </si>
  <si>
    <t>0985-777-290</t>
  </si>
  <si>
    <t>宮崎営業所</t>
  </si>
  <si>
    <t>菅　洋二</t>
  </si>
  <si>
    <t>880-1301</t>
  </si>
  <si>
    <t>東諸県郡綾町入野４１１１</t>
  </si>
  <si>
    <t>久留米市梅満町１２０２</t>
  </si>
  <si>
    <t>福岡市中央区高砂２－２４－２３</t>
  </si>
  <si>
    <t>0979-22-3653</t>
  </si>
  <si>
    <t>0979-22-3661</t>
  </si>
  <si>
    <t>中津市大字下池永７０８－１</t>
  </si>
  <si>
    <t>品川区大崎５－５－５</t>
  </si>
  <si>
    <t>097-552-3159</t>
  </si>
  <si>
    <t>097-556-5102</t>
  </si>
  <si>
    <t>大分市日岡１－３－２０</t>
  </si>
  <si>
    <t>和歌山市吉田５６３－１</t>
  </si>
  <si>
    <t>092-731-3010</t>
  </si>
  <si>
    <t>092-731-3040</t>
  </si>
  <si>
    <t>福岡市中央区渡辺通５－２３－８</t>
  </si>
  <si>
    <t>千代田区神田練塀町３</t>
  </si>
  <si>
    <t>092-558-6253</t>
  </si>
  <si>
    <t>092-558-6270</t>
  </si>
  <si>
    <t>西日本支店　福岡営業所</t>
  </si>
  <si>
    <t>井口　和徳</t>
  </si>
  <si>
    <t>春日市日の出町２－４５</t>
  </si>
  <si>
    <t>渡辺　昭二</t>
  </si>
  <si>
    <t>大阪市西区江戸堀１－９－１</t>
  </si>
  <si>
    <t>092-721-4123</t>
  </si>
  <si>
    <t>092-721-4128</t>
  </si>
  <si>
    <t>岡山市北区横井上１６９６－２</t>
  </si>
  <si>
    <t>092-477-7757</t>
  </si>
  <si>
    <t>092-477-7767</t>
  </si>
  <si>
    <t>港区港南４－１－８</t>
  </si>
  <si>
    <t>092-715-8668</t>
  </si>
  <si>
    <t>092-715-8778</t>
  </si>
  <si>
    <t>00026215</t>
  </si>
  <si>
    <t>パナソニックエイジフリー</t>
  </si>
  <si>
    <t>パナソニックエイジフリー（株）</t>
  </si>
  <si>
    <t>坂口　哲也</t>
  </si>
  <si>
    <t>571-8686</t>
  </si>
  <si>
    <t>門真市大字門真１０４８</t>
  </si>
  <si>
    <t>06-6906-7269</t>
  </si>
  <si>
    <t>06-6907-4990</t>
  </si>
  <si>
    <t>福岡市南区向野１－２２－１１</t>
  </si>
  <si>
    <t>秋田市茨島２－１－７</t>
  </si>
  <si>
    <t>掛川市領家１４５０</t>
  </si>
  <si>
    <t>06-6392-0711</t>
  </si>
  <si>
    <t>06-6392-1011</t>
  </si>
  <si>
    <t>北野　克佳</t>
  </si>
  <si>
    <t>大阪市淀川区西宮原１－５－１０</t>
  </si>
  <si>
    <t>築上郡吉富町大字幸子８２９－６</t>
  </si>
  <si>
    <t>0978-25-6375</t>
  </si>
  <si>
    <t>872-1206</t>
  </si>
  <si>
    <t>豊後高田市羽根３５６２－４</t>
  </si>
  <si>
    <t>092-735-3069</t>
  </si>
  <si>
    <t>092-735-3317</t>
  </si>
  <si>
    <t>大阪市中央区淡路町３－６－３</t>
  </si>
  <si>
    <t>中島　滋</t>
  </si>
  <si>
    <t>港区芝５－３３－１１</t>
  </si>
  <si>
    <t>0848-67-7340</t>
  </si>
  <si>
    <t>0848-67-3119</t>
  </si>
  <si>
    <t>三原市糸崎南１－１－１</t>
  </si>
  <si>
    <t>ミツイイ－アンドエス</t>
  </si>
  <si>
    <t>中央区築地５－６－４</t>
  </si>
  <si>
    <t>佐世保市小佐々町葛籠２７８－１８</t>
  </si>
  <si>
    <t>092-473-5049</t>
  </si>
  <si>
    <t>092-473-5048</t>
  </si>
  <si>
    <t>福岡市博多区博多駅前２－１９－２７　九勧博多駅前ビル</t>
  </si>
  <si>
    <t>さいたま市大宮区桜木町１－１０－１７</t>
  </si>
  <si>
    <t>03-5534-2625</t>
  </si>
  <si>
    <t>03-5534-2559</t>
  </si>
  <si>
    <t>江東区新木場１－１８－７</t>
  </si>
  <si>
    <t>港区東新橋１－９－２</t>
  </si>
  <si>
    <t>092-517-5740</t>
  </si>
  <si>
    <t>092-715-7429</t>
  </si>
  <si>
    <t>福岡市中央区天神３－９－２５</t>
  </si>
  <si>
    <t>奥　慎太郎</t>
  </si>
  <si>
    <t>092-627-7201</t>
  </si>
  <si>
    <t>092-627-7202</t>
  </si>
  <si>
    <t>福岡市博多区御供所町１－１</t>
  </si>
  <si>
    <t>港区芝浦４－１６－２３</t>
  </si>
  <si>
    <t>福岡市博多区博多駅東１－３－１０</t>
  </si>
  <si>
    <t>北九州市八幡西区市瀬３－７－４１</t>
  </si>
  <si>
    <t>日置市東市来町長里１８２７－２</t>
  </si>
  <si>
    <t>津市雲出長常町１１２９－１１</t>
  </si>
  <si>
    <t>福岡市博多区浦田２－１－８</t>
  </si>
  <si>
    <t>097-536-5382</t>
  </si>
  <si>
    <t>097-532-0254</t>
  </si>
  <si>
    <t>大分市長浜町２－２－３２</t>
  </si>
  <si>
    <t>木上　秀則</t>
  </si>
  <si>
    <t>097-529-7163</t>
  </si>
  <si>
    <t>097-538-7017</t>
  </si>
  <si>
    <t>港区港南１－７－１</t>
  </si>
  <si>
    <t>092-332-2282</t>
  </si>
  <si>
    <t>092-332-2283</t>
  </si>
  <si>
    <t>糸島市加布里４－２－１２</t>
  </si>
  <si>
    <t>福岡市中央区舞鶴２－４－５</t>
  </si>
  <si>
    <t>武蔵村山市伊奈平１－７０－２</t>
  </si>
  <si>
    <t>静岡市清水区幸町２－１２</t>
  </si>
  <si>
    <t>092-514-1717</t>
  </si>
  <si>
    <t>092-514-1720</t>
  </si>
  <si>
    <t>大野城市川久保３－７－３５</t>
  </si>
  <si>
    <t>玉野市玉３－１－１</t>
  </si>
  <si>
    <t>港区芝５－７－１</t>
  </si>
  <si>
    <t>050-3757-1311</t>
  </si>
  <si>
    <t>谷津　賀章</t>
  </si>
  <si>
    <t>00029083</t>
  </si>
  <si>
    <t>トウシバインフラテクノサービス</t>
  </si>
  <si>
    <t>東芝インフラテクノサービス（株）</t>
  </si>
  <si>
    <t>的場　雅啓</t>
  </si>
  <si>
    <t>新宿区西新宿６－２４－１</t>
  </si>
  <si>
    <t>092-735-3053</t>
  </si>
  <si>
    <t>092-735-3510</t>
  </si>
  <si>
    <t>足立　智洋</t>
  </si>
  <si>
    <t>福岡市博多区東那珂１－１４－２０</t>
  </si>
  <si>
    <t>小野　敬</t>
  </si>
  <si>
    <t>熊谷市末広４－１４－１</t>
  </si>
  <si>
    <t>目黒区青葉台１－２８－９</t>
  </si>
  <si>
    <t>港区港南２－１６－１</t>
  </si>
  <si>
    <t>鈴木　正範</t>
  </si>
  <si>
    <t>江東区豊洲３－３－３</t>
  </si>
  <si>
    <t>江東区大島８－１９－４</t>
  </si>
  <si>
    <t>府中市矢崎町４－１６</t>
  </si>
  <si>
    <t>豊島区東池袋３－１－３</t>
  </si>
  <si>
    <t>港区海岸３－２０－２０ヨコソーレインボータワー</t>
  </si>
  <si>
    <t>13160429</t>
  </si>
  <si>
    <t>フジツウフロンテック</t>
  </si>
  <si>
    <t>富士通フロンテック（株）</t>
  </si>
  <si>
    <t>渡部　広史</t>
  </si>
  <si>
    <t>206-8555</t>
  </si>
  <si>
    <t>稲城市矢野口１７７６</t>
  </si>
  <si>
    <t>092-452-2365</t>
  </si>
  <si>
    <t>宮原　慎二</t>
  </si>
  <si>
    <t>福岡市博多区東比恵１－５－１３　東比恵ビジネスセンター２</t>
  </si>
  <si>
    <t>13161235</t>
  </si>
  <si>
    <t>トウキョウコウクウケイキ</t>
  </si>
  <si>
    <t>東京航空計器（株）</t>
  </si>
  <si>
    <t>木村　秀一</t>
  </si>
  <si>
    <t>194-0296</t>
  </si>
  <si>
    <t>町田市小山ヶ丘２－２－６</t>
  </si>
  <si>
    <t>042-798-6611</t>
  </si>
  <si>
    <t>042-798-6641</t>
  </si>
  <si>
    <t>横浜市中区長者町４－９－８</t>
  </si>
  <si>
    <t>小田原市根府川６２５－７</t>
  </si>
  <si>
    <t>島田市金谷東２－１０４６</t>
  </si>
  <si>
    <t>浜松市東区篠ケ瀬町５５４－４</t>
  </si>
  <si>
    <t>東近江市市子殿町１３６９</t>
  </si>
  <si>
    <t>宇治市大久保町旦椋９４－１</t>
  </si>
  <si>
    <t>27002241</t>
  </si>
  <si>
    <t>ヤマムラチクロコウギョウ</t>
  </si>
  <si>
    <t>山村築炉工業（株）</t>
  </si>
  <si>
    <t>山村　直之</t>
  </si>
  <si>
    <t>556-0024</t>
  </si>
  <si>
    <t>大阪市浪速区塩草３－５－５</t>
  </si>
  <si>
    <t>06-6561-5665</t>
  </si>
  <si>
    <t>06-6568-6392</t>
  </si>
  <si>
    <t>大阪市西区境川２－１－４４</t>
  </si>
  <si>
    <t>大阪市中央区石町１－１－１　天満橋千代田ビル２号館７階</t>
  </si>
  <si>
    <t>大阪市北区天神橋７－１２－１４　グレーシィ天神橋</t>
  </si>
  <si>
    <t>堺市堺区神南辺町２－９０－５</t>
  </si>
  <si>
    <t>八尾市太田新町６－２６</t>
  </si>
  <si>
    <t>三木市別所町巴２０</t>
  </si>
  <si>
    <t>姫路市大津区勘兵衛町４－１</t>
  </si>
  <si>
    <t>奈良市宝来４－１７－１０</t>
  </si>
  <si>
    <t>岡山市東区楢原５１０</t>
  </si>
  <si>
    <t>東広島市黒瀬楢原東１－１１－１２</t>
  </si>
  <si>
    <t>福山市神辺町大字川南字三ノ丁３９６－２</t>
  </si>
  <si>
    <t>広島市中区舟入中町２－１４</t>
  </si>
  <si>
    <t>増子　利健</t>
  </si>
  <si>
    <t>東広島市八本松町原１０８５２－１</t>
  </si>
  <si>
    <t>高松市牟礼町牟礼２２４６</t>
  </si>
  <si>
    <t>観音寺市中田井町１</t>
  </si>
  <si>
    <t>松山市三津３－２－３７</t>
  </si>
  <si>
    <t>松山市土居田町２６５－１１</t>
  </si>
  <si>
    <t>福岡市博多区博多駅南４－１８－５</t>
  </si>
  <si>
    <t>久留米市荒木町荒木１－７</t>
  </si>
  <si>
    <t>飯塚市大分５６７</t>
  </si>
  <si>
    <t>北九州市八幡西区東神原町３－３１</t>
  </si>
  <si>
    <t>福岡市早良区田隈２－２４－１７</t>
  </si>
  <si>
    <t>福岡市南区大楠２－１２－１２</t>
  </si>
  <si>
    <t>福岡市博多区吉塚６－６－５９</t>
  </si>
  <si>
    <t>福岡市博多区新和町２－３－３２</t>
  </si>
  <si>
    <t>福岡市博多区対馬小路９－２３</t>
  </si>
  <si>
    <t>坂本　武文</t>
  </si>
  <si>
    <t>福岡市南区若久５－２４－２５</t>
  </si>
  <si>
    <t>福岡市博多区麦野１－１３－６</t>
  </si>
  <si>
    <t>40020086</t>
  </si>
  <si>
    <t>トオーツウ</t>
  </si>
  <si>
    <t>（株）トオーツウ</t>
  </si>
  <si>
    <t>日高　真弓</t>
  </si>
  <si>
    <t>803-0864</t>
  </si>
  <si>
    <t>北九州市小倉北区熊谷４－１５－７</t>
  </si>
  <si>
    <t>093-561-8811</t>
  </si>
  <si>
    <t>093-592-6451</t>
  </si>
  <si>
    <t>福岡市博多区月隈２－４－２</t>
  </si>
  <si>
    <t>福岡市早良区有田３－８－２５</t>
  </si>
  <si>
    <t>久留米市日ノ出町１００</t>
  </si>
  <si>
    <t>福岡市中央区草香江２－２－２０</t>
  </si>
  <si>
    <t>福岡市南区大橋１－２－１９</t>
  </si>
  <si>
    <t>行橋市大字長木１２７３</t>
  </si>
  <si>
    <t>福岡市東区馬出５－３６－４３</t>
  </si>
  <si>
    <t>大川市大字酒見５３５</t>
  </si>
  <si>
    <t>境　泰二郎</t>
  </si>
  <si>
    <t>福岡市中央区舞鶴３－６－２３</t>
  </si>
  <si>
    <t>福岡市中央区大濠２－１０－１０</t>
  </si>
  <si>
    <t>福岡市博多区金の隈２－１－３０</t>
  </si>
  <si>
    <t>北九州市八幡西区市瀬１－２－１</t>
  </si>
  <si>
    <t>40061931</t>
  </si>
  <si>
    <t>キュウシュウコウアツコンクリートコウギョ</t>
  </si>
  <si>
    <t>九州高圧コンクリート工業（株）</t>
  </si>
  <si>
    <t>大坪　武弘</t>
  </si>
  <si>
    <t>福岡市南区向野１－１３－１４</t>
  </si>
  <si>
    <t>092-554-6667</t>
  </si>
  <si>
    <t>092-554-6702</t>
  </si>
  <si>
    <t>高橋　真生</t>
  </si>
  <si>
    <t>800-0064</t>
  </si>
  <si>
    <t>北九州市門司区松原２－８－２０</t>
  </si>
  <si>
    <t>811-1321</t>
  </si>
  <si>
    <t>福岡市南区柳瀬２－３－２</t>
  </si>
  <si>
    <t>092-707-8188</t>
  </si>
  <si>
    <t>092-707-8189</t>
  </si>
  <si>
    <t>福岡市早良区内野４－１４－８</t>
  </si>
  <si>
    <t>柴田　淳司</t>
  </si>
  <si>
    <t>福岡市西区姪の浜４－１０－５</t>
  </si>
  <si>
    <t>北九州市若松区北湊町３－２１</t>
  </si>
  <si>
    <t>筑紫野市大字山家４０５５－１</t>
  </si>
  <si>
    <t>豊前市八屋２５４４</t>
  </si>
  <si>
    <t>福岡市博多区博多駅前４－１４－１</t>
  </si>
  <si>
    <t>飯塚市目尾６６１－１６</t>
  </si>
  <si>
    <t>朝倉市牛木９００－１</t>
  </si>
  <si>
    <t>福岡市城南区鳥飼５－２－３８</t>
  </si>
  <si>
    <t>筑紫野市大字山家２０４５－８</t>
  </si>
  <si>
    <t>福岡市東区箱崎１－３５－７</t>
  </si>
  <si>
    <t>福岡市博多区博多駅中央街７－２１　給与博多中央ビル</t>
  </si>
  <si>
    <t>田川郡福智町上野１４７１</t>
  </si>
  <si>
    <t>京都郡苅田町鳥越町１－２６</t>
  </si>
  <si>
    <t>北九州市戸畑区川代２－１－２</t>
  </si>
  <si>
    <t>福岡市中央区那の津３－１５－３</t>
  </si>
  <si>
    <t>福岡市博多区東公園６－２１</t>
  </si>
  <si>
    <t>福岡市南区警弥郷１－１５－１０</t>
  </si>
  <si>
    <t>40102613</t>
  </si>
  <si>
    <t>ナイガイ</t>
  </si>
  <si>
    <t>（株）ナイガイ</t>
  </si>
  <si>
    <t>古財　琢磨</t>
  </si>
  <si>
    <t>久留米市東合川６－４－５２</t>
  </si>
  <si>
    <t>0942-44-7711</t>
  </si>
  <si>
    <t>0942-44-7713</t>
  </si>
  <si>
    <t>福岡市博多区光丘町１－２－３０</t>
  </si>
  <si>
    <t>福岡市博多区金の隈２－１７－３５</t>
  </si>
  <si>
    <t>北九州市若松区響町３－１－３３</t>
  </si>
  <si>
    <t>福岡市中央区渡辺通２－３－３</t>
  </si>
  <si>
    <t>行橋市大字辻垣１３３－１</t>
  </si>
  <si>
    <t>福岡市博多区東光寺町２－１－８</t>
  </si>
  <si>
    <t>大野城市大城５－２１－２１</t>
  </si>
  <si>
    <t>福岡市博多区博多駅前２－１９－１７</t>
  </si>
  <si>
    <t>吉永　久範</t>
  </si>
  <si>
    <t>福岡市早良区有田６－１２－２１</t>
  </si>
  <si>
    <t>福岡市博多区博多駅南３－１８－９</t>
  </si>
  <si>
    <t>092-471-7535</t>
  </si>
  <si>
    <t>ダイハツインフィニアースニシニホン</t>
  </si>
  <si>
    <t>ダイハツインフィニアース西日本（株）</t>
  </si>
  <si>
    <t>40117474</t>
  </si>
  <si>
    <t>福岡市南区野間１－１１－３６</t>
  </si>
  <si>
    <t>40117707</t>
  </si>
  <si>
    <t>北九州市戸畑区中原東４－２－１</t>
  </si>
  <si>
    <t>伊万里市瀬戸町２２６９－５３</t>
  </si>
  <si>
    <t>多久市多久町３５５５－１２０</t>
  </si>
  <si>
    <t>佐世保市俵町２４－２９</t>
  </si>
  <si>
    <t>佐世保市三川内新町８－９</t>
  </si>
  <si>
    <t>佐世保市棚方町４８８－１７</t>
  </si>
  <si>
    <t>佐世保市干尽町６－３</t>
  </si>
  <si>
    <t>42014291</t>
  </si>
  <si>
    <t>エヌワイクラフト</t>
  </si>
  <si>
    <t>ＮＹクラフト（合）</t>
  </si>
  <si>
    <t>榮村　雄二</t>
  </si>
  <si>
    <t>854-1105</t>
  </si>
  <si>
    <t>諫早市飯盛町後田１６５２－３</t>
  </si>
  <si>
    <t>0957-48-0760</t>
  </si>
  <si>
    <t>0957-48-0763</t>
  </si>
  <si>
    <t>阿蘇市三久保２３３－１３５</t>
  </si>
  <si>
    <t>熊本市西区春日５－１－１１</t>
  </si>
  <si>
    <t>熊本市中央区水前寺６－３－１２</t>
  </si>
  <si>
    <t>熊本市南区良町５－１６－７</t>
  </si>
  <si>
    <t>熊本市東区健軍１－３８－１</t>
  </si>
  <si>
    <t>人吉市西間上町２４７９－１</t>
  </si>
  <si>
    <t>山鹿市鹿本町高橋４７３</t>
  </si>
  <si>
    <t>宇土市松山町１９７４</t>
  </si>
  <si>
    <t>熊本市中央区水前寺６－４９－５</t>
  </si>
  <si>
    <t>延岡市大武町７８７－１</t>
  </si>
  <si>
    <t>延岡市大武町３９－７０</t>
  </si>
  <si>
    <t>45002036</t>
  </si>
  <si>
    <t>クラモトテツコウ</t>
  </si>
  <si>
    <t>倉本鐵工（株）</t>
  </si>
  <si>
    <t>倉本　英和</t>
  </si>
  <si>
    <t>883-0062</t>
  </si>
  <si>
    <t>日向市大字日知屋１７３０５</t>
  </si>
  <si>
    <t>0982-52-4489</t>
  </si>
  <si>
    <t>0982-52-1704</t>
  </si>
  <si>
    <t>延岡市大武町５３０４－１</t>
  </si>
  <si>
    <t>宮崎市大字瓜生野６２９８－８</t>
  </si>
  <si>
    <t>宮崎市佐土原町東上那珂１６０７９－７０</t>
  </si>
  <si>
    <t>大山　真</t>
  </si>
  <si>
    <t>宮崎市生目台西３－８－１</t>
  </si>
  <si>
    <t>宮崎市城ケ崎４－１６－１４</t>
  </si>
  <si>
    <t>延岡市塩浜町３－１７５２－２２</t>
  </si>
  <si>
    <t>鹿児島市七ツ島１－１－２６</t>
  </si>
  <si>
    <t>鹿児島市東谷山５－２０－１１</t>
  </si>
  <si>
    <t>鹿児島市田上町４３５１</t>
  </si>
  <si>
    <t>　</t>
    <phoneticPr fontId="2"/>
  </si>
  <si>
    <t>開札日時</t>
    <phoneticPr fontId="2"/>
  </si>
  <si>
    <t>入札方式</t>
    <phoneticPr fontId="2"/>
  </si>
  <si>
    <t>　ともに、受注者との間で協議が整わなかったこと又は当該協議に関して受注者が第62条に規定するあっせん若しくは調停</t>
    <phoneticPr fontId="2"/>
  </si>
  <si>
    <t>　もに、受注者との間で協議が整わなかったこと、当該協議に関して受注者が第62条に規定するあっせん若しくは調停を</t>
    <phoneticPr fontId="2"/>
  </si>
  <si>
    <t>　請求したこと又は第63条に規定する仲裁を申請したことを理由として、不利益な取扱いをしてはならない。</t>
    <phoneticPr fontId="2"/>
  </si>
  <si>
    <t>　を請求したこと又は第63条に規定する仲裁を申請したことを理由として、不利益な取扱いをしてはならない。</t>
    <phoneticPr fontId="2"/>
  </si>
  <si>
    <t>　留意するとともに、受注者との間で協議が整わなかったこと、当該協議に関して受注者が第62条に規定するあっせん</t>
    <phoneticPr fontId="2"/>
  </si>
  <si>
    <t>　若しくは調停を請求したこと又は第63条に規定する仲裁を申請したことを理由として、不利益な取扱いをしてはならない。　</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</si>
</sst>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6">
    <numFmt numFmtId="5" formatCode="&quot;¥&quot;#,##0;&quot;¥&quot;\-#,##0"/>
    <numFmt numFmtId="176" formatCode="[$-411]ggge&quot;年&quot;m&quot;月&quot;d&quot;日&quot;;@"/>
    <numFmt numFmtId="177" formatCode="#,##0&quot; 円（税込み）&quot;"/>
    <numFmt numFmtId="178" formatCode="#,##0&quot; 円（税抜き）&quot;"/>
    <numFmt numFmtId="179" formatCode="General&quot; 日間&quot;"/>
    <numFmt numFmtId="180" formatCode="&quot;期&quot;&quot;間&quot;\:\ General&quot; 日間&quot;"/>
    <numFmt numFmtId="181" formatCode="[$-411]gggee&quot;年&quot;mm&quot;月&quot;dd&quot;日&quot;;@"/>
    <numFmt numFmtId="182" formatCode="General&quot; の位&quot;"/>
    <numFmt numFmtId="183" formatCode="0_);[Red]\(0\)"/>
    <numFmt numFmtId="184" formatCode="@\ &quot;回&quot;"/>
    <numFmt numFmtId="185" formatCode="0.0&quot;/1000&quot;"/>
    <numFmt numFmtId="186" formatCode="0.0"/>
    <numFmt numFmtId="187" formatCode="0_ "/>
    <numFmt numFmtId="188" formatCode="#,##0_ ;[Red]\-#,##0\ "/>
    <numFmt numFmtId="189" formatCode="#,##0_);[Red]\(#,##0\)"/>
    <numFmt numFmtId="190" formatCode="0000000"/>
    <numFmt numFmtId="191" formatCode="@&quot;回&quot;"/>
    <numFmt numFmtId="192" formatCode="#,##0.0;[Red]\-#,##0.0"/>
    <numFmt numFmtId="193" formatCode="0\ &quot;円／枚&quot;"/>
    <numFmt numFmtId="194" formatCode="&quot;/&quot;\ #,##0"/>
    <numFmt numFmtId="195" formatCode="&quot;¥&quot;#,##0\-"/>
    <numFmt numFmtId="196" formatCode="m/d;@"/>
    <numFmt numFmtId="197" formatCode="#,##0_ "/>
    <numFmt numFmtId="198" formatCode="&quot;¥&quot;General\-"/>
    <numFmt numFmtId="199" formatCode="#,##0&quot;人&quot;"/>
    <numFmt numFmtId="200" formatCode="&quot;第&quot;\ 000000\ &quot;号&quot;"/>
  </numFmts>
  <fonts count="98">
    <font>
      <sz val="11"/>
      <color theme="1"/>
      <name val="ＭＳ Ｐゴシック"/>
      <family val="2"/>
      <charset val="128"/>
    </font>
    <font>
      <sz val="11"/>
      <color theme="1"/>
      <name val="ＭＳ Ｐゴシック"/>
      <family val="2"/>
      <charset val="128"/>
    </font>
    <font>
      <sz val="6"/>
      <name val="ＭＳ Ｐゴシック"/>
      <family val="2"/>
      <charset val="128"/>
    </font>
    <font>
      <sz val="11"/>
      <color theme="1"/>
      <name val="BIZ UDゴシック"/>
      <family val="3"/>
      <charset val="128"/>
    </font>
    <font>
      <sz val="11"/>
      <color rgb="FFFF0000"/>
      <name val="BIZ UDゴシック"/>
      <family val="3"/>
      <charset val="128"/>
    </font>
    <font>
      <sz val="11"/>
      <color rgb="FFFF0000"/>
      <name val="ＭＳ Ｐゴシック"/>
      <family val="2"/>
      <charset val="128"/>
    </font>
    <font>
      <sz val="11"/>
      <color rgb="FFFF0000"/>
      <name val="ＭＳ Ｐゴシック"/>
      <family val="3"/>
      <charset val="128"/>
    </font>
    <font>
      <b/>
      <sz val="11"/>
      <color rgb="FFFF0000"/>
      <name val="ＭＳ Ｐゴシック"/>
      <family val="3"/>
      <charset val="128"/>
    </font>
    <font>
      <b/>
      <sz val="11"/>
      <color theme="1"/>
      <name val="ＭＳ Ｐゴシック"/>
      <family val="3"/>
      <charset val="128"/>
    </font>
    <font>
      <b/>
      <sz val="20"/>
      <color rgb="FFFF0000"/>
      <name val="ＭＳ Ｐゴシック"/>
      <family val="3"/>
      <charset val="128"/>
    </font>
    <font>
      <sz val="11"/>
      <name val="ＭＳ Ｐゴシック"/>
      <family val="3"/>
      <charset val="128"/>
    </font>
    <font>
      <b/>
      <sz val="11"/>
      <name val="ＭＳ Ｐゴシック"/>
      <family val="3"/>
      <charset val="128"/>
    </font>
    <font>
      <sz val="11"/>
      <name val="ＭＳ Ｐゴシック"/>
      <family val="2"/>
      <charset val="128"/>
    </font>
    <font>
      <sz val="11"/>
      <color theme="0"/>
      <name val="BIZ UDゴシック"/>
      <family val="3"/>
      <charset val="128"/>
    </font>
    <font>
      <sz val="11"/>
      <name val="BIZ UDPゴシック"/>
      <family val="3"/>
      <charset val="128"/>
    </font>
    <font>
      <b/>
      <sz val="16"/>
      <color theme="1"/>
      <name val="BIZ UDゴシック"/>
      <family val="3"/>
      <charset val="128"/>
    </font>
    <font>
      <b/>
      <sz val="11"/>
      <color rgb="FFFF0000"/>
      <name val="BIZ UDゴシック"/>
      <family val="3"/>
      <charset val="128"/>
    </font>
    <font>
      <sz val="16"/>
      <color theme="1"/>
      <name val="BIZ UDゴシック"/>
      <family val="3"/>
      <charset val="128"/>
    </font>
    <font>
      <sz val="11"/>
      <color theme="1"/>
      <name val="BIZ UDPゴシック"/>
      <family val="3"/>
      <charset val="128"/>
    </font>
    <font>
      <sz val="14"/>
      <color theme="1"/>
      <name val="BIZ UDPゴシック"/>
      <family val="3"/>
      <charset val="128"/>
    </font>
    <font>
      <u/>
      <sz val="11"/>
      <color theme="10"/>
      <name val="ＭＳ Ｐゴシック"/>
      <family val="2"/>
      <charset val="128"/>
    </font>
    <font>
      <b/>
      <u/>
      <sz val="11"/>
      <color theme="10"/>
      <name val="BIZ UDPゴシック"/>
      <family val="3"/>
      <charset val="128"/>
    </font>
    <font>
      <b/>
      <sz val="11"/>
      <color rgb="FF0070C0"/>
      <name val="ＭＳ Ｐゴシック"/>
      <family val="3"/>
      <charset val="128"/>
    </font>
    <font>
      <b/>
      <sz val="11"/>
      <color theme="1"/>
      <name val="BIZ UDゴシック"/>
      <family val="3"/>
      <charset val="128"/>
    </font>
    <font>
      <sz val="6"/>
      <name val="ＭＳ Ｐゴシック"/>
      <family val="3"/>
      <charset val="128"/>
    </font>
    <font>
      <sz val="22"/>
      <color theme="1"/>
      <name val="ＭＳ Ｐゴシック"/>
      <family val="2"/>
      <charset val="128"/>
    </font>
    <font>
      <b/>
      <sz val="22"/>
      <color theme="1"/>
      <name val="ＭＳ Ｐゴシック"/>
      <family val="3"/>
      <charset val="128"/>
    </font>
    <font>
      <sz val="22"/>
      <color theme="1"/>
      <name val="ＭＳ Ｐゴシック"/>
      <family val="3"/>
      <charset val="128"/>
    </font>
    <font>
      <sz val="20"/>
      <color theme="1"/>
      <name val="BIZ UDPゴシック"/>
      <family val="3"/>
      <charset val="128"/>
    </font>
    <font>
      <sz val="12"/>
      <name val="BIZ UDゴシック"/>
      <family val="3"/>
      <charset val="128"/>
    </font>
    <font>
      <sz val="11"/>
      <color theme="1"/>
      <name val="BIZ UD明朝 Medium"/>
      <family val="1"/>
      <charset val="128"/>
    </font>
    <font>
      <sz val="14"/>
      <color theme="1"/>
      <name val="BIZ UD明朝 Medium"/>
      <family val="1"/>
      <charset val="128"/>
    </font>
    <font>
      <sz val="15"/>
      <color theme="1"/>
      <name val="BIZ UD明朝 Medium"/>
      <family val="1"/>
      <charset val="128"/>
    </font>
    <font>
      <sz val="10"/>
      <color theme="1"/>
      <name val="BIZ UD明朝 Medium"/>
      <family val="1"/>
      <charset val="128"/>
    </font>
    <font>
      <sz val="8"/>
      <color theme="1"/>
      <name val="BIZ UD明朝 Medium"/>
      <family val="1"/>
      <charset val="128"/>
    </font>
    <font>
      <sz val="9.5"/>
      <color theme="1"/>
      <name val="BIZ UD明朝 Medium"/>
      <family val="1"/>
      <charset val="128"/>
    </font>
    <font>
      <sz val="20"/>
      <color theme="1"/>
      <name val="BIZ UD明朝 Medium"/>
      <family val="1"/>
      <charset val="128"/>
    </font>
    <font>
      <sz val="16"/>
      <color theme="1"/>
      <name val="BIZ UD明朝 Medium"/>
      <family val="1"/>
      <charset val="128"/>
    </font>
    <font>
      <sz val="11"/>
      <name val="BIZ UDゴシック"/>
      <family val="3"/>
      <charset val="128"/>
    </font>
    <font>
      <b/>
      <u/>
      <sz val="11"/>
      <color theme="8"/>
      <name val="BIZ UDゴシック"/>
      <family val="3"/>
      <charset val="128"/>
    </font>
    <font>
      <strike/>
      <sz val="16"/>
      <color theme="1"/>
      <name val="BIZ UD明朝 Medium"/>
      <family val="1"/>
      <charset val="128"/>
    </font>
    <font>
      <sz val="11"/>
      <color theme="0" tint="-0.249977111117893"/>
      <name val="BIZ UD明朝 Medium"/>
      <family val="1"/>
      <charset val="128"/>
    </font>
    <font>
      <sz val="18"/>
      <color theme="1"/>
      <name val="BIZ UD明朝 Medium"/>
      <family val="1"/>
      <charset val="128"/>
    </font>
    <font>
      <b/>
      <sz val="11"/>
      <color theme="0"/>
      <name val="ＭＳ Ｐゴシック"/>
      <family val="2"/>
      <charset val="128"/>
    </font>
    <font>
      <sz val="11"/>
      <color theme="0"/>
      <name val="ＭＳ Ｐゴシック"/>
      <family val="2"/>
      <charset val="128"/>
    </font>
    <font>
      <sz val="20"/>
      <name val="ＭＳ Ｐゴシック"/>
      <family val="2"/>
      <charset val="128"/>
    </font>
    <font>
      <sz val="11"/>
      <color theme="0"/>
      <name val="BIZ UDPゴシック"/>
      <family val="3"/>
      <charset val="128"/>
    </font>
    <font>
      <sz val="11"/>
      <color theme="0"/>
      <name val="ＭＳ Ｐゴシック"/>
      <family val="3"/>
      <charset val="128"/>
    </font>
    <font>
      <b/>
      <sz val="11"/>
      <color theme="0"/>
      <name val="ＭＳ Ｐゴシック"/>
      <family val="3"/>
      <charset val="128"/>
    </font>
    <font>
      <b/>
      <sz val="18"/>
      <color rgb="FFFF0000"/>
      <name val="BIZ UD明朝 Medium"/>
      <family val="1"/>
      <charset val="128"/>
    </font>
    <font>
      <sz val="11"/>
      <color theme="0" tint="-0.249977111117893"/>
      <name val="BIZ UDゴシック"/>
      <family val="3"/>
      <charset val="128"/>
    </font>
    <font>
      <sz val="11"/>
      <color theme="0"/>
      <name val="BIZ UD明朝 Medium"/>
      <family val="1"/>
      <charset val="128"/>
    </font>
    <font>
      <sz val="22"/>
      <color theme="0"/>
      <name val="BIZ UD明朝 Medium"/>
      <family val="1"/>
      <charset val="128"/>
    </font>
    <font>
      <sz val="11"/>
      <color theme="1"/>
      <name val="游ゴシック"/>
      <family val="3"/>
      <charset val="128"/>
      <scheme val="minor"/>
    </font>
    <font>
      <sz val="11"/>
      <name val="游ゴシック"/>
      <family val="3"/>
      <charset val="128"/>
      <scheme val="minor"/>
    </font>
    <font>
      <sz val="10"/>
      <name val="ＭＳ 明朝"/>
      <family val="1"/>
      <charset val="128"/>
    </font>
    <font>
      <sz val="11"/>
      <name val="ＭＳ 明朝"/>
      <family val="1"/>
      <charset val="128"/>
    </font>
    <font>
      <sz val="6"/>
      <name val="ＭＳ 明朝"/>
      <family val="1"/>
      <charset val="128"/>
    </font>
    <font>
      <sz val="11"/>
      <name val="明朝"/>
      <family val="1"/>
      <charset val="128"/>
    </font>
    <font>
      <sz val="18"/>
      <name val="ＭＳ 明朝"/>
      <family val="1"/>
      <charset val="128"/>
    </font>
    <font>
      <sz val="11"/>
      <color theme="0"/>
      <name val="ＭＳ 明朝"/>
      <family val="1"/>
      <charset val="128"/>
    </font>
    <font>
      <b/>
      <sz val="11"/>
      <color rgb="FFFF0000"/>
      <name val="游ゴシック"/>
      <family val="3"/>
      <charset val="128"/>
      <scheme val="minor"/>
    </font>
    <font>
      <sz val="11"/>
      <color theme="0"/>
      <name val="游ゴシック"/>
      <family val="3"/>
      <charset val="128"/>
      <scheme val="minor"/>
    </font>
    <font>
      <b/>
      <sz val="14"/>
      <color theme="1"/>
      <name val="BIZ UD明朝 Medium"/>
      <family val="1"/>
      <charset val="128"/>
    </font>
    <font>
      <sz val="9"/>
      <color theme="1"/>
      <name val="BIZ UD明朝 Medium"/>
      <family val="1"/>
      <charset val="128"/>
    </font>
    <font>
      <sz val="10.5"/>
      <color theme="1"/>
      <name val="BIZ UD明朝 Medium"/>
      <family val="1"/>
      <charset val="128"/>
    </font>
    <font>
      <sz val="10.5"/>
      <color theme="0"/>
      <name val="BIZ UD明朝 Medium"/>
      <family val="1"/>
      <charset val="128"/>
    </font>
    <font>
      <sz val="10"/>
      <color rgb="FFFF0000"/>
      <name val="ＭＳ 明朝"/>
      <family val="1"/>
      <charset val="128"/>
    </font>
    <font>
      <sz val="10"/>
      <color theme="1"/>
      <name val="ＭＳ 明朝"/>
      <family val="1"/>
      <charset val="128"/>
    </font>
    <font>
      <b/>
      <sz val="15"/>
      <color rgb="FFFF0000"/>
      <name val="BIZ UD明朝 Medium"/>
      <family val="1"/>
      <charset val="128"/>
    </font>
    <font>
      <sz val="11"/>
      <color theme="1"/>
      <name val="BIZ UDP明朝 Medium"/>
      <family val="1"/>
      <charset val="128"/>
    </font>
    <font>
      <sz val="10.5"/>
      <color theme="1"/>
      <name val="BIZ UDP明朝 Medium"/>
      <family val="1"/>
      <charset val="128"/>
    </font>
    <font>
      <sz val="11"/>
      <name val="ＭＳ Ｐ明朝"/>
      <family val="1"/>
    </font>
    <font>
      <sz val="12"/>
      <name val="ＭＳ Ｐゴシック"/>
      <family val="3"/>
    </font>
    <font>
      <sz val="6"/>
      <name val="ＭＳ Ｐ明朝"/>
      <family val="1"/>
    </font>
    <font>
      <sz val="11"/>
      <color theme="0"/>
      <name val="ＭＳ Ｐ明朝"/>
      <family val="1"/>
    </font>
    <font>
      <sz val="11"/>
      <color theme="0"/>
      <name val="ＭＳ Ｐ明朝"/>
      <family val="1"/>
      <charset val="128"/>
    </font>
    <font>
      <sz val="16"/>
      <name val="ＭＳ Ｐ明朝"/>
      <family val="1"/>
    </font>
    <font>
      <sz val="11"/>
      <color indexed="8"/>
      <name val="游ゴシック"/>
      <family val="3"/>
      <charset val="128"/>
      <scheme val="minor"/>
    </font>
    <font>
      <sz val="11"/>
      <color indexed="8"/>
      <name val="ＭＳ Ｐ明朝"/>
      <family val="1"/>
      <charset val="128"/>
    </font>
    <font>
      <b/>
      <sz val="12"/>
      <color indexed="8"/>
      <name val="ＭＳ Ｐ明朝"/>
      <family val="1"/>
      <charset val="128"/>
    </font>
    <font>
      <sz val="11"/>
      <color indexed="8"/>
      <name val="ＭＳ 明朝"/>
      <family val="1"/>
      <charset val="128"/>
    </font>
    <font>
      <sz val="10"/>
      <color theme="1"/>
      <name val="BIZ UDゴシック"/>
      <family val="3"/>
      <charset val="128"/>
    </font>
    <font>
      <b/>
      <sz val="11"/>
      <color rgb="FFFF0000"/>
      <name val="ＭＳ Ｐ明朝"/>
      <family val="1"/>
      <charset val="128"/>
    </font>
    <font>
      <sz val="8"/>
      <color theme="1"/>
      <name val="BIZ UDゴシック"/>
      <family val="3"/>
      <charset val="128"/>
    </font>
    <font>
      <sz val="8"/>
      <color theme="0"/>
      <name val="BIZ UDゴシック"/>
      <family val="3"/>
      <charset val="128"/>
    </font>
    <font>
      <sz val="8"/>
      <color indexed="8"/>
      <name val="ＭＳ Ｐ明朝"/>
      <family val="1"/>
      <charset val="128"/>
    </font>
    <font>
      <sz val="11"/>
      <color theme="1"/>
      <name val="ＭＳ Ｐ明朝"/>
      <family val="1"/>
      <charset val="128"/>
    </font>
    <font>
      <b/>
      <sz val="11"/>
      <name val="ＭＳ Ｐ明朝"/>
      <family val="1"/>
      <charset val="128"/>
    </font>
    <font>
      <b/>
      <u/>
      <sz val="11"/>
      <color theme="10"/>
      <name val="BIZ UDゴシック"/>
      <family val="3"/>
      <charset val="128"/>
    </font>
    <font>
      <b/>
      <sz val="18"/>
      <name val="BIZ UDゴシック"/>
      <family val="3"/>
      <charset val="128"/>
    </font>
    <font>
      <sz val="11"/>
      <color theme="1"/>
      <name val="ＭＳ Ｐゴシック"/>
      <family val="3"/>
      <charset val="128"/>
    </font>
    <font>
      <sz val="20"/>
      <name val="BIZ UDPゴシック"/>
      <family val="3"/>
      <charset val="128"/>
    </font>
    <font>
      <sz val="11"/>
      <name val="BIZ UD明朝 Medium"/>
      <family val="1"/>
      <charset val="128"/>
    </font>
    <font>
      <sz val="10"/>
      <color indexed="8"/>
      <name val="游ゴシック"/>
      <family val="3"/>
      <charset val="128"/>
      <scheme val="minor"/>
    </font>
    <font>
      <sz val="8"/>
      <name val="ＭＳ Ｐゴシック"/>
      <family val="3"/>
      <charset val="128"/>
    </font>
    <font>
      <b/>
      <sz val="11"/>
      <color indexed="8"/>
      <name val="游ゴシック"/>
      <family val="3"/>
      <charset val="128"/>
      <scheme val="minor"/>
    </font>
    <font>
      <sz val="10"/>
      <color theme="0"/>
      <name val="ＭＳ Ｐゴシック"/>
      <family val="3"/>
      <charset val="128"/>
    </font>
  </fonts>
  <fills count="8">
    <fill>
      <patternFill patternType="none"/>
    </fill>
    <fill>
      <patternFill patternType="gray125"/>
    </fill>
    <fill>
      <patternFill patternType="solid">
        <fgColor theme="4" tint="0.79998168889431442"/>
        <bgColor indexed="64"/>
      </patternFill>
    </fill>
    <fill>
      <patternFill patternType="solid">
        <fgColor theme="2" tint="-9.9978637043366805E-2"/>
        <bgColor indexed="64"/>
      </patternFill>
    </fill>
    <fill>
      <patternFill patternType="solid">
        <fgColor rgb="FFFFC000"/>
        <bgColor indexed="64"/>
      </patternFill>
    </fill>
    <fill>
      <patternFill patternType="solid">
        <fgColor theme="0"/>
        <bgColor indexed="64"/>
      </patternFill>
    </fill>
    <fill>
      <patternFill patternType="solid">
        <fgColor theme="5" tint="0.79998168889431442"/>
        <bgColor indexed="64"/>
      </patternFill>
    </fill>
    <fill>
      <patternFill patternType="solid">
        <fgColor rgb="FFFFFF00"/>
        <bgColor indexed="64"/>
      </patternFill>
    </fill>
  </fills>
  <borders count="107">
    <border>
      <left/>
      <right/>
      <top/>
      <bottom/>
      <diagonal/>
    </border>
    <border>
      <left style="thin">
        <color indexed="64"/>
      </left>
      <right style="thin">
        <color indexed="64"/>
      </right>
      <top style="thin">
        <color indexed="64"/>
      </top>
      <bottom style="thin">
        <color indexed="64"/>
      </bottom>
      <diagonal/>
    </border>
    <border>
      <left/>
      <right/>
      <top/>
      <bottom style="dotted">
        <color auto="1"/>
      </bottom>
      <diagonal/>
    </border>
    <border>
      <left/>
      <right/>
      <top style="dotted">
        <color auto="1"/>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diagonalDown="1">
      <left/>
      <right style="thin">
        <color indexed="64"/>
      </right>
      <top/>
      <bottom style="thin">
        <color indexed="64"/>
      </bottom>
      <diagonal style="thin">
        <color indexed="64"/>
      </diagonal>
    </border>
    <border diagonalDown="1">
      <left/>
      <right/>
      <top/>
      <bottom style="thin">
        <color indexed="64"/>
      </bottom>
      <diagonal style="thin">
        <color indexed="64"/>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top style="hair">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hair">
        <color indexed="64"/>
      </right>
      <top style="medium">
        <color indexed="64"/>
      </top>
      <bottom/>
      <diagonal/>
    </border>
    <border>
      <left style="hair">
        <color indexed="64"/>
      </left>
      <right/>
      <top style="medium">
        <color indexed="64"/>
      </top>
      <bottom/>
      <diagonal/>
    </border>
    <border>
      <left/>
      <right style="hair">
        <color indexed="64"/>
      </right>
      <top/>
      <bottom style="medium">
        <color indexed="64"/>
      </bottom>
      <diagonal/>
    </border>
    <border>
      <left style="hair">
        <color indexed="64"/>
      </left>
      <right/>
      <top/>
      <bottom style="medium">
        <color indexed="64"/>
      </bottom>
      <diagonal/>
    </border>
    <border>
      <left style="medium">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hair">
        <color indexed="64"/>
      </left>
      <right/>
      <top style="hair">
        <color indexed="64"/>
      </top>
      <bottom/>
      <diagonal/>
    </border>
    <border>
      <left/>
      <right style="medium">
        <color indexed="64"/>
      </right>
      <top style="hair">
        <color indexed="64"/>
      </top>
      <bottom/>
      <diagonal/>
    </border>
    <border>
      <left style="medium">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hair">
        <color indexed="64"/>
      </right>
      <top style="hair">
        <color indexed="64"/>
      </top>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hair">
        <color indexed="64"/>
      </right>
      <top style="hair">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dotted">
        <color rgb="FFFF0000"/>
      </left>
      <right style="dotted">
        <color rgb="FFFF0000"/>
      </right>
      <top style="dotted">
        <color rgb="FFFF0000"/>
      </top>
      <bottom style="dotted">
        <color rgb="FFFF0000"/>
      </bottom>
      <diagonal/>
    </border>
    <border>
      <left style="dotted">
        <color rgb="FFFF0000"/>
      </left>
      <right style="dotted">
        <color rgb="FFFF0000"/>
      </right>
      <top style="dotted">
        <color rgb="FFFF0000"/>
      </top>
      <bottom/>
      <diagonal/>
    </border>
    <border>
      <left style="dotted">
        <color rgb="FFFF0000"/>
      </left>
      <right style="dotted">
        <color rgb="FFFF0000"/>
      </right>
      <top/>
      <bottom/>
      <diagonal/>
    </border>
    <border>
      <left style="dotted">
        <color rgb="FFFF0000"/>
      </left>
      <right style="dotted">
        <color rgb="FFFF0000"/>
      </right>
      <top/>
      <bottom style="dotted">
        <color rgb="FFFF0000"/>
      </bottom>
      <diagonal/>
    </border>
    <border>
      <left/>
      <right/>
      <top/>
      <bottom style="thin">
        <color theme="0" tint="-0.499984740745262"/>
      </bottom>
      <diagonal/>
    </border>
    <border>
      <left style="thin">
        <color theme="0" tint="-0.499984740745262"/>
      </left>
      <right/>
      <top/>
      <bottom/>
      <diagonal/>
    </border>
    <border>
      <left/>
      <right style="thin">
        <color theme="0" tint="-0.499984740745262"/>
      </right>
      <top/>
      <bottom/>
      <diagonal/>
    </border>
    <border>
      <left/>
      <right style="thin">
        <color theme="0" tint="-0.499984740745262"/>
      </right>
      <top/>
      <bottom style="thin">
        <color theme="0" tint="-0.499984740745262"/>
      </bottom>
      <diagonal/>
    </border>
    <border>
      <left/>
      <right/>
      <top style="thin">
        <color theme="0" tint="-0.499984740745262"/>
      </top>
      <bottom/>
      <diagonal/>
    </border>
    <border>
      <left style="thin">
        <color theme="0" tint="-0.499984740745262"/>
      </left>
      <right/>
      <top/>
      <bottom style="thin">
        <color theme="0" tint="-0.499984740745262"/>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diagonal/>
    </border>
  </borders>
  <cellStyleXfs count="11">
    <xf numFmtId="0" fontId="0" fillId="0" borderId="0">
      <alignment vertical="center"/>
    </xf>
    <xf numFmtId="38" fontId="1" fillId="0" borderId="0" applyFont="0" applyFill="0" applyBorder="0" applyAlignment="0" applyProtection="0">
      <alignment vertical="center"/>
    </xf>
    <xf numFmtId="0" fontId="20" fillId="0" borderId="0" applyNumberFormat="0" applyFill="0" applyBorder="0" applyAlignment="0" applyProtection="0">
      <alignment vertical="center"/>
    </xf>
    <xf numFmtId="0" fontId="53" fillId="0" borderId="0">
      <alignment vertical="center"/>
    </xf>
    <xf numFmtId="0" fontId="55" fillId="0" borderId="0">
      <alignment vertical="center"/>
    </xf>
    <xf numFmtId="0" fontId="58" fillId="0" borderId="0"/>
    <xf numFmtId="9" fontId="1" fillId="0" borderId="0" applyFont="0" applyFill="0" applyBorder="0" applyAlignment="0" applyProtection="0">
      <alignment vertical="center"/>
    </xf>
    <xf numFmtId="0" fontId="72" fillId="0" borderId="0"/>
    <xf numFmtId="9" fontId="72" fillId="0" borderId="0" applyFont="0" applyFill="0" applyBorder="0" applyAlignment="0" applyProtection="0"/>
    <xf numFmtId="0" fontId="78" fillId="0" borderId="0">
      <alignment vertical="center"/>
    </xf>
    <xf numFmtId="38" fontId="78" fillId="0" borderId="0" applyFill="0" applyBorder="0" applyAlignment="0" applyProtection="0">
      <alignment vertical="center"/>
    </xf>
  </cellStyleXfs>
  <cellXfs count="666">
    <xf numFmtId="0" fontId="0" fillId="0" borderId="0" xfId="0">
      <alignment vertical="center"/>
    </xf>
    <xf numFmtId="0" fontId="0" fillId="2" borderId="0" xfId="0" applyFill="1" applyProtection="1">
      <alignment vertical="center"/>
      <protection locked="0"/>
    </xf>
    <xf numFmtId="0" fontId="3" fillId="0" borderId="0" xfId="0" applyFont="1">
      <alignment vertical="center"/>
    </xf>
    <xf numFmtId="0" fontId="3" fillId="2" borderId="0" xfId="0" applyFont="1" applyFill="1" applyProtection="1">
      <alignment vertical="center"/>
      <protection locked="0"/>
    </xf>
    <xf numFmtId="0" fontId="3" fillId="0" borderId="0" xfId="0" applyFont="1" applyAlignment="1">
      <alignment horizontal="distributed" vertical="center"/>
    </xf>
    <xf numFmtId="0" fontId="3" fillId="0" borderId="0" xfId="0" applyFont="1" applyAlignment="1">
      <alignment horizontal="center" vertical="center"/>
    </xf>
    <xf numFmtId="0" fontId="0" fillId="0" borderId="0" xfId="0" applyAlignment="1">
      <alignment horizontal="left" vertical="center" indent="1"/>
    </xf>
    <xf numFmtId="0" fontId="0" fillId="2" borderId="0" xfId="0" applyFill="1">
      <alignment vertical="center"/>
    </xf>
    <xf numFmtId="0" fontId="0" fillId="0" borderId="0" xfId="0" applyAlignment="1">
      <alignment horizontal="left" vertical="center"/>
    </xf>
    <xf numFmtId="0" fontId="5" fillId="0" borderId="0" xfId="0" applyFont="1">
      <alignment vertical="center"/>
    </xf>
    <xf numFmtId="0" fontId="6" fillId="0" borderId="0" xfId="0" applyFont="1">
      <alignment vertical="center"/>
    </xf>
    <xf numFmtId="0" fontId="0" fillId="3" borderId="0" xfId="0" applyFill="1">
      <alignment vertical="center"/>
    </xf>
    <xf numFmtId="0" fontId="7" fillId="0" borderId="0" xfId="0" applyFont="1">
      <alignment vertical="center"/>
    </xf>
    <xf numFmtId="0" fontId="7" fillId="2" borderId="0" xfId="0" applyFont="1" applyFill="1">
      <alignment vertical="center"/>
    </xf>
    <xf numFmtId="0" fontId="0" fillId="0" borderId="0" xfId="0" applyAlignment="1">
      <alignment horizontal="right" vertical="center"/>
    </xf>
    <xf numFmtId="0" fontId="8" fillId="0" borderId="0" xfId="0" applyFont="1">
      <alignment vertical="center"/>
    </xf>
    <xf numFmtId="0" fontId="9" fillId="0" borderId="0" xfId="0" applyFont="1" applyAlignment="1">
      <alignment horizontal="centerContinuous" vertical="center"/>
    </xf>
    <xf numFmtId="38" fontId="0" fillId="0" borderId="0" xfId="1" applyFont="1">
      <alignment vertical="center"/>
    </xf>
    <xf numFmtId="0" fontId="10" fillId="0" borderId="0" xfId="0" applyFont="1">
      <alignment vertical="center"/>
    </xf>
    <xf numFmtId="0" fontId="11" fillId="0" borderId="0" xfId="0" applyFont="1" applyAlignment="1">
      <alignment horizontal="center" vertical="center"/>
    </xf>
    <xf numFmtId="0" fontId="12" fillId="0" borderId="0" xfId="0" applyFont="1" applyAlignment="1">
      <alignment horizontal="centerContinuous" vertical="center"/>
    </xf>
    <xf numFmtId="0" fontId="12" fillId="0" borderId="0" xfId="0" applyFont="1">
      <alignment vertical="center"/>
    </xf>
    <xf numFmtId="0" fontId="12" fillId="2" borderId="0" xfId="0" applyFont="1" applyFill="1" applyProtection="1">
      <alignment vertical="center"/>
      <protection locked="0"/>
    </xf>
    <xf numFmtId="0" fontId="0" fillId="0" borderId="0" xfId="0" applyAlignment="1">
      <alignment horizontal="center" vertical="center"/>
    </xf>
    <xf numFmtId="180" fontId="3" fillId="0" borderId="0" xfId="0" applyNumberFormat="1" applyFont="1" applyAlignment="1">
      <alignment horizontal="left" vertical="center"/>
    </xf>
    <xf numFmtId="176" fontId="3" fillId="0" borderId="0" xfId="0" applyNumberFormat="1" applyFont="1" applyAlignment="1">
      <alignment horizontal="left" vertical="center"/>
    </xf>
    <xf numFmtId="0" fontId="3" fillId="0" borderId="0" xfId="0" applyFont="1" applyAlignment="1">
      <alignment horizontal="left" vertical="center" indent="1"/>
    </xf>
    <xf numFmtId="0" fontId="3" fillId="0" borderId="0" xfId="0" applyFont="1" applyAlignment="1">
      <alignment vertical="center" wrapText="1"/>
    </xf>
    <xf numFmtId="38" fontId="10" fillId="0" borderId="0" xfId="1" applyFont="1" applyFill="1" applyAlignment="1" applyProtection="1">
      <alignment horizontal="right" vertical="center" indent="1"/>
    </xf>
    <xf numFmtId="0" fontId="4" fillId="0" borderId="0" xfId="0" applyFont="1" applyAlignment="1">
      <alignment horizontal="centerContinuous" vertical="center"/>
    </xf>
    <xf numFmtId="0" fontId="3" fillId="0" borderId="0" xfId="0" applyFont="1" applyAlignment="1">
      <alignment horizontal="centerContinuous" vertical="center"/>
    </xf>
    <xf numFmtId="0" fontId="0" fillId="0" borderId="0" xfId="0" applyAlignment="1">
      <alignment horizontal="centerContinuous" vertical="center"/>
    </xf>
    <xf numFmtId="177" fontId="3" fillId="0" borderId="0" xfId="1" applyNumberFormat="1" applyFont="1" applyAlignment="1">
      <alignment horizontal="right" vertical="center" indent="28"/>
    </xf>
    <xf numFmtId="178" fontId="3" fillId="0" borderId="0" xfId="1" applyNumberFormat="1" applyFont="1" applyAlignment="1">
      <alignment horizontal="right" vertical="center" indent="28"/>
    </xf>
    <xf numFmtId="0" fontId="0" fillId="0" borderId="0" xfId="0" applyAlignment="1">
      <alignment horizontal="left" vertical="center" indent="2"/>
    </xf>
    <xf numFmtId="179" fontId="3" fillId="0" borderId="0" xfId="0" applyNumberFormat="1" applyFont="1" applyProtection="1">
      <alignment vertical="center"/>
      <protection locked="0"/>
    </xf>
    <xf numFmtId="0" fontId="15" fillId="0" borderId="0" xfId="0" applyFont="1">
      <alignment vertical="center"/>
    </xf>
    <xf numFmtId="0" fontId="16" fillId="0" borderId="0" xfId="0" applyFont="1">
      <alignment vertical="center"/>
    </xf>
    <xf numFmtId="0" fontId="12" fillId="0" borderId="0" xfId="0" applyFont="1" applyAlignment="1">
      <alignment horizontal="center" vertical="center"/>
    </xf>
    <xf numFmtId="0" fontId="5" fillId="0" borderId="0" xfId="0" applyFont="1" applyAlignment="1">
      <alignment horizontal="left" vertical="center" indent="2"/>
    </xf>
    <xf numFmtId="0" fontId="18" fillId="0" borderId="0" xfId="0" applyFont="1">
      <alignment vertical="center"/>
    </xf>
    <xf numFmtId="0" fontId="19" fillId="0" borderId="0" xfId="0" applyFont="1">
      <alignment vertical="center"/>
    </xf>
    <xf numFmtId="0" fontId="21" fillId="0" borderId="1" xfId="2" applyFont="1" applyBorder="1" applyAlignment="1">
      <alignment horizontal="center" vertical="center"/>
    </xf>
    <xf numFmtId="0" fontId="16" fillId="0" borderId="0" xfId="0" applyFont="1" applyAlignment="1">
      <alignment horizontal="centerContinuous" vertical="center"/>
    </xf>
    <xf numFmtId="176" fontId="0" fillId="0" borderId="0" xfId="0" applyNumberFormat="1" applyAlignment="1">
      <alignment horizontal="left" vertical="center"/>
    </xf>
    <xf numFmtId="0" fontId="0" fillId="0" borderId="2" xfId="0" applyBorder="1">
      <alignment vertical="center"/>
    </xf>
    <xf numFmtId="183" fontId="0" fillId="0" borderId="2" xfId="0" applyNumberFormat="1" applyBorder="1">
      <alignment vertical="center"/>
    </xf>
    <xf numFmtId="0" fontId="0" fillId="0" borderId="3" xfId="0" applyBorder="1">
      <alignment vertical="center"/>
    </xf>
    <xf numFmtId="0" fontId="0" fillId="0" borderId="3" xfId="0" applyBorder="1" applyAlignment="1">
      <alignment horizontal="center" vertical="center"/>
    </xf>
    <xf numFmtId="0" fontId="22" fillId="0" borderId="0" xfId="0" applyFont="1">
      <alignment vertical="center"/>
    </xf>
    <xf numFmtId="0" fontId="23" fillId="0" borderId="0" xfId="0" applyFont="1">
      <alignment vertical="center"/>
    </xf>
    <xf numFmtId="0" fontId="16" fillId="0" borderId="0" xfId="0" applyFont="1" applyAlignment="1">
      <alignment horizontal="left" vertical="center" indent="1"/>
    </xf>
    <xf numFmtId="0" fontId="16" fillId="0" borderId="0" xfId="0" applyFont="1" applyAlignment="1">
      <alignment horizontal="left" vertical="center" indent="5"/>
    </xf>
    <xf numFmtId="0" fontId="16" fillId="0" borderId="0" xfId="0" applyFont="1" applyAlignment="1">
      <alignment horizontal="left" vertical="center" indent="2"/>
    </xf>
    <xf numFmtId="0" fontId="23" fillId="0" borderId="0" xfId="0" applyFont="1" applyAlignment="1">
      <alignment vertical="center" wrapText="1"/>
    </xf>
    <xf numFmtId="0" fontId="23" fillId="0" borderId="0" xfId="0" applyFont="1" applyAlignment="1">
      <alignment horizontal="left" vertical="center" indent="1"/>
    </xf>
    <xf numFmtId="0" fontId="23" fillId="0" borderId="0" xfId="0" applyFont="1" applyAlignment="1">
      <alignment horizontal="left" vertical="center" indent="2"/>
    </xf>
    <xf numFmtId="0" fontId="16" fillId="0" borderId="0" xfId="0" applyFont="1" applyAlignment="1">
      <alignment horizontal="left" vertical="center" indent="3"/>
    </xf>
    <xf numFmtId="38" fontId="0" fillId="0" borderId="0" xfId="1" applyFont="1" applyAlignment="1">
      <alignment horizontal="center" vertical="center"/>
    </xf>
    <xf numFmtId="184" fontId="16" fillId="0" borderId="0" xfId="0" applyNumberFormat="1" applyFont="1" applyAlignment="1">
      <alignment horizontal="left" vertical="center" indent="4"/>
    </xf>
    <xf numFmtId="0" fontId="16" fillId="0" borderId="0" xfId="0" applyFont="1" applyAlignment="1">
      <alignment horizontal="left" vertical="center"/>
    </xf>
    <xf numFmtId="176" fontId="0" fillId="0" borderId="0" xfId="0" applyNumberFormat="1" applyAlignment="1">
      <alignment horizontal="center" vertical="center"/>
    </xf>
    <xf numFmtId="183" fontId="0" fillId="0" borderId="0" xfId="0" applyNumberFormat="1">
      <alignment vertical="center"/>
    </xf>
    <xf numFmtId="176" fontId="6" fillId="0" borderId="0" xfId="0" applyNumberFormat="1" applyFont="1" applyAlignment="1">
      <alignment horizontal="left" vertical="center"/>
    </xf>
    <xf numFmtId="176" fontId="6" fillId="0" borderId="0" xfId="0" applyNumberFormat="1" applyFont="1" applyAlignment="1">
      <alignment horizontal="center" vertical="center"/>
    </xf>
    <xf numFmtId="0" fontId="0" fillId="4" borderId="0" xfId="0" applyFill="1">
      <alignment vertical="center"/>
    </xf>
    <xf numFmtId="183" fontId="0" fillId="2" borderId="0" xfId="0" applyNumberFormat="1" applyFill="1" applyProtection="1">
      <alignment vertical="center"/>
      <protection locked="0"/>
    </xf>
    <xf numFmtId="14" fontId="0" fillId="0" borderId="0" xfId="0" applyNumberFormat="1">
      <alignment vertical="center"/>
    </xf>
    <xf numFmtId="0" fontId="16" fillId="0" borderId="0" xfId="0" applyFont="1" applyAlignment="1">
      <alignment horizontal="center" vertical="center"/>
    </xf>
    <xf numFmtId="0" fontId="8" fillId="0" borderId="0" xfId="0" applyFont="1" applyAlignment="1">
      <alignment horizontal="center" vertical="center" wrapText="1"/>
    </xf>
    <xf numFmtId="0" fontId="23" fillId="0" borderId="0" xfId="0" applyFont="1" applyAlignment="1">
      <alignment horizontal="center" vertical="center"/>
    </xf>
    <xf numFmtId="0" fontId="25" fillId="0" borderId="0" xfId="0" applyFont="1">
      <alignment vertical="center"/>
    </xf>
    <xf numFmtId="0" fontId="25" fillId="0" borderId="0" xfId="0" applyFont="1" applyAlignment="1">
      <alignment vertical="center" wrapText="1"/>
    </xf>
    <xf numFmtId="0" fontId="25" fillId="0" borderId="0" xfId="0" applyFont="1" applyAlignment="1">
      <alignment horizontal="center" vertical="center"/>
    </xf>
    <xf numFmtId="0" fontId="13" fillId="0" borderId="0" xfId="0" applyFont="1" applyAlignment="1">
      <alignment horizontal="right" vertical="center" indent="1"/>
    </xf>
    <xf numFmtId="0" fontId="26" fillId="0" borderId="0" xfId="0" applyFont="1">
      <alignment vertical="center"/>
    </xf>
    <xf numFmtId="0" fontId="27" fillId="0" borderId="0" xfId="0" applyFont="1">
      <alignment vertical="center"/>
    </xf>
    <xf numFmtId="0" fontId="28" fillId="0" borderId="0" xfId="0" applyFont="1" applyAlignment="1">
      <alignment horizontal="center" vertical="center"/>
    </xf>
    <xf numFmtId="38" fontId="12" fillId="0" borderId="0" xfId="0" applyNumberFormat="1" applyFont="1" applyAlignment="1">
      <alignment horizontal="right" vertical="center" indent="1"/>
    </xf>
    <xf numFmtId="0" fontId="12" fillId="0" borderId="0" xfId="0" applyFont="1" applyAlignment="1">
      <alignment horizontal="right" vertical="center" indent="1"/>
    </xf>
    <xf numFmtId="182" fontId="12" fillId="2" borderId="0" xfId="0" applyNumberFormat="1" applyFont="1" applyFill="1" applyAlignment="1" applyProtection="1">
      <alignment horizontal="right" vertical="center" indent="1"/>
      <protection locked="0"/>
    </xf>
    <xf numFmtId="0" fontId="18" fillId="0" borderId="0" xfId="0" applyFont="1" applyAlignment="1">
      <alignment horizontal="center" vertical="center"/>
    </xf>
    <xf numFmtId="0" fontId="8" fillId="0" borderId="0" xfId="0" applyFont="1" applyAlignment="1">
      <alignment horizontal="center" vertical="center"/>
    </xf>
    <xf numFmtId="0" fontId="12" fillId="0" borderId="0" xfId="0" applyFont="1" applyAlignment="1">
      <alignment horizontal="left" vertical="center" indent="9"/>
    </xf>
    <xf numFmtId="0" fontId="0" fillId="0" borderId="1" xfId="0" applyBorder="1" applyAlignment="1">
      <alignment horizontal="centerContinuous" vertical="center"/>
    </xf>
    <xf numFmtId="185" fontId="0" fillId="0" borderId="1" xfId="0" applyNumberFormat="1" applyBorder="1" applyAlignment="1">
      <alignment horizontal="center" vertical="center"/>
    </xf>
    <xf numFmtId="38" fontId="0" fillId="0" borderId="4" xfId="1" applyFont="1" applyBorder="1">
      <alignment vertical="center"/>
    </xf>
    <xf numFmtId="0" fontId="0" fillId="0" borderId="5" xfId="0" applyBorder="1">
      <alignment vertical="center"/>
    </xf>
    <xf numFmtId="38" fontId="0" fillId="0" borderId="5" xfId="0" applyNumberFormat="1" applyBorder="1">
      <alignment vertical="center"/>
    </xf>
    <xf numFmtId="0" fontId="0" fillId="0" borderId="6" xfId="0" applyBorder="1">
      <alignment vertical="center"/>
    </xf>
    <xf numFmtId="0" fontId="0" fillId="0" borderId="13" xfId="0" applyBorder="1">
      <alignment vertical="center"/>
    </xf>
    <xf numFmtId="38" fontId="0" fillId="0" borderId="0" xfId="1" applyFont="1" applyFill="1" applyBorder="1" applyAlignment="1">
      <alignment horizontal="center" vertical="center"/>
    </xf>
    <xf numFmtId="14" fontId="3" fillId="0" borderId="0" xfId="0" applyNumberFormat="1" applyFont="1">
      <alignment vertical="center"/>
    </xf>
    <xf numFmtId="0" fontId="30" fillId="0" borderId="0" xfId="0" applyFont="1">
      <alignment vertical="center"/>
    </xf>
    <xf numFmtId="0" fontId="30" fillId="0" borderId="0" xfId="0" applyFont="1" applyAlignment="1">
      <alignment horizontal="right" vertical="center"/>
    </xf>
    <xf numFmtId="0" fontId="30" fillId="0" borderId="14" xfId="0" applyFont="1" applyBorder="1">
      <alignment vertical="center"/>
    </xf>
    <xf numFmtId="0" fontId="30" fillId="0" borderId="15" xfId="0" applyFont="1" applyBorder="1">
      <alignment vertical="center"/>
    </xf>
    <xf numFmtId="0" fontId="30" fillId="0" borderId="16" xfId="0" applyFont="1" applyBorder="1">
      <alignment vertical="center"/>
    </xf>
    <xf numFmtId="0" fontId="30" fillId="0" borderId="13" xfId="0" applyFont="1" applyBorder="1">
      <alignment vertical="center"/>
    </xf>
    <xf numFmtId="0" fontId="30" fillId="0" borderId="17" xfId="0" applyFont="1" applyBorder="1">
      <alignment vertical="center"/>
    </xf>
    <xf numFmtId="0" fontId="30" fillId="0" borderId="18" xfId="0" applyFont="1" applyBorder="1">
      <alignment vertical="center"/>
    </xf>
    <xf numFmtId="0" fontId="30" fillId="0" borderId="19" xfId="0" applyFont="1" applyBorder="1">
      <alignment vertical="center"/>
    </xf>
    <xf numFmtId="0" fontId="30" fillId="0" borderId="20" xfId="0" applyFont="1" applyBorder="1">
      <alignment vertical="center"/>
    </xf>
    <xf numFmtId="0" fontId="30" fillId="0" borderId="0" xfId="0" quotePrefix="1" applyFont="1">
      <alignment vertical="center"/>
    </xf>
    <xf numFmtId="0" fontId="30" fillId="0" borderId="0" xfId="0" applyFont="1" applyAlignment="1">
      <alignment horizontal="left" vertical="center" indent="1"/>
    </xf>
    <xf numFmtId="38" fontId="0" fillId="0" borderId="0" xfId="0" applyNumberFormat="1">
      <alignment vertical="center"/>
    </xf>
    <xf numFmtId="0" fontId="30" fillId="0" borderId="0" xfId="0" applyFont="1" applyAlignment="1">
      <alignment horizontal="distributed" vertical="center"/>
    </xf>
    <xf numFmtId="0" fontId="32" fillId="0" borderId="0" xfId="0" applyFont="1" applyAlignment="1">
      <alignment horizontal="left" vertical="center" indent="13"/>
    </xf>
    <xf numFmtId="0" fontId="30" fillId="0" borderId="0" xfId="0" applyFont="1" applyAlignment="1">
      <alignment horizontal="center" vertical="center"/>
    </xf>
    <xf numFmtId="0" fontId="35" fillId="0" borderId="0" xfId="0" applyFont="1">
      <alignment vertical="center"/>
    </xf>
    <xf numFmtId="0" fontId="35" fillId="0" borderId="0" xfId="0" applyFont="1" applyAlignment="1">
      <alignment horizontal="center" vertical="center"/>
    </xf>
    <xf numFmtId="0" fontId="13" fillId="0" borderId="0" xfId="0" applyFont="1">
      <alignment vertical="center"/>
    </xf>
    <xf numFmtId="0" fontId="13" fillId="0" borderId="0" xfId="0" applyFont="1" applyProtection="1">
      <alignment vertical="center"/>
      <protection locked="0"/>
    </xf>
    <xf numFmtId="0" fontId="13" fillId="0" borderId="0" xfId="0" applyFont="1" applyAlignment="1">
      <alignment horizontal="center" vertical="center"/>
    </xf>
    <xf numFmtId="0" fontId="30" fillId="0" borderId="4" xfId="0" applyFont="1" applyBorder="1">
      <alignment vertical="center"/>
    </xf>
    <xf numFmtId="0" fontId="30" fillId="0" borderId="5" xfId="0" applyFont="1" applyBorder="1">
      <alignment vertical="center"/>
    </xf>
    <xf numFmtId="0" fontId="30" fillId="0" borderId="6" xfId="0" applyFont="1" applyBorder="1">
      <alignment vertical="center"/>
    </xf>
    <xf numFmtId="0" fontId="37" fillId="0" borderId="0" xfId="0" applyFont="1">
      <alignment vertical="center"/>
    </xf>
    <xf numFmtId="0" fontId="37" fillId="0" borderId="13" xfId="0" applyFont="1" applyBorder="1">
      <alignment vertical="center"/>
    </xf>
    <xf numFmtId="0" fontId="30" fillId="0" borderId="21" xfId="0" applyFont="1" applyBorder="1">
      <alignment vertical="center"/>
    </xf>
    <xf numFmtId="0" fontId="30" fillId="0" borderId="22" xfId="0" applyFont="1" applyBorder="1">
      <alignment vertical="center"/>
    </xf>
    <xf numFmtId="0" fontId="30" fillId="0" borderId="23" xfId="0" applyFont="1" applyBorder="1">
      <alignment vertical="center"/>
    </xf>
    <xf numFmtId="0" fontId="30" fillId="0" borderId="24" xfId="0" applyFont="1" applyBorder="1">
      <alignment vertical="center"/>
    </xf>
    <xf numFmtId="0" fontId="30" fillId="0" borderId="25" xfId="0" applyFont="1" applyBorder="1">
      <alignment vertical="center"/>
    </xf>
    <xf numFmtId="0" fontId="30" fillId="0" borderId="26" xfId="0" applyFont="1" applyBorder="1">
      <alignment vertical="center"/>
    </xf>
    <xf numFmtId="0" fontId="30" fillId="0" borderId="27" xfId="0" applyFont="1" applyBorder="1">
      <alignment vertical="center"/>
    </xf>
    <xf numFmtId="0" fontId="30" fillId="0" borderId="28" xfId="0" applyFont="1" applyBorder="1">
      <alignment vertical="center"/>
    </xf>
    <xf numFmtId="0" fontId="30" fillId="0" borderId="29" xfId="0" applyFont="1" applyBorder="1">
      <alignment vertical="center"/>
    </xf>
    <xf numFmtId="0" fontId="30" fillId="0" borderId="30" xfId="0" applyFont="1" applyBorder="1">
      <alignment vertical="center"/>
    </xf>
    <xf numFmtId="0" fontId="30" fillId="0" borderId="31" xfId="0" applyFont="1" applyBorder="1">
      <alignment vertical="center"/>
    </xf>
    <xf numFmtId="0" fontId="30" fillId="0" borderId="33" xfId="0" applyFont="1" applyBorder="1">
      <alignment vertical="center"/>
    </xf>
    <xf numFmtId="0" fontId="30" fillId="0" borderId="34" xfId="0" applyFont="1" applyBorder="1">
      <alignment vertical="center"/>
    </xf>
    <xf numFmtId="0" fontId="30" fillId="0" borderId="35" xfId="0" applyFont="1" applyBorder="1">
      <alignment vertical="center"/>
    </xf>
    <xf numFmtId="0" fontId="30" fillId="0" borderId="36" xfId="0" applyFont="1" applyBorder="1">
      <alignment vertical="center"/>
    </xf>
    <xf numFmtId="0" fontId="30" fillId="0" borderId="37" xfId="0" applyFont="1" applyBorder="1">
      <alignment vertical="center"/>
    </xf>
    <xf numFmtId="0" fontId="30" fillId="0" borderId="38" xfId="0" applyFont="1" applyBorder="1">
      <alignment vertical="center"/>
    </xf>
    <xf numFmtId="0" fontId="30" fillId="0" borderId="39" xfId="0" applyFont="1" applyBorder="1">
      <alignment vertical="center"/>
    </xf>
    <xf numFmtId="0" fontId="30" fillId="0" borderId="41" xfId="0" applyFont="1" applyBorder="1">
      <alignment vertical="center"/>
    </xf>
    <xf numFmtId="0" fontId="30" fillId="0" borderId="42" xfId="0" applyFont="1" applyBorder="1">
      <alignment vertical="center"/>
    </xf>
    <xf numFmtId="0" fontId="30" fillId="0" borderId="40" xfId="0" applyFont="1" applyBorder="1">
      <alignment vertical="center"/>
    </xf>
    <xf numFmtId="0" fontId="30" fillId="0" borderId="43" xfId="0" applyFont="1" applyBorder="1">
      <alignment vertical="center"/>
    </xf>
    <xf numFmtId="0" fontId="30" fillId="2" borderId="0" xfId="0" applyFont="1" applyFill="1" applyProtection="1">
      <alignment vertical="center"/>
      <protection locked="0"/>
    </xf>
    <xf numFmtId="0" fontId="30" fillId="2" borderId="0" xfId="0" applyFont="1" applyFill="1" applyAlignment="1" applyProtection="1">
      <alignment horizontal="center" vertical="center"/>
      <protection locked="0"/>
    </xf>
    <xf numFmtId="38" fontId="3" fillId="0" borderId="0" xfId="1" applyFont="1" applyAlignment="1">
      <alignment horizontal="centerContinuous" vertical="center"/>
    </xf>
    <xf numFmtId="38" fontId="3" fillId="0" borderId="0" xfId="1" applyFont="1">
      <alignment vertical="center"/>
    </xf>
    <xf numFmtId="38" fontId="3" fillId="2" borderId="0" xfId="1" applyFont="1" applyFill="1" applyProtection="1">
      <alignment vertical="center"/>
      <protection locked="0"/>
    </xf>
    <xf numFmtId="38" fontId="3" fillId="0" borderId="0" xfId="1" applyFont="1" applyAlignment="1">
      <alignment horizontal="right" vertical="center"/>
    </xf>
    <xf numFmtId="176" fontId="3" fillId="2" borderId="0" xfId="1" applyNumberFormat="1" applyFont="1" applyFill="1" applyProtection="1">
      <alignment vertical="center"/>
      <protection locked="0"/>
    </xf>
    <xf numFmtId="0" fontId="30" fillId="0" borderId="0" xfId="0" applyFont="1" applyAlignment="1">
      <alignment horizontal="left" vertical="center"/>
    </xf>
    <xf numFmtId="186" fontId="0" fillId="2" borderId="0" xfId="0" applyNumberFormat="1" applyFill="1" applyAlignment="1" applyProtection="1">
      <alignment horizontal="left" vertical="center"/>
      <protection locked="0"/>
    </xf>
    <xf numFmtId="14" fontId="13" fillId="0" borderId="0" xfId="0" applyNumberFormat="1" applyFont="1">
      <alignment vertical="center"/>
    </xf>
    <xf numFmtId="0" fontId="38" fillId="2" borderId="0" xfId="0" applyFont="1" applyFill="1" applyProtection="1">
      <alignment vertical="center"/>
      <protection locked="0"/>
    </xf>
    <xf numFmtId="0" fontId="39" fillId="0" borderId="1" xfId="2" applyFont="1" applyBorder="1" applyAlignment="1">
      <alignment horizontal="center" vertical="center"/>
    </xf>
    <xf numFmtId="0" fontId="33" fillId="0" borderId="0" xfId="0" applyFont="1">
      <alignment vertical="center"/>
    </xf>
    <xf numFmtId="0" fontId="33" fillId="0" borderId="0" xfId="0" quotePrefix="1" applyFont="1" applyAlignment="1">
      <alignment horizontal="right" vertical="center"/>
    </xf>
    <xf numFmtId="0" fontId="41" fillId="0" borderId="0" xfId="0" applyFont="1">
      <alignment vertical="center"/>
    </xf>
    <xf numFmtId="0" fontId="20" fillId="0" borderId="1" xfId="2" applyBorder="1" applyAlignment="1">
      <alignment horizontal="center" vertical="center"/>
    </xf>
    <xf numFmtId="0" fontId="42" fillId="0" borderId="0" xfId="0" applyFont="1">
      <alignment vertical="center"/>
    </xf>
    <xf numFmtId="0" fontId="30" fillId="0" borderId="19" xfId="0" quotePrefix="1" applyFont="1" applyBorder="1">
      <alignment vertical="center"/>
    </xf>
    <xf numFmtId="0" fontId="30" fillId="0" borderId="2" xfId="0" applyFont="1" applyBorder="1">
      <alignment vertical="center"/>
    </xf>
    <xf numFmtId="0" fontId="44" fillId="0" borderId="0" xfId="0" applyFont="1">
      <alignment vertical="center"/>
    </xf>
    <xf numFmtId="38" fontId="3" fillId="0" borderId="0" xfId="0" applyNumberFormat="1" applyFont="1">
      <alignment vertical="center"/>
    </xf>
    <xf numFmtId="0" fontId="45" fillId="0" borderId="0" xfId="2" applyFont="1" applyFill="1" applyBorder="1" applyAlignment="1">
      <alignment horizontal="distributed" vertical="center"/>
    </xf>
    <xf numFmtId="0" fontId="47" fillId="0" borderId="0" xfId="0" applyFont="1" applyProtection="1">
      <alignment vertical="center"/>
      <protection locked="0"/>
    </xf>
    <xf numFmtId="0" fontId="47" fillId="0" borderId="0" xfId="0" applyFont="1">
      <alignment vertical="center"/>
    </xf>
    <xf numFmtId="0" fontId="49" fillId="0" borderId="0" xfId="0" applyFont="1">
      <alignment vertical="center"/>
    </xf>
    <xf numFmtId="0" fontId="47" fillId="0" borderId="0" xfId="0" applyFont="1" applyAlignment="1">
      <alignment horizontal="center" vertical="center"/>
    </xf>
    <xf numFmtId="191" fontId="0" fillId="0" borderId="0" xfId="0" applyNumberFormat="1" applyAlignment="1">
      <alignment horizontal="right" vertical="center"/>
    </xf>
    <xf numFmtId="0" fontId="46" fillId="0" borderId="0" xfId="0" applyFont="1">
      <alignment vertical="center"/>
    </xf>
    <xf numFmtId="14" fontId="50" fillId="0" borderId="0" xfId="0" applyNumberFormat="1" applyFont="1">
      <alignment vertical="center"/>
    </xf>
    <xf numFmtId="0" fontId="50" fillId="0" borderId="0" xfId="0" applyFont="1">
      <alignment vertical="center"/>
    </xf>
    <xf numFmtId="0" fontId="51" fillId="0" borderId="0" xfId="0" applyFont="1">
      <alignment vertical="center"/>
    </xf>
    <xf numFmtId="0" fontId="54" fillId="0" borderId="0" xfId="3" applyFont="1">
      <alignment vertical="center"/>
    </xf>
    <xf numFmtId="0" fontId="56" fillId="0" borderId="0" xfId="4" applyFont="1">
      <alignment vertical="center"/>
    </xf>
    <xf numFmtId="0" fontId="56" fillId="0" borderId="0" xfId="4" applyFont="1" applyAlignment="1">
      <alignment horizontal="right" vertical="center"/>
    </xf>
    <xf numFmtId="0" fontId="56" fillId="0" borderId="0" xfId="4" applyFont="1" applyAlignment="1">
      <alignment horizontal="distributed" vertical="center"/>
    </xf>
    <xf numFmtId="0" fontId="58" fillId="0" borderId="0" xfId="5" applyAlignment="1">
      <alignment horizontal="center" vertical="center" shrinkToFit="1"/>
    </xf>
    <xf numFmtId="176" fontId="56" fillId="0" borderId="0" xfId="4" applyNumberFormat="1" applyFont="1" applyAlignment="1">
      <alignment horizontal="center" vertical="center"/>
    </xf>
    <xf numFmtId="0" fontId="58" fillId="0" borderId="0" xfId="5" applyAlignment="1">
      <alignment vertical="center" shrinkToFit="1"/>
    </xf>
    <xf numFmtId="0" fontId="56" fillId="0" borderId="0" xfId="4" applyFont="1" applyAlignment="1">
      <alignment vertical="center" wrapText="1"/>
    </xf>
    <xf numFmtId="0" fontId="56" fillId="0" borderId="0" xfId="4" applyFont="1" applyAlignment="1">
      <alignment horizontal="left" vertical="center" indent="2"/>
    </xf>
    <xf numFmtId="38" fontId="56" fillId="0" borderId="0" xfId="1" applyFont="1" applyFill="1" applyAlignment="1">
      <alignment horizontal="left" vertical="center" indent="2"/>
    </xf>
    <xf numFmtId="38" fontId="56" fillId="0" borderId="0" xfId="1" applyFont="1" applyFill="1" applyAlignment="1">
      <alignment vertical="center"/>
    </xf>
    <xf numFmtId="0" fontId="56" fillId="0" borderId="0" xfId="4" applyFont="1" applyAlignment="1">
      <alignment horizontal="center" vertical="center"/>
    </xf>
    <xf numFmtId="38" fontId="54" fillId="0" borderId="0" xfId="1" applyFont="1">
      <alignment vertical="center"/>
    </xf>
    <xf numFmtId="0" fontId="61" fillId="0" borderId="0" xfId="3" applyFont="1">
      <alignment vertical="center"/>
    </xf>
    <xf numFmtId="0" fontId="54" fillId="0" borderId="0" xfId="3" applyFont="1" applyAlignment="1">
      <alignment horizontal="right" vertical="center"/>
    </xf>
    <xf numFmtId="0" fontId="56" fillId="0" borderId="45" xfId="4" applyFont="1" applyBorder="1">
      <alignment vertical="center"/>
    </xf>
    <xf numFmtId="0" fontId="56" fillId="0" borderId="45" xfId="4" applyFont="1" applyBorder="1" applyAlignment="1">
      <alignment vertical="center" shrinkToFit="1"/>
    </xf>
    <xf numFmtId="0" fontId="60" fillId="0" borderId="45" xfId="4" applyFont="1" applyBorder="1" applyAlignment="1">
      <alignment horizontal="center" vertical="center"/>
    </xf>
    <xf numFmtId="0" fontId="62" fillId="0" borderId="0" xfId="3" applyFont="1">
      <alignment vertical="center"/>
    </xf>
    <xf numFmtId="192" fontId="0" fillId="0" borderId="0" xfId="1" applyNumberFormat="1" applyFont="1">
      <alignment vertical="center"/>
    </xf>
    <xf numFmtId="38" fontId="0" fillId="2" borderId="0" xfId="1" applyFont="1" applyFill="1" applyAlignment="1" applyProtection="1">
      <alignment vertical="center"/>
      <protection locked="0"/>
    </xf>
    <xf numFmtId="193" fontId="0" fillId="0" borderId="0" xfId="0" applyNumberFormat="1">
      <alignment vertical="center"/>
    </xf>
    <xf numFmtId="38" fontId="0" fillId="2" borderId="0" xfId="1" applyFont="1" applyFill="1" applyProtection="1">
      <alignment vertical="center"/>
      <protection locked="0"/>
    </xf>
    <xf numFmtId="38" fontId="0" fillId="0" borderId="0" xfId="1" applyFont="1" applyFill="1" applyProtection="1">
      <alignment vertical="center"/>
    </xf>
    <xf numFmtId="186" fontId="0" fillId="0" borderId="0" xfId="0" applyNumberFormat="1">
      <alignment vertical="center"/>
    </xf>
    <xf numFmtId="194" fontId="0" fillId="0" borderId="0" xfId="0" applyNumberFormat="1">
      <alignment vertical="center"/>
    </xf>
    <xf numFmtId="0" fontId="63" fillId="0" borderId="0" xfId="0" applyFont="1">
      <alignment vertical="center"/>
    </xf>
    <xf numFmtId="0" fontId="63" fillId="0" borderId="0" xfId="0" applyFont="1" applyAlignment="1">
      <alignment horizontal="right" vertical="center"/>
    </xf>
    <xf numFmtId="0" fontId="63" fillId="0" borderId="0" xfId="0" applyFont="1" applyAlignment="1">
      <alignment horizontal="center" vertical="center"/>
    </xf>
    <xf numFmtId="0" fontId="64" fillId="0" borderId="0" xfId="0" applyFont="1">
      <alignment vertical="center"/>
    </xf>
    <xf numFmtId="0" fontId="64" fillId="0" borderId="0" xfId="0" applyFont="1" applyAlignment="1">
      <alignment horizontal="right" vertical="center"/>
    </xf>
    <xf numFmtId="0" fontId="64" fillId="0" borderId="19" xfId="0" applyFont="1" applyBorder="1">
      <alignment vertical="center"/>
    </xf>
    <xf numFmtId="0" fontId="65" fillId="0" borderId="0" xfId="0" applyFont="1">
      <alignment vertical="center"/>
    </xf>
    <xf numFmtId="0" fontId="65" fillId="0" borderId="0" xfId="0" quotePrefix="1" applyFont="1" applyAlignment="1">
      <alignment horizontal="center" vertical="center"/>
    </xf>
    <xf numFmtId="0" fontId="65" fillId="0" borderId="54" xfId="0" applyFont="1" applyBorder="1" applyAlignment="1">
      <alignment horizontal="centerContinuous" vertical="center"/>
    </xf>
    <xf numFmtId="20" fontId="65" fillId="0" borderId="0" xfId="0" applyNumberFormat="1" applyFont="1">
      <alignment vertical="center"/>
    </xf>
    <xf numFmtId="0" fontId="65" fillId="0" borderId="0" xfId="0" quotePrefix="1" applyFont="1">
      <alignment vertical="center"/>
    </xf>
    <xf numFmtId="0" fontId="33" fillId="0" borderId="0" xfId="0" applyFont="1" applyAlignment="1">
      <alignment horizontal="left" vertical="center" indent="1"/>
    </xf>
    <xf numFmtId="0" fontId="55" fillId="0" borderId="0" xfId="4">
      <alignment vertical="center"/>
    </xf>
    <xf numFmtId="0" fontId="53" fillId="0" borderId="0" xfId="3">
      <alignment vertical="center"/>
    </xf>
    <xf numFmtId="0" fontId="55" fillId="0" borderId="0" xfId="4" applyAlignment="1">
      <alignment horizontal="right" vertical="center"/>
    </xf>
    <xf numFmtId="0" fontId="55" fillId="0" borderId="0" xfId="4" applyAlignment="1">
      <alignment horizontal="center" vertical="center"/>
    </xf>
    <xf numFmtId="0" fontId="55" fillId="0" borderId="0" xfId="4" applyAlignment="1">
      <alignment vertical="top"/>
    </xf>
    <xf numFmtId="0" fontId="68" fillId="0" borderId="0" xfId="3" applyFont="1">
      <alignment vertical="center"/>
    </xf>
    <xf numFmtId="0" fontId="55" fillId="0" borderId="0" xfId="4" applyAlignment="1">
      <alignment vertical="top" wrapText="1"/>
    </xf>
    <xf numFmtId="196" fontId="55" fillId="0" borderId="59" xfId="4" applyNumberFormat="1" applyBorder="1" applyAlignment="1" applyProtection="1">
      <alignment vertical="top"/>
      <protection locked="0"/>
    </xf>
    <xf numFmtId="196" fontId="67" fillId="0" borderId="22" xfId="4" applyNumberFormat="1" applyFont="1" applyBorder="1" applyAlignment="1" applyProtection="1">
      <alignment vertical="top"/>
      <protection locked="0"/>
    </xf>
    <xf numFmtId="196" fontId="55" fillId="0" borderId="22" xfId="4" applyNumberFormat="1" applyBorder="1" applyAlignment="1" applyProtection="1">
      <alignment vertical="top"/>
      <protection locked="0"/>
    </xf>
    <xf numFmtId="196" fontId="55" fillId="0" borderId="25" xfId="4" applyNumberFormat="1" applyBorder="1" applyAlignment="1" applyProtection="1">
      <alignment vertical="top"/>
      <protection locked="0"/>
    </xf>
    <xf numFmtId="196" fontId="55" fillId="0" borderId="65" xfId="4" applyNumberFormat="1" applyBorder="1" applyAlignment="1" applyProtection="1">
      <alignment vertical="top"/>
      <protection locked="0"/>
    </xf>
    <xf numFmtId="196" fontId="67" fillId="0" borderId="0" xfId="4" applyNumberFormat="1" applyFont="1" applyAlignment="1" applyProtection="1">
      <alignment horizontal="left" vertical="top"/>
      <protection locked="0"/>
    </xf>
    <xf numFmtId="196" fontId="55" fillId="0" borderId="0" xfId="4" applyNumberFormat="1" applyAlignment="1" applyProtection="1">
      <alignment vertical="top"/>
      <protection locked="0"/>
    </xf>
    <xf numFmtId="196" fontId="67" fillId="0" borderId="0" xfId="4" applyNumberFormat="1" applyFont="1" applyAlignment="1" applyProtection="1">
      <alignment horizontal="right" vertical="top"/>
      <protection locked="0"/>
    </xf>
    <xf numFmtId="196" fontId="55" fillId="0" borderId="27" xfId="4" applyNumberFormat="1" applyBorder="1" applyAlignment="1" applyProtection="1">
      <alignment vertical="top"/>
      <protection locked="0"/>
    </xf>
    <xf numFmtId="196" fontId="55" fillId="0" borderId="69" xfId="4" applyNumberFormat="1" applyBorder="1" applyAlignment="1" applyProtection="1">
      <alignment vertical="top"/>
      <protection locked="0"/>
    </xf>
    <xf numFmtId="196" fontId="55" fillId="0" borderId="70" xfId="4" applyNumberFormat="1" applyBorder="1" applyAlignment="1" applyProtection="1">
      <alignment vertical="top"/>
      <protection locked="0"/>
    </xf>
    <xf numFmtId="196" fontId="55" fillId="0" borderId="71" xfId="4" applyNumberFormat="1" applyBorder="1" applyAlignment="1" applyProtection="1">
      <alignment vertical="top"/>
      <protection locked="0"/>
    </xf>
    <xf numFmtId="196" fontId="55" fillId="0" borderId="72" xfId="4" applyNumberFormat="1" applyBorder="1" applyAlignment="1" applyProtection="1">
      <alignment vertical="top"/>
      <protection locked="0"/>
    </xf>
    <xf numFmtId="196" fontId="55" fillId="0" borderId="48" xfId="4" applyNumberFormat="1" applyBorder="1" applyAlignment="1" applyProtection="1">
      <alignment vertical="top"/>
      <protection locked="0"/>
    </xf>
    <xf numFmtId="196" fontId="67" fillId="0" borderId="48" xfId="4" applyNumberFormat="1" applyFont="1" applyBorder="1" applyAlignment="1" applyProtection="1">
      <alignment vertical="top"/>
      <protection locked="0"/>
    </xf>
    <xf numFmtId="196" fontId="55" fillId="0" borderId="73" xfId="4" applyNumberFormat="1" applyBorder="1" applyAlignment="1" applyProtection="1">
      <alignment vertical="top"/>
      <protection locked="0"/>
    </xf>
    <xf numFmtId="196" fontId="55" fillId="0" borderId="61" xfId="4" applyNumberFormat="1" applyBorder="1" applyAlignment="1" applyProtection="1">
      <alignment vertical="top"/>
      <protection locked="0"/>
    </xf>
    <xf numFmtId="196" fontId="55" fillId="0" borderId="35" xfId="4" applyNumberFormat="1" applyBorder="1" applyAlignment="1" applyProtection="1">
      <alignment vertical="top"/>
      <protection locked="0"/>
    </xf>
    <xf numFmtId="196" fontId="55" fillId="0" borderId="36" xfId="4" applyNumberFormat="1" applyBorder="1" applyAlignment="1" applyProtection="1">
      <alignment vertical="top"/>
      <protection locked="0"/>
    </xf>
    <xf numFmtId="0" fontId="69" fillId="0" borderId="0" xfId="0" applyFont="1" applyAlignment="1">
      <alignment horizontal="center" vertical="center"/>
    </xf>
    <xf numFmtId="0" fontId="30" fillId="0" borderId="0" xfId="0" applyFont="1" applyAlignment="1">
      <alignment horizontal="centerContinuous" vertical="center"/>
    </xf>
    <xf numFmtId="0" fontId="69" fillId="0" borderId="0" xfId="0" applyFont="1" applyAlignment="1">
      <alignment horizontal="centerContinuous" vertical="center"/>
    </xf>
    <xf numFmtId="38" fontId="65" fillId="0" borderId="0" xfId="0" applyNumberFormat="1" applyFont="1">
      <alignment vertical="center"/>
    </xf>
    <xf numFmtId="0" fontId="70" fillId="0" borderId="0" xfId="0" applyFont="1">
      <alignment vertical="center"/>
    </xf>
    <xf numFmtId="9" fontId="0" fillId="0" borderId="0" xfId="6" applyFont="1" applyFill="1" applyAlignment="1" applyProtection="1">
      <alignment horizontal="center" vertical="center"/>
    </xf>
    <xf numFmtId="0" fontId="71" fillId="0" borderId="0" xfId="0" applyFont="1">
      <alignment vertical="center"/>
    </xf>
    <xf numFmtId="0" fontId="66" fillId="5" borderId="0" xfId="0" applyFont="1" applyFill="1">
      <alignment vertical="center"/>
    </xf>
    <xf numFmtId="0" fontId="66" fillId="5" borderId="0" xfId="0" applyFont="1" applyFill="1" applyAlignment="1">
      <alignment horizontal="center" vertical="center"/>
    </xf>
    <xf numFmtId="0" fontId="66" fillId="0" borderId="0" xfId="0" applyFont="1">
      <alignment vertical="center"/>
    </xf>
    <xf numFmtId="0" fontId="53" fillId="0" borderId="0" xfId="3" applyProtection="1">
      <alignment vertical="center"/>
      <protection locked="0"/>
    </xf>
    <xf numFmtId="0" fontId="59" fillId="0" borderId="0" xfId="4" applyFont="1" applyAlignment="1">
      <alignment horizontal="centerContinuous" vertical="center"/>
    </xf>
    <xf numFmtId="183" fontId="55" fillId="0" borderId="0" xfId="4" applyNumberFormat="1">
      <alignment vertical="center"/>
    </xf>
    <xf numFmtId="183" fontId="55" fillId="0" borderId="0" xfId="4" applyNumberFormat="1" applyAlignment="1">
      <alignment horizontal="left" vertical="center"/>
    </xf>
    <xf numFmtId="0" fontId="55" fillId="0" borderId="22" xfId="4" applyBorder="1" applyAlignment="1">
      <alignment vertical="top"/>
    </xf>
    <xf numFmtId="0" fontId="55" fillId="0" borderId="35" xfId="4" applyBorder="1" applyAlignment="1">
      <alignment vertical="top"/>
    </xf>
    <xf numFmtId="0" fontId="55" fillId="0" borderId="0" xfId="4" applyProtection="1">
      <alignment vertical="center"/>
      <protection locked="0"/>
    </xf>
    <xf numFmtId="0" fontId="59" fillId="0" borderId="0" xfId="4" applyFont="1" applyAlignment="1" applyProtection="1">
      <alignment horizontal="centerContinuous" vertical="center"/>
      <protection locked="0"/>
    </xf>
    <xf numFmtId="183" fontId="55" fillId="0" borderId="0" xfId="4" applyNumberFormat="1" applyProtection="1">
      <alignment vertical="center"/>
      <protection locked="0"/>
    </xf>
    <xf numFmtId="176" fontId="56" fillId="0" borderId="0" xfId="4" applyNumberFormat="1" applyFont="1" applyProtection="1">
      <alignment vertical="center"/>
      <protection locked="0"/>
    </xf>
    <xf numFmtId="0" fontId="55" fillId="0" borderId="22" xfId="4" applyBorder="1" applyAlignment="1" applyProtection="1">
      <alignment vertical="top"/>
      <protection locked="0"/>
    </xf>
    <xf numFmtId="0" fontId="55" fillId="0" borderId="35" xfId="4" applyBorder="1" applyAlignment="1" applyProtection="1">
      <alignment vertical="top"/>
      <protection locked="0"/>
    </xf>
    <xf numFmtId="0" fontId="51" fillId="0" borderId="0" xfId="0" applyFont="1" applyProtection="1">
      <alignment vertical="center"/>
      <protection locked="0"/>
    </xf>
    <xf numFmtId="0" fontId="72" fillId="0" borderId="0" xfId="7"/>
    <xf numFmtId="0" fontId="73" fillId="0" borderId="0" xfId="7" applyFont="1" applyAlignment="1">
      <alignment horizontal="center"/>
    </xf>
    <xf numFmtId="0" fontId="72" fillId="0" borderId="0" xfId="7" applyAlignment="1">
      <alignment horizontal="center" vertical="center"/>
    </xf>
    <xf numFmtId="0" fontId="72" fillId="0" borderId="14" xfId="7" applyBorder="1"/>
    <xf numFmtId="0" fontId="72" fillId="0" borderId="15" xfId="7" applyBorder="1"/>
    <xf numFmtId="0" fontId="72" fillId="0" borderId="16" xfId="7" applyBorder="1"/>
    <xf numFmtId="0" fontId="72" fillId="0" borderId="27" xfId="7" applyBorder="1"/>
    <xf numFmtId="0" fontId="72" fillId="0" borderId="17" xfId="7" applyBorder="1"/>
    <xf numFmtId="0" fontId="72" fillId="0" borderId="13" xfId="7" applyBorder="1"/>
    <xf numFmtId="0" fontId="72" fillId="0" borderId="18" xfId="7" applyBorder="1"/>
    <xf numFmtId="0" fontId="72" fillId="0" borderId="19" xfId="7" applyBorder="1"/>
    <xf numFmtId="0" fontId="72" fillId="0" borderId="20" xfId="7" applyBorder="1"/>
    <xf numFmtId="0" fontId="72" fillId="0" borderId="29" xfId="7" applyBorder="1"/>
    <xf numFmtId="0" fontId="72" fillId="0" borderId="31" xfId="7" applyBorder="1"/>
    <xf numFmtId="0" fontId="72" fillId="0" borderId="38" xfId="7" applyBorder="1"/>
    <xf numFmtId="0" fontId="72" fillId="0" borderId="35" xfId="7" applyBorder="1"/>
    <xf numFmtId="0" fontId="72" fillId="0" borderId="37" xfId="7" applyBorder="1"/>
    <xf numFmtId="0" fontId="72" fillId="0" borderId="36" xfId="7" applyBorder="1"/>
    <xf numFmtId="0" fontId="72" fillId="0" borderId="0" xfId="7" applyAlignment="1">
      <alignment horizontal="center" vertical="center" textRotation="255"/>
    </xf>
    <xf numFmtId="0" fontId="72" fillId="0" borderId="0" xfId="7" applyAlignment="1">
      <alignment vertical="center"/>
    </xf>
    <xf numFmtId="0" fontId="72" fillId="0" borderId="5" xfId="7" applyBorder="1"/>
    <xf numFmtId="0" fontId="72" fillId="0" borderId="6" xfId="7" applyBorder="1"/>
    <xf numFmtId="0" fontId="72" fillId="0" borderId="4" xfId="7" applyBorder="1"/>
    <xf numFmtId="0" fontId="72" fillId="0" borderId="0" xfId="7" applyAlignment="1">
      <alignment vertical="top"/>
    </xf>
    <xf numFmtId="0" fontId="72" fillId="0" borderId="13" xfId="7" applyBorder="1" applyAlignment="1">
      <alignment horizontal="left"/>
    </xf>
    <xf numFmtId="0" fontId="72" fillId="0" borderId="5" xfId="7" applyBorder="1" applyAlignment="1">
      <alignment horizontal="right" vertical="center"/>
    </xf>
    <xf numFmtId="0" fontId="72" fillId="0" borderId="81" xfId="7" applyBorder="1" applyAlignment="1">
      <alignment vertical="center" textRotation="255"/>
    </xf>
    <xf numFmtId="0" fontId="72" fillId="0" borderId="82" xfId="7" applyBorder="1" applyAlignment="1">
      <alignment vertical="center" textRotation="255"/>
    </xf>
    <xf numFmtId="0" fontId="72" fillId="0" borderId="0" xfId="0" applyFont="1" applyAlignment="1"/>
    <xf numFmtId="0" fontId="16" fillId="0" borderId="0" xfId="0" applyFont="1" applyAlignment="1">
      <alignment horizontal="right" vertical="center"/>
    </xf>
    <xf numFmtId="0" fontId="79" fillId="0" borderId="0" xfId="9" applyFont="1">
      <alignment vertical="center"/>
    </xf>
    <xf numFmtId="0" fontId="78" fillId="0" borderId="0" xfId="9">
      <alignment vertical="center"/>
    </xf>
    <xf numFmtId="0" fontId="79" fillId="0" borderId="87" xfId="9" applyFont="1" applyBorder="1" applyAlignment="1">
      <alignment horizontal="left" vertical="center"/>
    </xf>
    <xf numFmtId="0" fontId="79" fillId="0" borderId="87" xfId="9" applyFont="1" applyBorder="1" applyAlignment="1">
      <alignment horizontal="distributed" vertical="center" indent="1"/>
    </xf>
    <xf numFmtId="0" fontId="79" fillId="0" borderId="88" xfId="9" applyFont="1" applyBorder="1" applyAlignment="1">
      <alignment horizontal="distributed" vertical="center" indent="1"/>
    </xf>
    <xf numFmtId="0" fontId="79" fillId="0" borderId="1" xfId="9" applyFont="1" applyBorder="1" applyAlignment="1">
      <alignment horizontal="center" vertical="center"/>
    </xf>
    <xf numFmtId="0" fontId="79" fillId="0" borderId="1" xfId="9" applyFont="1" applyBorder="1" applyAlignment="1">
      <alignment horizontal="distributed" vertical="center" indent="1"/>
    </xf>
    <xf numFmtId="0" fontId="79" fillId="0" borderId="1" xfId="9" applyFont="1" applyBorder="1" applyAlignment="1">
      <alignment horizontal="justify" vertical="center"/>
    </xf>
    <xf numFmtId="0" fontId="79" fillId="0" borderId="0" xfId="9" applyFont="1" applyAlignment="1">
      <alignment horizontal="center" vertical="center"/>
    </xf>
    <xf numFmtId="0" fontId="79" fillId="0" borderId="0" xfId="9" applyFont="1" applyAlignment="1">
      <alignment horizontal="left" vertical="center"/>
    </xf>
    <xf numFmtId="0" fontId="78" fillId="0" borderId="0" xfId="9" applyAlignment="1">
      <alignment horizontal="center" vertical="center"/>
    </xf>
    <xf numFmtId="0" fontId="78" fillId="2" borderId="0" xfId="9" applyFill="1" applyProtection="1">
      <alignment vertical="center"/>
      <protection locked="0"/>
    </xf>
    <xf numFmtId="0" fontId="79" fillId="0" borderId="1" xfId="9" applyFont="1" applyBorder="1" applyAlignment="1">
      <alignment horizontal="center" vertical="center" wrapText="1"/>
    </xf>
    <xf numFmtId="49" fontId="3" fillId="2" borderId="0" xfId="0" applyNumberFormat="1" applyFont="1" applyFill="1" applyAlignment="1" applyProtection="1">
      <alignment vertical="center" wrapText="1"/>
      <protection locked="0"/>
    </xf>
    <xf numFmtId="49" fontId="3" fillId="2" borderId="0" xfId="0" applyNumberFormat="1" applyFont="1" applyFill="1" applyProtection="1">
      <alignment vertical="center"/>
      <protection locked="0"/>
    </xf>
    <xf numFmtId="0" fontId="39" fillId="0" borderId="0" xfId="2" applyFont="1" applyBorder="1" applyAlignment="1">
      <alignment horizontal="center" vertical="center"/>
    </xf>
    <xf numFmtId="200" fontId="3" fillId="2" borderId="0" xfId="0" applyNumberFormat="1" applyFont="1" applyFill="1" applyAlignment="1" applyProtection="1">
      <alignment horizontal="center" vertical="center"/>
      <protection locked="0"/>
    </xf>
    <xf numFmtId="200" fontId="3" fillId="0" borderId="0" xfId="0" applyNumberFormat="1" applyFont="1" applyAlignment="1" applyProtection="1">
      <alignment horizontal="center" vertical="center"/>
      <protection locked="0"/>
    </xf>
    <xf numFmtId="0" fontId="13" fillId="0" borderId="0" xfId="0" applyFont="1" applyAlignment="1">
      <alignment horizontal="centerContinuous" vertical="center"/>
    </xf>
    <xf numFmtId="0" fontId="82" fillId="0" borderId="0" xfId="0" applyFont="1" applyAlignment="1">
      <alignment horizontal="center" vertical="center"/>
    </xf>
    <xf numFmtId="0" fontId="75" fillId="0" borderId="0" xfId="7" applyFont="1" applyProtection="1">
      <protection locked="0"/>
    </xf>
    <xf numFmtId="0" fontId="72" fillId="0" borderId="0" xfId="7" applyProtection="1">
      <protection locked="0"/>
    </xf>
    <xf numFmtId="0" fontId="72" fillId="2" borderId="0" xfId="7" applyFill="1" applyAlignment="1" applyProtection="1">
      <alignment horizontal="center"/>
      <protection locked="0"/>
    </xf>
    <xf numFmtId="0" fontId="75" fillId="0" borderId="0" xfId="7" applyFont="1"/>
    <xf numFmtId="0" fontId="75" fillId="0" borderId="17" xfId="7" applyFont="1" applyBorder="1"/>
    <xf numFmtId="0" fontId="75" fillId="0" borderId="13" xfId="7" applyFont="1" applyBorder="1"/>
    <xf numFmtId="0" fontId="76" fillId="0" borderId="27" xfId="7" applyFont="1" applyBorder="1"/>
    <xf numFmtId="0" fontId="76" fillId="0" borderId="13" xfId="7" applyFont="1" applyBorder="1" applyAlignment="1">
      <alignment horizontal="left"/>
    </xf>
    <xf numFmtId="0" fontId="76" fillId="0" borderId="0" xfId="7" applyFont="1"/>
    <xf numFmtId="0" fontId="83" fillId="0" borderId="0" xfId="7" applyFont="1"/>
    <xf numFmtId="0" fontId="29" fillId="0" borderId="0" xfId="0" applyFont="1">
      <alignment vertical="center"/>
    </xf>
    <xf numFmtId="0" fontId="56" fillId="0" borderId="0" xfId="4" applyFont="1" applyAlignment="1">
      <alignment horizontal="left" vertical="center"/>
    </xf>
    <xf numFmtId="0" fontId="4" fillId="0" borderId="0" xfId="0" applyFont="1" applyAlignment="1">
      <alignment horizontal="center" vertical="center"/>
    </xf>
    <xf numFmtId="0" fontId="86" fillId="0" borderId="87" xfId="9" applyFont="1" applyBorder="1" applyAlignment="1">
      <alignment horizontal="center" vertical="center" wrapText="1"/>
    </xf>
    <xf numFmtId="0" fontId="3" fillId="0" borderId="0" xfId="0" applyFont="1" applyProtection="1">
      <alignment vertical="center"/>
      <protection locked="0"/>
    </xf>
    <xf numFmtId="181" fontId="3" fillId="2" borderId="94" xfId="0" applyNumberFormat="1" applyFont="1" applyFill="1" applyBorder="1" applyAlignment="1" applyProtection="1">
      <alignment horizontal="left" vertical="center"/>
      <protection locked="0"/>
    </xf>
    <xf numFmtId="0" fontId="3" fillId="2" borderId="94" xfId="0" applyFont="1" applyFill="1" applyBorder="1" applyProtection="1">
      <alignment vertical="center"/>
      <protection locked="0"/>
    </xf>
    <xf numFmtId="0" fontId="14" fillId="2" borderId="94" xfId="0" applyFont="1" applyFill="1" applyBorder="1" applyAlignment="1" applyProtection="1">
      <alignment horizontal="left" vertical="center"/>
      <protection locked="0"/>
    </xf>
    <xf numFmtId="0" fontId="3" fillId="2" borderId="95" xfId="0" applyFont="1" applyFill="1" applyBorder="1" applyProtection="1">
      <alignment vertical="center"/>
      <protection locked="0"/>
    </xf>
    <xf numFmtId="0" fontId="3" fillId="2" borderId="96" xfId="0" applyFont="1" applyFill="1" applyBorder="1" applyProtection="1">
      <alignment vertical="center"/>
      <protection locked="0"/>
    </xf>
    <xf numFmtId="0" fontId="3" fillId="2" borderId="97" xfId="0" applyFont="1" applyFill="1" applyBorder="1" applyProtection="1">
      <alignment vertical="center"/>
      <protection locked="0"/>
    </xf>
    <xf numFmtId="0" fontId="38" fillId="2" borderId="0" xfId="0" applyFont="1" applyFill="1" applyAlignment="1" applyProtection="1">
      <alignment horizontal="left" vertical="center"/>
      <protection locked="0"/>
    </xf>
    <xf numFmtId="0" fontId="13" fillId="0" borderId="0" xfId="0" applyFont="1" applyAlignment="1" applyProtection="1">
      <alignment horizontal="left" vertical="center"/>
      <protection locked="0"/>
    </xf>
    <xf numFmtId="176" fontId="3" fillId="0" borderId="0" xfId="0" applyNumberFormat="1" applyFont="1" applyProtection="1">
      <alignment vertical="center"/>
      <protection locked="0"/>
    </xf>
    <xf numFmtId="0" fontId="89" fillId="0" borderId="1" xfId="2" applyFont="1" applyBorder="1" applyAlignment="1" applyProtection="1">
      <alignment horizontal="center" vertical="center"/>
    </xf>
    <xf numFmtId="0" fontId="17" fillId="0" borderId="0" xfId="0" applyFont="1">
      <alignment vertical="center"/>
    </xf>
    <xf numFmtId="0" fontId="3" fillId="0" borderId="98" xfId="0" applyFont="1" applyBorder="1">
      <alignment vertical="center"/>
    </xf>
    <xf numFmtId="0" fontId="0" fillId="0" borderId="98" xfId="0" applyBorder="1">
      <alignment vertical="center"/>
    </xf>
    <xf numFmtId="0" fontId="0" fillId="0" borderId="99" xfId="0" applyBorder="1">
      <alignment vertical="center"/>
    </xf>
    <xf numFmtId="0" fontId="7" fillId="0" borderId="99" xfId="0" applyFont="1" applyBorder="1">
      <alignment vertical="center"/>
    </xf>
    <xf numFmtId="0" fontId="3" fillId="0" borderId="100" xfId="0" applyFont="1" applyBorder="1">
      <alignment vertical="center"/>
    </xf>
    <xf numFmtId="0" fontId="3" fillId="0" borderId="101" xfId="0" applyFont="1" applyBorder="1">
      <alignment vertical="center"/>
    </xf>
    <xf numFmtId="0" fontId="3" fillId="0" borderId="102" xfId="0" applyFont="1" applyBorder="1">
      <alignment vertical="center"/>
    </xf>
    <xf numFmtId="0" fontId="18" fillId="0" borderId="100" xfId="0" applyFont="1" applyBorder="1">
      <alignment vertical="center"/>
    </xf>
    <xf numFmtId="0" fontId="18" fillId="0" borderId="98" xfId="0" applyFont="1" applyBorder="1">
      <alignment vertical="center"/>
    </xf>
    <xf numFmtId="0" fontId="18" fillId="0" borderId="101" xfId="0" applyFont="1" applyBorder="1">
      <alignment vertical="center"/>
    </xf>
    <xf numFmtId="0" fontId="18" fillId="6" borderId="100" xfId="0" applyFont="1" applyFill="1" applyBorder="1" applyAlignment="1">
      <alignment horizontal="center" vertical="center"/>
    </xf>
    <xf numFmtId="0" fontId="0" fillId="0" borderId="100" xfId="0" applyBorder="1">
      <alignment vertical="center"/>
    </xf>
    <xf numFmtId="38" fontId="47" fillId="0" borderId="0" xfId="1" applyFont="1" applyBorder="1">
      <alignment vertical="center"/>
    </xf>
    <xf numFmtId="38" fontId="0" fillId="0" borderId="0" xfId="1" applyFont="1" applyBorder="1">
      <alignment vertical="center"/>
    </xf>
    <xf numFmtId="189" fontId="0" fillId="0" borderId="0" xfId="1" applyNumberFormat="1" applyFont="1" applyBorder="1" applyAlignment="1">
      <alignment vertical="center"/>
    </xf>
    <xf numFmtId="0" fontId="48" fillId="0" borderId="0" xfId="0" applyFont="1">
      <alignment vertical="center"/>
    </xf>
    <xf numFmtId="188" fontId="0" fillId="0" borderId="0" xfId="1" applyNumberFormat="1" applyFont="1" applyBorder="1">
      <alignment vertical="center"/>
    </xf>
    <xf numFmtId="0" fontId="0" fillId="0" borderId="98" xfId="0" applyBorder="1" applyAlignment="1">
      <alignment horizontal="center" vertical="center"/>
    </xf>
    <xf numFmtId="0" fontId="3" fillId="0" borderId="99" xfId="0" applyFont="1" applyBorder="1" applyAlignment="1">
      <alignment horizontal="centerContinuous" vertical="center"/>
    </xf>
    <xf numFmtId="0" fontId="13" fillId="0" borderId="99" xfId="0" applyFont="1" applyBorder="1" applyAlignment="1">
      <alignment horizontal="centerContinuous" vertical="center"/>
    </xf>
    <xf numFmtId="0" fontId="13" fillId="0" borderId="99" xfId="0" applyFont="1" applyBorder="1" applyAlignment="1">
      <alignment horizontal="distributed" vertical="center"/>
    </xf>
    <xf numFmtId="0" fontId="3" fillId="0" borderId="99" xfId="0" applyFont="1" applyBorder="1">
      <alignment vertical="center"/>
    </xf>
    <xf numFmtId="0" fontId="30" fillId="0" borderId="0" xfId="0" applyFont="1" applyAlignment="1">
      <alignment horizontal="distributed" vertical="center" indent="1"/>
    </xf>
    <xf numFmtId="0" fontId="36" fillId="0" borderId="0" xfId="0" applyFont="1" applyAlignment="1">
      <alignment horizontal="center" vertical="center"/>
    </xf>
    <xf numFmtId="0" fontId="36" fillId="0" borderId="0" xfId="0" applyFont="1">
      <alignment vertical="center"/>
    </xf>
    <xf numFmtId="0" fontId="42" fillId="0" borderId="0" xfId="0" applyFont="1" applyAlignment="1">
      <alignment horizontal="center" vertical="center"/>
    </xf>
    <xf numFmtId="0" fontId="30" fillId="0" borderId="0" xfId="0" applyFont="1" applyAlignment="1" applyProtection="1">
      <alignment horizontal="center" vertical="center"/>
      <protection locked="0"/>
    </xf>
    <xf numFmtId="0" fontId="30" fillId="0" borderId="0" xfId="0" applyFont="1" applyAlignment="1">
      <alignment vertical="top" wrapText="1"/>
    </xf>
    <xf numFmtId="0" fontId="91" fillId="0" borderId="1" xfId="0" applyFont="1" applyBorder="1">
      <alignment vertical="center"/>
    </xf>
    <xf numFmtId="0" fontId="92" fillId="0" borderId="0" xfId="0" applyFont="1" applyAlignment="1">
      <alignment horizontal="centerContinuous" vertical="center"/>
    </xf>
    <xf numFmtId="0" fontId="92" fillId="0" borderId="0" xfId="0" applyFont="1" applyAlignment="1">
      <alignment horizontal="center" vertical="center"/>
    </xf>
    <xf numFmtId="0" fontId="92" fillId="0" borderId="0" xfId="0" applyFont="1">
      <alignment vertical="center"/>
    </xf>
    <xf numFmtId="0" fontId="92" fillId="0" borderId="0" xfId="0" applyFont="1" applyAlignment="1">
      <alignment horizontal="distributed" vertical="center"/>
    </xf>
    <xf numFmtId="0" fontId="92" fillId="0" borderId="0" xfId="2" applyFont="1" applyFill="1" applyBorder="1" applyAlignment="1">
      <alignment horizontal="distributed" vertical="center"/>
    </xf>
    <xf numFmtId="0" fontId="93" fillId="0" borderId="0" xfId="0" applyFont="1">
      <alignment vertical="center"/>
    </xf>
    <xf numFmtId="188" fontId="0" fillId="0" borderId="0" xfId="1" applyNumberFormat="1" applyFont="1" applyBorder="1" applyAlignment="1">
      <alignment vertical="center"/>
    </xf>
    <xf numFmtId="189" fontId="0" fillId="0" borderId="0" xfId="0" applyNumberFormat="1" applyProtection="1">
      <alignment vertical="center"/>
      <protection locked="0"/>
    </xf>
    <xf numFmtId="0" fontId="8" fillId="0" borderId="0" xfId="0" applyFont="1" applyAlignment="1">
      <alignment horizontal="right" vertical="center"/>
    </xf>
    <xf numFmtId="0" fontId="43" fillId="0" borderId="0" xfId="0" applyFont="1" applyAlignment="1">
      <alignment horizontal="right" vertical="center"/>
    </xf>
    <xf numFmtId="0" fontId="48" fillId="0" borderId="0" xfId="0" applyFont="1" applyAlignment="1">
      <alignment horizontal="right" vertical="center"/>
    </xf>
    <xf numFmtId="189" fontId="47" fillId="0" borderId="0" xfId="0" applyNumberFormat="1" applyFont="1" applyProtection="1">
      <alignment vertical="center"/>
      <protection locked="0"/>
    </xf>
    <xf numFmtId="176" fontId="0" fillId="0" borderId="0" xfId="0" applyNumberFormat="1">
      <alignment vertical="center"/>
    </xf>
    <xf numFmtId="0" fontId="3" fillId="0" borderId="100" xfId="0" applyFont="1" applyBorder="1" applyAlignment="1">
      <alignment horizontal="centerContinuous" vertical="center"/>
    </xf>
    <xf numFmtId="0" fontId="13" fillId="0" borderId="100" xfId="0" applyFont="1" applyBorder="1" applyAlignment="1">
      <alignment horizontal="centerContinuous" vertical="center"/>
    </xf>
    <xf numFmtId="0" fontId="13" fillId="0" borderId="100" xfId="0" applyFont="1" applyBorder="1" applyProtection="1">
      <alignment vertical="center"/>
      <protection locked="0"/>
    </xf>
    <xf numFmtId="0" fontId="13" fillId="0" borderId="100" xfId="0" applyFont="1" applyBorder="1" applyAlignment="1" applyProtection="1">
      <alignment horizontal="center" vertical="center"/>
      <protection locked="0"/>
    </xf>
    <xf numFmtId="190" fontId="13" fillId="0" borderId="100" xfId="0" applyNumberFormat="1" applyFont="1" applyBorder="1" applyAlignment="1" applyProtection="1">
      <alignment horizontal="center" vertical="center"/>
      <protection locked="0"/>
    </xf>
    <xf numFmtId="0" fontId="0" fillId="0" borderId="103" xfId="0" applyBorder="1">
      <alignment vertical="center"/>
    </xf>
    <xf numFmtId="0" fontId="0" fillId="0" borderId="101" xfId="0" applyBorder="1">
      <alignment vertical="center"/>
    </xf>
    <xf numFmtId="0" fontId="10" fillId="2" borderId="0" xfId="0" applyFont="1" applyFill="1">
      <alignment vertical="center"/>
    </xf>
    <xf numFmtId="0" fontId="93" fillId="0" borderId="0" xfId="0" applyFont="1" applyAlignment="1">
      <alignment horizontal="left" vertical="center"/>
    </xf>
    <xf numFmtId="197" fontId="83" fillId="2" borderId="0" xfId="7" applyNumberFormat="1" applyFont="1" applyFill="1" applyProtection="1">
      <protection locked="0"/>
    </xf>
    <xf numFmtId="197" fontId="88" fillId="2" borderId="0" xfId="7" applyNumberFormat="1" applyFont="1" applyFill="1" applyProtection="1">
      <protection locked="0"/>
    </xf>
    <xf numFmtId="38" fontId="18" fillId="0" borderId="0" xfId="1" applyFont="1" applyFill="1" applyProtection="1">
      <alignment vertical="center"/>
      <protection locked="0"/>
    </xf>
    <xf numFmtId="0" fontId="18" fillId="0" borderId="0" xfId="0" applyFont="1" applyProtection="1">
      <alignment vertical="center"/>
      <protection locked="0"/>
    </xf>
    <xf numFmtId="0" fontId="91" fillId="0" borderId="0" xfId="0" applyFont="1" applyProtection="1">
      <alignment vertical="center"/>
      <protection locked="0"/>
    </xf>
    <xf numFmtId="0" fontId="91" fillId="0" borderId="0" xfId="0" applyFont="1">
      <alignment vertical="center"/>
    </xf>
    <xf numFmtId="0" fontId="78" fillId="0" borderId="45" xfId="9" applyBorder="1" applyAlignment="1">
      <alignment horizontal="center" vertical="center"/>
    </xf>
    <xf numFmtId="0" fontId="94" fillId="0" borderId="45" xfId="9" applyFont="1" applyBorder="1" applyAlignment="1">
      <alignment horizontal="center" vertical="center"/>
    </xf>
    <xf numFmtId="0" fontId="78" fillId="0" borderId="72" xfId="9" applyBorder="1">
      <alignment vertical="center"/>
    </xf>
    <xf numFmtId="0" fontId="78" fillId="0" borderId="48" xfId="9" applyBorder="1">
      <alignment vertical="center"/>
    </xf>
    <xf numFmtId="0" fontId="78" fillId="0" borderId="0" xfId="9" applyAlignment="1">
      <alignment horizontal="center"/>
    </xf>
    <xf numFmtId="0" fontId="79" fillId="0" borderId="1" xfId="9" applyFont="1" applyBorder="1" applyAlignment="1">
      <alignment horizontal="left" vertical="center" wrapText="1" indent="1"/>
    </xf>
    <xf numFmtId="5" fontId="79" fillId="0" borderId="89" xfId="10" applyNumberFormat="1" applyFont="1" applyBorder="1" applyAlignment="1">
      <alignment horizontal="center" vertical="center"/>
    </xf>
    <xf numFmtId="0" fontId="87" fillId="0" borderId="89" xfId="0" applyFont="1" applyBorder="1" applyAlignment="1">
      <alignment horizontal="center" vertical="center" wrapText="1"/>
    </xf>
    <xf numFmtId="0" fontId="51" fillId="0" borderId="0" xfId="0" applyFont="1" applyAlignment="1" applyProtection="1">
      <alignment horizontal="center" vertical="center"/>
      <protection locked="0"/>
    </xf>
    <xf numFmtId="49" fontId="95" fillId="0" borderId="1" xfId="0" applyNumberFormat="1" applyFont="1" applyBorder="1" applyAlignment="1">
      <alignment horizontal="center" vertical="center" wrapText="1"/>
    </xf>
    <xf numFmtId="49" fontId="95" fillId="0" borderId="104" xfId="0" applyNumberFormat="1" applyFont="1" applyBorder="1" applyAlignment="1"/>
    <xf numFmtId="49" fontId="95" fillId="0" borderId="67" xfId="0" applyNumberFormat="1" applyFont="1" applyBorder="1" applyAlignment="1"/>
    <xf numFmtId="49" fontId="95" fillId="0" borderId="105" xfId="0" applyNumberFormat="1" applyFont="1" applyBorder="1" applyAlignment="1"/>
    <xf numFmtId="0" fontId="10" fillId="0" borderId="1" xfId="0" applyFont="1" applyBorder="1" applyAlignment="1"/>
    <xf numFmtId="0" fontId="91" fillId="0" borderId="106" xfId="0" applyFont="1" applyBorder="1">
      <alignment vertical="center"/>
    </xf>
    <xf numFmtId="0" fontId="5" fillId="7" borderId="0" xfId="0" applyFont="1" applyFill="1" applyAlignment="1">
      <alignment horizontal="left" vertical="center" indent="1"/>
    </xf>
    <xf numFmtId="0" fontId="13" fillId="5" borderId="0" xfId="0" applyFont="1" applyFill="1">
      <alignment vertical="center"/>
    </xf>
    <xf numFmtId="0" fontId="13" fillId="5" borderId="0" xfId="0" applyFont="1" applyFill="1" applyProtection="1">
      <alignment vertical="center"/>
      <protection locked="0"/>
    </xf>
    <xf numFmtId="0" fontId="3" fillId="5" borderId="0" xfId="0" applyFont="1" applyFill="1">
      <alignment vertical="center"/>
    </xf>
    <xf numFmtId="0" fontId="92" fillId="6" borderId="4" xfId="0" applyFont="1" applyFill="1" applyBorder="1" applyAlignment="1">
      <alignment horizontal="left" vertical="center"/>
    </xf>
    <xf numFmtId="0" fontId="92" fillId="6" borderId="6" xfId="0" applyFont="1" applyFill="1" applyBorder="1">
      <alignment vertical="center"/>
    </xf>
    <xf numFmtId="0" fontId="78" fillId="2" borderId="47" xfId="9" applyFill="1" applyBorder="1">
      <alignment vertical="center"/>
    </xf>
    <xf numFmtId="0" fontId="78" fillId="2" borderId="0" xfId="9" applyFill="1">
      <alignment vertical="center"/>
    </xf>
    <xf numFmtId="0" fontId="78" fillId="0" borderId="0" xfId="9" applyAlignment="1">
      <alignment horizontal="left"/>
    </xf>
    <xf numFmtId="0" fontId="78" fillId="0" borderId="0" xfId="9" applyAlignment="1">
      <alignment horizontal="left" vertical="center"/>
    </xf>
    <xf numFmtId="0" fontId="78" fillId="2" borderId="0" xfId="9" applyFill="1" applyAlignment="1">
      <alignment horizontal="left" vertical="center"/>
    </xf>
    <xf numFmtId="0" fontId="96" fillId="0" borderId="0" xfId="9" applyFont="1" applyAlignment="1">
      <alignment horizontal="left"/>
    </xf>
    <xf numFmtId="0" fontId="96" fillId="0" borderId="0" xfId="9" applyFont="1" applyAlignment="1"/>
    <xf numFmtId="0" fontId="56" fillId="0" borderId="48" xfId="4" applyFont="1" applyBorder="1" applyAlignment="1">
      <alignment horizontal="left" vertical="center" wrapText="1"/>
    </xf>
    <xf numFmtId="0" fontId="56" fillId="0" borderId="0" xfId="3" applyFont="1">
      <alignment vertical="center"/>
    </xf>
    <xf numFmtId="38" fontId="54" fillId="0" borderId="0" xfId="1" applyFont="1" applyAlignment="1">
      <alignment vertical="center"/>
    </xf>
    <xf numFmtId="0" fontId="56" fillId="0" borderId="48" xfId="4" applyFont="1" applyBorder="1" applyAlignment="1">
      <alignment horizontal="left" vertical="center"/>
    </xf>
    <xf numFmtId="0" fontId="56" fillId="0" borderId="0" xfId="4" applyFont="1" applyAlignment="1"/>
    <xf numFmtId="0" fontId="56" fillId="0" borderId="0" xfId="4" applyFont="1" applyAlignment="1">
      <alignment horizontal="left"/>
    </xf>
    <xf numFmtId="0" fontId="56" fillId="0" borderId="44" xfId="4" applyFont="1" applyBorder="1" applyAlignment="1">
      <alignment vertical="center" shrinkToFit="1"/>
    </xf>
    <xf numFmtId="0" fontId="97" fillId="0" borderId="0" xfId="0" applyFont="1" applyAlignment="1">
      <alignment horizontal="left" vertical="center"/>
    </xf>
    <xf numFmtId="0" fontId="90" fillId="0" borderId="0" xfId="0" applyFont="1" applyAlignment="1">
      <alignment horizontal="center" vertical="center"/>
    </xf>
    <xf numFmtId="0" fontId="90" fillId="0" borderId="100" xfId="0" applyFont="1" applyBorder="1" applyAlignment="1">
      <alignment horizontal="center" vertical="center"/>
    </xf>
    <xf numFmtId="0" fontId="3" fillId="0" borderId="0" xfId="0" applyFont="1" applyAlignment="1">
      <alignment horizontal="center" vertical="center"/>
    </xf>
    <xf numFmtId="0" fontId="3" fillId="0" borderId="0" xfId="0" applyFont="1" applyAlignment="1">
      <alignment horizontal="center" vertical="center" shrinkToFit="1"/>
    </xf>
    <xf numFmtId="0" fontId="13" fillId="5" borderId="0" xfId="0" applyFont="1" applyFill="1" applyAlignment="1">
      <alignment horizontal="center" vertical="center" shrinkToFit="1"/>
    </xf>
    <xf numFmtId="189" fontId="0" fillId="0" borderId="0" xfId="0" applyNumberFormat="1" applyProtection="1">
      <alignment vertical="center"/>
      <protection locked="0"/>
    </xf>
    <xf numFmtId="0" fontId="20" fillId="0" borderId="4" xfId="2" applyBorder="1" applyAlignment="1">
      <alignment horizontal="center" vertical="center"/>
    </xf>
    <xf numFmtId="0" fontId="20" fillId="0" borderId="5" xfId="2" applyBorder="1" applyAlignment="1">
      <alignment horizontal="center" vertical="center"/>
    </xf>
    <xf numFmtId="0" fontId="20" fillId="0" borderId="6" xfId="2" applyBorder="1" applyAlignment="1">
      <alignment horizontal="center" vertical="center"/>
    </xf>
    <xf numFmtId="0" fontId="0" fillId="0" borderId="0" xfId="0" applyAlignment="1">
      <alignment horizontal="center" vertical="center"/>
    </xf>
    <xf numFmtId="0" fontId="0" fillId="2" borderId="0" xfId="0" applyFill="1" applyProtection="1">
      <alignment vertical="center"/>
      <protection locked="0"/>
    </xf>
    <xf numFmtId="0" fontId="0" fillId="0" borderId="0" xfId="0">
      <alignment vertical="center"/>
    </xf>
    <xf numFmtId="0" fontId="10" fillId="2" borderId="0" xfId="0" applyFont="1" applyFill="1" applyAlignment="1" applyProtection="1">
      <alignment horizontal="center" vertical="center"/>
      <protection locked="0"/>
    </xf>
    <xf numFmtId="0" fontId="91" fillId="0" borderId="0" xfId="0" applyFont="1" applyAlignment="1">
      <alignment horizontal="center" vertical="top" wrapText="1"/>
    </xf>
    <xf numFmtId="188" fontId="47" fillId="0" borderId="0" xfId="1" applyNumberFormat="1" applyFont="1" applyFill="1" applyBorder="1" applyAlignment="1" applyProtection="1">
      <alignment vertical="center"/>
      <protection locked="0"/>
    </xf>
    <xf numFmtId="0" fontId="44" fillId="0" borderId="0" xfId="0" applyFont="1">
      <alignment vertical="center"/>
    </xf>
    <xf numFmtId="0" fontId="12" fillId="2" borderId="0" xfId="0" applyFont="1" applyFill="1" applyProtection="1">
      <alignment vertical="center"/>
      <protection locked="0"/>
    </xf>
    <xf numFmtId="189" fontId="0" fillId="0" borderId="0" xfId="1" applyNumberFormat="1" applyFont="1" applyBorder="1" applyAlignment="1">
      <alignment vertical="center"/>
    </xf>
    <xf numFmtId="0" fontId="30" fillId="0" borderId="0" xfId="0" applyFont="1" applyAlignment="1">
      <alignment horizontal="left" vertical="center" indent="1"/>
    </xf>
    <xf numFmtId="0" fontId="30" fillId="0" borderId="19" xfId="0" applyFont="1" applyBorder="1" applyAlignment="1">
      <alignment horizontal="distributed" vertical="center" indent="1"/>
    </xf>
    <xf numFmtId="0" fontId="30" fillId="0" borderId="0" xfId="0" applyFont="1" applyAlignment="1">
      <alignment horizontal="distributed" vertical="center"/>
    </xf>
    <xf numFmtId="0" fontId="30" fillId="0" borderId="15" xfId="0" applyFont="1" applyBorder="1" applyAlignment="1">
      <alignment horizontal="distributed" vertical="center" wrapText="1"/>
    </xf>
    <xf numFmtId="0" fontId="30" fillId="0" borderId="0" xfId="0" applyFont="1" applyAlignment="1">
      <alignment horizontal="distributed" vertical="center" wrapText="1"/>
    </xf>
    <xf numFmtId="0" fontId="30" fillId="0" borderId="19" xfId="0" applyFont="1" applyBorder="1" applyAlignment="1">
      <alignment horizontal="distributed" vertical="center" wrapText="1"/>
    </xf>
    <xf numFmtId="0" fontId="31" fillId="0" borderId="0" xfId="0" applyFont="1" applyAlignment="1">
      <alignment horizontal="distributed" vertical="center" indent="8"/>
    </xf>
    <xf numFmtId="0" fontId="30" fillId="0" borderId="15" xfId="0" applyFont="1" applyBorder="1" applyAlignment="1">
      <alignment horizontal="left" vertical="center"/>
    </xf>
    <xf numFmtId="0" fontId="30" fillId="0" borderId="0" xfId="0" applyFont="1" applyAlignment="1">
      <alignment horizontal="left" vertical="center"/>
    </xf>
    <xf numFmtId="0" fontId="30" fillId="0" borderId="19" xfId="0" applyFont="1" applyBorder="1" applyAlignment="1">
      <alignment horizontal="left" vertical="center"/>
    </xf>
    <xf numFmtId="0" fontId="30" fillId="0" borderId="15" xfId="0" applyFont="1" applyBorder="1">
      <alignment vertical="center"/>
    </xf>
    <xf numFmtId="0" fontId="30" fillId="0" borderId="0" xfId="0" applyFont="1">
      <alignment vertical="center"/>
    </xf>
    <xf numFmtId="0" fontId="30" fillId="0" borderId="19" xfId="0" applyFont="1" applyBorder="1">
      <alignment vertical="center"/>
    </xf>
    <xf numFmtId="0" fontId="30" fillId="0" borderId="0" xfId="0" applyFont="1" applyAlignment="1">
      <alignment vertical="center" shrinkToFit="1"/>
    </xf>
    <xf numFmtId="0" fontId="36" fillId="0" borderId="0" xfId="0" applyFont="1" applyAlignment="1">
      <alignment horizontal="distributed" vertical="center" indent="10"/>
    </xf>
    <xf numFmtId="0" fontId="51" fillId="0" borderId="0" xfId="0" applyFont="1">
      <alignment vertical="center"/>
    </xf>
    <xf numFmtId="0" fontId="33" fillId="0" borderId="0" xfId="0" applyFont="1" applyAlignment="1">
      <alignment horizontal="distributed" vertical="center"/>
    </xf>
    <xf numFmtId="0" fontId="30" fillId="0" borderId="0" xfId="0" applyFont="1" applyAlignment="1">
      <alignment horizontal="center" vertical="center"/>
    </xf>
    <xf numFmtId="0" fontId="52" fillId="0" borderId="0" xfId="0" applyFont="1" applyAlignment="1">
      <alignment horizontal="left" vertical="center"/>
    </xf>
    <xf numFmtId="0" fontId="30" fillId="0" borderId="0" xfId="0" applyFont="1" applyAlignment="1">
      <alignment horizontal="distributed" vertical="center" indent="15"/>
    </xf>
    <xf numFmtId="0" fontId="33" fillId="0" borderId="0" xfId="0" applyFont="1" applyAlignment="1">
      <alignment horizontal="distributed" vertical="center" indent="15"/>
    </xf>
    <xf numFmtId="0" fontId="33" fillId="0" borderId="0" xfId="0" applyFont="1">
      <alignment vertical="center"/>
    </xf>
    <xf numFmtId="0" fontId="83" fillId="0" borderId="0" xfId="7" applyFont="1" applyAlignment="1">
      <alignment horizontal="center"/>
    </xf>
    <xf numFmtId="188" fontId="72" fillId="0" borderId="19" xfId="1" applyNumberFormat="1" applyFont="1" applyBorder="1" applyAlignment="1" applyProtection="1"/>
    <xf numFmtId="0" fontId="72" fillId="0" borderId="32" xfId="7" applyBorder="1" applyAlignment="1" applyProtection="1">
      <alignment horizontal="center" vertical="center" shrinkToFit="1"/>
      <protection locked="0"/>
    </xf>
    <xf numFmtId="0" fontId="72" fillId="0" borderId="5" xfId="7" applyBorder="1" applyAlignment="1" applyProtection="1">
      <alignment horizontal="center" vertical="center" shrinkToFit="1"/>
      <protection locked="0"/>
    </xf>
    <xf numFmtId="0" fontId="72" fillId="0" borderId="6" xfId="7" applyBorder="1" applyAlignment="1" applyProtection="1">
      <alignment horizontal="center" vertical="center" shrinkToFit="1"/>
      <protection locked="0"/>
    </xf>
    <xf numFmtId="9" fontId="87" fillId="0" borderId="32" xfId="8" applyFont="1" applyBorder="1" applyAlignment="1" applyProtection="1">
      <alignment horizontal="center" vertical="center" shrinkToFit="1"/>
      <protection locked="0"/>
    </xf>
    <xf numFmtId="9" fontId="87" fillId="0" borderId="5" xfId="8" applyFont="1" applyBorder="1" applyAlignment="1" applyProtection="1">
      <alignment horizontal="center" vertical="center" shrinkToFit="1"/>
      <protection locked="0"/>
    </xf>
    <xf numFmtId="9" fontId="87" fillId="0" borderId="6" xfId="8" applyFont="1" applyBorder="1" applyAlignment="1" applyProtection="1">
      <alignment horizontal="center" vertical="center" shrinkToFit="1"/>
      <protection locked="0"/>
    </xf>
    <xf numFmtId="0" fontId="72" fillId="0" borderId="39" xfId="7" applyBorder="1" applyAlignment="1" applyProtection="1">
      <alignment horizontal="center" vertical="center" shrinkToFit="1"/>
      <protection locked="0"/>
    </xf>
    <xf numFmtId="0" fontId="72" fillId="0" borderId="40" xfId="7" applyBorder="1" applyAlignment="1" applyProtection="1">
      <alignment horizontal="center" vertical="center" shrinkToFit="1"/>
      <protection locked="0"/>
    </xf>
    <xf numFmtId="0" fontId="72" fillId="0" borderId="41" xfId="7" applyBorder="1" applyAlignment="1" applyProtection="1">
      <alignment horizontal="center" vertical="center" shrinkToFit="1"/>
      <protection locked="0"/>
    </xf>
    <xf numFmtId="0" fontId="72" fillId="0" borderId="42" xfId="7" applyBorder="1" applyAlignment="1" applyProtection="1">
      <alignment horizontal="left" vertical="center" shrinkToFit="1"/>
      <protection locked="0"/>
    </xf>
    <xf numFmtId="0" fontId="72" fillId="0" borderId="40" xfId="7" applyBorder="1" applyAlignment="1" applyProtection="1">
      <alignment horizontal="left" vertical="center" shrinkToFit="1"/>
      <protection locked="0"/>
    </xf>
    <xf numFmtId="0" fontId="72" fillId="0" borderId="41" xfId="7" applyBorder="1" applyAlignment="1" applyProtection="1">
      <alignment horizontal="left" vertical="center" shrinkToFit="1"/>
      <protection locked="0"/>
    </xf>
    <xf numFmtId="0" fontId="72" fillId="0" borderId="4" xfId="7" applyBorder="1" applyAlignment="1" applyProtection="1">
      <alignment horizontal="center" vertical="center" shrinkToFit="1"/>
      <protection locked="0"/>
    </xf>
    <xf numFmtId="0" fontId="72" fillId="0" borderId="1" xfId="7" applyBorder="1" applyAlignment="1" applyProtection="1">
      <alignment horizontal="center" vertical="center" shrinkToFit="1"/>
      <protection locked="0"/>
    </xf>
    <xf numFmtId="0" fontId="72" fillId="0" borderId="89" xfId="7" applyBorder="1" applyAlignment="1" applyProtection="1">
      <alignment horizontal="center" vertical="center" shrinkToFit="1"/>
      <protection locked="0"/>
    </xf>
    <xf numFmtId="0" fontId="72" fillId="0" borderId="92" xfId="7" applyBorder="1" applyAlignment="1" applyProtection="1">
      <alignment vertical="center" shrinkToFit="1"/>
      <protection locked="0"/>
    </xf>
    <xf numFmtId="0" fontId="72" fillId="0" borderId="93" xfId="7" applyBorder="1" applyAlignment="1" applyProtection="1">
      <alignment vertical="center" shrinkToFit="1"/>
      <protection locked="0"/>
    </xf>
    <xf numFmtId="0" fontId="72" fillId="0" borderId="0" xfId="7" applyAlignment="1">
      <alignment horizontal="center" vertical="center" wrapText="1"/>
    </xf>
    <xf numFmtId="0" fontId="72" fillId="0" borderId="0" xfId="7" applyAlignment="1">
      <alignment horizontal="center" vertical="center"/>
    </xf>
    <xf numFmtId="0" fontId="72" fillId="0" borderId="0" xfId="7" applyAlignment="1">
      <alignment horizontal="center"/>
    </xf>
    <xf numFmtId="0" fontId="72" fillId="2" borderId="4" xfId="7" applyFill="1" applyBorder="1" applyAlignment="1" applyProtection="1">
      <alignment horizontal="center"/>
      <protection locked="0"/>
    </xf>
    <xf numFmtId="0" fontId="72" fillId="2" borderId="5" xfId="7" applyFill="1" applyBorder="1" applyAlignment="1" applyProtection="1">
      <alignment horizontal="center"/>
      <protection locked="0"/>
    </xf>
    <xf numFmtId="0" fontId="72" fillId="2" borderId="6" xfId="7" applyFill="1" applyBorder="1" applyAlignment="1" applyProtection="1">
      <alignment horizontal="center"/>
      <protection locked="0"/>
    </xf>
    <xf numFmtId="0" fontId="75" fillId="0" borderId="0" xfId="7" applyFont="1" applyAlignment="1">
      <alignment horizontal="center"/>
    </xf>
    <xf numFmtId="0" fontId="76" fillId="0" borderId="0" xfId="7" applyFont="1" applyAlignment="1">
      <alignment horizontal="center"/>
    </xf>
    <xf numFmtId="0" fontId="72" fillId="0" borderId="87" xfId="7" applyBorder="1" applyAlignment="1">
      <alignment horizontal="center" vertical="center"/>
    </xf>
    <xf numFmtId="0" fontId="72" fillId="0" borderId="88" xfId="7" applyBorder="1" applyAlignment="1">
      <alignment horizontal="center" vertical="center"/>
    </xf>
    <xf numFmtId="0" fontId="72" fillId="2" borderId="4" xfId="7" applyFill="1" applyBorder="1" applyProtection="1">
      <protection locked="0"/>
    </xf>
    <xf numFmtId="0" fontId="72" fillId="2" borderId="5" xfId="7" applyFill="1" applyBorder="1" applyProtection="1">
      <protection locked="0"/>
    </xf>
    <xf numFmtId="0" fontId="72" fillId="2" borderId="6" xfId="7" applyFill="1" applyBorder="1" applyProtection="1">
      <protection locked="0"/>
    </xf>
    <xf numFmtId="0" fontId="73" fillId="0" borderId="0" xfId="7" applyFont="1" applyAlignment="1">
      <alignment horizontal="center"/>
    </xf>
    <xf numFmtId="0" fontId="72" fillId="0" borderId="24" xfId="7" applyBorder="1" applyAlignment="1">
      <alignment horizontal="center" vertical="center"/>
    </xf>
    <xf numFmtId="0" fontId="72" fillId="0" borderId="22" xfId="7" applyBorder="1" applyAlignment="1">
      <alignment horizontal="center" vertical="center"/>
    </xf>
    <xf numFmtId="0" fontId="72" fillId="0" borderId="23" xfId="7" applyBorder="1" applyAlignment="1">
      <alignment horizontal="center" vertical="center"/>
    </xf>
    <xf numFmtId="0" fontId="72" fillId="0" borderId="18" xfId="7" applyBorder="1" applyAlignment="1">
      <alignment horizontal="center" vertical="center"/>
    </xf>
    <xf numFmtId="0" fontId="72" fillId="0" borderId="19" xfId="7" applyBorder="1" applyAlignment="1">
      <alignment horizontal="center" vertical="center"/>
    </xf>
    <xf numFmtId="0" fontId="72" fillId="0" borderId="20" xfId="7" applyBorder="1" applyAlignment="1">
      <alignment horizontal="center" vertical="center"/>
    </xf>
    <xf numFmtId="0" fontId="76" fillId="0" borderId="0" xfId="7" applyFont="1" applyAlignment="1" applyProtection="1">
      <alignment horizontal="center"/>
      <protection locked="0"/>
    </xf>
    <xf numFmtId="0" fontId="77" fillId="0" borderId="0" xfId="7" applyFont="1" applyAlignment="1">
      <alignment horizontal="distributed" vertical="center"/>
    </xf>
    <xf numFmtId="0" fontId="72" fillId="0" borderId="0" xfId="7" applyAlignment="1">
      <alignment horizontal="distributed"/>
    </xf>
    <xf numFmtId="0" fontId="75" fillId="0" borderId="0" xfId="7" applyFont="1" applyAlignment="1">
      <alignment horizontal="center" vertical="center"/>
    </xf>
    <xf numFmtId="0" fontId="76" fillId="0" borderId="0" xfId="7" applyFont="1" applyAlignment="1">
      <alignment horizontal="center" vertical="center"/>
    </xf>
    <xf numFmtId="0" fontId="72" fillId="0" borderId="25" xfId="7" applyBorder="1" applyAlignment="1">
      <alignment horizontal="center" vertical="center"/>
    </xf>
    <xf numFmtId="0" fontId="72" fillId="0" borderId="18" xfId="7" applyBorder="1" applyAlignment="1">
      <alignment horizontal="center"/>
    </xf>
    <xf numFmtId="0" fontId="72" fillId="0" borderId="19" xfId="7" applyBorder="1" applyAlignment="1">
      <alignment horizontal="center"/>
    </xf>
    <xf numFmtId="0" fontId="72" fillId="0" borderId="29" xfId="7" applyBorder="1" applyAlignment="1">
      <alignment horizontal="center"/>
    </xf>
    <xf numFmtId="0" fontId="72" fillId="0" borderId="83" xfId="7" applyBorder="1" applyAlignment="1">
      <alignment horizontal="center" vertical="center"/>
    </xf>
    <xf numFmtId="0" fontId="72" fillId="0" borderId="84" xfId="7" applyBorder="1" applyAlignment="1">
      <alignment horizontal="center" vertical="center"/>
    </xf>
    <xf numFmtId="0" fontId="72" fillId="0" borderId="86" xfId="7" applyBorder="1" applyAlignment="1">
      <alignment horizontal="center" vertical="center"/>
    </xf>
    <xf numFmtId="0" fontId="72" fillId="0" borderId="85" xfId="7" applyBorder="1" applyAlignment="1">
      <alignment horizontal="center" vertical="center"/>
    </xf>
    <xf numFmtId="0" fontId="72" fillId="0" borderId="80" xfId="7" applyBorder="1" applyAlignment="1">
      <alignment horizontal="center" vertical="center" textRotation="255"/>
    </xf>
    <xf numFmtId="0" fontId="72" fillId="0" borderId="81" xfId="7" applyBorder="1" applyAlignment="1">
      <alignment horizontal="center" vertical="center" textRotation="255"/>
    </xf>
    <xf numFmtId="0" fontId="72" fillId="0" borderId="82" xfId="7" applyBorder="1" applyAlignment="1">
      <alignment horizontal="center" vertical="center" textRotation="255"/>
    </xf>
    <xf numFmtId="0" fontId="75" fillId="0" borderId="0" xfId="7" applyFont="1" applyAlignment="1">
      <alignment horizontal="distributed"/>
    </xf>
    <xf numFmtId="0" fontId="36" fillId="0" borderId="0" xfId="0" applyFont="1" applyAlignment="1">
      <alignment horizontal="distributed" vertical="center" indent="9"/>
    </xf>
    <xf numFmtId="0" fontId="30" fillId="0" borderId="0" xfId="0" applyFont="1" applyAlignment="1">
      <alignment vertical="top" wrapText="1"/>
    </xf>
    <xf numFmtId="0" fontId="30" fillId="2" borderId="0" xfId="0" applyFont="1" applyFill="1" applyAlignment="1" applyProtection="1">
      <alignment horizontal="center" vertical="center"/>
      <protection locked="0"/>
    </xf>
    <xf numFmtId="0" fontId="42" fillId="0" borderId="0" xfId="0" applyFont="1" applyAlignment="1">
      <alignment horizontal="center" vertical="center"/>
    </xf>
    <xf numFmtId="0" fontId="64" fillId="0" borderId="0" xfId="0" applyFont="1" applyAlignment="1">
      <alignment horizontal="distributed" vertical="center"/>
    </xf>
    <xf numFmtId="0" fontId="66" fillId="5" borderId="0" xfId="0" applyFont="1" applyFill="1" applyAlignment="1">
      <alignment horizontal="center" vertical="center"/>
    </xf>
    <xf numFmtId="197" fontId="66" fillId="5" borderId="0" xfId="0" applyNumberFormat="1" applyFont="1" applyFill="1" applyAlignment="1" applyProtection="1">
      <alignment horizontal="center" vertical="center"/>
      <protection locked="0"/>
    </xf>
    <xf numFmtId="0" fontId="65" fillId="0" borderId="0" xfId="0" applyFont="1" applyAlignment="1">
      <alignment horizontal="center" vertical="center"/>
    </xf>
    <xf numFmtId="0" fontId="65" fillId="2" borderId="0" xfId="0" applyFont="1" applyFill="1" applyAlignment="1" applyProtection="1">
      <alignment horizontal="center" vertical="center"/>
      <protection locked="0"/>
    </xf>
    <xf numFmtId="0" fontId="66" fillId="0" borderId="0" xfId="0" applyFont="1" applyAlignment="1">
      <alignment horizontal="center" vertical="center"/>
    </xf>
    <xf numFmtId="0" fontId="66" fillId="0" borderId="0" xfId="0" applyFont="1" applyAlignment="1" applyProtection="1">
      <alignment horizontal="center" vertical="center"/>
      <protection locked="0"/>
    </xf>
    <xf numFmtId="0" fontId="66" fillId="5" borderId="0" xfId="0" applyFont="1" applyFill="1" applyProtection="1">
      <alignment vertical="center"/>
      <protection locked="0"/>
    </xf>
    <xf numFmtId="195" fontId="65" fillId="0" borderId="54" xfId="0" applyNumberFormat="1" applyFont="1" applyBorder="1" applyAlignment="1">
      <alignment horizontal="right" vertical="center" indent="1"/>
    </xf>
    <xf numFmtId="0" fontId="65" fillId="0" borderId="1" xfId="0" applyFont="1" applyBorder="1" applyAlignment="1">
      <alignment horizontal="center" vertical="center"/>
    </xf>
    <xf numFmtId="0" fontId="65" fillId="0" borderId="49" xfId="0" applyFont="1" applyBorder="1" applyAlignment="1">
      <alignment horizontal="center" vertical="center"/>
    </xf>
    <xf numFmtId="195" fontId="66" fillId="0" borderId="50" xfId="0" applyNumberFormat="1" applyFont="1" applyBorder="1" applyAlignment="1">
      <alignment horizontal="right" vertical="center" indent="1"/>
    </xf>
    <xf numFmtId="185" fontId="66" fillId="0" borderId="50" xfId="0" applyNumberFormat="1" applyFont="1" applyBorder="1" applyAlignment="1">
      <alignment horizontal="center" vertical="center"/>
    </xf>
    <xf numFmtId="185" fontId="66" fillId="0" borderId="18" xfId="0" applyNumberFormat="1" applyFont="1" applyBorder="1" applyAlignment="1">
      <alignment horizontal="center" vertical="center"/>
    </xf>
    <xf numFmtId="195" fontId="66" fillId="0" borderId="55" xfId="0" applyNumberFormat="1" applyFont="1" applyBorder="1" applyAlignment="1">
      <alignment horizontal="center" vertical="center"/>
    </xf>
    <xf numFmtId="195" fontId="66" fillId="0" borderId="56" xfId="0" applyNumberFormat="1" applyFont="1" applyBorder="1" applyAlignment="1">
      <alignment horizontal="center" vertical="center"/>
    </xf>
    <xf numFmtId="195" fontId="66" fillId="0" borderId="57" xfId="0" applyNumberFormat="1" applyFont="1" applyBorder="1" applyAlignment="1">
      <alignment horizontal="center" vertical="center"/>
    </xf>
    <xf numFmtId="195" fontId="66" fillId="0" borderId="54" xfId="0" applyNumberFormat="1" applyFont="1" applyBorder="1" applyAlignment="1">
      <alignment horizontal="right" vertical="center" indent="1"/>
    </xf>
    <xf numFmtId="9" fontId="66" fillId="0" borderId="1" xfId="6" applyFont="1" applyBorder="1" applyAlignment="1">
      <alignment horizontal="center" vertical="center"/>
    </xf>
    <xf numFmtId="9" fontId="66" fillId="0" borderId="4" xfId="6" applyFont="1" applyBorder="1" applyAlignment="1">
      <alignment horizontal="center" vertical="center"/>
    </xf>
    <xf numFmtId="0" fontId="66" fillId="0" borderId="51" xfId="0" applyFont="1" applyBorder="1" applyAlignment="1">
      <alignment horizontal="center" vertical="center" shrinkToFit="1"/>
    </xf>
    <xf numFmtId="0" fontId="66" fillId="0" borderId="52" xfId="0" applyFont="1" applyBorder="1" applyAlignment="1">
      <alignment horizontal="center" vertical="center" shrinkToFit="1"/>
    </xf>
    <xf numFmtId="0" fontId="66" fillId="0" borderId="53" xfId="0" applyFont="1" applyBorder="1" applyAlignment="1">
      <alignment horizontal="center" vertical="center" shrinkToFit="1"/>
    </xf>
    <xf numFmtId="38" fontId="66" fillId="0" borderId="0" xfId="1" applyFont="1" applyBorder="1" applyAlignment="1" applyProtection="1">
      <alignment horizontal="center" vertical="center"/>
      <protection locked="0"/>
    </xf>
    <xf numFmtId="199" fontId="66" fillId="0" borderId="1" xfId="0" applyNumberFormat="1" applyFont="1" applyBorder="1" applyAlignment="1">
      <alignment horizontal="center" vertical="center"/>
    </xf>
    <xf numFmtId="198" fontId="66" fillId="0" borderId="50" xfId="0" applyNumberFormat="1" applyFont="1" applyBorder="1" applyAlignment="1">
      <alignment horizontal="center" vertical="center"/>
    </xf>
    <xf numFmtId="198" fontId="66" fillId="0" borderId="18" xfId="0" applyNumberFormat="1" applyFont="1" applyBorder="1" applyAlignment="1">
      <alignment horizontal="center" vertical="center"/>
    </xf>
    <xf numFmtId="0" fontId="66" fillId="0" borderId="51" xfId="0" applyFont="1" applyBorder="1" applyAlignment="1">
      <alignment horizontal="center" vertical="center"/>
    </xf>
    <xf numFmtId="0" fontId="66" fillId="0" borderId="52" xfId="0" applyFont="1" applyBorder="1" applyAlignment="1">
      <alignment horizontal="center" vertical="center"/>
    </xf>
    <xf numFmtId="0" fontId="66" fillId="0" borderId="53" xfId="0" applyFont="1" applyBorder="1" applyAlignment="1">
      <alignment horizontal="center" vertical="center"/>
    </xf>
    <xf numFmtId="0" fontId="63" fillId="0" borderId="0" xfId="0" applyFont="1" applyAlignment="1">
      <alignment horizontal="center" vertical="center"/>
    </xf>
    <xf numFmtId="0" fontId="64" fillId="0" borderId="19" xfId="0" applyFont="1" applyBorder="1" applyAlignment="1">
      <alignment horizontal="distributed" vertical="center"/>
    </xf>
    <xf numFmtId="0" fontId="56" fillId="0" borderId="46" xfId="4" applyFont="1" applyBorder="1" applyAlignment="1">
      <alignment horizontal="center" vertical="center"/>
    </xf>
    <xf numFmtId="0" fontId="56" fillId="0" borderId="47" xfId="4" applyFont="1" applyBorder="1" applyAlignment="1">
      <alignment horizontal="center" vertical="center"/>
    </xf>
    <xf numFmtId="0" fontId="54" fillId="2" borderId="0" xfId="3" applyFont="1" applyFill="1" applyAlignment="1" applyProtection="1">
      <alignment horizontal="center" vertical="center"/>
      <protection locked="0"/>
    </xf>
    <xf numFmtId="0" fontId="56" fillId="0" borderId="0" xfId="4" applyFont="1" applyAlignment="1">
      <alignment horizontal="distributed" vertical="distributed"/>
    </xf>
    <xf numFmtId="176" fontId="56" fillId="0" borderId="0" xfId="4" applyNumberFormat="1" applyFont="1" applyAlignment="1">
      <alignment horizontal="center" vertical="center"/>
    </xf>
    <xf numFmtId="0" fontId="58" fillId="0" borderId="0" xfId="5" applyAlignment="1">
      <alignment horizontal="center" vertical="center" shrinkToFit="1"/>
    </xf>
    <xf numFmtId="0" fontId="56" fillId="0" borderId="45" xfId="4" applyFont="1" applyBorder="1" applyAlignment="1">
      <alignment horizontal="center" vertical="center"/>
    </xf>
    <xf numFmtId="0" fontId="56" fillId="0" borderId="44" xfId="4" applyFont="1" applyBorder="1" applyAlignment="1">
      <alignment horizontal="center" vertical="center"/>
    </xf>
    <xf numFmtId="188" fontId="54" fillId="2" borderId="0" xfId="1" applyNumberFormat="1" applyFont="1" applyFill="1" applyAlignment="1" applyProtection="1">
      <alignment vertical="center"/>
      <protection locked="0"/>
    </xf>
    <xf numFmtId="0" fontId="56" fillId="0" borderId="0" xfId="3" applyFont="1" applyAlignment="1">
      <alignment horizontal="center" vertical="center" wrapText="1"/>
    </xf>
    <xf numFmtId="0" fontId="56" fillId="0" borderId="0" xfId="3" applyFont="1" applyAlignment="1">
      <alignment horizontal="center" vertical="center"/>
    </xf>
    <xf numFmtId="188" fontId="54" fillId="0" borderId="0" xfId="3" applyNumberFormat="1" applyFont="1" applyAlignment="1">
      <alignment horizontal="right" vertical="center"/>
    </xf>
    <xf numFmtId="0" fontId="54" fillId="0" borderId="0" xfId="3" applyFont="1" applyAlignment="1">
      <alignment horizontal="right" vertical="center"/>
    </xf>
    <xf numFmtId="0" fontId="59" fillId="0" borderId="0" xfId="4" applyFont="1" applyAlignment="1">
      <alignment horizontal="center" vertical="center"/>
    </xf>
    <xf numFmtId="0" fontId="55" fillId="0" borderId="66" xfId="4" applyBorder="1" applyAlignment="1" applyProtection="1">
      <alignment horizontal="left" vertical="center" indent="1"/>
      <protection locked="0"/>
    </xf>
    <xf numFmtId="0" fontId="55" fillId="0" borderId="67" xfId="4" applyBorder="1" applyAlignment="1" applyProtection="1">
      <alignment horizontal="left" vertical="center" indent="1"/>
      <protection locked="0"/>
    </xf>
    <xf numFmtId="0" fontId="55" fillId="0" borderId="68" xfId="4" applyBorder="1" applyAlignment="1" applyProtection="1">
      <alignment horizontal="left" vertical="center" indent="1"/>
      <protection locked="0"/>
    </xf>
    <xf numFmtId="0" fontId="55" fillId="0" borderId="0" xfId="4" applyAlignment="1">
      <alignment horizontal="center" vertical="center"/>
    </xf>
    <xf numFmtId="0" fontId="55" fillId="0" borderId="21" xfId="4" applyBorder="1" applyAlignment="1">
      <alignment horizontal="center" vertical="center"/>
    </xf>
    <xf numFmtId="0" fontId="55" fillId="0" borderId="22" xfId="4" applyBorder="1" applyAlignment="1">
      <alignment horizontal="center" vertical="center"/>
    </xf>
    <xf numFmtId="0" fontId="55" fillId="0" borderId="58" xfId="4" applyBorder="1" applyAlignment="1">
      <alignment horizontal="center" vertical="center"/>
    </xf>
    <xf numFmtId="0" fontId="55" fillId="0" borderId="34" xfId="4" applyBorder="1" applyAlignment="1">
      <alignment horizontal="center" vertical="center"/>
    </xf>
    <xf numFmtId="0" fontId="55" fillId="0" borderId="35" xfId="4" applyBorder="1" applyAlignment="1">
      <alignment horizontal="center" vertical="center"/>
    </xf>
    <xf numFmtId="0" fontId="55" fillId="0" borderId="60" xfId="4" applyBorder="1" applyAlignment="1">
      <alignment horizontal="center" vertical="center"/>
    </xf>
    <xf numFmtId="0" fontId="55" fillId="0" borderId="59" xfId="4" applyBorder="1" applyAlignment="1">
      <alignment horizontal="center" vertical="center" wrapText="1"/>
    </xf>
    <xf numFmtId="0" fontId="55" fillId="0" borderId="61" xfId="4" applyBorder="1" applyAlignment="1">
      <alignment horizontal="center" vertical="center"/>
    </xf>
    <xf numFmtId="0" fontId="55" fillId="0" borderId="22" xfId="4" applyBorder="1" applyAlignment="1">
      <alignment horizontal="center" vertical="center" wrapText="1"/>
    </xf>
    <xf numFmtId="0" fontId="55" fillId="0" borderId="25" xfId="4" applyBorder="1" applyAlignment="1">
      <alignment horizontal="center" vertical="center"/>
    </xf>
    <xf numFmtId="0" fontId="55" fillId="0" borderId="36" xfId="4" applyBorder="1" applyAlignment="1">
      <alignment horizontal="center" vertical="center"/>
    </xf>
    <xf numFmtId="0" fontId="55" fillId="0" borderId="62" xfId="4" applyBorder="1" applyAlignment="1" applyProtection="1">
      <alignment horizontal="left" vertical="center" indent="1"/>
      <protection locked="0"/>
    </xf>
    <xf numFmtId="0" fontId="55" fillId="0" borderId="63" xfId="4" applyBorder="1" applyAlignment="1" applyProtection="1">
      <alignment horizontal="left" vertical="center" indent="1"/>
      <protection locked="0"/>
    </xf>
    <xf numFmtId="0" fontId="55" fillId="0" borderId="64" xfId="4" applyBorder="1" applyAlignment="1" applyProtection="1">
      <alignment horizontal="left" vertical="center" indent="1"/>
      <protection locked="0"/>
    </xf>
    <xf numFmtId="0" fontId="55" fillId="0" borderId="74" xfId="4" applyBorder="1" applyAlignment="1" applyProtection="1">
      <alignment horizontal="left" vertical="center" indent="1"/>
      <protection locked="0"/>
    </xf>
    <xf numFmtId="0" fontId="55" fillId="0" borderId="75" xfId="4" applyBorder="1" applyAlignment="1" applyProtection="1">
      <alignment horizontal="left" vertical="center" indent="1"/>
      <protection locked="0"/>
    </xf>
    <xf numFmtId="0" fontId="55" fillId="0" borderId="76" xfId="4" applyBorder="1" applyAlignment="1" applyProtection="1">
      <alignment horizontal="left" vertical="center" indent="1"/>
      <protection locked="0"/>
    </xf>
    <xf numFmtId="0" fontId="55" fillId="0" borderId="77" xfId="4" applyBorder="1" applyAlignment="1" applyProtection="1">
      <alignment horizontal="left" vertical="center" indent="1"/>
      <protection locked="0"/>
    </xf>
    <xf numFmtId="0" fontId="55" fillId="0" borderId="78" xfId="4" applyBorder="1" applyAlignment="1" applyProtection="1">
      <alignment horizontal="left" vertical="center" indent="1"/>
      <protection locked="0"/>
    </xf>
    <xf numFmtId="0" fontId="55" fillId="0" borderId="79" xfId="4" applyBorder="1" applyAlignment="1" applyProtection="1">
      <alignment horizontal="left" vertical="center" indent="1"/>
      <protection locked="0"/>
    </xf>
    <xf numFmtId="0" fontId="78" fillId="2" borderId="0" xfId="9" applyFill="1" applyAlignment="1">
      <alignment horizontal="left" vertical="center"/>
    </xf>
    <xf numFmtId="0" fontId="80" fillId="0" borderId="0" xfId="9" applyFont="1" applyAlignment="1">
      <alignment horizontal="center" vertical="center"/>
    </xf>
    <xf numFmtId="0" fontId="79" fillId="0" borderId="80" xfId="9" applyFont="1" applyBorder="1" applyAlignment="1">
      <alignment vertical="center" textRotation="255"/>
    </xf>
    <xf numFmtId="0" fontId="79" fillId="0" borderId="81" xfId="9" applyFont="1" applyBorder="1" applyAlignment="1">
      <alignment vertical="center" textRotation="255"/>
    </xf>
    <xf numFmtId="0" fontId="79" fillId="0" borderId="90" xfId="9" applyFont="1" applyBorder="1" applyAlignment="1">
      <alignment vertical="center" textRotation="255"/>
    </xf>
    <xf numFmtId="0" fontId="79" fillId="0" borderId="91" xfId="9" applyFont="1" applyBorder="1" applyAlignment="1">
      <alignment horizontal="center" vertical="center" textRotation="255"/>
    </xf>
    <xf numFmtId="0" fontId="79" fillId="0" borderId="81" xfId="9" applyFont="1" applyBorder="1" applyAlignment="1">
      <alignment horizontal="center" vertical="center" textRotation="255"/>
    </xf>
    <xf numFmtId="0" fontId="79" fillId="0" borderId="82" xfId="9" applyFont="1" applyBorder="1" applyAlignment="1">
      <alignment horizontal="center" vertical="center" textRotation="255"/>
    </xf>
    <xf numFmtId="0" fontId="79" fillId="0" borderId="1" xfId="9" applyFont="1" applyBorder="1" applyAlignment="1">
      <alignment horizontal="center" vertical="center"/>
    </xf>
    <xf numFmtId="0" fontId="79" fillId="0" borderId="89" xfId="9" applyFont="1" applyBorder="1" applyAlignment="1">
      <alignment horizontal="center" vertical="center"/>
    </xf>
    <xf numFmtId="0" fontId="79" fillId="0" borderId="1" xfId="9" applyFont="1" applyBorder="1" applyAlignment="1">
      <alignment horizontal="center" vertical="center" wrapText="1"/>
    </xf>
    <xf numFmtId="0" fontId="79" fillId="0" borderId="1" xfId="9" applyFont="1" applyBorder="1" applyAlignment="1">
      <alignment horizontal="distributed" vertical="center" indent="1"/>
    </xf>
    <xf numFmtId="0" fontId="81" fillId="0" borderId="14" xfId="9" applyFont="1" applyBorder="1" applyAlignment="1">
      <alignment horizontal="center" vertical="center"/>
    </xf>
    <xf numFmtId="0" fontId="81" fillId="0" borderId="31" xfId="9" applyFont="1" applyBorder="1" applyAlignment="1">
      <alignment horizontal="center" vertical="center"/>
    </xf>
    <xf numFmtId="0" fontId="81" fillId="0" borderId="18" xfId="9" applyFont="1" applyBorder="1" applyAlignment="1">
      <alignment horizontal="center" vertical="center"/>
    </xf>
    <xf numFmtId="0" fontId="81" fillId="0" borderId="29" xfId="9" applyFont="1" applyBorder="1" applyAlignment="1">
      <alignment horizontal="center" vertical="center"/>
    </xf>
    <xf numFmtId="0" fontId="79" fillId="0" borderId="49" xfId="9" applyFont="1" applyBorder="1" applyAlignment="1">
      <alignment horizontal="distributed" vertical="center" indent="1"/>
    </xf>
    <xf numFmtId="0" fontId="79" fillId="0" borderId="50" xfId="9" applyFont="1" applyBorder="1" applyAlignment="1">
      <alignment horizontal="distributed" vertical="center" indent="1"/>
    </xf>
    <xf numFmtId="0" fontId="81" fillId="0" borderId="13" xfId="9" applyFont="1" applyBorder="1" applyAlignment="1">
      <alignment horizontal="center" vertical="center"/>
    </xf>
    <xf numFmtId="0" fontId="81" fillId="0" borderId="27" xfId="9" applyFont="1" applyBorder="1" applyAlignment="1">
      <alignment horizontal="center" vertical="center"/>
    </xf>
    <xf numFmtId="195" fontId="81" fillId="0" borderId="1" xfId="9" applyNumberFormat="1" applyFont="1" applyBorder="1" applyAlignment="1">
      <alignment horizontal="right" vertical="center" indent="3"/>
    </xf>
    <xf numFmtId="195" fontId="81" fillId="0" borderId="89" xfId="9" applyNumberFormat="1" applyFont="1" applyBorder="1" applyAlignment="1">
      <alignment horizontal="right" vertical="center" indent="3"/>
    </xf>
    <xf numFmtId="0" fontId="78" fillId="0" borderId="0" xfId="9" applyAlignment="1">
      <alignment horizontal="center" vertical="center"/>
    </xf>
    <xf numFmtId="0" fontId="78" fillId="2" borderId="0" xfId="9" applyFill="1" applyProtection="1">
      <alignment vertical="center"/>
      <protection locked="0"/>
    </xf>
    <xf numFmtId="0" fontId="78" fillId="2" borderId="0" xfId="9" applyFill="1" applyAlignment="1" applyProtection="1">
      <alignment horizontal="left" vertical="center"/>
      <protection locked="0"/>
    </xf>
    <xf numFmtId="197" fontId="78" fillId="2" borderId="0" xfId="9" applyNumberFormat="1" applyFill="1" applyProtection="1">
      <alignment vertical="center"/>
      <protection locked="0"/>
    </xf>
    <xf numFmtId="0" fontId="79" fillId="0" borderId="14" xfId="9" applyFont="1" applyBorder="1" applyAlignment="1">
      <alignment horizontal="center" vertical="center"/>
    </xf>
    <xf numFmtId="0" fontId="79" fillId="0" borderId="16" xfId="9" applyFont="1" applyBorder="1" applyAlignment="1">
      <alignment horizontal="center" vertical="center"/>
    </xf>
    <xf numFmtId="0" fontId="79" fillId="0" borderId="38" xfId="9" applyFont="1" applyBorder="1" applyAlignment="1">
      <alignment horizontal="center" vertical="center"/>
    </xf>
    <xf numFmtId="0" fontId="79" fillId="0" borderId="37" xfId="9" applyFont="1" applyBorder="1" applyAlignment="1">
      <alignment horizontal="center" vertical="center"/>
    </xf>
    <xf numFmtId="195" fontId="81" fillId="0" borderId="92" xfId="9" applyNumberFormat="1" applyFont="1" applyBorder="1" applyAlignment="1">
      <alignment horizontal="right" vertical="center" indent="3"/>
    </xf>
    <xf numFmtId="195" fontId="81" fillId="0" borderId="93" xfId="9" applyNumberFormat="1" applyFont="1" applyBorder="1" applyAlignment="1">
      <alignment horizontal="right" vertical="center" indent="3"/>
    </xf>
    <xf numFmtId="0" fontId="79" fillId="0" borderId="0" xfId="9" applyFont="1" applyAlignment="1">
      <alignment horizontal="left" vertical="center"/>
    </xf>
    <xf numFmtId="195" fontId="81" fillId="0" borderId="14" xfId="9" applyNumberFormat="1" applyFont="1" applyBorder="1" applyAlignment="1">
      <alignment horizontal="right" vertical="center" indent="3"/>
    </xf>
    <xf numFmtId="195" fontId="81" fillId="0" borderId="31" xfId="9" applyNumberFormat="1" applyFont="1" applyBorder="1" applyAlignment="1">
      <alignment horizontal="right" vertical="center" indent="3"/>
    </xf>
    <xf numFmtId="195" fontId="81" fillId="0" borderId="18" xfId="9" applyNumberFormat="1" applyFont="1" applyBorder="1" applyAlignment="1">
      <alignment horizontal="right" vertical="center" indent="3"/>
    </xf>
    <xf numFmtId="195" fontId="81" fillId="0" borderId="29" xfId="9" applyNumberFormat="1" applyFont="1" applyBorder="1" applyAlignment="1">
      <alignment horizontal="right" vertical="center" indent="3"/>
    </xf>
    <xf numFmtId="197" fontId="78" fillId="0" borderId="0" xfId="9" applyNumberFormat="1">
      <alignment vertical="center"/>
    </xf>
    <xf numFmtId="0" fontId="78" fillId="0" borderId="0" xfId="9">
      <alignment vertical="center"/>
    </xf>
    <xf numFmtId="0" fontId="42" fillId="0" borderId="0" xfId="0" applyFont="1" applyAlignment="1">
      <alignment horizontal="center" vertical="center" shrinkToFit="1"/>
    </xf>
    <xf numFmtId="38" fontId="3" fillId="0" borderId="0" xfId="1" applyFont="1" applyAlignment="1">
      <alignment horizontal="center" vertical="center"/>
    </xf>
    <xf numFmtId="176" fontId="3" fillId="2" borderId="0" xfId="1" applyNumberFormat="1" applyFont="1" applyFill="1" applyAlignment="1" applyProtection="1">
      <alignment horizontal="left" vertical="center"/>
      <protection locked="0"/>
    </xf>
    <xf numFmtId="0" fontId="6" fillId="0" borderId="0" xfId="0" applyFont="1">
      <alignment vertical="center"/>
    </xf>
    <xf numFmtId="0" fontId="0" fillId="0" borderId="0" xfId="0" applyAlignment="1">
      <alignment vertical="center" wrapText="1"/>
    </xf>
    <xf numFmtId="0" fontId="0" fillId="0" borderId="0" xfId="0" applyAlignment="1">
      <alignment horizontal="left" vertical="center"/>
    </xf>
    <xf numFmtId="0" fontId="0" fillId="0" borderId="0" xfId="0" applyAlignment="1">
      <alignment horizontal="left" vertical="center" indent="2"/>
    </xf>
    <xf numFmtId="0" fontId="30" fillId="0" borderId="32" xfId="0" applyFont="1" applyBorder="1" applyAlignment="1">
      <alignment horizontal="center" vertical="center"/>
    </xf>
    <xf numFmtId="0" fontId="30" fillId="0" borderId="5" xfId="0" applyFont="1" applyBorder="1" applyAlignment="1">
      <alignment horizontal="center" vertical="center"/>
    </xf>
    <xf numFmtId="0" fontId="30" fillId="0" borderId="6" xfId="0" applyFont="1" applyBorder="1" applyAlignment="1">
      <alignment horizontal="center" vertical="center"/>
    </xf>
    <xf numFmtId="0" fontId="30" fillId="0" borderId="5" xfId="0" applyFont="1" applyBorder="1" applyAlignment="1">
      <alignment horizontal="distributed" vertical="center"/>
    </xf>
    <xf numFmtId="0" fontId="30" fillId="0" borderId="5" xfId="0" applyFont="1" applyBorder="1" applyAlignment="1">
      <alignment horizontal="right" vertical="center"/>
    </xf>
    <xf numFmtId="0" fontId="30" fillId="0" borderId="40" xfId="0" applyFont="1" applyBorder="1" applyAlignment="1">
      <alignment horizontal="distributed" vertical="center"/>
    </xf>
    <xf numFmtId="0" fontId="30" fillId="0" borderId="0" xfId="0" applyFont="1" applyAlignment="1">
      <alignment horizontal="right" vertical="center"/>
    </xf>
    <xf numFmtId="0" fontId="30" fillId="0" borderId="35" xfId="0" applyFont="1" applyBorder="1" applyAlignment="1">
      <alignment horizontal="distributed" vertical="center" wrapText="1"/>
    </xf>
    <xf numFmtId="0" fontId="30" fillId="0" borderId="15" xfId="0" applyFont="1" applyBorder="1" applyAlignment="1">
      <alignment horizontal="distributed" vertical="center"/>
    </xf>
    <xf numFmtId="0" fontId="30" fillId="0" borderId="35" xfId="0" applyFont="1" applyBorder="1" applyAlignment="1">
      <alignment horizontal="distributed" vertical="center"/>
    </xf>
    <xf numFmtId="0" fontId="37" fillId="0" borderId="0" xfId="0" applyFont="1">
      <alignment vertical="center"/>
    </xf>
    <xf numFmtId="187" fontId="30" fillId="0" borderId="5" xfId="0" applyNumberFormat="1" applyFont="1" applyBorder="1" applyAlignment="1">
      <alignment horizontal="right" vertical="center"/>
    </xf>
    <xf numFmtId="0" fontId="30" fillId="0" borderId="40" xfId="0" applyFont="1" applyBorder="1" applyAlignment="1">
      <alignment horizontal="right" vertical="center"/>
    </xf>
    <xf numFmtId="187" fontId="30" fillId="0" borderId="40" xfId="0" applyNumberFormat="1" applyFont="1" applyBorder="1" applyAlignment="1">
      <alignment horizontal="right" vertical="center"/>
    </xf>
    <xf numFmtId="0" fontId="0" fillId="0" borderId="5" xfId="0" applyBorder="1">
      <alignment vertical="center"/>
    </xf>
    <xf numFmtId="0" fontId="0" fillId="0" borderId="6" xfId="0" applyBorder="1">
      <alignment vertical="center"/>
    </xf>
    <xf numFmtId="0" fontId="0" fillId="0" borderId="9" xfId="0" applyBorder="1" applyAlignment="1">
      <alignment horizontal="left" vertical="center" wrapText="1" indent="1"/>
    </xf>
    <xf numFmtId="0" fontId="0" fillId="0" borderId="10" xfId="0" applyBorder="1" applyAlignment="1">
      <alignment horizontal="left" vertical="center" indent="1"/>
    </xf>
    <xf numFmtId="0" fontId="0" fillId="0" borderId="11" xfId="0" applyBorder="1" applyAlignment="1">
      <alignment horizontal="left" vertical="center" indent="1"/>
    </xf>
    <xf numFmtId="0" fontId="0" fillId="0" borderId="12" xfId="0" applyBorder="1" applyAlignment="1">
      <alignment horizontal="left" vertical="center" indent="1"/>
    </xf>
    <xf numFmtId="0" fontId="0" fillId="0" borderId="8" xfId="0" applyBorder="1" applyAlignment="1">
      <alignment horizontal="left" vertical="center" indent="1"/>
    </xf>
    <xf numFmtId="0" fontId="0" fillId="0" borderId="7" xfId="0" applyBorder="1" applyAlignment="1">
      <alignment horizontal="left" vertical="center" indent="1"/>
    </xf>
  </cellXfs>
  <cellStyles count="11">
    <cellStyle name="パーセント" xfId="6" builtinId="5"/>
    <cellStyle name="パーセント 2" xfId="8" xr:uid="{00000000-0005-0000-0000-000001000000}"/>
    <cellStyle name="ハイパーリンク" xfId="2" builtinId="8"/>
    <cellStyle name="桁区切り" xfId="1" builtinId="6"/>
    <cellStyle name="桁区切り 2" xfId="10" xr:uid="{00000000-0005-0000-0000-000004000000}"/>
    <cellStyle name="標準" xfId="0" builtinId="0"/>
    <cellStyle name="標準 2" xfId="3" xr:uid="{00000000-0005-0000-0000-000006000000}"/>
    <cellStyle name="標準 3" xfId="7" xr:uid="{00000000-0005-0000-0000-000007000000}"/>
    <cellStyle name="標準 4" xfId="4" xr:uid="{00000000-0005-0000-0000-000008000000}"/>
    <cellStyle name="標準 5" xfId="9" xr:uid="{00000000-0005-0000-0000-000009000000}"/>
    <cellStyle name="標準_008現場代理人等変更通知書" xfId="5" xr:uid="{00000000-0005-0000-0000-00000A000000}"/>
  </cellStyles>
  <dxfs count="171">
    <dxf>
      <font>
        <b/>
        <i val="0"/>
      </font>
    </dxf>
    <dxf>
      <font>
        <b/>
        <i val="0"/>
      </font>
    </dxf>
    <dxf>
      <font>
        <b/>
        <i val="0"/>
      </font>
    </dxf>
    <dxf>
      <font>
        <strike/>
      </font>
    </dxf>
    <dxf>
      <font>
        <strike/>
      </font>
    </dxf>
    <dxf>
      <font>
        <b/>
        <i val="0"/>
      </font>
    </dxf>
    <dxf>
      <font>
        <b/>
        <i val="0"/>
      </font>
    </dxf>
    <dxf>
      <font>
        <b/>
        <i val="0"/>
      </font>
    </dxf>
    <dxf>
      <font>
        <color theme="0"/>
      </font>
      <fill>
        <patternFill>
          <bgColor theme="0"/>
        </patternFill>
      </fill>
    </dxf>
    <dxf>
      <font>
        <color theme="0"/>
      </font>
    </dxf>
    <dxf>
      <font>
        <color theme="0"/>
      </font>
    </dxf>
    <dxf>
      <font>
        <b/>
        <i val="0"/>
        <color rgb="FFFF0000"/>
      </font>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ont>
        <color rgb="FFFF0000"/>
      </font>
    </dxf>
    <dxf>
      <font>
        <color rgb="FFFF0000"/>
      </font>
    </dxf>
    <dxf>
      <font>
        <color rgb="FFFF0000"/>
      </font>
    </dxf>
    <dxf>
      <font>
        <color rgb="FFFF0000"/>
      </font>
    </dxf>
    <dxf>
      <font>
        <color theme="0"/>
      </font>
    </dxf>
    <dxf>
      <font>
        <color theme="0"/>
      </font>
    </dxf>
    <dxf>
      <font>
        <color theme="0"/>
      </font>
    </dxf>
    <dxf>
      <font>
        <color theme="0"/>
      </font>
    </dxf>
    <dxf>
      <font>
        <color theme="0"/>
      </font>
    </dxf>
    <dxf>
      <font>
        <color theme="0"/>
      </font>
    </dxf>
    <dxf>
      <font>
        <color theme="0"/>
      </font>
      <fill>
        <patternFill patternType="none">
          <bgColor auto="1"/>
        </patternFill>
      </fill>
    </dxf>
    <dxf>
      <font>
        <color theme="0"/>
      </font>
      <fill>
        <patternFill patternType="none">
          <fgColor indexed="64"/>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dxf>
    <dxf>
      <font>
        <color theme="0"/>
      </font>
    </dxf>
    <dxf>
      <font>
        <color theme="0"/>
      </font>
    </dxf>
    <dxf>
      <font>
        <color theme="0"/>
      </font>
    </dxf>
    <dxf>
      <font>
        <color theme="0"/>
      </font>
    </dxf>
    <dxf>
      <font>
        <color theme="0"/>
      </font>
    </dxf>
    <dxf>
      <font>
        <color theme="0"/>
      </font>
      <fill>
        <patternFill patternType="none">
          <bgColor auto="1"/>
        </patternFill>
      </fill>
    </dxf>
    <dxf>
      <font>
        <color theme="0"/>
      </font>
    </dxf>
    <dxf>
      <font>
        <color theme="0"/>
      </font>
    </dxf>
    <dxf>
      <font>
        <color theme="1"/>
      </font>
      <border>
        <left style="hair">
          <color auto="1"/>
        </left>
        <right style="hair">
          <color auto="1"/>
        </right>
      </border>
    </dxf>
    <dxf>
      <font>
        <color theme="1"/>
      </font>
    </dxf>
    <dxf>
      <font>
        <color theme="1"/>
      </font>
      <fill>
        <patternFill>
          <bgColor theme="4" tint="0.79998168889431442"/>
        </patternFill>
      </fill>
    </dxf>
    <dxf>
      <font>
        <color theme="1"/>
      </font>
      <fill>
        <patternFill>
          <bgColor theme="4" tint="0.79998168889431442"/>
        </patternFill>
      </fill>
    </dxf>
    <dxf>
      <font>
        <color theme="1"/>
      </font>
    </dxf>
    <dxf>
      <font>
        <color theme="0"/>
      </font>
    </dxf>
    <dxf>
      <font>
        <color theme="1"/>
      </font>
      <fill>
        <patternFill>
          <bgColor theme="4" tint="0.79998168889431442"/>
        </patternFill>
      </fill>
    </dxf>
    <dxf>
      <font>
        <color theme="1"/>
      </font>
      <fill>
        <patternFill>
          <bgColor theme="4" tint="0.79998168889431442"/>
        </patternFill>
      </fill>
    </dxf>
    <dxf>
      <font>
        <color theme="1"/>
      </font>
    </dxf>
    <dxf>
      <font>
        <color theme="1"/>
      </font>
    </dxf>
    <dxf>
      <font>
        <color theme="1"/>
      </font>
    </dxf>
    <dxf>
      <font>
        <color theme="1"/>
      </font>
    </dxf>
    <dxf>
      <font>
        <color theme="1"/>
      </font>
    </dxf>
    <dxf>
      <font>
        <color theme="1"/>
      </font>
    </dxf>
    <dxf>
      <font>
        <color theme="1"/>
      </font>
    </dxf>
    <dxf>
      <font>
        <color theme="1"/>
      </font>
      <fill>
        <patternFill>
          <bgColor theme="4" tint="0.79998168889431442"/>
        </patternFill>
      </fill>
    </dxf>
    <dxf>
      <font>
        <color theme="1"/>
      </font>
    </dxf>
    <dxf>
      <font>
        <color theme="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ill>
        <patternFill>
          <bgColor theme="4" tint="0.79998168889431442"/>
        </patternFill>
      </fill>
    </dxf>
    <dxf>
      <font>
        <color theme="1"/>
      </font>
    </dxf>
    <dxf>
      <font>
        <color theme="1"/>
      </font>
      <fill>
        <patternFill>
          <bgColor theme="4" tint="0.79998168889431442"/>
        </patternFill>
      </fill>
    </dxf>
    <dxf>
      <font>
        <color theme="1"/>
      </font>
      <fill>
        <patternFill>
          <bgColor theme="4" tint="0.79998168889431442"/>
        </patternFill>
      </fill>
    </dxf>
    <dxf>
      <font>
        <color theme="1"/>
      </font>
      <fill>
        <patternFill>
          <bgColor theme="4" tint="0.79998168889431442"/>
        </patternFill>
      </fill>
    </dxf>
    <dxf>
      <font>
        <color theme="1"/>
      </font>
      <fill>
        <patternFill>
          <bgColor theme="4" tint="0.79998168889431442"/>
        </patternFill>
      </fill>
    </dxf>
    <dxf>
      <font>
        <color theme="1"/>
      </font>
      <fill>
        <patternFill>
          <bgColor theme="4" tint="0.79998168889431442"/>
        </patternFill>
      </fill>
    </dxf>
    <dxf>
      <font>
        <color theme="1"/>
      </font>
      <fill>
        <patternFill>
          <bgColor theme="4" tint="0.79998168889431442"/>
        </patternFill>
      </fill>
    </dxf>
    <dxf>
      <fill>
        <patternFill patternType="none">
          <bgColor auto="1"/>
        </patternFill>
      </fill>
    </dxf>
    <dxf>
      <font>
        <color theme="0"/>
      </font>
    </dxf>
    <dxf>
      <font>
        <color theme="1"/>
      </font>
    </dxf>
    <dxf>
      <font>
        <color theme="0"/>
      </font>
    </dxf>
    <dxf>
      <font>
        <color theme="1"/>
      </font>
      <border>
        <top style="thin">
          <color auto="1"/>
        </top>
      </border>
    </dxf>
    <dxf>
      <border>
        <bottom style="thin">
          <color auto="1"/>
        </bottom>
        <vertical/>
        <horizontal/>
      </border>
    </dxf>
    <dxf>
      <border>
        <left/>
        <right/>
        <bottom/>
        <vertical/>
        <horizontal/>
      </border>
    </dxf>
    <dxf>
      <font>
        <color theme="1"/>
      </font>
    </dxf>
    <dxf>
      <border>
        <left/>
        <right/>
        <top/>
        <bottom/>
        <vertical/>
        <horizontal/>
      </border>
    </dxf>
    <dxf>
      <border>
        <bottom/>
        <vertical/>
        <horizontal/>
      </border>
    </dxf>
    <dxf>
      <font>
        <color theme="0"/>
      </font>
    </dxf>
    <dxf>
      <font>
        <color theme="1"/>
      </font>
    </dxf>
    <dxf>
      <font>
        <color theme="0"/>
      </font>
    </dxf>
    <dxf>
      <font>
        <color theme="1"/>
      </font>
    </dxf>
    <dxf>
      <font>
        <color theme="1"/>
      </font>
    </dxf>
    <dxf>
      <font>
        <strike/>
      </font>
    </dxf>
    <dxf>
      <font>
        <strike/>
      </font>
    </dxf>
    <dxf>
      <font>
        <color theme="1"/>
      </font>
    </dxf>
    <dxf>
      <font>
        <b val="0"/>
        <i val="0"/>
        <color rgb="FFFF0000"/>
      </font>
    </dxf>
    <dxf>
      <font>
        <color theme="1"/>
      </font>
      <fill>
        <patternFill patternType="solid">
          <bgColor theme="4" tint="0.79998168889431442"/>
        </patternFill>
      </fill>
    </dxf>
    <dxf>
      <font>
        <color theme="1"/>
      </font>
      <fill>
        <patternFill patternType="none">
          <bgColor auto="1"/>
        </patternFill>
      </fill>
    </dxf>
    <dxf>
      <font>
        <color auto="1"/>
      </font>
      <fill>
        <patternFill>
          <bgColor theme="4" tint="0.79998168889431442"/>
        </patternFill>
      </fill>
    </dxf>
    <dxf>
      <font>
        <color theme="1"/>
      </font>
    </dxf>
    <dxf>
      <font>
        <color theme="1"/>
      </font>
      <fill>
        <patternFill patternType="solid">
          <bgColor theme="4" tint="0.79998168889431442"/>
        </patternFill>
      </fill>
    </dxf>
    <dxf>
      <font>
        <color theme="0"/>
      </font>
    </dxf>
    <dxf>
      <font>
        <color theme="1"/>
      </font>
      <fill>
        <patternFill>
          <bgColor theme="4" tint="0.79998168889431442"/>
        </patternFill>
      </fill>
    </dxf>
    <dxf>
      <fill>
        <patternFill>
          <bgColor theme="4" tint="0.79998168889431442"/>
        </patternFill>
      </fill>
    </dxf>
    <dxf>
      <font>
        <color theme="0"/>
      </font>
    </dxf>
    <dxf>
      <font>
        <color theme="0"/>
      </font>
    </dxf>
    <dxf>
      <font>
        <color theme="1"/>
      </font>
    </dxf>
    <dxf>
      <font>
        <color theme="0"/>
      </font>
    </dxf>
    <dxf>
      <font>
        <b/>
        <i val="0"/>
        <color theme="8"/>
      </font>
    </dxf>
    <dxf>
      <font>
        <b/>
        <i val="0"/>
        <color theme="8"/>
      </font>
    </dxf>
    <dxf>
      <font>
        <color theme="0"/>
      </font>
    </dxf>
    <dxf>
      <font>
        <color theme="1"/>
      </font>
      <fill>
        <patternFill>
          <bgColor theme="4" tint="0.79998168889431442"/>
        </patternFill>
      </fill>
    </dxf>
    <dxf>
      <font>
        <b/>
        <i val="0"/>
        <color rgb="FFFF0000"/>
      </font>
    </dxf>
    <dxf>
      <font>
        <color theme="0"/>
      </font>
    </dxf>
    <dxf>
      <font>
        <color theme="1"/>
      </font>
    </dxf>
    <dxf>
      <font>
        <color theme="0"/>
      </font>
    </dxf>
    <dxf>
      <font>
        <color theme="1"/>
      </font>
    </dxf>
    <dxf>
      <font>
        <color theme="0"/>
      </font>
    </dxf>
    <dxf>
      <font>
        <color theme="0"/>
      </font>
    </dxf>
    <dxf>
      <font>
        <b/>
        <i val="0"/>
        <color rgb="FFFF0000"/>
      </font>
    </dxf>
    <dxf>
      <font>
        <color theme="0"/>
      </font>
    </dxf>
    <dxf>
      <font>
        <color theme="1"/>
      </font>
      <fill>
        <patternFill>
          <bgColor theme="4" tint="0.79998168889431442"/>
        </patternFill>
      </fill>
    </dxf>
    <dxf>
      <font>
        <color theme="1"/>
      </font>
    </dxf>
    <dxf>
      <font>
        <color theme="1"/>
      </font>
      <fill>
        <patternFill>
          <bgColor theme="4" tint="0.79998168889431442"/>
        </patternFill>
      </fill>
    </dxf>
    <dxf>
      <font>
        <b/>
        <i val="0"/>
        <color rgb="FFFF0000"/>
      </font>
    </dxf>
    <dxf>
      <font>
        <color theme="1"/>
      </font>
      <fill>
        <patternFill>
          <bgColor theme="4" tint="0.79998168889431442"/>
        </patternFill>
      </fill>
      <border>
        <left style="dotted">
          <color rgb="FFFF0000"/>
        </left>
        <right style="dotted">
          <color rgb="FFFF0000"/>
        </right>
        <top/>
        <bottom style="dotted">
          <color rgb="FFFF0000"/>
        </bottom>
      </border>
    </dxf>
    <dxf>
      <font>
        <color theme="1"/>
      </font>
      <fill>
        <patternFill>
          <bgColor theme="4" tint="0.79998168889431442"/>
        </patternFill>
      </fill>
      <border>
        <left style="dotted">
          <color rgb="FFFF0000"/>
        </left>
        <right style="dotted">
          <color rgb="FFFF0000"/>
        </right>
        <top/>
        <bottom/>
      </border>
    </dxf>
    <dxf>
      <font>
        <color theme="1"/>
      </font>
      <fill>
        <patternFill>
          <bgColor theme="4" tint="0.79998168889431442"/>
        </patternFill>
      </fill>
      <border>
        <left style="dotted">
          <color rgb="FFFF0000"/>
        </left>
        <right style="dotted">
          <color rgb="FFFF0000"/>
        </right>
        <top style="dotted">
          <color rgb="FFFF0000"/>
        </top>
        <bottom/>
      </border>
    </dxf>
    <dxf>
      <font>
        <color rgb="FFFF0000"/>
      </font>
    </dxf>
    <dxf>
      <font>
        <color theme="1"/>
      </font>
      <fill>
        <patternFill>
          <bgColor theme="4" tint="0.79998168889431442"/>
        </patternFill>
      </fill>
    </dxf>
    <dxf>
      <font>
        <color theme="1"/>
      </font>
    </dxf>
    <dxf>
      <font>
        <color theme="1"/>
      </font>
    </dxf>
    <dxf>
      <font>
        <b/>
        <i val="0"/>
        <color rgb="FFFF0000"/>
      </font>
    </dxf>
    <dxf>
      <fill>
        <patternFill>
          <bgColor theme="4" tint="0.79998168889431442"/>
        </patternFill>
      </fill>
    </dxf>
    <dxf>
      <fill>
        <patternFill>
          <bgColor theme="4" tint="0.79998168889431442"/>
        </patternFill>
      </fill>
    </dxf>
    <dxf>
      <font>
        <color theme="1"/>
      </font>
      <fill>
        <patternFill>
          <bgColor theme="4" tint="0.79998168889431442"/>
        </patternFill>
      </fill>
    </dxf>
    <dxf>
      <font>
        <color theme="1"/>
      </font>
    </dxf>
    <dxf>
      <font>
        <b/>
        <i val="0"/>
        <color rgb="FFFF0000"/>
      </font>
    </dxf>
    <dxf>
      <font>
        <color theme="1"/>
      </font>
    </dxf>
    <dxf>
      <font>
        <color theme="1"/>
      </font>
    </dxf>
    <dxf>
      <font>
        <b/>
        <i val="0"/>
        <color rgb="FFFF0000"/>
      </font>
    </dxf>
    <dxf>
      <font>
        <b/>
        <i val="0"/>
        <color theme="1"/>
      </font>
    </dxf>
    <dxf>
      <font>
        <b val="0"/>
        <i val="0"/>
        <color theme="1"/>
      </font>
    </dxf>
    <dxf>
      <font>
        <b val="0"/>
        <i val="0"/>
        <color theme="1"/>
      </font>
    </dxf>
    <dxf>
      <font>
        <b val="0"/>
        <i val="0"/>
        <color theme="1"/>
      </font>
    </dxf>
    <dxf>
      <font>
        <b val="0"/>
        <i val="0"/>
        <color theme="1"/>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twoCellAnchor>
    <xdr:from>
      <xdr:col>16</xdr:col>
      <xdr:colOff>19050</xdr:colOff>
      <xdr:row>5</xdr:row>
      <xdr:rowOff>161925</xdr:rowOff>
    </xdr:from>
    <xdr:to>
      <xdr:col>18</xdr:col>
      <xdr:colOff>190500</xdr:colOff>
      <xdr:row>7</xdr:row>
      <xdr:rowOff>66675</xdr:rowOff>
    </xdr:to>
    <xdr:sp macro="" textlink="">
      <xdr:nvSpPr>
        <xdr:cNvPr id="2" name="四角形: 角を丸くする 1">
          <a:extLst>
            <a:ext uri="{FF2B5EF4-FFF2-40B4-BE49-F238E27FC236}">
              <a16:creationId xmlns:a16="http://schemas.microsoft.com/office/drawing/2014/main" id="{1BB2BBDC-25EA-E724-0B6A-CC8719D73B3F}"/>
            </a:ext>
          </a:extLst>
        </xdr:cNvPr>
        <xdr:cNvSpPr/>
      </xdr:nvSpPr>
      <xdr:spPr>
        <a:xfrm>
          <a:off x="3219450" y="1209675"/>
          <a:ext cx="571500" cy="323850"/>
        </a:xfrm>
        <a:prstGeom prst="roundRect">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8172450</xdr:colOff>
      <xdr:row>0</xdr:row>
      <xdr:rowOff>0</xdr:rowOff>
    </xdr:from>
    <xdr:to>
      <xdr:col>2</xdr:col>
      <xdr:colOff>8172450</xdr:colOff>
      <xdr:row>955</xdr:row>
      <xdr:rowOff>168000</xdr:rowOff>
    </xdr:to>
    <xdr:cxnSp macro="">
      <xdr:nvCxnSpPr>
        <xdr:cNvPr id="3" name="直線コネクタ 2">
          <a:extLst>
            <a:ext uri="{FF2B5EF4-FFF2-40B4-BE49-F238E27FC236}">
              <a16:creationId xmlns:a16="http://schemas.microsoft.com/office/drawing/2014/main" id="{BBCECE36-F40B-347B-59EA-3E1B9FA1C016}"/>
            </a:ext>
          </a:extLst>
        </xdr:cNvPr>
        <xdr:cNvCxnSpPr/>
      </xdr:nvCxnSpPr>
      <xdr:spPr>
        <a:xfrm>
          <a:off x="8715375" y="0"/>
          <a:ext cx="0" cy="179809500"/>
        </a:xfrm>
        <a:prstGeom prst="line">
          <a:avLst/>
        </a:prstGeom>
        <a:ln>
          <a:solidFill>
            <a:srgbClr val="FF00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161924</xdr:colOff>
      <xdr:row>3</xdr:row>
      <xdr:rowOff>76199</xdr:rowOff>
    </xdr:from>
    <xdr:ext cx="3733801" cy="1295401"/>
    <xdr:sp macro="" textlink="">
      <xdr:nvSpPr>
        <xdr:cNvPr id="2" name="テキスト ボックス 1">
          <a:extLst>
            <a:ext uri="{FF2B5EF4-FFF2-40B4-BE49-F238E27FC236}">
              <a16:creationId xmlns:a16="http://schemas.microsoft.com/office/drawing/2014/main" id="{C5AD822B-1B34-3540-335E-B854D1B83F9A}"/>
            </a:ext>
          </a:extLst>
        </xdr:cNvPr>
        <xdr:cNvSpPr txBox="1"/>
      </xdr:nvSpPr>
      <xdr:spPr>
        <a:xfrm>
          <a:off x="11915774" y="647699"/>
          <a:ext cx="3733801" cy="1295401"/>
        </a:xfrm>
        <a:prstGeom prst="rect">
          <a:avLst/>
        </a:prstGeom>
        <a:solidFill>
          <a:schemeClr val="bg1"/>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600"/>
            <a:t>条文内の漢数字は英数字（</a:t>
          </a:r>
          <a:r>
            <a:rPr kumimoji="1" lang="en-US" altLang="ja-JP" sz="1600"/>
            <a:t>1</a:t>
          </a:r>
          <a:r>
            <a:rPr kumimoji="1" lang="ja-JP" altLang="en-US" sz="1600"/>
            <a:t>桁全角、</a:t>
          </a:r>
          <a:r>
            <a:rPr kumimoji="1" lang="en-US" altLang="ja-JP" sz="1600"/>
            <a:t>2</a:t>
          </a:r>
          <a:r>
            <a:rPr kumimoji="1" lang="ja-JP" altLang="en-US" sz="1600"/>
            <a:t>桁半角）へと修正して記載のこと</a:t>
          </a: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4</xdr:col>
      <xdr:colOff>6372225</xdr:colOff>
      <xdr:row>8</xdr:row>
      <xdr:rowOff>19050</xdr:rowOff>
    </xdr:from>
    <xdr:to>
      <xdr:col>8</xdr:col>
      <xdr:colOff>871409</xdr:colOff>
      <xdr:row>57</xdr:row>
      <xdr:rowOff>0</xdr:rowOff>
    </xdr:to>
    <xdr:grpSp>
      <xdr:nvGrpSpPr>
        <xdr:cNvPr id="4" name="グループ化 3">
          <a:extLst>
            <a:ext uri="{FF2B5EF4-FFF2-40B4-BE49-F238E27FC236}">
              <a16:creationId xmlns:a16="http://schemas.microsoft.com/office/drawing/2014/main" id="{00000000-0008-0000-0700-000004000000}"/>
            </a:ext>
          </a:extLst>
        </xdr:cNvPr>
        <xdr:cNvGrpSpPr/>
      </xdr:nvGrpSpPr>
      <xdr:grpSpPr>
        <a:xfrm>
          <a:off x="11934825" y="1695450"/>
          <a:ext cx="1500059" cy="8382000"/>
          <a:chOff x="10277475" y="1657350"/>
          <a:chExt cx="738059" cy="3057525"/>
        </a:xfrm>
      </xdr:grpSpPr>
      <xdr:sp macro="" textlink="">
        <xdr:nvSpPr>
          <xdr:cNvPr id="2" name="右中かっこ 1">
            <a:extLst>
              <a:ext uri="{FF2B5EF4-FFF2-40B4-BE49-F238E27FC236}">
                <a16:creationId xmlns:a16="http://schemas.microsoft.com/office/drawing/2014/main" id="{00000000-0008-0000-0700-000002000000}"/>
              </a:ext>
            </a:extLst>
          </xdr:cNvPr>
          <xdr:cNvSpPr/>
        </xdr:nvSpPr>
        <xdr:spPr>
          <a:xfrm>
            <a:off x="10277475" y="1657350"/>
            <a:ext cx="247650" cy="3057525"/>
          </a:xfrm>
          <a:prstGeom prst="rightBrace">
            <a:avLst>
              <a:gd name="adj1" fmla="val 8333"/>
              <a:gd name="adj2" fmla="val 50000"/>
            </a:avLst>
          </a:prstGeom>
          <a:ln w="3810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sp macro="" textlink="">
        <xdr:nvSpPr>
          <xdr:cNvPr id="3" name="テキスト ボックス 2">
            <a:extLst>
              <a:ext uri="{FF2B5EF4-FFF2-40B4-BE49-F238E27FC236}">
                <a16:creationId xmlns:a16="http://schemas.microsoft.com/office/drawing/2014/main" id="{00000000-0008-0000-0700-000003000000}"/>
              </a:ext>
            </a:extLst>
          </xdr:cNvPr>
          <xdr:cNvSpPr txBox="1"/>
        </xdr:nvSpPr>
        <xdr:spPr>
          <a:xfrm>
            <a:off x="10582723" y="1895475"/>
            <a:ext cx="432811" cy="2573782"/>
          </a:xfrm>
          <a:prstGeom prst="rect">
            <a:avLst/>
          </a:prstGeom>
          <a:noFill/>
        </xdr:spPr>
        <xdr:style>
          <a:lnRef idx="0">
            <a:scrgbClr r="0" g="0" b="0"/>
          </a:lnRef>
          <a:fillRef idx="0">
            <a:scrgbClr r="0" g="0" b="0"/>
          </a:fillRef>
          <a:effectRef idx="0">
            <a:scrgbClr r="0" g="0" b="0"/>
          </a:effectRef>
          <a:fontRef idx="minor">
            <a:schemeClr val="tx1"/>
          </a:fontRef>
        </xdr:style>
        <xdr:txBody>
          <a:bodyPr vertOverflow="overflow" horzOverflow="overflow" vert="wordArtVertRtl" wrap="none" rtlCol="0" anchor="t">
            <a:spAutoFit/>
          </a:bodyPr>
          <a:lstStyle/>
          <a:p>
            <a:pPr algn="ctr"/>
            <a:r>
              <a:rPr kumimoji="1" lang="ja-JP" altLang="en-US" sz="1100" b="1">
                <a:solidFill>
                  <a:srgbClr val="FF0000"/>
                </a:solidFill>
              </a:rPr>
              <a:t>契約書としてまとめる</a:t>
            </a: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1.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4.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sheetPr>
  <dimension ref="A2:E14"/>
  <sheetViews>
    <sheetView showGridLines="0" showRowColHeaders="0" tabSelected="1" workbookViewId="0">
      <selection activeCell="B5" sqref="B5"/>
    </sheetView>
  </sheetViews>
  <sheetFormatPr defaultColWidth="9" defaultRowHeight="30" customHeight="1"/>
  <cols>
    <col min="1" max="1" width="9" style="366"/>
    <col min="2" max="2" width="21.625" style="365" bestFit="1" customWidth="1"/>
    <col min="3" max="3" width="9" style="366"/>
    <col min="4" max="4" width="8.125" style="365" bestFit="1" customWidth="1"/>
    <col min="5" max="16384" width="9" style="366"/>
  </cols>
  <sheetData>
    <row r="2" spans="1:5" ht="30" customHeight="1">
      <c r="A2" s="364" t="s">
        <v>228</v>
      </c>
      <c r="B2" s="364"/>
      <c r="C2" s="364"/>
      <c r="D2" s="411" t="s">
        <v>18505</v>
      </c>
      <c r="E2" s="412"/>
    </row>
    <row r="4" spans="1:5" ht="30" customHeight="1">
      <c r="B4" s="162" t="s">
        <v>226</v>
      </c>
      <c r="D4" s="365" t="str">
        <f>閲覧図書!B25</f>
        <v>NG</v>
      </c>
    </row>
    <row r="5" spans="1:5" ht="30" customHeight="1">
      <c r="B5" s="367" t="s">
        <v>342</v>
      </c>
    </row>
    <row r="6" spans="1:5" ht="30" customHeight="1">
      <c r="B6" s="368" t="s">
        <v>227</v>
      </c>
      <c r="D6" s="365" t="str">
        <f>IF(D4=【随時メンテ】部分払い回数等!$A$52,入札結果!C25,"")</f>
        <v/>
      </c>
    </row>
    <row r="7" spans="1:5" ht="30" customHeight="1">
      <c r="B7" s="367" t="s">
        <v>342</v>
      </c>
    </row>
    <row r="8" spans="1:5" ht="30" customHeight="1">
      <c r="B8" s="162" t="s">
        <v>331</v>
      </c>
      <c r="D8" s="365" t="str">
        <f>IF(D6=【随時メンテ】部分払い回数等!$A$52,受注者情報!E25,"")</f>
        <v/>
      </c>
    </row>
    <row r="9" spans="1:5" ht="30" customHeight="1">
      <c r="B9" s="367" t="s">
        <v>342</v>
      </c>
    </row>
    <row r="10" spans="1:5" ht="30" customHeight="1">
      <c r="B10" s="162" t="s">
        <v>230</v>
      </c>
      <c r="D10" s="365" t="str">
        <f>IF(閲覧図書!C6="あり",支払限度額!F13,"")</f>
        <v/>
      </c>
    </row>
    <row r="11" spans="1:5" ht="30" customHeight="1">
      <c r="B11" s="367" t="s">
        <v>342</v>
      </c>
    </row>
    <row r="12" spans="1:5" ht="30" customHeight="1">
      <c r="B12" s="162" t="s">
        <v>1243</v>
      </c>
      <c r="D12" s="365" t="str">
        <f>IF(D8=【随時メンテ】部分払い回数等!$A$52,IFERROR(契約日ほか!K18,【随時メンテ】部分払い回数等!$A$53),"")</f>
        <v/>
      </c>
    </row>
    <row r="13" spans="1:5" ht="30" hidden="1" customHeight="1">
      <c r="B13" s="367" t="s">
        <v>342</v>
      </c>
    </row>
    <row r="14" spans="1:5" ht="30" hidden="1" customHeight="1">
      <c r="B14" s="162" t="s">
        <v>343</v>
      </c>
      <c r="D14" s="365" t="str">
        <f>'&lt;使わない&gt;当初書類'!A3</f>
        <v>NG</v>
      </c>
    </row>
  </sheetData>
  <sheetProtection sheet="1" objects="1" scenarios="1"/>
  <phoneticPr fontId="2"/>
  <conditionalFormatting sqref="B5:B6">
    <cfRule type="expression" dxfId="170" priority="7">
      <formula>$D$4="OK"</formula>
    </cfRule>
  </conditionalFormatting>
  <conditionalFormatting sqref="B7:B8">
    <cfRule type="expression" dxfId="169" priority="6">
      <formula>$D$6="OK"</formula>
    </cfRule>
  </conditionalFormatting>
  <conditionalFormatting sqref="B11:B12">
    <cfRule type="expression" dxfId="167" priority="4">
      <formula>$D$8="OK"</formula>
    </cfRule>
  </conditionalFormatting>
  <conditionalFormatting sqref="B13:B14">
    <cfRule type="expression" dxfId="166" priority="3">
      <formula>$D$12="OK"</formula>
    </cfRule>
  </conditionalFormatting>
  <hyperlinks>
    <hyperlink ref="B4" location="閲覧図書!C3" display="閲覧図書" xr:uid="{00000000-0004-0000-0000-000000000000}"/>
    <hyperlink ref="B6" location="入札結果!C2" display="入札結果" xr:uid="{00000000-0004-0000-0000-000001000000}"/>
    <hyperlink ref="B8" location="受注者情報!C2" display="受注者情報" xr:uid="{00000000-0004-0000-0000-000003000000}"/>
    <hyperlink ref="B12" location="契約日ほか!L13" display="契約日ほか" xr:uid="{00000000-0004-0000-0000-000004000000}"/>
    <hyperlink ref="B14" location="当初作成書類一覧!A1" display="当初書類" xr:uid="{00000000-0004-0000-0000-000005000000}"/>
    <hyperlink ref="B10" location="支払限度額!A1" display="支払限度額" xr:uid="{00000000-0004-0000-0000-000002000000}"/>
  </hyperlinks>
  <pageMargins left="0.7" right="0.7" top="0.75" bottom="0.75" header="0.3" footer="0.3"/>
  <pageSetup paperSize="9" orientation="portrait" copies="0" r:id="rId1"/>
  <extLst>
    <ext xmlns:x14="http://schemas.microsoft.com/office/spreadsheetml/2009/9/main" uri="{78C0D931-6437-407d-A8EE-F0AAD7539E65}">
      <x14:conditionalFormattings>
        <x14:conditionalFormatting xmlns:xm="http://schemas.microsoft.com/office/excel/2006/main">
          <x14:cfRule type="expression" priority="5" id="{D3BBCEA9-0B00-4109-A749-244455D9D44C}">
            <xm:f>AND($D$8="OK",閲覧図書!$C$6="あり")</xm:f>
            <x14:dxf>
              <font>
                <b val="0"/>
                <i val="0"/>
                <color theme="1"/>
              </font>
            </x14:dxf>
          </x14:cfRule>
          <xm:sqref>B9:B10</xm:sqref>
        </x14:conditionalFormatting>
        <x14:conditionalFormatting xmlns:xm="http://schemas.microsoft.com/office/excel/2006/main">
          <x14:cfRule type="cellIs" priority="2" operator="equal" id="{B2BDE701-E7FE-4D93-A383-0F99208B6EEB}">
            <xm:f>【随時メンテ】部分払い回数等!$A$53</xm:f>
            <x14:dxf>
              <font>
                <b/>
                <i val="0"/>
                <color rgb="FFFF0000"/>
              </font>
            </x14:dxf>
          </x14:cfRule>
          <xm:sqref>D1:D1048576</xm:sqref>
        </x14:conditionalFormatting>
      </x14:conditionalFormatting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tabColor theme="7" tint="0.79998168889431442"/>
    <pageSetUpPr fitToPage="1"/>
  </sheetPr>
  <dimension ref="A1:AQ72"/>
  <sheetViews>
    <sheetView showGridLines="0" showRowColHeaders="0" zoomScaleNormal="100" workbookViewId="0">
      <pane xSplit="43" ySplit="9" topLeftCell="AR10" activePane="bottomRight" state="frozen"/>
      <selection activeCell="E11" sqref="E11"/>
      <selection pane="topRight" activeCell="E11" sqref="E11"/>
      <selection pane="bottomLeft" activeCell="E11" sqref="E11"/>
      <selection pane="bottomRight"/>
    </sheetView>
  </sheetViews>
  <sheetFormatPr defaultColWidth="2.625" defaultRowHeight="18" customHeight="1"/>
  <cols>
    <col min="1" max="1" width="2.625" style="93" customWidth="1"/>
    <col min="2" max="16384" width="2.625" style="93"/>
  </cols>
  <sheetData>
    <row r="1" spans="1:43" ht="18" customHeight="1">
      <c r="A1" s="238" t="s">
        <v>1332</v>
      </c>
      <c r="B1" s="237"/>
      <c r="C1" s="237"/>
      <c r="D1" s="237"/>
      <c r="E1" s="237"/>
      <c r="F1" s="237"/>
      <c r="G1" s="237"/>
      <c r="H1" s="237"/>
      <c r="I1" s="237"/>
      <c r="J1" s="237"/>
      <c r="K1" s="237"/>
      <c r="L1" s="237"/>
      <c r="M1" s="237"/>
      <c r="N1" s="237"/>
      <c r="O1" s="237"/>
      <c r="P1" s="237"/>
      <c r="Q1" s="237"/>
      <c r="R1" s="237"/>
      <c r="S1" s="237"/>
      <c r="T1" s="237"/>
      <c r="U1" s="237"/>
      <c r="V1" s="237"/>
      <c r="W1" s="237"/>
      <c r="X1" s="237"/>
      <c r="Y1" s="237"/>
      <c r="Z1" s="237"/>
      <c r="AA1" s="237"/>
      <c r="AB1" s="237"/>
      <c r="AC1" s="237"/>
      <c r="AD1" s="237"/>
      <c r="AE1" s="237"/>
      <c r="AF1" s="237"/>
      <c r="AG1" s="237"/>
      <c r="AH1" s="237"/>
      <c r="AI1" s="237"/>
      <c r="AJ1" s="237"/>
      <c r="AK1" s="237"/>
      <c r="AL1" s="237"/>
      <c r="AM1" s="237"/>
      <c r="AN1" s="237"/>
      <c r="AO1" s="237"/>
      <c r="AP1" s="237"/>
      <c r="AQ1" s="237"/>
    </row>
    <row r="2" spans="1:43" ht="18" customHeight="1">
      <c r="A2" s="93" t="s">
        <v>1040</v>
      </c>
    </row>
    <row r="5" spans="1:43" ht="18" customHeight="1">
      <c r="A5" s="93" t="s">
        <v>1041</v>
      </c>
    </row>
    <row r="8" spans="1:43" ht="18" customHeight="1">
      <c r="A8" s="465" t="s">
        <v>1166</v>
      </c>
      <c r="B8" s="465"/>
      <c r="C8" s="465"/>
      <c r="D8" s="465"/>
      <c r="E8" s="465"/>
      <c r="F8" s="465"/>
      <c r="G8" s="465"/>
      <c r="H8" s="465"/>
      <c r="I8" s="465"/>
      <c r="J8" s="465"/>
      <c r="K8" s="465"/>
      <c r="L8" s="465"/>
      <c r="M8" s="465"/>
      <c r="N8" s="465"/>
      <c r="O8" s="465"/>
      <c r="P8" s="465"/>
      <c r="Q8" s="465"/>
      <c r="R8" s="465"/>
      <c r="S8" s="465"/>
      <c r="T8" s="465"/>
      <c r="U8" s="465"/>
      <c r="V8" s="465"/>
      <c r="W8" s="465"/>
      <c r="X8" s="465"/>
      <c r="Y8" s="465"/>
      <c r="Z8" s="465"/>
      <c r="AA8" s="465"/>
      <c r="AB8" s="465"/>
      <c r="AC8" s="465"/>
      <c r="AD8" s="465"/>
      <c r="AE8" s="465"/>
      <c r="AF8" s="465"/>
      <c r="AG8" s="465"/>
      <c r="AH8" s="465"/>
      <c r="AI8" s="465"/>
      <c r="AJ8" s="465"/>
      <c r="AK8" s="465"/>
      <c r="AL8" s="465"/>
      <c r="AM8" s="465"/>
      <c r="AN8" s="465"/>
      <c r="AO8" s="465"/>
      <c r="AP8" s="465"/>
      <c r="AQ8" s="465"/>
    </row>
    <row r="12" spans="1:43" ht="18" customHeight="1">
      <c r="B12" s="448" t="s">
        <v>1042</v>
      </c>
      <c r="C12" s="448"/>
      <c r="D12" s="448"/>
      <c r="E12" s="448"/>
      <c r="G12" s="93" t="str">
        <f>入札結果!G12</f>
        <v/>
      </c>
    </row>
    <row r="14" spans="1:43" ht="18" customHeight="1">
      <c r="B14" s="448" t="s">
        <v>1043</v>
      </c>
      <c r="C14" s="448"/>
      <c r="D14" s="448"/>
      <c r="E14" s="448"/>
      <c r="G14" s="93" t="str">
        <f>入札結果!G13</f>
        <v/>
      </c>
    </row>
    <row r="18" spans="1:40" ht="18" customHeight="1">
      <c r="A18" s="104" t="str">
        <f>DBCS(契約日ほか!AD20&amp;"に締結した上記建設工事の請負契約に関する紛争については、発注者及び受注者は、")</f>
        <v>令和　　　年　　　月　　　日に締結した上記建設工事の請負契約に関する紛争については、発注者及び受注者は、</v>
      </c>
    </row>
    <row r="20" spans="1:40" ht="18" customHeight="1">
      <c r="A20" s="93" t="s">
        <v>1246</v>
      </c>
    </row>
    <row r="24" spans="1:40" ht="18" customHeight="1">
      <c r="X24" s="93" t="s">
        <v>1047</v>
      </c>
    </row>
    <row r="26" spans="1:40" ht="18" customHeight="1">
      <c r="X26" s="98"/>
      <c r="Y26" s="467" t="s">
        <v>1044</v>
      </c>
      <c r="Z26" s="467"/>
      <c r="AA26" s="467"/>
      <c r="AB26" s="467"/>
      <c r="AC26" s="467"/>
      <c r="AD26" s="467"/>
      <c r="AE26" s="467"/>
      <c r="AF26" s="467"/>
      <c r="AG26" s="467"/>
      <c r="AH26" s="467"/>
      <c r="AI26" s="467"/>
      <c r="AJ26" s="467"/>
      <c r="AK26" s="467"/>
      <c r="AL26" s="467"/>
      <c r="AN26" s="98"/>
    </row>
    <row r="27" spans="1:40" ht="18" customHeight="1">
      <c r="X27" s="98"/>
      <c r="Y27" s="467" t="s">
        <v>1045</v>
      </c>
      <c r="Z27" s="467"/>
      <c r="AA27" s="467"/>
      <c r="AB27" s="467"/>
      <c r="AC27" s="467"/>
      <c r="AD27" s="467"/>
      <c r="AE27" s="467"/>
      <c r="AF27" s="467"/>
      <c r="AG27" s="467"/>
      <c r="AH27" s="467"/>
      <c r="AI27" s="467"/>
      <c r="AJ27" s="467"/>
      <c r="AK27" s="467"/>
      <c r="AL27" s="467"/>
      <c r="AN27" s="98"/>
    </row>
    <row r="28" spans="1:40" ht="18" customHeight="1">
      <c r="X28" s="98"/>
      <c r="Y28" s="467" t="s">
        <v>1046</v>
      </c>
      <c r="Z28" s="467"/>
      <c r="AA28" s="467"/>
      <c r="AB28" s="467"/>
      <c r="AC28" s="467"/>
      <c r="AD28" s="467"/>
      <c r="AE28" s="467"/>
      <c r="AF28" s="467"/>
      <c r="AG28" s="467"/>
      <c r="AH28" s="467"/>
      <c r="AI28" s="467"/>
      <c r="AJ28" s="467"/>
      <c r="AK28" s="467"/>
      <c r="AL28" s="467"/>
      <c r="AN28" s="98"/>
    </row>
    <row r="32" spans="1:40" ht="18" customHeight="1">
      <c r="X32" s="93" t="str">
        <f>契約日ほか!AD20</f>
        <v>令和　　　年　　　月　　　日</v>
      </c>
    </row>
    <row r="37" spans="11:16" ht="18" customHeight="1">
      <c r="M37" s="94" t="s">
        <v>1048</v>
      </c>
      <c r="P37" s="93" t="str">
        <f>建設工事請負契約書!M33</f>
        <v>　　　　　　　　　　　　　　　　　　　　　　㊞</v>
      </c>
    </row>
    <row r="40" spans="11:16" ht="18" customHeight="1">
      <c r="M40" s="94" t="s">
        <v>1049</v>
      </c>
      <c r="P40" s="93" t="str">
        <f>建設工事請負契約書!M35</f>
        <v/>
      </c>
    </row>
    <row r="41" spans="11:16" ht="18" customHeight="1">
      <c r="K41" s="462" t="str">
        <f>IF($P$40="","",建設工事請負契約書!H36)</f>
        <v/>
      </c>
      <c r="L41" s="462"/>
      <c r="M41" s="462"/>
      <c r="N41" s="462"/>
      <c r="P41" s="93" t="str">
        <f ca="1">建設工事請負契約書!S36</f>
        <v/>
      </c>
    </row>
    <row r="42" spans="11:16" ht="18" customHeight="1">
      <c r="P42" s="93" t="str">
        <f ca="1">建設工事請負契約書!S37</f>
        <v/>
      </c>
    </row>
    <row r="43" spans="11:16" ht="18" customHeight="1">
      <c r="P43" s="93" t="str">
        <f ca="1">建設工事請負契約書!S38</f>
        <v>　　</v>
      </c>
    </row>
    <row r="44" spans="11:16" ht="18" customHeight="1">
      <c r="P44" s="93" t="str">
        <f ca="1">建設工事請負契約書!S39</f>
        <v>　　</v>
      </c>
    </row>
    <row r="45" spans="11:16" ht="18" customHeight="1">
      <c r="P45" s="93" t="str">
        <f ca="1">建設工事請負契約書!S40</f>
        <v>　　</v>
      </c>
    </row>
    <row r="47" spans="11:16" ht="18" customHeight="1">
      <c r="K47" s="448" t="str">
        <f>IF($P$40="","",建設工事請負契約書!H42)</f>
        <v/>
      </c>
      <c r="L47" s="448"/>
      <c r="M47" s="448"/>
      <c r="N47" s="448"/>
      <c r="P47" s="93" t="str">
        <f ca="1">建設工事請負契約書!S42</f>
        <v/>
      </c>
    </row>
    <row r="48" spans="11:16" ht="18" customHeight="1">
      <c r="P48" s="93" t="str">
        <f ca="1">建設工事請負契約書!S43</f>
        <v/>
      </c>
    </row>
    <row r="49" spans="1:43" ht="18" customHeight="1">
      <c r="P49" s="93" t="str">
        <f ca="1">建設工事請負契約書!S44</f>
        <v>　　</v>
      </c>
    </row>
    <row r="50" spans="1:43" ht="18" customHeight="1">
      <c r="P50" s="93" t="str">
        <f ca="1">建設工事請負契約書!S45</f>
        <v>　　</v>
      </c>
    </row>
    <row r="51" spans="1:43" ht="18" customHeight="1">
      <c r="P51" s="93" t="str">
        <f ca="1">建設工事請負契約書!S46</f>
        <v>　　</v>
      </c>
    </row>
    <row r="53" spans="1:43" s="153" customFormat="1" ht="18" customHeight="1">
      <c r="A53" s="153" t="s">
        <v>1167</v>
      </c>
    </row>
    <row r="54" spans="1:43" s="153" customFormat="1" ht="18" customHeight="1"/>
    <row r="55" spans="1:43" s="153" customFormat="1" ht="18" customHeight="1">
      <c r="A55" s="466" t="s">
        <v>1168</v>
      </c>
      <c r="B55" s="466"/>
      <c r="C55" s="466"/>
      <c r="D55" s="466"/>
      <c r="E55" s="466"/>
      <c r="F55" s="466"/>
      <c r="G55" s="466"/>
      <c r="H55" s="466"/>
      <c r="I55" s="466"/>
      <c r="J55" s="466"/>
      <c r="K55" s="466"/>
      <c r="L55" s="466"/>
      <c r="M55" s="466"/>
      <c r="N55" s="466"/>
      <c r="O55" s="466"/>
      <c r="P55" s="466"/>
      <c r="Q55" s="466"/>
      <c r="R55" s="466"/>
      <c r="S55" s="466"/>
      <c r="T55" s="466"/>
      <c r="U55" s="466"/>
      <c r="V55" s="466"/>
      <c r="W55" s="466"/>
      <c r="X55" s="466"/>
      <c r="Y55" s="466"/>
      <c r="Z55" s="466"/>
      <c r="AA55" s="466"/>
      <c r="AB55" s="466"/>
      <c r="AC55" s="466"/>
      <c r="AD55" s="466"/>
      <c r="AE55" s="466"/>
      <c r="AF55" s="466"/>
      <c r="AG55" s="466"/>
      <c r="AH55" s="466"/>
      <c r="AI55" s="466"/>
      <c r="AJ55" s="466"/>
      <c r="AK55" s="466"/>
      <c r="AL55" s="466"/>
      <c r="AM55" s="466"/>
      <c r="AN55" s="466"/>
      <c r="AO55" s="466"/>
      <c r="AP55" s="466"/>
      <c r="AQ55" s="466"/>
    </row>
    <row r="56" spans="1:43" s="153" customFormat="1" ht="18" customHeight="1"/>
    <row r="57" spans="1:43" s="153" customFormat="1" ht="27" customHeight="1">
      <c r="B57" s="154" t="s">
        <v>1177</v>
      </c>
      <c r="C57" s="153" t="s">
        <v>1179</v>
      </c>
    </row>
    <row r="58" spans="1:43" s="153" customFormat="1" ht="27" customHeight="1">
      <c r="C58" s="153" t="s">
        <v>1180</v>
      </c>
    </row>
    <row r="59" spans="1:43" s="153" customFormat="1" ht="27" customHeight="1">
      <c r="C59" s="153" t="s">
        <v>1181</v>
      </c>
    </row>
    <row r="60" spans="1:43" s="153" customFormat="1" ht="27" customHeight="1">
      <c r="C60" s="153" t="s">
        <v>1169</v>
      </c>
    </row>
    <row r="61" spans="1:43" s="153" customFormat="1" ht="27" customHeight="1"/>
    <row r="62" spans="1:43" s="153" customFormat="1" ht="27" customHeight="1">
      <c r="B62" s="154" t="s">
        <v>1178</v>
      </c>
      <c r="C62" s="153" t="s">
        <v>1182</v>
      </c>
    </row>
    <row r="63" spans="1:43" s="153" customFormat="1" ht="27" customHeight="1">
      <c r="C63" s="153" t="s">
        <v>1183</v>
      </c>
    </row>
    <row r="64" spans="1:43" s="153" customFormat="1" ht="27" customHeight="1">
      <c r="C64" s="153" t="s">
        <v>1170</v>
      </c>
    </row>
    <row r="65" spans="3:3" s="153" customFormat="1" ht="27" customHeight="1">
      <c r="C65" s="153" t="s">
        <v>1171</v>
      </c>
    </row>
    <row r="66" spans="3:3" s="153" customFormat="1" ht="27" customHeight="1">
      <c r="C66" s="153" t="s">
        <v>1172</v>
      </c>
    </row>
    <row r="67" spans="3:3" s="153" customFormat="1" ht="27" customHeight="1">
      <c r="C67" s="153" t="s">
        <v>1173</v>
      </c>
    </row>
    <row r="68" spans="3:3" s="153" customFormat="1" ht="27" customHeight="1">
      <c r="C68" s="153" t="s">
        <v>1174</v>
      </c>
    </row>
    <row r="69" spans="3:3" s="153" customFormat="1" ht="27" customHeight="1">
      <c r="C69" s="153" t="s">
        <v>1184</v>
      </c>
    </row>
    <row r="70" spans="3:3" s="153" customFormat="1" ht="27" customHeight="1">
      <c r="C70" s="153" t="s">
        <v>1175</v>
      </c>
    </row>
    <row r="71" spans="3:3" s="153" customFormat="1" ht="27" customHeight="1">
      <c r="C71" s="153" t="s">
        <v>1176</v>
      </c>
    </row>
    <row r="72" spans="3:3" s="153" customFormat="1" ht="27" customHeight="1">
      <c r="C72" s="153" t="s">
        <v>1185</v>
      </c>
    </row>
  </sheetData>
  <sheetProtection sheet="1" objects="1" scenarios="1"/>
  <mergeCells count="9">
    <mergeCell ref="K41:N41"/>
    <mergeCell ref="K47:N47"/>
    <mergeCell ref="A8:AQ8"/>
    <mergeCell ref="A55:AQ55"/>
    <mergeCell ref="B14:E14"/>
    <mergeCell ref="B12:E12"/>
    <mergeCell ref="Y26:AL26"/>
    <mergeCell ref="Y27:AL27"/>
    <mergeCell ref="Y28:AL28"/>
  </mergeCells>
  <phoneticPr fontId="2"/>
  <printOptions horizontalCentered="1"/>
  <pageMargins left="0.59055118110236227" right="0" top="0.78740157480314965" bottom="0.78740157480314965" header="0" footer="0"/>
  <pageSetup paperSize="9" scale="86" fitToHeight="2" orientation="portrait" r:id="rId1"/>
  <rowBreaks count="1" manualBreakCount="1">
    <brk id="51" max="42"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4">
    <tabColor theme="7" tint="0.79998168889431442"/>
    <pageSetUpPr fitToPage="1"/>
  </sheetPr>
  <dimension ref="A2:AX66"/>
  <sheetViews>
    <sheetView showGridLines="0" showRowColHeaders="0" zoomScaleNormal="100" workbookViewId="0">
      <pane ySplit="11" topLeftCell="A12" activePane="bottomLeft" state="frozen"/>
      <selection activeCell="E11" sqref="E11"/>
      <selection pane="bottomLeft" activeCell="G7" sqref="G7"/>
    </sheetView>
  </sheetViews>
  <sheetFormatPr defaultColWidth="2.375" defaultRowHeight="13.5"/>
  <cols>
    <col min="1" max="1" width="3" style="259" hidden="1" customWidth="1"/>
    <col min="2" max="2" width="1.5" style="259" customWidth="1"/>
    <col min="3" max="3" width="3.375" style="259" customWidth="1"/>
    <col min="4" max="37" width="2.375" style="259"/>
    <col min="38" max="38" width="1.5" style="259" customWidth="1"/>
    <col min="39" max="39" width="2.375" style="259" customWidth="1"/>
    <col min="40" max="40" width="3.5" style="259" hidden="1" customWidth="1"/>
    <col min="41" max="41" width="2.125" style="259" hidden="1" customWidth="1"/>
    <col min="42" max="42" width="2.375" style="259"/>
    <col min="43" max="43" width="9" style="259" bestFit="1" customWidth="1"/>
    <col min="44" max="44" width="2.375" style="259"/>
    <col min="45" max="45" width="2.5" style="259" hidden="1" customWidth="1"/>
    <col min="46" max="46" width="22.375" style="259" bestFit="1" customWidth="1"/>
    <col min="47" max="47" width="2.375" style="259"/>
    <col min="48" max="49" width="0" style="259" hidden="1" customWidth="1"/>
    <col min="50" max="50" width="16.875" style="259" bestFit="1" customWidth="1"/>
    <col min="51" max="259" width="2.375" style="259"/>
    <col min="260" max="260" width="2.375" style="259" customWidth="1"/>
    <col min="261" max="261" width="1.5" style="259" customWidth="1"/>
    <col min="262" max="262" width="3.375" style="259" customWidth="1"/>
    <col min="263" max="515" width="2.375" style="259"/>
    <col min="516" max="516" width="2.375" style="259" customWidth="1"/>
    <col min="517" max="517" width="1.5" style="259" customWidth="1"/>
    <col min="518" max="518" width="3.375" style="259" customWidth="1"/>
    <col min="519" max="771" width="2.375" style="259"/>
    <col min="772" max="772" width="2.375" style="259" customWidth="1"/>
    <col min="773" max="773" width="1.5" style="259" customWidth="1"/>
    <col min="774" max="774" width="3.375" style="259" customWidth="1"/>
    <col min="775" max="1027" width="2.375" style="259"/>
    <col min="1028" max="1028" width="2.375" style="259" customWidth="1"/>
    <col min="1029" max="1029" width="1.5" style="259" customWidth="1"/>
    <col min="1030" max="1030" width="3.375" style="259" customWidth="1"/>
    <col min="1031" max="1283" width="2.375" style="259"/>
    <col min="1284" max="1284" width="2.375" style="259" customWidth="1"/>
    <col min="1285" max="1285" width="1.5" style="259" customWidth="1"/>
    <col min="1286" max="1286" width="3.375" style="259" customWidth="1"/>
    <col min="1287" max="1539" width="2.375" style="259"/>
    <col min="1540" max="1540" width="2.375" style="259" customWidth="1"/>
    <col min="1541" max="1541" width="1.5" style="259" customWidth="1"/>
    <col min="1542" max="1542" width="3.375" style="259" customWidth="1"/>
    <col min="1543" max="1795" width="2.375" style="259"/>
    <col min="1796" max="1796" width="2.375" style="259" customWidth="1"/>
    <col min="1797" max="1797" width="1.5" style="259" customWidth="1"/>
    <col min="1798" max="1798" width="3.375" style="259" customWidth="1"/>
    <col min="1799" max="2051" width="2.375" style="259"/>
    <col min="2052" max="2052" width="2.375" style="259" customWidth="1"/>
    <col min="2053" max="2053" width="1.5" style="259" customWidth="1"/>
    <col min="2054" max="2054" width="3.375" style="259" customWidth="1"/>
    <col min="2055" max="2307" width="2.375" style="259"/>
    <col min="2308" max="2308" width="2.375" style="259" customWidth="1"/>
    <col min="2309" max="2309" width="1.5" style="259" customWidth="1"/>
    <col min="2310" max="2310" width="3.375" style="259" customWidth="1"/>
    <col min="2311" max="2563" width="2.375" style="259"/>
    <col min="2564" max="2564" width="2.375" style="259" customWidth="1"/>
    <col min="2565" max="2565" width="1.5" style="259" customWidth="1"/>
    <col min="2566" max="2566" width="3.375" style="259" customWidth="1"/>
    <col min="2567" max="2819" width="2.375" style="259"/>
    <col min="2820" max="2820" width="2.375" style="259" customWidth="1"/>
    <col min="2821" max="2821" width="1.5" style="259" customWidth="1"/>
    <col min="2822" max="2822" width="3.375" style="259" customWidth="1"/>
    <col min="2823" max="3075" width="2.375" style="259"/>
    <col min="3076" max="3076" width="2.375" style="259" customWidth="1"/>
    <col min="3077" max="3077" width="1.5" style="259" customWidth="1"/>
    <col min="3078" max="3078" width="3.375" style="259" customWidth="1"/>
    <col min="3079" max="3331" width="2.375" style="259"/>
    <col min="3332" max="3332" width="2.375" style="259" customWidth="1"/>
    <col min="3333" max="3333" width="1.5" style="259" customWidth="1"/>
    <col min="3334" max="3334" width="3.375" style="259" customWidth="1"/>
    <col min="3335" max="3587" width="2.375" style="259"/>
    <col min="3588" max="3588" width="2.375" style="259" customWidth="1"/>
    <col min="3589" max="3589" width="1.5" style="259" customWidth="1"/>
    <col min="3590" max="3590" width="3.375" style="259" customWidth="1"/>
    <col min="3591" max="3843" width="2.375" style="259"/>
    <col min="3844" max="3844" width="2.375" style="259" customWidth="1"/>
    <col min="3845" max="3845" width="1.5" style="259" customWidth="1"/>
    <col min="3846" max="3846" width="3.375" style="259" customWidth="1"/>
    <col min="3847" max="4099" width="2.375" style="259"/>
    <col min="4100" max="4100" width="2.375" style="259" customWidth="1"/>
    <col min="4101" max="4101" width="1.5" style="259" customWidth="1"/>
    <col min="4102" max="4102" width="3.375" style="259" customWidth="1"/>
    <col min="4103" max="4355" width="2.375" style="259"/>
    <col min="4356" max="4356" width="2.375" style="259" customWidth="1"/>
    <col min="4357" max="4357" width="1.5" style="259" customWidth="1"/>
    <col min="4358" max="4358" width="3.375" style="259" customWidth="1"/>
    <col min="4359" max="4611" width="2.375" style="259"/>
    <col min="4612" max="4612" width="2.375" style="259" customWidth="1"/>
    <col min="4613" max="4613" width="1.5" style="259" customWidth="1"/>
    <col min="4614" max="4614" width="3.375" style="259" customWidth="1"/>
    <col min="4615" max="4867" width="2.375" style="259"/>
    <col min="4868" max="4868" width="2.375" style="259" customWidth="1"/>
    <col min="4869" max="4869" width="1.5" style="259" customWidth="1"/>
    <col min="4870" max="4870" width="3.375" style="259" customWidth="1"/>
    <col min="4871" max="5123" width="2.375" style="259"/>
    <col min="5124" max="5124" width="2.375" style="259" customWidth="1"/>
    <col min="5125" max="5125" width="1.5" style="259" customWidth="1"/>
    <col min="5126" max="5126" width="3.375" style="259" customWidth="1"/>
    <col min="5127" max="5379" width="2.375" style="259"/>
    <col min="5380" max="5380" width="2.375" style="259" customWidth="1"/>
    <col min="5381" max="5381" width="1.5" style="259" customWidth="1"/>
    <col min="5382" max="5382" width="3.375" style="259" customWidth="1"/>
    <col min="5383" max="5635" width="2.375" style="259"/>
    <col min="5636" max="5636" width="2.375" style="259" customWidth="1"/>
    <col min="5637" max="5637" width="1.5" style="259" customWidth="1"/>
    <col min="5638" max="5638" width="3.375" style="259" customWidth="1"/>
    <col min="5639" max="5891" width="2.375" style="259"/>
    <col min="5892" max="5892" width="2.375" style="259" customWidth="1"/>
    <col min="5893" max="5893" width="1.5" style="259" customWidth="1"/>
    <col min="5894" max="5894" width="3.375" style="259" customWidth="1"/>
    <col min="5895" max="6147" width="2.375" style="259"/>
    <col min="6148" max="6148" width="2.375" style="259" customWidth="1"/>
    <col min="6149" max="6149" width="1.5" style="259" customWidth="1"/>
    <col min="6150" max="6150" width="3.375" style="259" customWidth="1"/>
    <col min="6151" max="6403" width="2.375" style="259"/>
    <col min="6404" max="6404" width="2.375" style="259" customWidth="1"/>
    <col min="6405" max="6405" width="1.5" style="259" customWidth="1"/>
    <col min="6406" max="6406" width="3.375" style="259" customWidth="1"/>
    <col min="6407" max="6659" width="2.375" style="259"/>
    <col min="6660" max="6660" width="2.375" style="259" customWidth="1"/>
    <col min="6661" max="6661" width="1.5" style="259" customWidth="1"/>
    <col min="6662" max="6662" width="3.375" style="259" customWidth="1"/>
    <col min="6663" max="6915" width="2.375" style="259"/>
    <col min="6916" max="6916" width="2.375" style="259" customWidth="1"/>
    <col min="6917" max="6917" width="1.5" style="259" customWidth="1"/>
    <col min="6918" max="6918" width="3.375" style="259" customWidth="1"/>
    <col min="6919" max="7171" width="2.375" style="259"/>
    <col min="7172" max="7172" width="2.375" style="259" customWidth="1"/>
    <col min="7173" max="7173" width="1.5" style="259" customWidth="1"/>
    <col min="7174" max="7174" width="3.375" style="259" customWidth="1"/>
    <col min="7175" max="7427" width="2.375" style="259"/>
    <col min="7428" max="7428" width="2.375" style="259" customWidth="1"/>
    <col min="7429" max="7429" width="1.5" style="259" customWidth="1"/>
    <col min="7430" max="7430" width="3.375" style="259" customWidth="1"/>
    <col min="7431" max="7683" width="2.375" style="259"/>
    <col min="7684" max="7684" width="2.375" style="259" customWidth="1"/>
    <col min="7685" max="7685" width="1.5" style="259" customWidth="1"/>
    <col min="7686" max="7686" width="3.375" style="259" customWidth="1"/>
    <col min="7687" max="7939" width="2.375" style="259"/>
    <col min="7940" max="7940" width="2.375" style="259" customWidth="1"/>
    <col min="7941" max="7941" width="1.5" style="259" customWidth="1"/>
    <col min="7942" max="7942" width="3.375" style="259" customWidth="1"/>
    <col min="7943" max="8195" width="2.375" style="259"/>
    <col min="8196" max="8196" width="2.375" style="259" customWidth="1"/>
    <col min="8197" max="8197" width="1.5" style="259" customWidth="1"/>
    <col min="8198" max="8198" width="3.375" style="259" customWidth="1"/>
    <col min="8199" max="8451" width="2.375" style="259"/>
    <col min="8452" max="8452" width="2.375" style="259" customWidth="1"/>
    <col min="8453" max="8453" width="1.5" style="259" customWidth="1"/>
    <col min="8454" max="8454" width="3.375" style="259" customWidth="1"/>
    <col min="8455" max="8707" width="2.375" style="259"/>
    <col min="8708" max="8708" width="2.375" style="259" customWidth="1"/>
    <col min="8709" max="8709" width="1.5" style="259" customWidth="1"/>
    <col min="8710" max="8710" width="3.375" style="259" customWidth="1"/>
    <col min="8711" max="8963" width="2.375" style="259"/>
    <col min="8964" max="8964" width="2.375" style="259" customWidth="1"/>
    <col min="8965" max="8965" width="1.5" style="259" customWidth="1"/>
    <col min="8966" max="8966" width="3.375" style="259" customWidth="1"/>
    <col min="8967" max="9219" width="2.375" style="259"/>
    <col min="9220" max="9220" width="2.375" style="259" customWidth="1"/>
    <col min="9221" max="9221" width="1.5" style="259" customWidth="1"/>
    <col min="9222" max="9222" width="3.375" style="259" customWidth="1"/>
    <col min="9223" max="9475" width="2.375" style="259"/>
    <col min="9476" max="9476" width="2.375" style="259" customWidth="1"/>
    <col min="9477" max="9477" width="1.5" style="259" customWidth="1"/>
    <col min="9478" max="9478" width="3.375" style="259" customWidth="1"/>
    <col min="9479" max="9731" width="2.375" style="259"/>
    <col min="9732" max="9732" width="2.375" style="259" customWidth="1"/>
    <col min="9733" max="9733" width="1.5" style="259" customWidth="1"/>
    <col min="9734" max="9734" width="3.375" style="259" customWidth="1"/>
    <col min="9735" max="9987" width="2.375" style="259"/>
    <col min="9988" max="9988" width="2.375" style="259" customWidth="1"/>
    <col min="9989" max="9989" width="1.5" style="259" customWidth="1"/>
    <col min="9990" max="9990" width="3.375" style="259" customWidth="1"/>
    <col min="9991" max="10243" width="2.375" style="259"/>
    <col min="10244" max="10244" width="2.375" style="259" customWidth="1"/>
    <col min="10245" max="10245" width="1.5" style="259" customWidth="1"/>
    <col min="10246" max="10246" width="3.375" style="259" customWidth="1"/>
    <col min="10247" max="10499" width="2.375" style="259"/>
    <col min="10500" max="10500" width="2.375" style="259" customWidth="1"/>
    <col min="10501" max="10501" width="1.5" style="259" customWidth="1"/>
    <col min="10502" max="10502" width="3.375" style="259" customWidth="1"/>
    <col min="10503" max="10755" width="2.375" style="259"/>
    <col min="10756" max="10756" width="2.375" style="259" customWidth="1"/>
    <col min="10757" max="10757" width="1.5" style="259" customWidth="1"/>
    <col min="10758" max="10758" width="3.375" style="259" customWidth="1"/>
    <col min="10759" max="11011" width="2.375" style="259"/>
    <col min="11012" max="11012" width="2.375" style="259" customWidth="1"/>
    <col min="11013" max="11013" width="1.5" style="259" customWidth="1"/>
    <col min="11014" max="11014" width="3.375" style="259" customWidth="1"/>
    <col min="11015" max="11267" width="2.375" style="259"/>
    <col min="11268" max="11268" width="2.375" style="259" customWidth="1"/>
    <col min="11269" max="11269" width="1.5" style="259" customWidth="1"/>
    <col min="11270" max="11270" width="3.375" style="259" customWidth="1"/>
    <col min="11271" max="11523" width="2.375" style="259"/>
    <col min="11524" max="11524" width="2.375" style="259" customWidth="1"/>
    <col min="11525" max="11525" width="1.5" style="259" customWidth="1"/>
    <col min="11526" max="11526" width="3.375" style="259" customWidth="1"/>
    <col min="11527" max="11779" width="2.375" style="259"/>
    <col min="11780" max="11780" width="2.375" style="259" customWidth="1"/>
    <col min="11781" max="11781" width="1.5" style="259" customWidth="1"/>
    <col min="11782" max="11782" width="3.375" style="259" customWidth="1"/>
    <col min="11783" max="12035" width="2.375" style="259"/>
    <col min="12036" max="12036" width="2.375" style="259" customWidth="1"/>
    <col min="12037" max="12037" width="1.5" style="259" customWidth="1"/>
    <col min="12038" max="12038" width="3.375" style="259" customWidth="1"/>
    <col min="12039" max="12291" width="2.375" style="259"/>
    <col min="12292" max="12292" width="2.375" style="259" customWidth="1"/>
    <col min="12293" max="12293" width="1.5" style="259" customWidth="1"/>
    <col min="12294" max="12294" width="3.375" style="259" customWidth="1"/>
    <col min="12295" max="12547" width="2.375" style="259"/>
    <col min="12548" max="12548" width="2.375" style="259" customWidth="1"/>
    <col min="12549" max="12549" width="1.5" style="259" customWidth="1"/>
    <col min="12550" max="12550" width="3.375" style="259" customWidth="1"/>
    <col min="12551" max="12803" width="2.375" style="259"/>
    <col min="12804" max="12804" width="2.375" style="259" customWidth="1"/>
    <col min="12805" max="12805" width="1.5" style="259" customWidth="1"/>
    <col min="12806" max="12806" width="3.375" style="259" customWidth="1"/>
    <col min="12807" max="13059" width="2.375" style="259"/>
    <col min="13060" max="13060" width="2.375" style="259" customWidth="1"/>
    <col min="13061" max="13061" width="1.5" style="259" customWidth="1"/>
    <col min="13062" max="13062" width="3.375" style="259" customWidth="1"/>
    <col min="13063" max="13315" width="2.375" style="259"/>
    <col min="13316" max="13316" width="2.375" style="259" customWidth="1"/>
    <col min="13317" max="13317" width="1.5" style="259" customWidth="1"/>
    <col min="13318" max="13318" width="3.375" style="259" customWidth="1"/>
    <col min="13319" max="13571" width="2.375" style="259"/>
    <col min="13572" max="13572" width="2.375" style="259" customWidth="1"/>
    <col min="13573" max="13573" width="1.5" style="259" customWidth="1"/>
    <col min="13574" max="13574" width="3.375" style="259" customWidth="1"/>
    <col min="13575" max="13827" width="2.375" style="259"/>
    <col min="13828" max="13828" width="2.375" style="259" customWidth="1"/>
    <col min="13829" max="13829" width="1.5" style="259" customWidth="1"/>
    <col min="13830" max="13830" width="3.375" style="259" customWidth="1"/>
    <col min="13831" max="14083" width="2.375" style="259"/>
    <col min="14084" max="14084" width="2.375" style="259" customWidth="1"/>
    <col min="14085" max="14085" width="1.5" style="259" customWidth="1"/>
    <col min="14086" max="14086" width="3.375" style="259" customWidth="1"/>
    <col min="14087" max="14339" width="2.375" style="259"/>
    <col min="14340" max="14340" width="2.375" style="259" customWidth="1"/>
    <col min="14341" max="14341" width="1.5" style="259" customWidth="1"/>
    <col min="14342" max="14342" width="3.375" style="259" customWidth="1"/>
    <col min="14343" max="14595" width="2.375" style="259"/>
    <col min="14596" max="14596" width="2.375" style="259" customWidth="1"/>
    <col min="14597" max="14597" width="1.5" style="259" customWidth="1"/>
    <col min="14598" max="14598" width="3.375" style="259" customWidth="1"/>
    <col min="14599" max="14851" width="2.375" style="259"/>
    <col min="14852" max="14852" width="2.375" style="259" customWidth="1"/>
    <col min="14853" max="14853" width="1.5" style="259" customWidth="1"/>
    <col min="14854" max="14854" width="3.375" style="259" customWidth="1"/>
    <col min="14855" max="15107" width="2.375" style="259"/>
    <col min="15108" max="15108" width="2.375" style="259" customWidth="1"/>
    <col min="15109" max="15109" width="1.5" style="259" customWidth="1"/>
    <col min="15110" max="15110" width="3.375" style="259" customWidth="1"/>
    <col min="15111" max="15363" width="2.375" style="259"/>
    <col min="15364" max="15364" width="2.375" style="259" customWidth="1"/>
    <col min="15365" max="15365" width="1.5" style="259" customWidth="1"/>
    <col min="15366" max="15366" width="3.375" style="259" customWidth="1"/>
    <col min="15367" max="15619" width="2.375" style="259"/>
    <col min="15620" max="15620" width="2.375" style="259" customWidth="1"/>
    <col min="15621" max="15621" width="1.5" style="259" customWidth="1"/>
    <col min="15622" max="15622" width="3.375" style="259" customWidth="1"/>
    <col min="15623" max="15875" width="2.375" style="259"/>
    <col min="15876" max="15876" width="2.375" style="259" customWidth="1"/>
    <col min="15877" max="15877" width="1.5" style="259" customWidth="1"/>
    <col min="15878" max="15878" width="3.375" style="259" customWidth="1"/>
    <col min="15879" max="16131" width="2.375" style="259"/>
    <col min="16132" max="16132" width="2.375" style="259" customWidth="1"/>
    <col min="16133" max="16133" width="1.5" style="259" customWidth="1"/>
    <col min="16134" max="16134" width="3.375" style="259" customWidth="1"/>
    <col min="16135" max="16384" width="2.375" style="259"/>
  </cols>
  <sheetData>
    <row r="2" spans="2:50">
      <c r="C2" s="489" t="s">
        <v>41</v>
      </c>
      <c r="D2" s="489"/>
      <c r="E2" s="497"/>
      <c r="F2" s="498"/>
      <c r="G2" s="498"/>
      <c r="H2" s="498"/>
      <c r="I2" s="498"/>
      <c r="J2" s="498"/>
      <c r="K2" s="498"/>
      <c r="L2" s="498"/>
      <c r="M2" s="498"/>
      <c r="N2" s="498"/>
      <c r="O2" s="498"/>
      <c r="P2" s="498"/>
      <c r="Q2" s="498"/>
      <c r="R2" s="498"/>
      <c r="S2" s="498"/>
      <c r="T2" s="498"/>
      <c r="U2" s="498"/>
      <c r="V2" s="498"/>
      <c r="W2" s="498"/>
      <c r="X2" s="498"/>
      <c r="Y2" s="498"/>
      <c r="Z2" s="498"/>
      <c r="AA2" s="498"/>
      <c r="AB2" s="498"/>
      <c r="AC2" s="498"/>
      <c r="AD2" s="499"/>
      <c r="AN2" s="259" t="e">
        <f>VLOOKUP($E$2,【随時メンテ】建リ法13条判定!$A$6:$B$8,2,FALSE)</f>
        <v>#N/A</v>
      </c>
    </row>
    <row r="4" spans="2:50">
      <c r="C4" s="489" t="s">
        <v>1425</v>
      </c>
      <c r="D4" s="489"/>
      <c r="E4" s="489"/>
      <c r="F4" s="489"/>
      <c r="H4" s="490"/>
      <c r="I4" s="491"/>
      <c r="J4" s="492"/>
      <c r="O4" s="493" t="s">
        <v>1432</v>
      </c>
      <c r="P4" s="494"/>
      <c r="Q4" s="494"/>
      <c r="R4" s="494"/>
      <c r="S4" s="507"/>
      <c r="T4" s="507"/>
      <c r="U4" s="507"/>
      <c r="AN4" s="259">
        <f>IFERROR(VLOOKUP(H4,【随時メンテ】建リ法13条判定!E10:F11,2,FALSE),0)</f>
        <v>0</v>
      </c>
      <c r="AO4" s="259">
        <f>IFERROR(VLOOKUP(S4,【随時メンテ】建リ法13条判定!E13:F14,2,FALSE),0)</f>
        <v>0</v>
      </c>
    </row>
    <row r="6" spans="2:50" ht="18" customHeight="1">
      <c r="AG6" s="508" t="str">
        <f>IFERROR(VLOOKUP(AN4*10+AO4,【随時メンテ】建リ法13条判定!C16:D21,2,FALSE)&amp;"","")</f>
        <v/>
      </c>
      <c r="AH6" s="508"/>
      <c r="AI6" s="508"/>
      <c r="AJ6" s="508"/>
      <c r="AK6" s="508"/>
    </row>
    <row r="8" spans="2:50" ht="14.25">
      <c r="E8" s="500" t="s">
        <v>18496</v>
      </c>
      <c r="F8" s="500"/>
      <c r="G8" s="500"/>
      <c r="H8" s="500"/>
      <c r="I8" s="500"/>
      <c r="J8" s="500"/>
      <c r="K8" s="500"/>
      <c r="L8" s="500"/>
      <c r="M8" s="500"/>
      <c r="N8" s="500"/>
      <c r="O8" s="500"/>
      <c r="P8" s="500"/>
      <c r="Q8" s="500"/>
      <c r="R8" s="500"/>
      <c r="S8" s="500"/>
      <c r="T8" s="500"/>
      <c r="U8" s="500"/>
      <c r="V8" s="500"/>
      <c r="W8" s="500"/>
      <c r="X8" s="500"/>
      <c r="Y8" s="500"/>
      <c r="Z8" s="500"/>
      <c r="AA8" s="500"/>
      <c r="AB8" s="500"/>
      <c r="AC8" s="500"/>
      <c r="AD8" s="500"/>
      <c r="AE8" s="500"/>
      <c r="AF8" s="500"/>
      <c r="AG8" s="500"/>
      <c r="AH8" s="500"/>
    </row>
    <row r="9" spans="2:50" ht="8.25" customHeight="1">
      <c r="E9" s="260"/>
      <c r="F9" s="260"/>
      <c r="G9" s="260"/>
      <c r="H9" s="260"/>
      <c r="I9" s="260"/>
      <c r="J9" s="260"/>
      <c r="K9" s="260"/>
      <c r="L9" s="260"/>
      <c r="M9" s="260"/>
      <c r="N9" s="260"/>
      <c r="O9" s="260"/>
      <c r="P9" s="260"/>
      <c r="Q9" s="260"/>
      <c r="R9" s="260"/>
      <c r="S9" s="260"/>
      <c r="T9" s="260"/>
      <c r="U9" s="260"/>
      <c r="V9" s="260"/>
      <c r="W9" s="260"/>
      <c r="X9" s="260"/>
      <c r="Y9" s="260"/>
      <c r="Z9" s="260"/>
      <c r="AA9" s="260"/>
      <c r="AB9" s="260"/>
      <c r="AC9" s="260"/>
      <c r="AD9" s="260"/>
      <c r="AE9" s="260"/>
      <c r="AF9" s="260"/>
      <c r="AG9" s="260"/>
      <c r="AH9" s="260"/>
    </row>
    <row r="10" spans="2:50" ht="18" customHeight="1">
      <c r="M10" s="281"/>
      <c r="N10" s="279"/>
      <c r="O10" s="279"/>
      <c r="P10" s="279"/>
      <c r="Q10" s="279"/>
      <c r="R10" s="279"/>
      <c r="S10" s="279"/>
      <c r="T10" s="279"/>
      <c r="U10" s="279"/>
      <c r="V10" s="279"/>
      <c r="W10" s="279"/>
      <c r="X10" s="279"/>
      <c r="Y10" s="279"/>
      <c r="Z10" s="279"/>
      <c r="AA10" s="279"/>
      <c r="AB10" s="279"/>
      <c r="AC10" s="279"/>
      <c r="AD10" s="279"/>
      <c r="AE10" s="279"/>
      <c r="AF10" s="279"/>
      <c r="AG10" s="279"/>
      <c r="AH10" s="279"/>
      <c r="AI10" s="279"/>
      <c r="AJ10" s="284">
        <f>E2</f>
        <v>0</v>
      </c>
      <c r="AK10" s="280"/>
    </row>
    <row r="11" spans="2:50">
      <c r="B11" s="259" t="str">
        <f>"（別紙"&amp;IFERROR(DBCS(AN2),"　")&amp;"）"</f>
        <v>（別紙　）</v>
      </c>
    </row>
    <row r="12" spans="2:50" ht="8.25" customHeight="1"/>
    <row r="13" spans="2:50">
      <c r="B13" s="259" t="s">
        <v>1349</v>
      </c>
      <c r="AQ13" s="468" t="s">
        <v>5147</v>
      </c>
      <c r="AR13" s="468"/>
      <c r="AS13" s="468"/>
      <c r="AT13" s="468"/>
    </row>
    <row r="14" spans="2:50" ht="14.25" thickBot="1"/>
    <row r="15" spans="2:50" s="261" customFormat="1" ht="18" customHeight="1">
      <c r="C15" s="520" t="s">
        <v>1350</v>
      </c>
      <c r="D15" s="501" t="s">
        <v>1351</v>
      </c>
      <c r="E15" s="502"/>
      <c r="F15" s="502"/>
      <c r="G15" s="502"/>
      <c r="H15" s="502"/>
      <c r="I15" s="502"/>
      <c r="J15" s="502"/>
      <c r="K15" s="502"/>
      <c r="L15" s="503"/>
      <c r="M15" s="501" t="s">
        <v>1352</v>
      </c>
      <c r="N15" s="502"/>
      <c r="O15" s="502"/>
      <c r="P15" s="502"/>
      <c r="Q15" s="502"/>
      <c r="R15" s="502"/>
      <c r="S15" s="502"/>
      <c r="T15" s="502"/>
      <c r="U15" s="502"/>
      <c r="V15" s="502"/>
      <c r="W15" s="503"/>
      <c r="X15" s="501" t="s">
        <v>1353</v>
      </c>
      <c r="Y15" s="502"/>
      <c r="Z15" s="502"/>
      <c r="AA15" s="502"/>
      <c r="AB15" s="502"/>
      <c r="AC15" s="502"/>
      <c r="AD15" s="502"/>
      <c r="AE15" s="502"/>
      <c r="AF15" s="502"/>
      <c r="AG15" s="502"/>
      <c r="AH15" s="502"/>
      <c r="AI15" s="502"/>
      <c r="AJ15" s="502"/>
      <c r="AK15" s="512"/>
      <c r="AN15" s="261" t="s">
        <v>1423</v>
      </c>
      <c r="AQ15" s="487" t="s">
        <v>5131</v>
      </c>
      <c r="AT15" s="487" t="str">
        <f>X15&amp;CHAR(10)&amp;X16</f>
        <v>分別解体等の方法
(解体工事のみ）</v>
      </c>
      <c r="AX15" s="510" t="s">
        <v>5134</v>
      </c>
    </row>
    <row r="16" spans="2:50" ht="15.75" customHeight="1">
      <c r="C16" s="521"/>
      <c r="D16" s="504"/>
      <c r="E16" s="505"/>
      <c r="F16" s="505"/>
      <c r="G16" s="505"/>
      <c r="H16" s="505"/>
      <c r="I16" s="505"/>
      <c r="J16" s="505"/>
      <c r="K16" s="505"/>
      <c r="L16" s="506"/>
      <c r="M16" s="504"/>
      <c r="N16" s="505"/>
      <c r="O16" s="505"/>
      <c r="P16" s="505"/>
      <c r="Q16" s="505"/>
      <c r="R16" s="505"/>
      <c r="S16" s="505"/>
      <c r="T16" s="505"/>
      <c r="U16" s="505"/>
      <c r="V16" s="505"/>
      <c r="W16" s="506"/>
      <c r="X16" s="513" t="s">
        <v>1354</v>
      </c>
      <c r="Y16" s="514"/>
      <c r="Z16" s="514"/>
      <c r="AA16" s="514"/>
      <c r="AB16" s="514"/>
      <c r="AC16" s="514"/>
      <c r="AD16" s="514"/>
      <c r="AE16" s="514"/>
      <c r="AF16" s="514"/>
      <c r="AG16" s="514"/>
      <c r="AH16" s="514"/>
      <c r="AI16" s="514"/>
      <c r="AJ16" s="514"/>
      <c r="AK16" s="515"/>
      <c r="AN16" s="261" t="s">
        <v>1424</v>
      </c>
      <c r="AQ16" s="488"/>
      <c r="AT16" s="488"/>
      <c r="AX16" s="511"/>
    </row>
    <row r="17" spans="1:50" ht="6.75" customHeight="1">
      <c r="C17" s="521"/>
      <c r="D17" s="262"/>
      <c r="E17" s="263"/>
      <c r="F17" s="263"/>
      <c r="G17" s="263"/>
      <c r="H17" s="263"/>
      <c r="I17" s="263"/>
      <c r="J17" s="263"/>
      <c r="K17" s="263"/>
      <c r="L17" s="264"/>
      <c r="M17" s="262"/>
      <c r="N17" s="263"/>
      <c r="O17" s="263"/>
      <c r="P17" s="263"/>
      <c r="Q17" s="263"/>
      <c r="R17" s="263"/>
      <c r="S17" s="263"/>
      <c r="T17" s="263"/>
      <c r="U17" s="263"/>
      <c r="V17" s="263"/>
      <c r="W17" s="264"/>
      <c r="AE17" s="263"/>
      <c r="AF17" s="263"/>
      <c r="AG17" s="263"/>
      <c r="AK17" s="265"/>
    </row>
    <row r="18" spans="1:50">
      <c r="C18" s="521"/>
      <c r="L18" s="266"/>
      <c r="M18" s="267"/>
      <c r="N18" s="509" t="str">
        <f>IFERROR(VLOOKUP($AN$2,【随時メンテ】建リ法13条判定!$B$6:$AA$8,$AO18,FALSE)&amp;"","")</f>
        <v/>
      </c>
      <c r="O18" s="509"/>
      <c r="P18" s="509"/>
      <c r="Q18" s="509"/>
      <c r="R18" s="509"/>
      <c r="S18" s="509"/>
      <c r="T18" s="509"/>
      <c r="U18" s="509"/>
      <c r="V18" s="509"/>
      <c r="W18" s="266"/>
      <c r="X18" s="267"/>
      <c r="Y18" s="259" t="str">
        <f>IF($AV$20=1,【随時メンテ】建リ法13条判定!$G$13,【随時メンテ】建リ法13条判定!$G$14)</f>
        <v>□</v>
      </c>
      <c r="Z18" s="259" t="s">
        <v>1415</v>
      </c>
      <c r="AK18" s="265"/>
      <c r="AO18" s="259">
        <f>AN20+1</f>
        <v>5</v>
      </c>
    </row>
    <row r="19" spans="1:50">
      <c r="A19" s="259" t="s">
        <v>1417</v>
      </c>
      <c r="C19" s="521"/>
      <c r="D19" s="283" t="str">
        <f>IFERROR("　"&amp;$A19&amp;VLOOKUP($AN$2,【随時メンテ】建リ法13条判定!$B$6:$AA$8,$AN19,FALSE)&amp;"","")</f>
        <v/>
      </c>
      <c r="L19" s="266"/>
      <c r="M19" s="267"/>
      <c r="N19" s="509" t="str">
        <f>IFERROR(VLOOKUP($AN$2,【随時メンテ】建リ法13条判定!$B$6:$AA$8,$AO19,FALSE)&amp;"","")</f>
        <v/>
      </c>
      <c r="O19" s="509"/>
      <c r="P19" s="509"/>
      <c r="Q19" s="509"/>
      <c r="R19" s="509"/>
      <c r="S19" s="509"/>
      <c r="T19" s="509"/>
      <c r="U19" s="509"/>
      <c r="V19" s="509"/>
      <c r="W19" s="266"/>
      <c r="X19" s="267"/>
      <c r="Y19" s="259" t="str">
        <f>$AW20</f>
        <v>□</v>
      </c>
      <c r="Z19" s="259" t="s">
        <v>1416</v>
      </c>
      <c r="AK19" s="265"/>
      <c r="AN19" s="259">
        <v>3</v>
      </c>
      <c r="AO19" s="259">
        <f>AO18+1</f>
        <v>6</v>
      </c>
    </row>
    <row r="20" spans="1:50">
      <c r="C20" s="521"/>
      <c r="D20" s="283" t="str">
        <f>IFERROR("　　　"&amp;VLOOKUP($AN$2,【随時メンテ】建リ法13条判定!$B$6:$AA$8,$AN20,FALSE)&amp;"","")</f>
        <v/>
      </c>
      <c r="L20" s="266"/>
      <c r="M20" s="267"/>
      <c r="O20" s="259" t="str">
        <f>IF($AQ20=【随時メンテ】建リ法13条判定!$E$13,【随時メンテ】建リ法13条判定!$G$13,【随時メンテ】建リ法13条判定!$G$14)</f>
        <v>□</v>
      </c>
      <c r="P20" s="259" t="s">
        <v>1413</v>
      </c>
      <c r="T20" s="259" t="str">
        <f>IF($AQ20=【随時メンテ】建リ法13条判定!$E$14,【随時メンテ】建リ法13条判定!$G$13,【随時メンテ】建リ法13条判定!$G$14)</f>
        <v>□</v>
      </c>
      <c r="U20" s="259" t="s">
        <v>1414</v>
      </c>
      <c r="W20" s="266"/>
      <c r="X20" s="267"/>
      <c r="Y20" s="287" t="str">
        <f>IFERROR(IF($AN$2=1,"併用の場合の理由（"&amp;IF(AX20="","　　　　　",AX20)&amp;"）",$AW20&amp;" 手作業・機械作業の併用"),"")</f>
        <v/>
      </c>
      <c r="AK20" s="265"/>
      <c r="AN20" s="259">
        <f>AN19+1</f>
        <v>4</v>
      </c>
      <c r="AQ20" s="311"/>
      <c r="AS20" s="259" t="str">
        <f>IFERROR(VLOOKUP($AQ20,【随時メンテ】建リ法13条判定!$E$13:$F$14,2,FALSE),"")</f>
        <v/>
      </c>
      <c r="AT20" s="309"/>
      <c r="AV20" s="259" t="str">
        <f>IFERROR(VLOOKUP($AT20,【随時メンテ】建リ法13条判定!$D$23:$E$24,2,FALSE),"")</f>
        <v/>
      </c>
      <c r="AW20" s="259" t="str">
        <f>IF($AV20=【随時メンテ】建リ法13条判定!$E$24,【随時メンテ】建リ法13条判定!$G$13,【随時メンテ】建リ法13条判定!$G$14)</f>
        <v>□</v>
      </c>
      <c r="AX20" s="310"/>
    </row>
    <row r="21" spans="1:50" ht="8.25" customHeight="1">
      <c r="C21" s="521"/>
      <c r="D21" s="268"/>
      <c r="E21" s="269"/>
      <c r="F21" s="269"/>
      <c r="G21" s="269"/>
      <c r="H21" s="269"/>
      <c r="I21" s="269"/>
      <c r="J21" s="269"/>
      <c r="K21" s="269"/>
      <c r="L21" s="270"/>
      <c r="M21" s="268"/>
      <c r="N21" s="269"/>
      <c r="O21" s="269"/>
      <c r="P21" s="269"/>
      <c r="Q21" s="269"/>
      <c r="R21" s="269"/>
      <c r="S21" s="269"/>
      <c r="T21" s="269"/>
      <c r="U21" s="269"/>
      <c r="V21" s="269"/>
      <c r="W21" s="270"/>
      <c r="X21" s="268"/>
      <c r="Y21" s="269"/>
      <c r="Z21" s="269"/>
      <c r="AA21" s="269"/>
      <c r="AB21" s="269"/>
      <c r="AC21" s="269"/>
      <c r="AD21" s="269"/>
      <c r="AE21" s="269"/>
      <c r="AF21" s="269"/>
      <c r="AG21" s="269"/>
      <c r="AH21" s="269"/>
      <c r="AI21" s="269"/>
      <c r="AJ21" s="269"/>
      <c r="AK21" s="271"/>
    </row>
    <row r="22" spans="1:50" ht="6.75" customHeight="1">
      <c r="C22" s="521"/>
      <c r="D22" s="262"/>
      <c r="E22" s="263"/>
      <c r="F22" s="263"/>
      <c r="G22" s="263"/>
      <c r="H22" s="263"/>
      <c r="I22" s="263"/>
      <c r="J22" s="263"/>
      <c r="K22" s="263"/>
      <c r="L22" s="264"/>
      <c r="M22" s="262"/>
      <c r="N22" s="263"/>
      <c r="O22" s="263"/>
      <c r="P22" s="263"/>
      <c r="Q22" s="263"/>
      <c r="R22" s="263"/>
      <c r="S22" s="263"/>
      <c r="T22" s="263"/>
      <c r="U22" s="263"/>
      <c r="V22" s="263"/>
      <c r="W22" s="264"/>
      <c r="AE22" s="263"/>
      <c r="AF22" s="263"/>
      <c r="AG22" s="263"/>
      <c r="AK22" s="265"/>
    </row>
    <row r="23" spans="1:50">
      <c r="C23" s="521"/>
      <c r="L23" s="266"/>
      <c r="M23" s="267"/>
      <c r="N23" s="509" t="str">
        <f>IFERROR(VLOOKUP($AN$2,【随時メンテ】建リ法13条判定!$B$6:$AA$8,$AO23,FALSE)&amp;"","")</f>
        <v/>
      </c>
      <c r="O23" s="509"/>
      <c r="P23" s="509"/>
      <c r="Q23" s="509"/>
      <c r="R23" s="509"/>
      <c r="S23" s="509"/>
      <c r="T23" s="509"/>
      <c r="U23" s="509"/>
      <c r="V23" s="509"/>
      <c r="W23" s="266"/>
      <c r="Y23" s="259" t="str">
        <f>IF($AV$25=1,【随時メンテ】建リ法13条判定!$G$13,【随時メンテ】建リ法13条判定!$G$14)</f>
        <v>□</v>
      </c>
      <c r="Z23" s="259" t="s">
        <v>1415</v>
      </c>
      <c r="AK23" s="265"/>
      <c r="AO23" s="259">
        <f>AN25+1</f>
        <v>9</v>
      </c>
    </row>
    <row r="24" spans="1:50">
      <c r="A24" s="259" t="s">
        <v>1418</v>
      </c>
      <c r="C24" s="521"/>
      <c r="D24" s="283" t="str">
        <f>IFERROR("　"&amp;$A24&amp;VLOOKUP($AN$2,【随時メンテ】建リ法13条判定!$B$6:$AA$8,$AN24,FALSE)&amp;"","")</f>
        <v/>
      </c>
      <c r="L24" s="266"/>
      <c r="M24" s="267"/>
      <c r="N24" s="509" t="str">
        <f>IFERROR(VLOOKUP($AN$2,【随時メンテ】建リ法13条判定!$B$6:$AA$8,$AO24,FALSE)&amp;"","")</f>
        <v/>
      </c>
      <c r="O24" s="509"/>
      <c r="P24" s="509"/>
      <c r="Q24" s="509"/>
      <c r="R24" s="509"/>
      <c r="S24" s="509"/>
      <c r="T24" s="509"/>
      <c r="U24" s="509"/>
      <c r="V24" s="509"/>
      <c r="W24" s="266"/>
      <c r="Y24" s="259" t="str">
        <f>$AW25</f>
        <v>□</v>
      </c>
      <c r="Z24" s="259" t="s">
        <v>1416</v>
      </c>
      <c r="AK24" s="265"/>
      <c r="AN24" s="259">
        <f>AO19+1</f>
        <v>7</v>
      </c>
      <c r="AO24" s="259">
        <f>AO23+1</f>
        <v>10</v>
      </c>
    </row>
    <row r="25" spans="1:50">
      <c r="C25" s="521"/>
      <c r="D25" s="283" t="str">
        <f>IFERROR("　　　"&amp;VLOOKUP($AN$2,【随時メンテ】建リ法13条判定!$B$6:$AA$8,$AN25,FALSE)&amp;"","")</f>
        <v/>
      </c>
      <c r="L25" s="266"/>
      <c r="M25" s="267"/>
      <c r="O25" s="259" t="str">
        <f>IF($AQ25=【随時メンテ】建リ法13条判定!$E$13,【随時メンテ】建リ法13条判定!$G$13,【随時メンテ】建リ法13条判定!$G$14)</f>
        <v>□</v>
      </c>
      <c r="P25" s="259" t="s">
        <v>1413</v>
      </c>
      <c r="T25" s="259" t="str">
        <f>IF($AQ25=【随時メンテ】建リ法13条判定!$E$14,【随時メンテ】建リ法13条判定!$G$13,【随時メンテ】建リ法13条判定!$G$14)</f>
        <v>□</v>
      </c>
      <c r="U25" s="259" t="s">
        <v>1414</v>
      </c>
      <c r="W25" s="266"/>
      <c r="Y25" s="287" t="str">
        <f>IFERROR(IF($AN$2=1,"併用の場合の理由（"&amp;IF(AX25="","　　　　　",AX25)&amp;"）",$AW25&amp;" 手作業・機械作業の併用"),"")</f>
        <v/>
      </c>
      <c r="AK25" s="265"/>
      <c r="AN25" s="259">
        <f>AN24+1</f>
        <v>8</v>
      </c>
      <c r="AQ25" s="311"/>
      <c r="AS25" s="259" t="str">
        <f>IFERROR(VLOOKUP($AQ25,【随時メンテ】建リ法13条判定!$E$13:$F$14,2,FALSE),"")</f>
        <v/>
      </c>
      <c r="AT25" s="309"/>
      <c r="AV25" s="259" t="str">
        <f>IFERROR(VLOOKUP($AT25,【随時メンテ】建リ法13条判定!$D$23:$E$24,2,FALSE),"")</f>
        <v/>
      </c>
      <c r="AW25" s="259" t="str">
        <f>IF($AV25=【随時メンテ】建リ法13条判定!$E$24,【随時メンテ】建リ法13条判定!$G$13,【随時メンテ】建リ法13条判定!$G$14)</f>
        <v>□</v>
      </c>
      <c r="AX25" s="310"/>
    </row>
    <row r="26" spans="1:50" ht="9" customHeight="1">
      <c r="C26" s="521"/>
      <c r="D26" s="268"/>
      <c r="E26" s="269"/>
      <c r="F26" s="269"/>
      <c r="G26" s="269"/>
      <c r="H26" s="269"/>
      <c r="I26" s="269"/>
      <c r="J26" s="269"/>
      <c r="K26" s="269"/>
      <c r="L26" s="270"/>
      <c r="M26" s="268"/>
      <c r="N26" s="269"/>
      <c r="O26" s="269"/>
      <c r="P26" s="269"/>
      <c r="Q26" s="269"/>
      <c r="R26" s="269"/>
      <c r="S26" s="269"/>
      <c r="T26" s="269"/>
      <c r="U26" s="269"/>
      <c r="V26" s="269"/>
      <c r="W26" s="270"/>
      <c r="AE26" s="269"/>
      <c r="AF26" s="269"/>
      <c r="AG26" s="269"/>
      <c r="AK26" s="265"/>
    </row>
    <row r="27" spans="1:50" ht="7.5" customHeight="1">
      <c r="C27" s="521"/>
      <c r="D27" s="262"/>
      <c r="E27" s="263"/>
      <c r="F27" s="263"/>
      <c r="G27" s="263"/>
      <c r="H27" s="263"/>
      <c r="I27" s="263"/>
      <c r="J27" s="263"/>
      <c r="K27" s="263"/>
      <c r="L27" s="264"/>
      <c r="M27" s="262"/>
      <c r="N27" s="263"/>
      <c r="O27" s="263"/>
      <c r="P27" s="263"/>
      <c r="Q27" s="263"/>
      <c r="R27" s="263"/>
      <c r="S27" s="263"/>
      <c r="T27" s="263"/>
      <c r="U27" s="263"/>
      <c r="V27" s="263"/>
      <c r="W27" s="264"/>
      <c r="X27" s="262"/>
      <c r="Y27" s="263"/>
      <c r="Z27" s="263"/>
      <c r="AA27" s="263"/>
      <c r="AB27" s="263"/>
      <c r="AC27" s="263"/>
      <c r="AD27" s="263"/>
      <c r="AE27" s="263"/>
      <c r="AF27" s="263"/>
      <c r="AG27" s="263"/>
      <c r="AH27" s="263"/>
      <c r="AI27" s="263"/>
      <c r="AJ27" s="263"/>
      <c r="AK27" s="272"/>
    </row>
    <row r="28" spans="1:50">
      <c r="C28" s="521"/>
      <c r="L28" s="266"/>
      <c r="M28" s="267"/>
      <c r="N28" s="509" t="str">
        <f>IFERROR(VLOOKUP($AN$2,【随時メンテ】建リ法13条判定!$B$6:$AA$8,$AO28,FALSE)&amp;"","")</f>
        <v/>
      </c>
      <c r="O28" s="509"/>
      <c r="P28" s="509"/>
      <c r="Q28" s="509"/>
      <c r="R28" s="509"/>
      <c r="S28" s="509"/>
      <c r="T28" s="509"/>
      <c r="U28" s="509"/>
      <c r="V28" s="509"/>
      <c r="W28" s="266"/>
      <c r="X28" s="267"/>
      <c r="Y28" s="259" t="str">
        <f>IF($AV$30=1,【随時メンテ】建リ法13条判定!$G$13,【随時メンテ】建リ法13条判定!$G$14)</f>
        <v>□</v>
      </c>
      <c r="Z28" s="259" t="s">
        <v>1415</v>
      </c>
      <c r="AK28" s="265"/>
      <c r="AO28" s="259">
        <f>AN30+1</f>
        <v>13</v>
      </c>
    </row>
    <row r="29" spans="1:50">
      <c r="A29" s="259" t="s">
        <v>1419</v>
      </c>
      <c r="C29" s="521"/>
      <c r="D29" s="283" t="str">
        <f>IFERROR("　"&amp;$A29&amp;VLOOKUP($AN$2,【随時メンテ】建リ法13条判定!$B$6:$AA$8,$AN29,FALSE)&amp;"","")</f>
        <v/>
      </c>
      <c r="L29" s="266"/>
      <c r="M29" s="267"/>
      <c r="N29" s="509" t="str">
        <f>IFERROR(VLOOKUP($AN$2,【随時メンテ】建リ法13条判定!$B$6:$AA$8,$AO29,FALSE)&amp;"","")</f>
        <v/>
      </c>
      <c r="O29" s="509"/>
      <c r="P29" s="509"/>
      <c r="Q29" s="509"/>
      <c r="R29" s="509"/>
      <c r="S29" s="509"/>
      <c r="T29" s="509"/>
      <c r="U29" s="509"/>
      <c r="V29" s="509"/>
      <c r="W29" s="266"/>
      <c r="X29" s="267"/>
      <c r="AK29" s="265"/>
      <c r="AN29" s="259">
        <f>AO24+1</f>
        <v>11</v>
      </c>
      <c r="AO29" s="259">
        <f>AO28+1</f>
        <v>14</v>
      </c>
    </row>
    <row r="30" spans="1:50">
      <c r="C30" s="521"/>
      <c r="D30" s="283" t="str">
        <f>IFERROR("　　　"&amp;VLOOKUP($AN$2,【随時メンテ】建リ法13条判定!$B$6:$AA$8,$AN30,FALSE)&amp;"","")</f>
        <v/>
      </c>
      <c r="L30" s="266"/>
      <c r="M30" s="267"/>
      <c r="O30" s="259" t="str">
        <f>IF($AQ30=【随時メンテ】建リ法13条判定!$E$13,【随時メンテ】建リ法13条判定!$G$13,【随時メンテ】建リ法13条判定!$G$14)</f>
        <v>□</v>
      </c>
      <c r="P30" s="259" t="s">
        <v>1413</v>
      </c>
      <c r="T30" s="259" t="str">
        <f>IF($AQ30=【随時メンテ】建リ法13条判定!$E$14,【随時メンテ】建リ法13条判定!$G$13,【随時メンテ】建リ法13条判定!$G$14)</f>
        <v>□</v>
      </c>
      <c r="U30" s="259" t="s">
        <v>1414</v>
      </c>
      <c r="W30" s="266"/>
      <c r="X30" s="267"/>
      <c r="Y30" s="259" t="str">
        <f>IF($AV$30=2,【随時メンテ】建リ法13条判定!$G$13,【随時メンテ】建リ法13条判定!$G$14)</f>
        <v>□</v>
      </c>
      <c r="Z30" s="259" t="s">
        <v>1416</v>
      </c>
      <c r="AK30" s="265"/>
      <c r="AN30" s="259">
        <f>AN29+1</f>
        <v>12</v>
      </c>
      <c r="AQ30" s="311"/>
      <c r="AS30" s="259" t="str">
        <f>IFERROR(VLOOKUP($AQ30,【随時メンテ】建リ法13条判定!$E$13:$F$14,2,FALSE),"")</f>
        <v/>
      </c>
      <c r="AT30" s="309"/>
      <c r="AV30" s="259" t="str">
        <f>IFERROR(VLOOKUP($AT30,【随時メンテ】建リ法13条判定!$D$23:$E$24,2,FALSE),"")</f>
        <v/>
      </c>
    </row>
    <row r="31" spans="1:50" ht="6.75" customHeight="1">
      <c r="C31" s="521"/>
      <c r="D31" s="268"/>
      <c r="E31" s="269"/>
      <c r="F31" s="269"/>
      <c r="G31" s="269"/>
      <c r="H31" s="269"/>
      <c r="I31" s="269"/>
      <c r="J31" s="269"/>
      <c r="K31" s="269"/>
      <c r="L31" s="270"/>
      <c r="M31" s="268"/>
      <c r="N31" s="269"/>
      <c r="O31" s="269"/>
      <c r="P31" s="269"/>
      <c r="Q31" s="269"/>
      <c r="R31" s="269"/>
      <c r="S31" s="269"/>
      <c r="T31" s="269"/>
      <c r="U31" s="269"/>
      <c r="V31" s="269"/>
      <c r="W31" s="270"/>
      <c r="X31" s="268"/>
      <c r="Y31" s="269"/>
      <c r="Z31" s="269"/>
      <c r="AA31" s="269"/>
      <c r="AB31" s="269"/>
      <c r="AC31" s="269"/>
      <c r="AD31" s="269"/>
      <c r="AE31" s="269"/>
      <c r="AF31" s="269"/>
      <c r="AG31" s="269"/>
      <c r="AH31" s="269"/>
      <c r="AI31" s="269"/>
      <c r="AJ31" s="269"/>
      <c r="AK31" s="271"/>
    </row>
    <row r="32" spans="1:50" ht="9" customHeight="1">
      <c r="C32" s="521"/>
      <c r="D32" s="262"/>
      <c r="E32" s="263"/>
      <c r="F32" s="263"/>
      <c r="G32" s="263"/>
      <c r="H32" s="263"/>
      <c r="I32" s="263"/>
      <c r="J32" s="263"/>
      <c r="K32" s="263"/>
      <c r="L32" s="264"/>
      <c r="X32" s="262"/>
      <c r="Y32" s="263"/>
      <c r="Z32" s="263"/>
      <c r="AA32" s="263"/>
      <c r="AB32" s="263"/>
      <c r="AC32" s="263"/>
      <c r="AD32" s="263"/>
      <c r="AH32" s="263"/>
      <c r="AI32" s="263"/>
      <c r="AJ32" s="263"/>
      <c r="AK32" s="272"/>
    </row>
    <row r="33" spans="1:48">
      <c r="C33" s="521"/>
      <c r="L33" s="266"/>
      <c r="N33" s="509" t="str">
        <f>IFERROR(VLOOKUP($AN$2,【随時メンテ】建リ法13条判定!$B$6:$AA$8,$AO33,FALSE)&amp;"","")</f>
        <v/>
      </c>
      <c r="O33" s="509"/>
      <c r="P33" s="509"/>
      <c r="Q33" s="509"/>
      <c r="R33" s="509"/>
      <c r="S33" s="509"/>
      <c r="T33" s="509"/>
      <c r="U33" s="509"/>
      <c r="V33" s="509"/>
      <c r="X33" s="267"/>
      <c r="Y33" s="259" t="str">
        <f>IF($AV$35=1,【随時メンテ】建リ法13条判定!$G$13,【随時メンテ】建リ法13条判定!$G$14)</f>
        <v>□</v>
      </c>
      <c r="Z33" s="259" t="s">
        <v>1415</v>
      </c>
      <c r="AK33" s="265"/>
      <c r="AO33" s="259">
        <f>AN35+1</f>
        <v>17</v>
      </c>
    </row>
    <row r="34" spans="1:48">
      <c r="A34" s="259" t="s">
        <v>1420</v>
      </c>
      <c r="C34" s="521"/>
      <c r="D34" s="283" t="str">
        <f>IFERROR("　"&amp;$A34&amp;VLOOKUP($AN$2,【随時メンテ】建リ法13条判定!$B$6:$AA$8,$AN34,FALSE)&amp;"","")</f>
        <v/>
      </c>
      <c r="L34" s="266"/>
      <c r="N34" s="509" t="str">
        <f>IFERROR(VLOOKUP($AN$2,【随時メンテ】建リ法13条判定!$B$6:$AA$8,$AO34,FALSE)&amp;"","")</f>
        <v/>
      </c>
      <c r="O34" s="509"/>
      <c r="P34" s="509"/>
      <c r="Q34" s="509"/>
      <c r="R34" s="509"/>
      <c r="S34" s="509"/>
      <c r="T34" s="509"/>
      <c r="U34" s="509"/>
      <c r="V34" s="509"/>
      <c r="X34" s="267"/>
      <c r="AK34" s="265"/>
      <c r="AN34" s="259">
        <f>AO29+1</f>
        <v>15</v>
      </c>
      <c r="AO34" s="259">
        <f>AO33+1</f>
        <v>18</v>
      </c>
    </row>
    <row r="35" spans="1:48">
      <c r="C35" s="521"/>
      <c r="D35" s="283" t="str">
        <f>IFERROR("　　　"&amp;VLOOKUP($AN$2,【随時メンテ】建リ法13条判定!$B$6:$AA$8,$AN35,FALSE)&amp;"","")</f>
        <v/>
      </c>
      <c r="L35" s="266"/>
      <c r="O35" s="259" t="str">
        <f>IF($AQ35=【随時メンテ】建リ法13条判定!$E$13,【随時メンテ】建リ法13条判定!$G$13,【随時メンテ】建リ法13条判定!$G$14)</f>
        <v>□</v>
      </c>
      <c r="P35" s="259" t="s">
        <v>1413</v>
      </c>
      <c r="T35" s="259" t="str">
        <f>IF($AQ35=【随時メンテ】建リ法13条判定!$E$14,【随時メンテ】建リ法13条判定!$G$13,【随時メンテ】建リ法13条判定!$G$14)</f>
        <v>□</v>
      </c>
      <c r="U35" s="259" t="s">
        <v>1414</v>
      </c>
      <c r="X35" s="267"/>
      <c r="Y35" s="259" t="str">
        <f>IF($AV$35=2,【随時メンテ】建リ法13条判定!$G$13,【随時メンテ】建リ法13条判定!$G$14)</f>
        <v>□</v>
      </c>
      <c r="Z35" s="259" t="s">
        <v>1416</v>
      </c>
      <c r="AK35" s="265"/>
      <c r="AN35" s="259">
        <f>AN34+1</f>
        <v>16</v>
      </c>
      <c r="AQ35" s="311"/>
      <c r="AS35" s="259" t="str">
        <f>IFERROR(VLOOKUP($AQ35,【随時メンテ】建リ法13条判定!$E$13:$F$14,2,FALSE),"")</f>
        <v/>
      </c>
      <c r="AT35" s="309"/>
      <c r="AV35" s="259" t="str">
        <f>IFERROR(VLOOKUP($AT35,【随時メンテ】建リ法13条判定!$D$23:$E$24,2,FALSE),"")</f>
        <v/>
      </c>
    </row>
    <row r="36" spans="1:48" ht="7.5" customHeight="1">
      <c r="C36" s="521"/>
      <c r="D36" s="268"/>
      <c r="E36" s="269"/>
      <c r="F36" s="269"/>
      <c r="G36" s="269"/>
      <c r="H36" s="269"/>
      <c r="I36" s="269"/>
      <c r="J36" s="269"/>
      <c r="K36" s="269"/>
      <c r="L36" s="270"/>
      <c r="X36" s="268"/>
      <c r="Y36" s="269"/>
      <c r="Z36" s="269"/>
      <c r="AA36" s="269"/>
      <c r="AB36" s="269"/>
      <c r="AC36" s="269"/>
      <c r="AD36" s="269"/>
      <c r="AH36" s="269"/>
      <c r="AI36" s="269"/>
      <c r="AJ36" s="269"/>
      <c r="AK36" s="271"/>
    </row>
    <row r="37" spans="1:48" ht="6.75" customHeight="1">
      <c r="C37" s="521"/>
      <c r="D37" s="262"/>
      <c r="E37" s="263"/>
      <c r="F37" s="263"/>
      <c r="G37" s="263"/>
      <c r="H37" s="263"/>
      <c r="I37" s="263"/>
      <c r="J37" s="263"/>
      <c r="K37" s="263"/>
      <c r="L37" s="264"/>
      <c r="M37" s="262"/>
      <c r="N37" s="263"/>
      <c r="O37" s="263"/>
      <c r="P37" s="263"/>
      <c r="Q37" s="263"/>
      <c r="R37" s="263"/>
      <c r="S37" s="263"/>
      <c r="T37" s="263"/>
      <c r="U37" s="263"/>
      <c r="V37" s="263"/>
      <c r="W37" s="264"/>
      <c r="X37" s="262"/>
      <c r="Y37" s="263"/>
      <c r="Z37" s="263"/>
      <c r="AA37" s="263"/>
      <c r="AB37" s="263"/>
      <c r="AC37" s="263"/>
      <c r="AD37" s="263"/>
      <c r="AE37" s="263"/>
      <c r="AF37" s="263"/>
      <c r="AG37" s="263"/>
      <c r="AH37" s="263"/>
      <c r="AI37" s="263"/>
      <c r="AJ37" s="263"/>
      <c r="AK37" s="272"/>
    </row>
    <row r="38" spans="1:48" ht="15" customHeight="1">
      <c r="C38" s="521"/>
      <c r="L38" s="266"/>
      <c r="M38" s="267"/>
      <c r="N38" s="509" t="str">
        <f>IFERROR(VLOOKUP($AN$2,【随時メンテ】建リ法13条判定!$B$6:$AA$8,$AO38,FALSE)&amp;"","")</f>
        <v/>
      </c>
      <c r="O38" s="509"/>
      <c r="P38" s="509"/>
      <c r="Q38" s="509"/>
      <c r="R38" s="509"/>
      <c r="S38" s="509"/>
      <c r="T38" s="509"/>
      <c r="U38" s="509"/>
      <c r="V38" s="509"/>
      <c r="W38" s="266"/>
      <c r="X38" s="267"/>
      <c r="Y38" s="259" t="str">
        <f>IF($AV$40=1,【随時メンテ】建リ法13条判定!$G$13,【随時メンテ】建リ法13条判定!$G$14)</f>
        <v>□</v>
      </c>
      <c r="Z38" s="259" t="s">
        <v>1415</v>
      </c>
      <c r="AK38" s="265"/>
      <c r="AO38" s="259">
        <f>AN40+1</f>
        <v>21</v>
      </c>
    </row>
    <row r="39" spans="1:48" ht="15" customHeight="1">
      <c r="A39" s="259" t="s">
        <v>1421</v>
      </c>
      <c r="C39" s="521"/>
      <c r="D39" s="283" t="str">
        <f>IFERROR("　"&amp;$A39&amp;VLOOKUP($AN$2,【随時メンテ】建リ法13条判定!$B$6:$AA$8,$AN39,FALSE)&amp;"","")</f>
        <v/>
      </c>
      <c r="L39" s="266"/>
      <c r="M39" s="267"/>
      <c r="N39" s="509" t="str">
        <f>IFERROR(VLOOKUP($AN$2,【随時メンテ】建リ法13条判定!$B$6:$AA$8,$AO39,FALSE)&amp;"","")</f>
        <v/>
      </c>
      <c r="O39" s="509"/>
      <c r="P39" s="509"/>
      <c r="Q39" s="509"/>
      <c r="R39" s="509"/>
      <c r="S39" s="509"/>
      <c r="T39" s="509"/>
      <c r="U39" s="509"/>
      <c r="V39" s="509"/>
      <c r="W39" s="266"/>
      <c r="X39" s="267"/>
      <c r="AK39" s="265"/>
      <c r="AN39" s="259">
        <f>AO34+1</f>
        <v>19</v>
      </c>
      <c r="AO39" s="259">
        <f>AO38+1</f>
        <v>22</v>
      </c>
    </row>
    <row r="40" spans="1:48" ht="15" customHeight="1">
      <c r="C40" s="521"/>
      <c r="D40" s="283" t="str">
        <f>IFERROR("　　　"&amp;VLOOKUP($AN$2,【随時メンテ】建リ法13条判定!$B$6:$AA$8,$AN40,FALSE)&amp;"","")</f>
        <v/>
      </c>
      <c r="L40" s="266"/>
      <c r="M40" s="267"/>
      <c r="O40" s="259" t="str">
        <f>IF($AQ40=【随時メンテ】建リ法13条判定!$E$13,【随時メンテ】建リ法13条判定!$G$13,【随時メンテ】建リ法13条判定!$G$14)</f>
        <v>□</v>
      </c>
      <c r="P40" s="259" t="s">
        <v>1413</v>
      </c>
      <c r="T40" s="259" t="str">
        <f>IF($AQ40=【随時メンテ】建リ法13条判定!$E$14,【随時メンテ】建リ法13条判定!$G$13,【随時メンテ】建リ法13条判定!$G$14)</f>
        <v>□</v>
      </c>
      <c r="U40" s="259" t="s">
        <v>1414</v>
      </c>
      <c r="W40" s="266"/>
      <c r="X40" s="267"/>
      <c r="Y40" s="259" t="str">
        <f>IF($AV$40=2,【随時メンテ】建リ法13条判定!$G$13,【随時メンテ】建リ法13条判定!$G$14)</f>
        <v>□</v>
      </c>
      <c r="Z40" s="259" t="s">
        <v>1416</v>
      </c>
      <c r="AK40" s="265"/>
      <c r="AN40" s="259">
        <f>AN39+1</f>
        <v>20</v>
      </c>
      <c r="AQ40" s="311"/>
      <c r="AS40" s="259" t="str">
        <f>IFERROR(VLOOKUP($AQ40,【随時メンテ】建リ法13条判定!$E$13:$F$14,2,FALSE),"")</f>
        <v/>
      </c>
      <c r="AT40" s="309"/>
      <c r="AV40" s="259" t="str">
        <f>IFERROR(VLOOKUP($AT40,【随時メンテ】建リ法13条判定!$D$23:$E$24,2,FALSE),"")</f>
        <v/>
      </c>
    </row>
    <row r="41" spans="1:48" ht="9" customHeight="1" thickBot="1">
      <c r="C41" s="522"/>
      <c r="D41" s="273"/>
      <c r="E41" s="274"/>
      <c r="F41" s="274"/>
      <c r="G41" s="274"/>
      <c r="H41" s="274"/>
      <c r="I41" s="274"/>
      <c r="J41" s="274"/>
      <c r="K41" s="274"/>
      <c r="L41" s="275"/>
      <c r="M41" s="273"/>
      <c r="N41" s="274"/>
      <c r="O41" s="274"/>
      <c r="P41" s="274"/>
      <c r="Q41" s="274"/>
      <c r="R41" s="274"/>
      <c r="S41" s="274"/>
      <c r="T41" s="274"/>
      <c r="U41" s="274"/>
      <c r="V41" s="274"/>
      <c r="W41" s="275"/>
      <c r="X41" s="273"/>
      <c r="Y41" s="274"/>
      <c r="Z41" s="274"/>
      <c r="AA41" s="274"/>
      <c r="AB41" s="274"/>
      <c r="AC41" s="274"/>
      <c r="AD41" s="274"/>
      <c r="AE41" s="274"/>
      <c r="AF41" s="274"/>
      <c r="AG41" s="274"/>
      <c r="AH41" s="274"/>
      <c r="AI41" s="274"/>
      <c r="AJ41" s="274"/>
      <c r="AK41" s="276"/>
    </row>
    <row r="42" spans="1:48" ht="8.25" customHeight="1">
      <c r="C42" s="285"/>
      <c r="L42" s="266"/>
      <c r="M42" s="267"/>
      <c r="W42" s="266"/>
      <c r="X42" s="267"/>
      <c r="AK42" s="265"/>
    </row>
    <row r="43" spans="1:48">
      <c r="C43" s="285"/>
      <c r="D43" s="312"/>
      <c r="E43" s="312"/>
      <c r="F43" s="312"/>
      <c r="G43" s="312"/>
      <c r="H43" s="312"/>
      <c r="I43" s="312"/>
      <c r="J43" s="312"/>
      <c r="K43" s="312"/>
      <c r="L43" s="313"/>
      <c r="M43" s="314"/>
      <c r="N43" s="523" t="str">
        <f>IFERROR(VLOOKUP($AN$2,【随時メンテ】建リ法13条判定!$B$6:$AA$8,$AO43,FALSE)&amp;"","")</f>
        <v/>
      </c>
      <c r="O43" s="523"/>
      <c r="P43" s="523"/>
      <c r="Q43" s="523"/>
      <c r="R43" s="523"/>
      <c r="S43" s="523"/>
      <c r="T43" s="523"/>
      <c r="U43" s="523"/>
      <c r="V43" s="523"/>
      <c r="W43" s="313"/>
      <c r="X43" s="314"/>
      <c r="Y43" s="312" t="str">
        <f>IF($AV$45=1,【随時メンテ】建リ法13条判定!$G$13,【随時メンテ】建リ法13条判定!$G$14)</f>
        <v>□</v>
      </c>
      <c r="Z43" s="312" t="s">
        <v>1415</v>
      </c>
      <c r="AA43" s="312"/>
      <c r="AB43" s="312"/>
      <c r="AC43" s="312"/>
      <c r="AD43" s="312"/>
      <c r="AE43" s="312"/>
      <c r="AF43" s="312"/>
      <c r="AG43" s="312"/>
      <c r="AH43" s="312"/>
      <c r="AI43" s="312"/>
      <c r="AJ43" s="312"/>
      <c r="AK43" s="315"/>
      <c r="AO43" s="259">
        <f>AN45+1</f>
        <v>25</v>
      </c>
    </row>
    <row r="44" spans="1:48">
      <c r="A44" s="259" t="s">
        <v>1422</v>
      </c>
      <c r="C44" s="285"/>
      <c r="D44" s="316" t="str">
        <f>IFERROR("　"&amp;$A44&amp;VLOOKUP($AN$2,【随時メンテ】建リ法13条判定!$B$6:$AA$8,$AN44,FALSE)&amp;"","")</f>
        <v/>
      </c>
      <c r="E44" s="312"/>
      <c r="F44" s="312"/>
      <c r="G44" s="312"/>
      <c r="H44" s="312"/>
      <c r="I44" s="312"/>
      <c r="J44" s="312"/>
      <c r="K44" s="312"/>
      <c r="L44" s="313"/>
      <c r="M44" s="314"/>
      <c r="N44" s="523" t="str">
        <f>IFERROR(VLOOKUP($AN$2,【随時メンテ】建リ法13条判定!$B$6:$AA$8,$AO44,FALSE)&amp;"","")</f>
        <v/>
      </c>
      <c r="O44" s="523"/>
      <c r="P44" s="523"/>
      <c r="Q44" s="523"/>
      <c r="R44" s="523"/>
      <c r="S44" s="523"/>
      <c r="T44" s="523"/>
      <c r="U44" s="523"/>
      <c r="V44" s="523"/>
      <c r="W44" s="313"/>
      <c r="X44" s="314"/>
      <c r="Y44" s="312"/>
      <c r="Z44" s="312"/>
      <c r="AA44" s="312"/>
      <c r="AB44" s="312"/>
      <c r="AC44" s="312"/>
      <c r="AD44" s="312"/>
      <c r="AE44" s="312"/>
      <c r="AF44" s="312"/>
      <c r="AG44" s="312"/>
      <c r="AH44" s="312"/>
      <c r="AI44" s="312"/>
      <c r="AJ44" s="312"/>
      <c r="AK44" s="315"/>
      <c r="AN44" s="259">
        <f>AO39+1</f>
        <v>23</v>
      </c>
      <c r="AO44" s="259">
        <f>AO43+1</f>
        <v>26</v>
      </c>
    </row>
    <row r="45" spans="1:48">
      <c r="C45" s="285"/>
      <c r="D45" s="314"/>
      <c r="E45" s="312"/>
      <c r="F45" s="312"/>
      <c r="G45" s="312"/>
      <c r="H45" s="312"/>
      <c r="I45" s="312"/>
      <c r="J45" s="312"/>
      <c r="K45" s="312"/>
      <c r="L45" s="313"/>
      <c r="M45" s="314"/>
      <c r="N45" s="312"/>
      <c r="O45" s="317" t="str">
        <f>IF($AQ45=【随時メンテ】建リ法13条判定!$E$13,【随時メンテ】建リ法13条判定!$G$13,【随時メンテ】建リ法13条判定!$G$14)</f>
        <v>□</v>
      </c>
      <c r="P45" s="312" t="s">
        <v>1413</v>
      </c>
      <c r="Q45" s="312"/>
      <c r="R45" s="312"/>
      <c r="S45" s="312"/>
      <c r="T45" s="317" t="str">
        <f>IF($AQ45=【随時メンテ】建リ法13条判定!$E$14,【随時メンテ】建リ法13条判定!$G$13,【随時メンテ】建リ法13条判定!$G$14)</f>
        <v>□</v>
      </c>
      <c r="U45" s="312" t="s">
        <v>1414</v>
      </c>
      <c r="V45" s="312"/>
      <c r="W45" s="313"/>
      <c r="X45" s="314"/>
      <c r="Y45" s="312" t="str">
        <f>IF($AV$45=2,【随時メンテ】建リ法13条判定!$G$13,【随時メンテ】建リ法13条判定!$G$14)</f>
        <v>□</v>
      </c>
      <c r="Z45" s="312" t="s">
        <v>1416</v>
      </c>
      <c r="AA45" s="312"/>
      <c r="AB45" s="312"/>
      <c r="AC45" s="312"/>
      <c r="AD45" s="312"/>
      <c r="AE45" s="312"/>
      <c r="AF45" s="312"/>
      <c r="AG45" s="312"/>
      <c r="AH45" s="312"/>
      <c r="AI45" s="312"/>
      <c r="AJ45" s="312"/>
      <c r="AK45" s="315"/>
      <c r="AN45" s="259">
        <f>AN44+1</f>
        <v>24</v>
      </c>
      <c r="AQ45" s="311"/>
      <c r="AS45" s="259" t="str">
        <f>IFERROR(VLOOKUP($AQ45,【随時メンテ】建リ法13条判定!$E$13:$F$14,2,FALSE),"")</f>
        <v/>
      </c>
      <c r="AT45" s="309"/>
      <c r="AV45" s="259" t="str">
        <f>IFERROR(VLOOKUP($AT45,【随時メンテ】建リ法13条判定!$D$23:$E$24,2,FALSE),"")</f>
        <v/>
      </c>
    </row>
    <row r="46" spans="1:48" ht="8.25" customHeight="1" thickBot="1">
      <c r="C46" s="286"/>
      <c r="D46" s="273"/>
      <c r="E46" s="274"/>
      <c r="F46" s="274"/>
      <c r="G46" s="274"/>
      <c r="H46" s="274"/>
      <c r="I46" s="274"/>
      <c r="J46" s="274"/>
      <c r="K46" s="274"/>
      <c r="L46" s="275"/>
      <c r="M46" s="273"/>
      <c r="N46" s="274"/>
      <c r="O46" s="274"/>
      <c r="P46" s="274"/>
      <c r="Q46" s="274"/>
      <c r="R46" s="274"/>
      <c r="S46" s="274"/>
      <c r="T46" s="274"/>
      <c r="U46" s="274"/>
      <c r="V46" s="274"/>
      <c r="W46" s="275"/>
      <c r="X46" s="273"/>
      <c r="Y46" s="274"/>
      <c r="Z46" s="274"/>
      <c r="AA46" s="274"/>
      <c r="AB46" s="274"/>
      <c r="AC46" s="274"/>
      <c r="AD46" s="274"/>
      <c r="AE46" s="274"/>
      <c r="AF46" s="274"/>
      <c r="AG46" s="274"/>
      <c r="AH46" s="274"/>
      <c r="AI46" s="274"/>
      <c r="AJ46" s="274"/>
      <c r="AK46" s="276"/>
    </row>
    <row r="47" spans="1:48" ht="6.75" customHeight="1">
      <c r="C47" s="277"/>
    </row>
    <row r="48" spans="1:48">
      <c r="E48" s="259" t="s">
        <v>1355</v>
      </c>
    </row>
    <row r="50" spans="2:47">
      <c r="B50" s="259" t="s">
        <v>1356</v>
      </c>
      <c r="W50" s="469" t="str">
        <f>IF($AN$4=1,$AT50,"")</f>
        <v/>
      </c>
      <c r="X50" s="469"/>
      <c r="Y50" s="469"/>
      <c r="Z50" s="469"/>
      <c r="AA50" s="469"/>
      <c r="AB50" s="469"/>
      <c r="AC50" s="469"/>
      <c r="AD50" s="469"/>
      <c r="AE50" s="469"/>
      <c r="AF50" s="269" t="s">
        <v>1357</v>
      </c>
      <c r="AG50" s="269"/>
      <c r="AH50" s="269"/>
      <c r="AI50" s="269"/>
      <c r="AJ50" s="269"/>
      <c r="AQ50" s="318"/>
      <c r="AR50" s="318"/>
      <c r="AS50" s="318"/>
      <c r="AT50" s="386"/>
      <c r="AU50" s="259" t="str">
        <f>IF($AN$4=1,"円","")</f>
        <v/>
      </c>
    </row>
    <row r="51" spans="2:47">
      <c r="Y51" s="259" t="s">
        <v>1358</v>
      </c>
    </row>
    <row r="52" spans="2:47">
      <c r="E52" s="259" t="s">
        <v>1359</v>
      </c>
      <c r="I52" s="259" t="s">
        <v>1360</v>
      </c>
    </row>
    <row r="53" spans="2:47">
      <c r="I53" s="259" t="s">
        <v>1361</v>
      </c>
    </row>
    <row r="54" spans="2:47">
      <c r="I54" s="259" t="s">
        <v>1362</v>
      </c>
    </row>
    <row r="55" spans="2:47" ht="7.5" customHeight="1"/>
    <row r="57" spans="2:47">
      <c r="B57" s="259" t="s">
        <v>1363</v>
      </c>
      <c r="AQ57" s="468" t="s">
        <v>5148</v>
      </c>
      <c r="AR57" s="468"/>
      <c r="AS57" s="468"/>
      <c r="AT57" s="468"/>
    </row>
    <row r="58" spans="2:47" ht="14.25" thickBot="1"/>
    <row r="59" spans="2:47" s="278" customFormat="1" ht="19.5" customHeight="1">
      <c r="C59" s="516" t="s">
        <v>1364</v>
      </c>
      <c r="D59" s="517"/>
      <c r="E59" s="517"/>
      <c r="F59" s="517"/>
      <c r="G59" s="517"/>
      <c r="H59" s="517"/>
      <c r="I59" s="517"/>
      <c r="J59" s="517"/>
      <c r="K59" s="517"/>
      <c r="L59" s="517"/>
      <c r="M59" s="517"/>
      <c r="N59" s="517"/>
      <c r="O59" s="517"/>
      <c r="P59" s="518" t="s">
        <v>1365</v>
      </c>
      <c r="Q59" s="517"/>
      <c r="R59" s="517"/>
      <c r="S59" s="517"/>
      <c r="T59" s="517"/>
      <c r="U59" s="517"/>
      <c r="V59" s="517"/>
      <c r="W59" s="517"/>
      <c r="X59" s="519"/>
      <c r="Y59" s="495" t="s">
        <v>1366</v>
      </c>
      <c r="Z59" s="495"/>
      <c r="AA59" s="495"/>
      <c r="AB59" s="495"/>
      <c r="AC59" s="495"/>
      <c r="AD59" s="495"/>
      <c r="AE59" s="495"/>
      <c r="AF59" s="495"/>
      <c r="AG59" s="495"/>
      <c r="AH59" s="495"/>
      <c r="AI59" s="495"/>
      <c r="AJ59" s="495"/>
      <c r="AK59" s="496"/>
    </row>
    <row r="60" spans="2:47" ht="24.75" customHeight="1">
      <c r="C60" s="470"/>
      <c r="D60" s="471"/>
      <c r="E60" s="471"/>
      <c r="F60" s="471"/>
      <c r="G60" s="471"/>
      <c r="H60" s="471"/>
      <c r="I60" s="471"/>
      <c r="J60" s="471"/>
      <c r="K60" s="471"/>
      <c r="L60" s="471"/>
      <c r="M60" s="471"/>
      <c r="N60" s="471"/>
      <c r="O60" s="472"/>
      <c r="P60" s="482"/>
      <c r="Q60" s="471"/>
      <c r="R60" s="471"/>
      <c r="S60" s="471"/>
      <c r="T60" s="471"/>
      <c r="U60" s="471"/>
      <c r="V60" s="471"/>
      <c r="W60" s="471"/>
      <c r="X60" s="472"/>
      <c r="Y60" s="483"/>
      <c r="Z60" s="483"/>
      <c r="AA60" s="483"/>
      <c r="AB60" s="483"/>
      <c r="AC60" s="483"/>
      <c r="AD60" s="483"/>
      <c r="AE60" s="483"/>
      <c r="AF60" s="483"/>
      <c r="AG60" s="483"/>
      <c r="AH60" s="483"/>
      <c r="AI60" s="483"/>
      <c r="AJ60" s="483"/>
      <c r="AK60" s="484"/>
    </row>
    <row r="61" spans="2:47" ht="24.75" customHeight="1">
      <c r="C61" s="470"/>
      <c r="D61" s="471"/>
      <c r="E61" s="471"/>
      <c r="F61" s="471"/>
      <c r="G61" s="471"/>
      <c r="H61" s="471"/>
      <c r="I61" s="471"/>
      <c r="J61" s="471"/>
      <c r="K61" s="471"/>
      <c r="L61" s="471"/>
      <c r="M61" s="471"/>
      <c r="N61" s="471"/>
      <c r="O61" s="472"/>
      <c r="P61" s="482"/>
      <c r="Q61" s="471"/>
      <c r="R61" s="471"/>
      <c r="S61" s="471"/>
      <c r="T61" s="471"/>
      <c r="U61" s="471"/>
      <c r="V61" s="471"/>
      <c r="W61" s="471"/>
      <c r="X61" s="472"/>
      <c r="Y61" s="483"/>
      <c r="Z61" s="483"/>
      <c r="AA61" s="483"/>
      <c r="AB61" s="483"/>
      <c r="AC61" s="483"/>
      <c r="AD61" s="483"/>
      <c r="AE61" s="483"/>
      <c r="AF61" s="483"/>
      <c r="AG61" s="483"/>
      <c r="AH61" s="483"/>
      <c r="AI61" s="483"/>
      <c r="AJ61" s="483"/>
      <c r="AK61" s="484"/>
    </row>
    <row r="62" spans="2:47" ht="24.75" customHeight="1">
      <c r="C62" s="473"/>
      <c r="D62" s="474"/>
      <c r="E62" s="474"/>
      <c r="F62" s="474"/>
      <c r="G62" s="474"/>
      <c r="H62" s="474"/>
      <c r="I62" s="474"/>
      <c r="J62" s="474"/>
      <c r="K62" s="474"/>
      <c r="L62" s="474"/>
      <c r="M62" s="474"/>
      <c r="N62" s="474"/>
      <c r="O62" s="475"/>
      <c r="P62" s="482"/>
      <c r="Q62" s="471"/>
      <c r="R62" s="471"/>
      <c r="S62" s="471"/>
      <c r="T62" s="471"/>
      <c r="U62" s="471"/>
      <c r="V62" s="471"/>
      <c r="W62" s="471"/>
      <c r="X62" s="472"/>
      <c r="Y62" s="483"/>
      <c r="Z62" s="483"/>
      <c r="AA62" s="483"/>
      <c r="AB62" s="483"/>
      <c r="AC62" s="483"/>
      <c r="AD62" s="483"/>
      <c r="AE62" s="483"/>
      <c r="AF62" s="483"/>
      <c r="AG62" s="483"/>
      <c r="AH62" s="483"/>
      <c r="AI62" s="483"/>
      <c r="AJ62" s="483"/>
      <c r="AK62" s="484"/>
    </row>
    <row r="63" spans="2:47" ht="24.75" customHeight="1" thickBot="1">
      <c r="C63" s="476"/>
      <c r="D63" s="477"/>
      <c r="E63" s="477"/>
      <c r="F63" s="477"/>
      <c r="G63" s="477"/>
      <c r="H63" s="477"/>
      <c r="I63" s="477"/>
      <c r="J63" s="477"/>
      <c r="K63" s="477"/>
      <c r="L63" s="477"/>
      <c r="M63" s="477"/>
      <c r="N63" s="477"/>
      <c r="O63" s="478"/>
      <c r="P63" s="479"/>
      <c r="Q63" s="480"/>
      <c r="R63" s="480"/>
      <c r="S63" s="480"/>
      <c r="T63" s="480"/>
      <c r="U63" s="480"/>
      <c r="V63" s="480"/>
      <c r="W63" s="480"/>
      <c r="X63" s="481"/>
      <c r="Y63" s="485"/>
      <c r="Z63" s="485"/>
      <c r="AA63" s="485"/>
      <c r="AB63" s="485"/>
      <c r="AC63" s="485"/>
      <c r="AD63" s="485"/>
      <c r="AE63" s="485"/>
      <c r="AF63" s="485"/>
      <c r="AG63" s="485"/>
      <c r="AH63" s="485"/>
      <c r="AI63" s="485"/>
      <c r="AJ63" s="485"/>
      <c r="AK63" s="486"/>
    </row>
    <row r="64" spans="2:47" ht="20.25" customHeight="1">
      <c r="E64" s="282" t="s">
        <v>1367</v>
      </c>
    </row>
    <row r="65" spans="2:47">
      <c r="B65" s="259" t="s">
        <v>1368</v>
      </c>
      <c r="W65" s="469" t="str">
        <f>IF($AN$4=1,$AT65,"")</f>
        <v/>
      </c>
      <c r="X65" s="469"/>
      <c r="Y65" s="469"/>
      <c r="Z65" s="469"/>
      <c r="AA65" s="469"/>
      <c r="AB65" s="469"/>
      <c r="AC65" s="469"/>
      <c r="AD65" s="469"/>
      <c r="AE65" s="469"/>
      <c r="AF65" s="269" t="s">
        <v>1357</v>
      </c>
      <c r="AG65" s="269"/>
      <c r="AH65" s="269"/>
      <c r="AI65" s="269"/>
      <c r="AJ65" s="269"/>
      <c r="AQ65" s="318"/>
      <c r="AR65" s="318"/>
      <c r="AS65" s="318"/>
      <c r="AT65" s="387"/>
      <c r="AU65" s="259" t="str">
        <f>IF($AN$4=1,"円","")</f>
        <v/>
      </c>
    </row>
    <row r="66" spans="2:47">
      <c r="G66" s="259" t="s">
        <v>1359</v>
      </c>
      <c r="I66" s="259" t="s">
        <v>1369</v>
      </c>
      <c r="Y66" s="259" t="s">
        <v>1358</v>
      </c>
    </row>
  </sheetData>
  <sheetProtection sheet="1"/>
  <mergeCells count="47">
    <mergeCell ref="C59:O59"/>
    <mergeCell ref="P59:X59"/>
    <mergeCell ref="C15:C41"/>
    <mergeCell ref="W50:AE50"/>
    <mergeCell ref="N33:V33"/>
    <mergeCell ref="N38:V38"/>
    <mergeCell ref="N39:V39"/>
    <mergeCell ref="N43:V43"/>
    <mergeCell ref="N44:V44"/>
    <mergeCell ref="N34:V34"/>
    <mergeCell ref="AT15:AT16"/>
    <mergeCell ref="AX15:AX16"/>
    <mergeCell ref="M15:W16"/>
    <mergeCell ref="X15:AK15"/>
    <mergeCell ref="X16:AK16"/>
    <mergeCell ref="C4:F4"/>
    <mergeCell ref="H4:J4"/>
    <mergeCell ref="O4:R4"/>
    <mergeCell ref="Y59:AK59"/>
    <mergeCell ref="C2:D2"/>
    <mergeCell ref="E2:AD2"/>
    <mergeCell ref="E8:AH8"/>
    <mergeCell ref="D15:L16"/>
    <mergeCell ref="S4:U4"/>
    <mergeCell ref="AG6:AK6"/>
    <mergeCell ref="N23:V23"/>
    <mergeCell ref="N24:V24"/>
    <mergeCell ref="N18:V18"/>
    <mergeCell ref="N19:V19"/>
    <mergeCell ref="N28:V28"/>
    <mergeCell ref="N29:V29"/>
    <mergeCell ref="AQ13:AT13"/>
    <mergeCell ref="AQ57:AT57"/>
    <mergeCell ref="W65:AE65"/>
    <mergeCell ref="C60:O60"/>
    <mergeCell ref="C61:O61"/>
    <mergeCell ref="C62:O62"/>
    <mergeCell ref="C63:O63"/>
    <mergeCell ref="P63:X63"/>
    <mergeCell ref="P62:X62"/>
    <mergeCell ref="P61:X61"/>
    <mergeCell ref="P60:X60"/>
    <mergeCell ref="Y60:AK60"/>
    <mergeCell ref="Y61:AK61"/>
    <mergeCell ref="Y62:AK62"/>
    <mergeCell ref="Y63:AK63"/>
    <mergeCell ref="AQ15:AQ16"/>
  </mergeCells>
  <phoneticPr fontId="2"/>
  <conditionalFormatting sqref="C15:C41">
    <cfRule type="expression" dxfId="111" priority="29">
      <formula>$AN$2&gt;=2</formula>
    </cfRule>
  </conditionalFormatting>
  <conditionalFormatting sqref="C43:N44 W43:AK44 C45:AK46">
    <cfRule type="expression" dxfId="110" priority="14">
      <formula>$AN$2=1</formula>
    </cfRule>
  </conditionalFormatting>
  <conditionalFormatting sqref="C42:AK42 C43:N44 W43:AK44 C45:AK46">
    <cfRule type="expression" dxfId="109" priority="23">
      <formula>$AN$2&gt;1</formula>
    </cfRule>
  </conditionalFormatting>
  <conditionalFormatting sqref="C42:AK42">
    <cfRule type="expression" dxfId="108" priority="9">
      <formula>$AN$2=1</formula>
    </cfRule>
  </conditionalFormatting>
  <conditionalFormatting sqref="D41:AK41">
    <cfRule type="expression" dxfId="107" priority="5">
      <formula>"AN$2$&gt;1"</formula>
    </cfRule>
  </conditionalFormatting>
  <conditionalFormatting sqref="D42:AK42">
    <cfRule type="expression" dxfId="106" priority="4">
      <formula>$AN$2&gt;1</formula>
    </cfRule>
  </conditionalFormatting>
  <conditionalFormatting sqref="E52 I52:I54">
    <cfRule type="expression" dxfId="105" priority="35">
      <formula>$AN$2=2</formula>
    </cfRule>
  </conditionalFormatting>
  <conditionalFormatting sqref="O4:U4">
    <cfRule type="expression" dxfId="104" priority="26">
      <formula>$AN$4=1</formula>
    </cfRule>
  </conditionalFormatting>
  <conditionalFormatting sqref="Y19:Z19 Y24:Z24">
    <cfRule type="expression" dxfId="103" priority="27">
      <formula>$AN$2&gt;=2</formula>
    </cfRule>
  </conditionalFormatting>
  <conditionalFormatting sqref="AQ45">
    <cfRule type="expression" dxfId="102" priority="2">
      <formula>$E$2="建築物に係る解体工事"</formula>
    </cfRule>
  </conditionalFormatting>
  <conditionalFormatting sqref="AT20">
    <cfRule type="expression" dxfId="101" priority="24">
      <formula>$AS$20=1</formula>
    </cfRule>
  </conditionalFormatting>
  <conditionalFormatting sqref="AT25">
    <cfRule type="expression" dxfId="100" priority="20">
      <formula>$AS$25=1</formula>
    </cfRule>
  </conditionalFormatting>
  <conditionalFormatting sqref="AT30">
    <cfRule type="expression" dxfId="99" priority="18">
      <formula>$AS$30=1</formula>
    </cfRule>
  </conditionalFormatting>
  <conditionalFormatting sqref="AT35">
    <cfRule type="expression" dxfId="98" priority="17">
      <formula>$AS$35=1</formula>
    </cfRule>
  </conditionalFormatting>
  <conditionalFormatting sqref="AT40">
    <cfRule type="expression" dxfId="97" priority="16">
      <formula>$AS$40=1</formula>
    </cfRule>
  </conditionalFormatting>
  <conditionalFormatting sqref="AT45">
    <cfRule type="expression" dxfId="96" priority="15">
      <formula>$AS$45=1</formula>
    </cfRule>
  </conditionalFormatting>
  <conditionalFormatting sqref="AX15:AX16">
    <cfRule type="expression" dxfId="95" priority="22">
      <formula>$AN$2=1</formula>
    </cfRule>
  </conditionalFormatting>
  <conditionalFormatting sqref="AX20 AX25 AX30 AX35 AX40">
    <cfRule type="expression" dxfId="94" priority="8">
      <formula>IF(AND($AN$2=1,$AT$20="手作業・機械作業の併用"),1,0)=1</formula>
    </cfRule>
  </conditionalFormatting>
  <dataValidations count="2">
    <dataValidation imeMode="hiragana" allowBlank="1" showInputMessage="1" showErrorMessage="1" sqref="AX20 AX25" xr:uid="{00000000-0002-0000-0E00-000000000000}"/>
    <dataValidation imeMode="disabled" operator="greaterThanOrEqual" allowBlank="1" showInputMessage="1" showErrorMessage="1" sqref="W50:AE50 W65:AE65" xr:uid="{00000000-0002-0000-0E00-000001000000}"/>
  </dataValidations>
  <printOptions horizontalCentered="1"/>
  <pageMargins left="0.59055118110236227" right="0.59055118110236227" top="0.78740157480314965" bottom="0" header="0" footer="0"/>
  <pageSetup paperSize="9" orientation="portrait" r:id="rId1"/>
  <headerFooter alignWithMargins="0"/>
  <extLst>
    <ext xmlns:x14="http://schemas.microsoft.com/office/spreadsheetml/2009/9/main" uri="{CCE6A557-97BC-4b89-ADB6-D9C93CAAB3DF}">
      <x14:dataValidations xmlns:xm="http://schemas.microsoft.com/office/excel/2006/main" count="4">
        <x14:dataValidation type="list" imeMode="hiragana" showInputMessage="1" showErrorMessage="1" xr:uid="{00000000-0002-0000-0E00-000002000000}">
          <x14:formula1>
            <xm:f>【随時メンテ】建リ法13条判定!$A$6:$A$8</xm:f>
          </x14:formula1>
          <xm:sqref>E2:AD2</xm:sqref>
        </x14:dataValidation>
        <x14:dataValidation type="list" imeMode="hiragana" allowBlank="1" showInputMessage="1" showErrorMessage="1" xr:uid="{00000000-0002-0000-0E00-000003000000}">
          <x14:formula1>
            <xm:f>【随時メンテ】建リ法13条判定!$E$10:$E$11</xm:f>
          </x14:formula1>
          <xm:sqref>H4:J4</xm:sqref>
        </x14:dataValidation>
        <x14:dataValidation type="list" imeMode="hiragana" allowBlank="1" showInputMessage="1" showErrorMessage="1" xr:uid="{00000000-0002-0000-0E00-000004000000}">
          <x14:formula1>
            <xm:f>【随時メンテ】建リ法13条判定!$E$13:$E$14</xm:f>
          </x14:formula1>
          <xm:sqref>S4:U4 AQ35 AQ40 AQ45 AQ30 AQ25 AQ20</xm:sqref>
        </x14:dataValidation>
        <x14:dataValidation type="list" imeMode="hiragana" allowBlank="1" showInputMessage="1" showErrorMessage="1" xr:uid="{00000000-0002-0000-0E00-000005000000}">
          <x14:formula1>
            <xm:f>【随時メンテ】建リ法13条判定!$D$23:$D$24</xm:f>
          </x14:formula1>
          <xm:sqref>AT25 AT30 AT35 AT40 AT45 AT20</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6">
    <tabColor theme="7" tint="0.79998168889431442"/>
    <pageSetUpPr fitToPage="1"/>
  </sheetPr>
  <dimension ref="A1:AK24"/>
  <sheetViews>
    <sheetView showGridLines="0" showRowColHeaders="0" topLeftCell="A2" zoomScaleNormal="100" workbookViewId="0">
      <pane ySplit="3" topLeftCell="A5" activePane="bottomLeft" state="frozen"/>
      <selection activeCell="A2" sqref="A2"/>
      <selection pane="bottomLeft" activeCell="A2" sqref="A2"/>
    </sheetView>
  </sheetViews>
  <sheetFormatPr defaultColWidth="2.625" defaultRowHeight="27" customHeight="1"/>
  <cols>
    <col min="1" max="16384" width="2.625" style="93"/>
  </cols>
  <sheetData>
    <row r="1" spans="1:37" ht="27" hidden="1" customHeight="1">
      <c r="A1" s="93" t="str">
        <f>IF(受注者情報!$R$10="","課税",受注者情報!$R$10)&amp;""</f>
        <v>課税</v>
      </c>
    </row>
    <row r="2" spans="1:37" ht="27" customHeight="1">
      <c r="AC2" s="94" t="s">
        <v>1122</v>
      </c>
    </row>
    <row r="4" spans="1:37" ht="27" customHeight="1">
      <c r="A4" s="524" t="str">
        <f>$A$1&amp;"事業者届出書"</f>
        <v>課税事業者届出書</v>
      </c>
      <c r="B4" s="524"/>
      <c r="C4" s="524"/>
      <c r="D4" s="524"/>
      <c r="E4" s="524"/>
      <c r="F4" s="524"/>
      <c r="G4" s="524"/>
      <c r="H4" s="524"/>
      <c r="I4" s="524"/>
      <c r="J4" s="524"/>
      <c r="K4" s="524"/>
      <c r="L4" s="524"/>
      <c r="M4" s="524"/>
      <c r="N4" s="524"/>
      <c r="O4" s="524"/>
      <c r="P4" s="524"/>
      <c r="Q4" s="524"/>
      <c r="R4" s="524"/>
      <c r="S4" s="524"/>
      <c r="T4" s="524"/>
      <c r="U4" s="524"/>
      <c r="V4" s="524"/>
      <c r="W4" s="524"/>
      <c r="X4" s="524"/>
      <c r="Y4" s="524"/>
      <c r="Z4" s="524"/>
      <c r="AA4" s="524"/>
      <c r="AB4" s="524"/>
      <c r="AC4" s="524"/>
      <c r="AD4" s="524"/>
    </row>
    <row r="6" spans="1:37" ht="27" customHeight="1">
      <c r="V6" s="93" t="str">
        <f>契約日ほか!AD20</f>
        <v>令和　　　年　　　月　　　日</v>
      </c>
      <c r="AJ6" s="288" t="s">
        <v>410</v>
      </c>
      <c r="AK6" s="37" t="s">
        <v>1436</v>
      </c>
    </row>
    <row r="7" spans="1:37" ht="27" customHeight="1">
      <c r="AJ7" s="37"/>
      <c r="AK7" s="37" t="s">
        <v>1437</v>
      </c>
    </row>
    <row r="8" spans="1:37" ht="27" customHeight="1">
      <c r="A8" s="463" t="s">
        <v>1123</v>
      </c>
      <c r="B8" s="463"/>
      <c r="C8" s="463"/>
      <c r="E8" s="93" t="str">
        <f>IF(入札結果!G8="",REPT("　",14),入札結果!G8)&amp;"　　殿"</f>
        <v>　　　　　　　　　　　　　　　　殿</v>
      </c>
    </row>
    <row r="11" spans="1:37" ht="27" customHeight="1">
      <c r="G11" s="448" t="str">
        <f ca="1">受注者情報!M8</f>
        <v/>
      </c>
      <c r="H11" s="448"/>
      <c r="I11" s="448"/>
      <c r="J11" s="448"/>
      <c r="K11" s="448"/>
      <c r="M11" s="93" t="str">
        <f ca="1">受注者情報!N8</f>
        <v/>
      </c>
    </row>
    <row r="12" spans="1:37" ht="27" customHeight="1">
      <c r="G12" s="448" t="str">
        <f ca="1">受注者情報!M9</f>
        <v/>
      </c>
      <c r="H12" s="448"/>
      <c r="I12" s="448"/>
      <c r="J12" s="448"/>
      <c r="K12" s="448"/>
      <c r="M12" s="93" t="str">
        <f ca="1">受注者情報!N9</f>
        <v/>
      </c>
    </row>
    <row r="13" spans="1:37" ht="27" customHeight="1">
      <c r="G13" s="448" t="str">
        <f ca="1">受注者情報!M10</f>
        <v/>
      </c>
      <c r="H13" s="448"/>
      <c r="I13" s="448"/>
      <c r="J13" s="448"/>
      <c r="K13" s="448"/>
      <c r="M13" s="93" t="str">
        <f ca="1">受注者情報!N10</f>
        <v/>
      </c>
    </row>
    <row r="14" spans="1:37" ht="27" customHeight="1">
      <c r="G14" s="448" t="str">
        <f ca="1">受注者情報!M11</f>
        <v/>
      </c>
      <c r="H14" s="448"/>
      <c r="I14" s="448"/>
      <c r="J14" s="448"/>
      <c r="K14" s="448"/>
      <c r="M14" s="93" t="str">
        <f ca="1">受注者情報!N11</f>
        <v/>
      </c>
    </row>
    <row r="15" spans="1:37" ht="27" customHeight="1">
      <c r="G15" s="448" t="str">
        <f ca="1">受注者情報!M12</f>
        <v/>
      </c>
      <c r="H15" s="448"/>
      <c r="I15" s="448"/>
      <c r="J15" s="448"/>
      <c r="K15" s="448"/>
      <c r="M15" s="93" t="str">
        <f ca="1">受注者情報!N12</f>
        <v/>
      </c>
    </row>
    <row r="17" spans="1:21" ht="27" customHeight="1">
      <c r="A17" s="93" t="str">
        <f>"　下記の期間については、消費税及び地方消費税の"&amp;A1&amp;"事業者（消費税法第９条第１項"</f>
        <v>　下記の期間については、消費税及び地方消費税の課税事業者（消費税法第９条第１項</v>
      </c>
    </row>
    <row r="18" spans="1:21" ht="27" customHeight="1">
      <c r="A18" s="93" t="str">
        <f>"本文の規定により消費税及び地方消費税を納める義務が免除される事業者で"&amp;IF(A1="免税","ある","ない")&amp;"）であ"</f>
        <v>本文の規定により消費税及び地方消費税を納める義務が免除される事業者でない）であ</v>
      </c>
    </row>
    <row r="19" spans="1:21" ht="27" customHeight="1">
      <c r="A19" s="93" t="s">
        <v>1124</v>
      </c>
    </row>
    <row r="21" spans="1:21" ht="27" customHeight="1">
      <c r="O21" s="463" t="s">
        <v>1126</v>
      </c>
      <c r="P21" s="463"/>
    </row>
    <row r="23" spans="1:21" ht="27" customHeight="1">
      <c r="F23" s="463" t="str">
        <f>A1&amp;"期間"</f>
        <v>課税期間</v>
      </c>
      <c r="G23" s="463"/>
      <c r="H23" s="463"/>
      <c r="I23" s="463"/>
      <c r="J23" s="108"/>
      <c r="L23" s="448" t="str">
        <f ca="1">受注者情報!Z12</f>
        <v>令和８年　月　１日から</v>
      </c>
      <c r="M23" s="448"/>
      <c r="N23" s="448"/>
      <c r="O23" s="448"/>
      <c r="P23" s="448"/>
      <c r="Q23" s="448"/>
      <c r="R23" s="448"/>
      <c r="S23" s="448"/>
      <c r="T23" s="448"/>
      <c r="U23" s="448"/>
    </row>
    <row r="24" spans="1:21" ht="27" customHeight="1">
      <c r="L24" s="448" t="str">
        <f>受注者情報!Z13</f>
        <v>年月日まで</v>
      </c>
      <c r="M24" s="448"/>
      <c r="N24" s="448"/>
      <c r="O24" s="448"/>
      <c r="P24" s="448"/>
      <c r="Q24" s="448"/>
      <c r="R24" s="448"/>
      <c r="S24" s="448"/>
      <c r="T24" s="448"/>
      <c r="U24" s="448"/>
    </row>
  </sheetData>
  <sheetProtection sheet="1"/>
  <mergeCells count="11">
    <mergeCell ref="A8:C8"/>
    <mergeCell ref="F23:I23"/>
    <mergeCell ref="L23:U23"/>
    <mergeCell ref="L24:U24"/>
    <mergeCell ref="A4:AD4"/>
    <mergeCell ref="G11:K11"/>
    <mergeCell ref="G12:K12"/>
    <mergeCell ref="G15:K15"/>
    <mergeCell ref="O21:P21"/>
    <mergeCell ref="G13:K13"/>
    <mergeCell ref="G14:K14"/>
  </mergeCells>
  <phoneticPr fontId="2"/>
  <printOptions horizontalCentered="1"/>
  <pageMargins left="0" right="0" top="0.78740157480314965" bottom="0" header="0" footer="0"/>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DBA829-F41E-4DC9-A00C-D11E7B33A78B}">
  <sheetPr codeName="Sheet17">
    <tabColor theme="7" tint="0.79998168889431442"/>
  </sheetPr>
  <dimension ref="A2:BH96"/>
  <sheetViews>
    <sheetView showGridLines="0" showRowColHeaders="0" zoomScale="85" zoomScaleNormal="85" zoomScaleSheetLayoutView="85" workbookViewId="0"/>
  </sheetViews>
  <sheetFormatPr defaultColWidth="2.625" defaultRowHeight="15" customHeight="1"/>
  <cols>
    <col min="1" max="1" width="2.625" style="93"/>
    <col min="2" max="2" width="4.5" style="93" bestFit="1" customWidth="1"/>
    <col min="3" max="7" width="2.625" style="93"/>
    <col min="8" max="8" width="2.625" style="93" customWidth="1"/>
    <col min="9" max="20" width="2.625" style="93"/>
    <col min="21" max="21" width="2.625" style="93" customWidth="1"/>
    <col min="22" max="30" width="2.625" style="93"/>
    <col min="31" max="31" width="2.625" style="93" customWidth="1"/>
    <col min="32" max="46" width="2.625" style="93"/>
    <col min="47" max="47" width="8.625" style="93" customWidth="1"/>
    <col min="48" max="48" width="2.625" style="93"/>
    <col min="49" max="49" width="8.625" style="93" customWidth="1"/>
    <col min="50" max="50" width="2.625" style="93"/>
    <col min="51" max="51" width="5.625" style="93" customWidth="1"/>
    <col min="52" max="52" width="2.625" style="93"/>
    <col min="53" max="53" width="4.625" style="93" customWidth="1"/>
    <col min="54" max="54" width="2.625" style="93"/>
    <col min="55" max="55" width="4.625" style="93" customWidth="1"/>
    <col min="56" max="56" width="2.625" style="93"/>
    <col min="57" max="57" width="4.625" style="93" customWidth="1"/>
    <col min="58" max="59" width="2.625" style="93"/>
    <col min="60" max="60" width="17.25" style="93" bestFit="1" customWidth="1"/>
    <col min="61" max="16384" width="2.625" style="93"/>
  </cols>
  <sheetData>
    <row r="2" spans="1:58" ht="15" customHeight="1">
      <c r="A2" s="93" t="s">
        <v>5197</v>
      </c>
    </row>
    <row r="5" spans="1:58" ht="15" customHeight="1">
      <c r="A5" s="527" t="s">
        <v>5190</v>
      </c>
      <c r="B5" s="527"/>
      <c r="C5" s="527"/>
      <c r="D5" s="527"/>
      <c r="E5" s="527"/>
      <c r="F5" s="527"/>
      <c r="G5" s="527"/>
      <c r="H5" s="527"/>
      <c r="I5" s="527"/>
      <c r="J5" s="527"/>
      <c r="K5" s="527"/>
      <c r="L5" s="527"/>
      <c r="M5" s="527"/>
      <c r="N5" s="527"/>
      <c r="O5" s="527"/>
      <c r="P5" s="527"/>
      <c r="Q5" s="527"/>
      <c r="R5" s="527"/>
      <c r="S5" s="527"/>
      <c r="T5" s="527"/>
      <c r="U5" s="527"/>
      <c r="V5" s="527"/>
      <c r="W5" s="527"/>
      <c r="X5" s="527"/>
      <c r="Y5" s="527"/>
      <c r="Z5" s="527"/>
      <c r="AA5" s="527"/>
      <c r="AB5" s="527"/>
      <c r="AC5" s="527"/>
      <c r="AD5" s="527"/>
      <c r="AE5" s="527"/>
      <c r="AF5" s="527"/>
      <c r="AG5" s="527"/>
      <c r="AH5" s="527"/>
      <c r="AI5" s="527"/>
      <c r="AJ5" s="360"/>
      <c r="AK5" s="359"/>
    </row>
    <row r="6" spans="1:58" ht="15" customHeight="1">
      <c r="A6" s="527"/>
      <c r="B6" s="527"/>
      <c r="C6" s="527"/>
      <c r="D6" s="527"/>
      <c r="E6" s="527"/>
      <c r="F6" s="527"/>
      <c r="G6" s="527"/>
      <c r="H6" s="527"/>
      <c r="I6" s="527"/>
      <c r="J6" s="527"/>
      <c r="K6" s="527"/>
      <c r="L6" s="527"/>
      <c r="M6" s="527"/>
      <c r="N6" s="527"/>
      <c r="O6" s="527"/>
      <c r="P6" s="527"/>
      <c r="Q6" s="527"/>
      <c r="R6" s="527"/>
      <c r="S6" s="527"/>
      <c r="T6" s="527"/>
      <c r="U6" s="527"/>
      <c r="V6" s="527"/>
      <c r="W6" s="527"/>
      <c r="X6" s="527"/>
      <c r="Y6" s="527"/>
      <c r="Z6" s="527"/>
      <c r="AA6" s="527"/>
      <c r="AB6" s="527"/>
      <c r="AC6" s="527"/>
      <c r="AD6" s="527"/>
      <c r="AE6" s="527"/>
      <c r="AF6" s="527"/>
      <c r="AG6" s="527"/>
      <c r="AH6" s="527"/>
      <c r="AI6" s="527"/>
      <c r="AJ6" s="360"/>
      <c r="AK6" s="359"/>
    </row>
    <row r="9" spans="1:58" ht="15" customHeight="1">
      <c r="AH9" s="94" t="str">
        <f>IF(BE22="",契約日ほか!AD20,BH22)</f>
        <v>令和　　　年　　　月　　　日</v>
      </c>
      <c r="AJ9" s="94"/>
    </row>
    <row r="10" spans="1:58" ht="15" customHeight="1">
      <c r="AU10" s="369" t="s">
        <v>1140</v>
      </c>
      <c r="AV10" s="369"/>
      <c r="AW10" s="369" t="s">
        <v>1141</v>
      </c>
    </row>
    <row r="11" spans="1:58" ht="15" customHeight="1">
      <c r="AL11" s="93" t="str">
        <f>C30</f>
        <v>現場代理人氏名※</v>
      </c>
      <c r="AU11" s="141"/>
      <c r="AW11" s="141"/>
      <c r="AY11" s="361"/>
      <c r="BA11" s="361"/>
      <c r="BC11" s="361"/>
      <c r="BE11" s="361"/>
    </row>
    <row r="12" spans="1:58" ht="15" customHeight="1">
      <c r="B12" s="463" t="s">
        <v>402</v>
      </c>
      <c r="C12" s="463"/>
      <c r="D12" s="463"/>
      <c r="AM12" s="93" t="str">
        <f>AL14&amp;"と兼務"</f>
        <v>主任技術者と兼務</v>
      </c>
      <c r="AY12" s="171"/>
    </row>
    <row r="13" spans="1:58" ht="15" customHeight="1">
      <c r="D13" s="93" t="str">
        <f>入札結果!G8&amp;"　　殿"</f>
        <v>　　殿</v>
      </c>
      <c r="AQ13" s="526"/>
      <c r="AR13" s="526"/>
      <c r="AS13" s="526"/>
      <c r="AU13" s="171" t="s">
        <v>1140</v>
      </c>
      <c r="AV13" s="171"/>
      <c r="AW13" s="171" t="s">
        <v>1141</v>
      </c>
      <c r="AX13" s="171"/>
      <c r="AY13" s="171"/>
      <c r="AZ13" s="171"/>
      <c r="BA13" s="171"/>
      <c r="BB13" s="171"/>
      <c r="BC13" s="171"/>
      <c r="BD13" s="171"/>
      <c r="BE13" s="171"/>
      <c r="BF13" s="171"/>
    </row>
    <row r="14" spans="1:58" ht="15" customHeight="1">
      <c r="AL14" s="93" t="str">
        <f>契約日ほか!AB24</f>
        <v>主任技術者</v>
      </c>
      <c r="AU14" s="258"/>
      <c r="AV14" s="171"/>
      <c r="AW14" s="258"/>
      <c r="AX14" s="171"/>
      <c r="AY14" s="400"/>
      <c r="AZ14" s="171"/>
      <c r="BA14" s="400"/>
      <c r="BB14" s="171"/>
      <c r="BC14" s="400"/>
      <c r="BD14" s="171"/>
      <c r="BE14" s="400"/>
      <c r="BF14" s="171"/>
    </row>
    <row r="16" spans="1:58" ht="15" customHeight="1">
      <c r="Q16" s="93" t="s">
        <v>403</v>
      </c>
      <c r="U16" s="93" t="str">
        <f ca="1">受注者情報!K8</f>
        <v/>
      </c>
    </row>
    <row r="17" spans="2:60" ht="15" customHeight="1">
      <c r="S17" s="93" t="str">
        <f>受注者情報!D4&amp;""</f>
        <v/>
      </c>
      <c r="U17" s="93" t="str">
        <f ca="1">受注者情報!K9</f>
        <v/>
      </c>
      <c r="AU17" s="93" t="s">
        <v>1140</v>
      </c>
      <c r="AW17" s="93" t="s">
        <v>1141</v>
      </c>
    </row>
    <row r="18" spans="2:60" ht="15" customHeight="1">
      <c r="U18" s="93" t="str">
        <f ca="1">受注者情報!K10</f>
        <v>　</v>
      </c>
      <c r="AL18" s="93" t="str">
        <f>C37</f>
        <v>監理技術者補佐氏名※</v>
      </c>
      <c r="AU18" s="141"/>
      <c r="AW18" s="141"/>
      <c r="AY18" s="361"/>
      <c r="BA18" s="361"/>
      <c r="BC18" s="361"/>
      <c r="BE18" s="361"/>
    </row>
    <row r="19" spans="2:60" ht="15" customHeight="1">
      <c r="U19" s="93" t="str">
        <f ca="1">受注者情報!K11</f>
        <v/>
      </c>
      <c r="AG19" s="93" t="s">
        <v>18498</v>
      </c>
      <c r="AL19" s="93" t="str">
        <f>C39</f>
        <v>専門技術者氏名※</v>
      </c>
      <c r="AU19" s="141"/>
      <c r="AW19" s="141"/>
      <c r="AY19" s="361"/>
      <c r="BA19" s="361"/>
      <c r="BC19" s="361"/>
      <c r="BE19" s="361"/>
    </row>
    <row r="20" spans="2:60" ht="15" customHeight="1">
      <c r="U20" s="93" t="str">
        <f ca="1">IF(受注者情報!K13="",REPT("　",15),受注者情報!K13)</f>
        <v>　　</v>
      </c>
    </row>
    <row r="22" spans="2:60" ht="15" customHeight="1">
      <c r="B22" s="362"/>
      <c r="C22" s="362"/>
      <c r="D22" s="362"/>
      <c r="E22" s="362"/>
      <c r="F22" s="362"/>
      <c r="G22" s="362"/>
      <c r="H22" s="362"/>
      <c r="I22" s="362"/>
      <c r="J22" s="362"/>
      <c r="K22" s="362"/>
      <c r="L22" s="362"/>
      <c r="M22" s="362"/>
      <c r="N22" s="362"/>
      <c r="O22" s="362"/>
      <c r="P22" s="362"/>
      <c r="Q22" s="362"/>
      <c r="R22" s="362"/>
      <c r="S22" s="362"/>
      <c r="T22" s="362"/>
      <c r="U22" s="362"/>
      <c r="V22" s="362"/>
      <c r="W22" s="362"/>
      <c r="X22" s="362"/>
      <c r="Y22" s="362"/>
      <c r="Z22" s="362"/>
      <c r="AA22" s="362"/>
      <c r="AB22" s="362"/>
      <c r="AC22" s="362"/>
      <c r="AD22" s="362"/>
      <c r="AE22" s="362"/>
      <c r="AF22" s="362"/>
      <c r="AG22" s="362"/>
      <c r="AH22" s="362"/>
      <c r="AL22" s="93" t="s">
        <v>1189</v>
      </c>
      <c r="AY22" s="108" t="s">
        <v>223</v>
      </c>
      <c r="BA22" s="142"/>
      <c r="BB22" s="93" t="s">
        <v>244</v>
      </c>
      <c r="BC22" s="142"/>
      <c r="BD22" s="93" t="s">
        <v>245</v>
      </c>
      <c r="BE22" s="142"/>
      <c r="BF22" s="93" t="s">
        <v>246</v>
      </c>
      <c r="BH22" s="93" t="str">
        <f>DBCS($AY$22&amp;IF($BA$22&lt;10," ","")&amp;$BA$22&amp;"年"&amp;IF($BC$22&lt;10," ","")&amp;$BC$22&amp;"月"&amp;IF($BE$22&lt;10," ","")&amp;$BE$22&amp;"日")</f>
        <v>令和　年　月　日</v>
      </c>
    </row>
    <row r="23" spans="2:60" ht="15" customHeight="1">
      <c r="B23" s="525" t="str">
        <f>"　"&amp;契約日ほか!AD20&amp;"付けをもって請負契約を締結した"&amp;入札結果!G12&amp;"について、大分県公共工事請負契約約款第10条に基づき現場代理人等を下記のとおり定めたので、通知します。"</f>
        <v>　令和　　　年　　　月　　　日付けをもって請負契約を締結したについて、大分県公共工事請負契約約款第10条に基づき現場代理人等を下記のとおり定めたので、通知します。</v>
      </c>
      <c r="C23" s="525"/>
      <c r="D23" s="525"/>
      <c r="E23" s="525"/>
      <c r="F23" s="525"/>
      <c r="G23" s="525"/>
      <c r="H23" s="525"/>
      <c r="I23" s="525"/>
      <c r="J23" s="525"/>
      <c r="K23" s="525"/>
      <c r="L23" s="525"/>
      <c r="M23" s="525"/>
      <c r="N23" s="525"/>
      <c r="O23" s="525"/>
      <c r="P23" s="525"/>
      <c r="Q23" s="525"/>
      <c r="R23" s="525"/>
      <c r="S23" s="525"/>
      <c r="T23" s="525"/>
      <c r="U23" s="525"/>
      <c r="V23" s="525"/>
      <c r="W23" s="525"/>
      <c r="X23" s="525"/>
      <c r="Y23" s="525"/>
      <c r="Z23" s="525"/>
      <c r="AA23" s="525"/>
      <c r="AB23" s="525"/>
      <c r="AC23" s="525"/>
      <c r="AD23" s="525"/>
      <c r="AE23" s="525"/>
      <c r="AF23" s="525"/>
      <c r="AG23" s="525"/>
      <c r="AH23" s="525"/>
      <c r="AW23" s="108"/>
      <c r="AY23" s="361"/>
      <c r="BA23" s="361"/>
      <c r="BC23" s="361"/>
    </row>
    <row r="24" spans="2:60" ht="15" customHeight="1">
      <c r="B24" s="525"/>
      <c r="C24" s="525"/>
      <c r="D24" s="525"/>
      <c r="E24" s="525"/>
      <c r="F24" s="525"/>
      <c r="G24" s="525"/>
      <c r="H24" s="525"/>
      <c r="I24" s="525"/>
      <c r="J24" s="525"/>
      <c r="K24" s="525"/>
      <c r="L24" s="525"/>
      <c r="M24" s="525"/>
      <c r="N24" s="525"/>
      <c r="O24" s="525"/>
      <c r="P24" s="525"/>
      <c r="Q24" s="525"/>
      <c r="R24" s="525"/>
      <c r="S24" s="525"/>
      <c r="T24" s="525"/>
      <c r="U24" s="525"/>
      <c r="V24" s="525"/>
      <c r="W24" s="525"/>
      <c r="X24" s="525"/>
      <c r="Y24" s="525"/>
      <c r="Z24" s="525"/>
      <c r="AA24" s="525"/>
      <c r="AB24" s="525"/>
      <c r="AC24" s="525"/>
      <c r="AD24" s="525"/>
      <c r="AE24" s="525"/>
      <c r="AF24" s="525"/>
      <c r="AG24" s="525"/>
      <c r="AH24" s="525"/>
    </row>
    <row r="25" spans="2:60" ht="15" customHeight="1">
      <c r="B25" s="525"/>
      <c r="C25" s="525"/>
      <c r="D25" s="525"/>
      <c r="E25" s="525"/>
      <c r="F25" s="525"/>
      <c r="G25" s="525"/>
      <c r="H25" s="525"/>
      <c r="I25" s="525"/>
      <c r="J25" s="525"/>
      <c r="K25" s="525"/>
      <c r="L25" s="525"/>
      <c r="M25" s="525"/>
      <c r="N25" s="525"/>
      <c r="O25" s="525"/>
      <c r="P25" s="525"/>
      <c r="Q25" s="525"/>
      <c r="R25" s="525"/>
      <c r="S25" s="525"/>
      <c r="T25" s="525"/>
      <c r="U25" s="525"/>
      <c r="V25" s="525"/>
      <c r="W25" s="525"/>
      <c r="X25" s="525"/>
      <c r="Y25" s="525"/>
      <c r="Z25" s="525"/>
      <c r="AA25" s="525"/>
      <c r="AB25" s="525"/>
      <c r="AC25" s="525"/>
      <c r="AD25" s="525"/>
      <c r="AE25" s="525"/>
      <c r="AF25" s="525"/>
      <c r="AG25" s="525"/>
      <c r="AH25" s="525"/>
    </row>
    <row r="27" spans="2:60" ht="15" customHeight="1">
      <c r="R27" s="93" t="s">
        <v>1126</v>
      </c>
    </row>
    <row r="30" spans="2:60" ht="15" customHeight="1">
      <c r="C30" s="93" t="s">
        <v>5191</v>
      </c>
      <c r="K30" s="93" t="str">
        <f>AU11&amp;"　"&amp;AW11</f>
        <v>　</v>
      </c>
    </row>
    <row r="32" spans="2:60" ht="15" customHeight="1">
      <c r="C32" s="93" t="s">
        <v>1131</v>
      </c>
      <c r="K32" s="103" t="str">
        <f>IFERROR(IF($AL$14=M32,"①","１"),"１")</f>
        <v>①</v>
      </c>
      <c r="M32" s="93" t="s">
        <v>194</v>
      </c>
      <c r="R32" s="103" t="str">
        <f>IFERROR(IF($AL$14=T32,"②","２"),"２")</f>
        <v>２</v>
      </c>
      <c r="T32" s="93" t="s">
        <v>195</v>
      </c>
      <c r="Z32" s="103" t="str">
        <f>IFERROR(IF($AL$14=AB32,"③","３"),"３")</f>
        <v>３</v>
      </c>
      <c r="AB32" s="93" t="s">
        <v>1130</v>
      </c>
    </row>
    <row r="34" spans="1:11" ht="15" customHeight="1">
      <c r="C34" s="93" t="s">
        <v>5194</v>
      </c>
    </row>
    <row r="35" spans="1:11" ht="15" customHeight="1">
      <c r="C35" s="93" t="s">
        <v>5195</v>
      </c>
      <c r="K35" s="93" t="str">
        <f>IF($AQ$13="はい",$K$30,$AU$14&amp;"　"&amp;$AW$14)</f>
        <v>　</v>
      </c>
    </row>
    <row r="37" spans="1:11" ht="15" customHeight="1">
      <c r="C37" s="93" t="s">
        <v>5192</v>
      </c>
      <c r="K37" s="93" t="str">
        <f>$AU$18&amp;"　"&amp;$AW$18</f>
        <v>　</v>
      </c>
    </row>
    <row r="39" spans="1:11" ht="15" customHeight="1">
      <c r="C39" s="93" t="s">
        <v>5193</v>
      </c>
      <c r="K39" s="93" t="str">
        <f>$AU$19&amp;"　"&amp;$AW$19</f>
        <v>　</v>
      </c>
    </row>
    <row r="42" spans="1:11" ht="15" customHeight="1">
      <c r="D42" s="93" t="s">
        <v>7106</v>
      </c>
    </row>
    <row r="43" spans="1:11" ht="15" customHeight="1">
      <c r="D43" s="93" t="s">
        <v>18502</v>
      </c>
    </row>
    <row r="44" spans="1:11" ht="15" customHeight="1">
      <c r="A44" s="93" t="s">
        <v>416</v>
      </c>
      <c r="D44" s="93" t="s">
        <v>18503</v>
      </c>
    </row>
    <row r="45" spans="1:11" ht="15" customHeight="1">
      <c r="D45" s="93" t="s">
        <v>18504</v>
      </c>
    </row>
    <row r="46" spans="1:11" ht="15" customHeight="1">
      <c r="D46" s="93" t="s">
        <v>7105</v>
      </c>
    </row>
    <row r="52" spans="1:37" ht="15" customHeight="1">
      <c r="A52" s="93" t="s">
        <v>5196</v>
      </c>
    </row>
    <row r="53" spans="1:37" ht="15" customHeight="1">
      <c r="AG53" s="357"/>
      <c r="AH53" s="357"/>
      <c r="AI53" s="357"/>
      <c r="AJ53" s="357"/>
    </row>
    <row r="54" spans="1:37" ht="15" customHeight="1">
      <c r="AK54" s="357"/>
    </row>
    <row r="55" spans="1:37" ht="15" customHeight="1">
      <c r="A55" s="527" t="s">
        <v>5190</v>
      </c>
      <c r="B55" s="527"/>
      <c r="C55" s="527"/>
      <c r="D55" s="527"/>
      <c r="E55" s="527"/>
      <c r="F55" s="527"/>
      <c r="G55" s="527"/>
      <c r="H55" s="527"/>
      <c r="I55" s="527"/>
      <c r="J55" s="527"/>
      <c r="K55" s="527"/>
      <c r="L55" s="527"/>
      <c r="M55" s="527"/>
      <c r="N55" s="527"/>
      <c r="O55" s="527"/>
      <c r="P55" s="527"/>
      <c r="Q55" s="527"/>
      <c r="R55" s="527"/>
      <c r="S55" s="527"/>
      <c r="T55" s="527"/>
      <c r="U55" s="527"/>
      <c r="V55" s="527"/>
      <c r="W55" s="527"/>
      <c r="X55" s="527"/>
      <c r="Y55" s="527"/>
      <c r="Z55" s="527"/>
      <c r="AA55" s="527"/>
      <c r="AB55" s="527"/>
      <c r="AC55" s="527"/>
      <c r="AD55" s="527"/>
      <c r="AE55" s="527"/>
      <c r="AF55" s="527"/>
      <c r="AG55" s="527"/>
      <c r="AH55" s="527"/>
      <c r="AI55" s="527"/>
      <c r="AJ55" s="360"/>
      <c r="AK55" s="357"/>
    </row>
    <row r="56" spans="1:37" ht="15" customHeight="1">
      <c r="A56" s="527"/>
      <c r="B56" s="527"/>
      <c r="C56" s="527"/>
      <c r="D56" s="527"/>
      <c r="E56" s="527"/>
      <c r="F56" s="527"/>
      <c r="G56" s="527"/>
      <c r="H56" s="527"/>
      <c r="I56" s="527"/>
      <c r="J56" s="527"/>
      <c r="K56" s="527"/>
      <c r="L56" s="527"/>
      <c r="M56" s="527"/>
      <c r="N56" s="527"/>
      <c r="O56" s="527"/>
      <c r="P56" s="527"/>
      <c r="Q56" s="527"/>
      <c r="R56" s="527"/>
      <c r="S56" s="527"/>
      <c r="T56" s="527"/>
      <c r="U56" s="527"/>
      <c r="V56" s="527"/>
      <c r="W56" s="527"/>
      <c r="X56" s="527"/>
      <c r="Y56" s="527"/>
      <c r="Z56" s="527"/>
      <c r="AA56" s="527"/>
      <c r="AB56" s="527"/>
      <c r="AC56" s="527"/>
      <c r="AD56" s="527"/>
      <c r="AE56" s="527"/>
      <c r="AF56" s="527"/>
      <c r="AG56" s="527"/>
      <c r="AH56" s="527"/>
      <c r="AI56" s="527"/>
      <c r="AJ56" s="360"/>
      <c r="AK56" s="357"/>
    </row>
    <row r="58" spans="1:37" ht="15" customHeight="1">
      <c r="AK58" s="358"/>
    </row>
    <row r="59" spans="1:37" ht="15" customHeight="1">
      <c r="AH59" s="94" t="str">
        <f>AH9</f>
        <v>令和　　　年　　　月　　　日</v>
      </c>
      <c r="AJ59" s="94"/>
      <c r="AK59" s="358"/>
    </row>
    <row r="62" spans="1:37" ht="15" customHeight="1">
      <c r="B62" s="463" t="s">
        <v>402</v>
      </c>
      <c r="C62" s="463"/>
      <c r="D62" s="463"/>
    </row>
    <row r="63" spans="1:37" ht="15" customHeight="1">
      <c r="D63" s="93" t="str">
        <f>D13</f>
        <v>　　殿</v>
      </c>
    </row>
    <row r="66" spans="2:34" ht="15" customHeight="1">
      <c r="Q66" s="93" t="s">
        <v>403</v>
      </c>
      <c r="U66" s="93" t="str">
        <f ca="1">U16</f>
        <v/>
      </c>
    </row>
    <row r="67" spans="2:34" ht="15" customHeight="1">
      <c r="S67" s="93" t="str">
        <f>受注者情報!D54&amp;""</f>
        <v/>
      </c>
      <c r="U67" s="93" t="str">
        <f ca="1">U17</f>
        <v/>
      </c>
    </row>
    <row r="68" spans="2:34" ht="15" customHeight="1">
      <c r="U68" s="93" t="str">
        <f ca="1">U18</f>
        <v>　</v>
      </c>
    </row>
    <row r="69" spans="2:34" ht="15" customHeight="1">
      <c r="U69" s="93" t="str">
        <f ca="1">U19</f>
        <v/>
      </c>
    </row>
    <row r="70" spans="2:34" ht="15" customHeight="1">
      <c r="U70" s="93" t="str">
        <f ca="1">U20</f>
        <v>　　</v>
      </c>
    </row>
    <row r="72" spans="2:34" ht="15" customHeight="1">
      <c r="B72" s="362"/>
      <c r="C72" s="362"/>
      <c r="D72" s="362"/>
      <c r="E72" s="362"/>
      <c r="F72" s="362"/>
      <c r="G72" s="362"/>
      <c r="H72" s="362"/>
      <c r="I72" s="362"/>
      <c r="J72" s="362"/>
      <c r="K72" s="362"/>
      <c r="L72" s="362"/>
      <c r="M72" s="362"/>
      <c r="N72" s="362"/>
      <c r="O72" s="362"/>
      <c r="P72" s="362"/>
      <c r="Q72" s="362"/>
      <c r="R72" s="362"/>
      <c r="S72" s="362"/>
      <c r="T72" s="362"/>
      <c r="U72" s="362"/>
      <c r="V72" s="362"/>
      <c r="W72" s="362"/>
      <c r="X72" s="362"/>
      <c r="Y72" s="362"/>
      <c r="Z72" s="362"/>
      <c r="AA72" s="362"/>
      <c r="AB72" s="362"/>
      <c r="AC72" s="362"/>
      <c r="AD72" s="362"/>
      <c r="AE72" s="362"/>
      <c r="AF72" s="362"/>
      <c r="AG72" s="362"/>
      <c r="AH72" s="362"/>
    </row>
    <row r="73" spans="2:34" ht="15" customHeight="1">
      <c r="B73" s="525" t="str">
        <f>"　"&amp;契約日ほか!AD20&amp;"付けをもって請負契約を締結した"&amp;入札結果!G12&amp;"について、大分県公共工事請負契約約款第10条に基づき現場代理人等を下記のとおり定めたので、通知します。"</f>
        <v>　令和　　　年　　　月　　　日付けをもって請負契約を締結したについて、大分県公共工事請負契約約款第10条に基づき現場代理人等を下記のとおり定めたので、通知します。</v>
      </c>
      <c r="C73" s="525"/>
      <c r="D73" s="525"/>
      <c r="E73" s="525"/>
      <c r="F73" s="525"/>
      <c r="G73" s="525"/>
      <c r="H73" s="525"/>
      <c r="I73" s="525"/>
      <c r="J73" s="525"/>
      <c r="K73" s="525"/>
      <c r="L73" s="525"/>
      <c r="M73" s="525"/>
      <c r="N73" s="525"/>
      <c r="O73" s="525"/>
      <c r="P73" s="525"/>
      <c r="Q73" s="525"/>
      <c r="R73" s="525"/>
      <c r="S73" s="525"/>
      <c r="T73" s="525"/>
      <c r="U73" s="525"/>
      <c r="V73" s="525"/>
      <c r="W73" s="525"/>
      <c r="X73" s="525"/>
      <c r="Y73" s="525"/>
      <c r="Z73" s="525"/>
      <c r="AA73" s="525"/>
      <c r="AB73" s="525"/>
      <c r="AC73" s="525"/>
      <c r="AD73" s="525"/>
      <c r="AE73" s="525"/>
      <c r="AF73" s="525"/>
      <c r="AG73" s="525"/>
      <c r="AH73" s="525"/>
    </row>
    <row r="74" spans="2:34" ht="15" customHeight="1">
      <c r="B74" s="525"/>
      <c r="C74" s="525"/>
      <c r="D74" s="525"/>
      <c r="E74" s="525"/>
      <c r="F74" s="525"/>
      <c r="G74" s="525"/>
      <c r="H74" s="525"/>
      <c r="I74" s="525"/>
      <c r="J74" s="525"/>
      <c r="K74" s="525"/>
      <c r="L74" s="525"/>
      <c r="M74" s="525"/>
      <c r="N74" s="525"/>
      <c r="O74" s="525"/>
      <c r="P74" s="525"/>
      <c r="Q74" s="525"/>
      <c r="R74" s="525"/>
      <c r="S74" s="525"/>
      <c r="T74" s="525"/>
      <c r="U74" s="525"/>
      <c r="V74" s="525"/>
      <c r="W74" s="525"/>
      <c r="X74" s="525"/>
      <c r="Y74" s="525"/>
      <c r="Z74" s="525"/>
      <c r="AA74" s="525"/>
      <c r="AB74" s="525"/>
      <c r="AC74" s="525"/>
      <c r="AD74" s="525"/>
      <c r="AE74" s="525"/>
      <c r="AF74" s="525"/>
      <c r="AG74" s="525"/>
      <c r="AH74" s="525"/>
    </row>
    <row r="75" spans="2:34" ht="15" customHeight="1">
      <c r="B75" s="525"/>
      <c r="C75" s="525"/>
      <c r="D75" s="525"/>
      <c r="E75" s="525"/>
      <c r="F75" s="525"/>
      <c r="G75" s="525"/>
      <c r="H75" s="525"/>
      <c r="I75" s="525"/>
      <c r="J75" s="525"/>
      <c r="K75" s="525"/>
      <c r="L75" s="525"/>
      <c r="M75" s="525"/>
      <c r="N75" s="525"/>
      <c r="O75" s="525"/>
      <c r="P75" s="525"/>
      <c r="Q75" s="525"/>
      <c r="R75" s="525"/>
      <c r="S75" s="525"/>
      <c r="T75" s="525"/>
      <c r="U75" s="525"/>
      <c r="V75" s="525"/>
      <c r="W75" s="525"/>
      <c r="X75" s="525"/>
      <c r="Y75" s="525"/>
      <c r="Z75" s="525"/>
      <c r="AA75" s="525"/>
      <c r="AB75" s="525"/>
      <c r="AC75" s="525"/>
      <c r="AD75" s="525"/>
      <c r="AE75" s="525"/>
      <c r="AF75" s="525"/>
      <c r="AG75" s="525"/>
      <c r="AH75" s="525"/>
    </row>
    <row r="77" spans="2:34" ht="15" customHeight="1">
      <c r="R77" s="93" t="s">
        <v>1126</v>
      </c>
    </row>
    <row r="80" spans="2:34" ht="15" customHeight="1">
      <c r="C80" s="93" t="s">
        <v>5191</v>
      </c>
      <c r="K80" s="93" t="str">
        <f>K30</f>
        <v>　</v>
      </c>
    </row>
    <row r="82" spans="3:28" ht="15" customHeight="1">
      <c r="C82" s="93" t="s">
        <v>1131</v>
      </c>
      <c r="K82" s="103" t="str">
        <f>K32</f>
        <v>①</v>
      </c>
      <c r="M82" s="93" t="s">
        <v>194</v>
      </c>
      <c r="R82" s="103" t="str">
        <f>R32</f>
        <v>２</v>
      </c>
      <c r="T82" s="93" t="s">
        <v>195</v>
      </c>
      <c r="Z82" s="103" t="str">
        <f>Z32</f>
        <v>３</v>
      </c>
      <c r="AB82" s="93" t="s">
        <v>1130</v>
      </c>
    </row>
    <row r="84" spans="3:28" ht="15" customHeight="1">
      <c r="C84" s="93" t="s">
        <v>5194</v>
      </c>
    </row>
    <row r="85" spans="3:28" ht="15" customHeight="1">
      <c r="C85" s="93" t="s">
        <v>5195</v>
      </c>
      <c r="K85" s="93" t="str">
        <f>K35</f>
        <v>　</v>
      </c>
    </row>
    <row r="87" spans="3:28" ht="15" customHeight="1">
      <c r="C87" s="93" t="s">
        <v>5192</v>
      </c>
      <c r="K87" s="93" t="str">
        <f>K37</f>
        <v>　</v>
      </c>
    </row>
    <row r="89" spans="3:28" ht="15" customHeight="1">
      <c r="C89" s="93" t="s">
        <v>5193</v>
      </c>
      <c r="K89" s="93" t="str">
        <f>K39</f>
        <v>　</v>
      </c>
    </row>
    <row r="92" spans="3:28" ht="15" customHeight="1">
      <c r="D92" s="93" t="s">
        <v>7106</v>
      </c>
    </row>
    <row r="93" spans="3:28" ht="15" customHeight="1">
      <c r="D93" s="93" t="s">
        <v>18502</v>
      </c>
    </row>
    <row r="94" spans="3:28" ht="15" customHeight="1">
      <c r="D94" s="93" t="s">
        <v>18503</v>
      </c>
    </row>
    <row r="95" spans="3:28" ht="15" customHeight="1">
      <c r="D95" s="93" t="s">
        <v>18504</v>
      </c>
    </row>
    <row r="96" spans="3:28" ht="15" customHeight="1">
      <c r="D96" s="93" t="s">
        <v>7105</v>
      </c>
    </row>
  </sheetData>
  <sheetProtection sheet="1" objects="1" scenarios="1"/>
  <mergeCells count="7">
    <mergeCell ref="B73:AH75"/>
    <mergeCell ref="AQ13:AS13"/>
    <mergeCell ref="B12:D12"/>
    <mergeCell ref="A5:AI6"/>
    <mergeCell ref="B62:D62"/>
    <mergeCell ref="A55:AI56"/>
    <mergeCell ref="B23:AH25"/>
  </mergeCells>
  <phoneticPr fontId="2"/>
  <conditionalFormatting sqref="J1:J4 J8:J9 J11:J12 I13 J14:J21 J26:J29 K30 I30:I31 L31 K32 O32 I33:I36 L33:L39 I38:I39 N40 J40:J54 J58:J59 J61:J62 I63 J64:J71 J76:J79 K80 I80:I81 L81 K82 O82 I83:I86 L83:L89 I88:I89 N90 J90:J1048576">
    <cfRule type="cellIs" dxfId="93" priority="109" operator="equal">
      <formula>"③"</formula>
    </cfRule>
    <cfRule type="cellIs" dxfId="92" priority="110" operator="equal">
      <formula>"①"</formula>
    </cfRule>
    <cfRule type="cellIs" dxfId="91" priority="111" operator="equal">
      <formula>"②"</formula>
    </cfRule>
  </conditionalFormatting>
  <conditionalFormatting sqref="K37">
    <cfRule type="cellIs" dxfId="90" priority="67" operator="equal">
      <formula>"③"</formula>
    </cfRule>
    <cfRule type="cellIs" dxfId="89" priority="68" operator="equal">
      <formula>"①"</formula>
    </cfRule>
    <cfRule type="cellIs" dxfId="88" priority="69" operator="equal">
      <formula>"②"</formula>
    </cfRule>
  </conditionalFormatting>
  <conditionalFormatting sqref="K39">
    <cfRule type="cellIs" dxfId="87" priority="65" operator="equal">
      <formula>"①"</formula>
    </cfRule>
    <cfRule type="cellIs" dxfId="86" priority="66" operator="equal">
      <formula>"②"</formula>
    </cfRule>
    <cfRule type="cellIs" dxfId="85" priority="64" operator="equal">
      <formula>"③"</formula>
    </cfRule>
  </conditionalFormatting>
  <conditionalFormatting sqref="K87">
    <cfRule type="cellIs" dxfId="84" priority="6" operator="equal">
      <formula>"③"</formula>
    </cfRule>
    <cfRule type="cellIs" dxfId="83" priority="7" operator="equal">
      <formula>"①"</formula>
    </cfRule>
    <cfRule type="cellIs" dxfId="82" priority="8" operator="equal">
      <formula>"②"</formula>
    </cfRule>
  </conditionalFormatting>
  <conditionalFormatting sqref="K89">
    <cfRule type="cellIs" dxfId="81" priority="3" operator="equal">
      <formula>"③"</formula>
    </cfRule>
    <cfRule type="cellIs" dxfId="80" priority="4" operator="equal">
      <formula>"①"</formula>
    </cfRule>
    <cfRule type="cellIs" dxfId="79" priority="5" operator="equal">
      <formula>"②"</formula>
    </cfRule>
  </conditionalFormatting>
  <conditionalFormatting sqref="R32">
    <cfRule type="cellIs" dxfId="78" priority="102" operator="equal">
      <formula>"③"</formula>
    </cfRule>
    <cfRule type="cellIs" dxfId="77" priority="103" operator="equal">
      <formula>"①"</formula>
    </cfRule>
    <cfRule type="cellIs" dxfId="76" priority="104" operator="equal">
      <formula>"②"</formula>
    </cfRule>
  </conditionalFormatting>
  <conditionalFormatting sqref="R82">
    <cfRule type="cellIs" dxfId="75" priority="13" operator="equal">
      <formula>"③"</formula>
    </cfRule>
    <cfRule type="cellIs" dxfId="74" priority="14" operator="equal">
      <formula>"①"</formula>
    </cfRule>
    <cfRule type="cellIs" dxfId="73" priority="15" operator="equal">
      <formula>"②"</formula>
    </cfRule>
  </conditionalFormatting>
  <conditionalFormatting sqref="Z1:Z4 Z11:Z12 R13 Z14:Z15 R16:R20 Z21 Z26 W27 Z28:Z29 X33:X39 K35">
    <cfRule type="cellIs" dxfId="72" priority="94" operator="equal">
      <formula>"Ⓣ"</formula>
    </cfRule>
  </conditionalFormatting>
  <conditionalFormatting sqref="Z8:Z9 W30 X31 Z58:Z59 W80 X81">
    <cfRule type="cellIs" dxfId="71" priority="113" operator="equal">
      <formula>"Ⓣ"</formula>
    </cfRule>
  </conditionalFormatting>
  <conditionalFormatting sqref="Z32">
    <cfRule type="cellIs" dxfId="70" priority="96" operator="equal">
      <formula>"③"</formula>
    </cfRule>
    <cfRule type="cellIs" dxfId="69" priority="97" operator="equal">
      <formula>"①"</formula>
    </cfRule>
    <cfRule type="cellIs" dxfId="68" priority="98" operator="equal">
      <formula>"②"</formula>
    </cfRule>
  </conditionalFormatting>
  <conditionalFormatting sqref="Z40:Z54 Z90:Z1048576">
    <cfRule type="cellIs" dxfId="67" priority="31" operator="equal">
      <formula>"Ⓣ"</formula>
    </cfRule>
  </conditionalFormatting>
  <conditionalFormatting sqref="Z61:Z62 R63 Z64:Z65 R66:R70 Z71 Z76 W77 Z78:Z79 X83:X89 K85">
    <cfRule type="cellIs" dxfId="66" priority="9" operator="equal">
      <formula>"Ⓣ"</formula>
    </cfRule>
  </conditionalFormatting>
  <conditionalFormatting sqref="Z82">
    <cfRule type="cellIs" dxfId="65" priority="10" operator="equal">
      <formula>"③"</formula>
    </cfRule>
    <cfRule type="cellIs" dxfId="64" priority="11" operator="equal">
      <formula>"①"</formula>
    </cfRule>
    <cfRule type="cellIs" dxfId="63" priority="12" operator="equal">
      <formula>"②"</formula>
    </cfRule>
  </conditionalFormatting>
  <conditionalFormatting sqref="AB1:AB4 AB8:AB9 AB11:AB12 T13 AB14:AB15 T16:T20 AB21 AB26 Y27 AB28:AB29 Y30 Z31 Z33:Z39 AB40:AB54 AB58:AB59 AB61:AB62 T63 AB64:AB65 T66:T70 AB71 AB76 Y77 AB78:AB79 Y80 Z81 Z83:Z89 AB90:AB1048576">
    <cfRule type="cellIs" dxfId="62" priority="114" operator="equal">
      <formula>"Ⓢ"</formula>
    </cfRule>
  </conditionalFormatting>
  <conditionalFormatting sqref="AD1:AD4 AD8:AD9 AD11:AD12 V13 AD14:AD15 V16:V20 W17:Z20 AD21 AD26 AA27 AD28:AD29 AA30 AB31 AC32 AB33:AB39 AD40:AD54 AD58:AD59 AD61:AD62 V63 AD64:AD65 V66:V70 W67:Z70 AD71 AD76 AA77 AD78:AD79 AA80 AB81 AC82 AB83:AB89 AD90:AD1048576">
    <cfRule type="cellIs" dxfId="61" priority="112" operator="equal">
      <formula>"Ⓗ"</formula>
    </cfRule>
  </conditionalFormatting>
  <conditionalFormatting sqref="AL14">
    <cfRule type="containsErrors" dxfId="60" priority="70">
      <formula>ISERROR(AL14)</formula>
    </cfRule>
  </conditionalFormatting>
  <conditionalFormatting sqref="AU10 AW10">
    <cfRule type="expression" dxfId="59" priority="2">
      <formula>$AQ$13="いいえ"</formula>
    </cfRule>
  </conditionalFormatting>
  <conditionalFormatting sqref="AU14 AW14">
    <cfRule type="expression" dxfId="58" priority="1">
      <formula>$AQ$13="いいえ"</formula>
    </cfRule>
  </conditionalFormatting>
  <conditionalFormatting sqref="AY12:AY14 AU13:AU14 AW13:AW14 BA14:BF14">
    <cfRule type="expression" dxfId="57" priority="16">
      <formula>$AQ$13="いいえ"</formula>
    </cfRule>
  </conditionalFormatting>
  <dataValidations count="7">
    <dataValidation type="list" imeMode="hiragana" allowBlank="1" showInputMessage="1" showErrorMessage="1" sqref="AQ13" xr:uid="{5AF3C316-64DE-4298-B9E4-17CF33A9F73D}">
      <formula1>"はい,いいえ"</formula1>
    </dataValidation>
    <dataValidation type="list" imeMode="hiragana" allowBlank="1" showInputMessage="1" showErrorMessage="1" sqref="AY18" xr:uid="{7582926F-C6B1-4411-9AB8-EC393EFBCAF4}">
      <formula1>"大正,昭和,平成"</formula1>
    </dataValidation>
    <dataValidation type="whole" imeMode="disabled" allowBlank="1" showInputMessage="1" showErrorMessage="1" sqref="BC18:BC19 BC22 BC11 BA23 BC14" xr:uid="{5E830524-B1C5-4A16-9F1B-60FBBB20F4F6}">
      <formula1>1</formula1>
      <formula2>12</formula2>
    </dataValidation>
    <dataValidation type="whole" imeMode="disabled" allowBlank="1" showInputMessage="1" showErrorMessage="1" sqref="BA18:BA19 BA11 BA14" xr:uid="{66CC138D-23B0-48C2-A021-38031F7D2DEE}">
      <formula1>1</formula1>
      <formula2>64</formula2>
    </dataValidation>
    <dataValidation type="whole" imeMode="disabled" allowBlank="1" showInputMessage="1" showErrorMessage="1" sqref="BE18:BE19 BE22 BE11 BC23 BE14" xr:uid="{762BA24D-278E-4455-B1D1-B6161ADAE714}">
      <formula1>1</formula1>
      <formula2>31</formula2>
    </dataValidation>
    <dataValidation imeMode="hiragana" allowBlank="1" showInputMessage="1" showErrorMessage="1" sqref="AU18:AU19 AU11 AW18:AW19 AW11 AU14 AW14" xr:uid="{2E26E6A3-85D2-4EF6-8733-9F5B6331E3B0}"/>
    <dataValidation type="whole" imeMode="disabled" allowBlank="1" showInputMessage="1" showErrorMessage="1" sqref="BA22 AY23" xr:uid="{6BAF4ABD-BFC0-47FB-BEC1-3B0DF4F8923D}">
      <formula1>1</formula1>
      <formula2>30</formula2>
    </dataValidation>
  </dataValidations>
  <printOptions horizontalCentered="1"/>
  <pageMargins left="0.59055118110236227" right="0.59055118110236227" top="0.59055118110236227" bottom="0.98425196850393704" header="0" footer="0"/>
  <pageSetup paperSize="9" scale="97" orientation="portrait" r:id="rId1"/>
  <rowBreaks count="2" manualBreakCount="2">
    <brk id="50" max="34" man="1"/>
    <brk id="100" max="34"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8">
    <tabColor theme="7" tint="0.79998168889431442"/>
    <pageSetUpPr fitToPage="1"/>
  </sheetPr>
  <dimension ref="A1:AT51"/>
  <sheetViews>
    <sheetView showGridLines="0" showRowColHeaders="0" zoomScaleNormal="100" workbookViewId="0">
      <pane ySplit="8" topLeftCell="A9" activePane="bottomLeft" state="frozen"/>
      <selection pane="bottomLeft" sqref="A1:H1"/>
    </sheetView>
  </sheetViews>
  <sheetFormatPr defaultColWidth="2.625" defaultRowHeight="16.5" customHeight="1"/>
  <cols>
    <col min="1" max="14" width="2.625" style="93"/>
    <col min="15" max="15" width="2.625" style="93" customWidth="1"/>
    <col min="16" max="34" width="2.625" style="93"/>
    <col min="35" max="35" width="8.5" style="93" hidden="1" customWidth="1"/>
    <col min="36" max="36" width="10.375" style="93" hidden="1" customWidth="1"/>
    <col min="37" max="38" width="2.625" style="93" hidden="1" customWidth="1"/>
    <col min="39" max="16384" width="2.625" style="93"/>
  </cols>
  <sheetData>
    <row r="1" spans="1:38" s="204" customFormat="1" ht="16.5" customHeight="1">
      <c r="A1" s="531" t="s">
        <v>1335</v>
      </c>
      <c r="B1" s="531"/>
      <c r="C1" s="531"/>
      <c r="D1" s="531"/>
      <c r="E1" s="531"/>
      <c r="F1" s="531"/>
      <c r="G1" s="531"/>
      <c r="H1" s="531"/>
      <c r="I1" s="532"/>
      <c r="J1" s="532"/>
      <c r="K1" s="532"/>
      <c r="L1" s="532"/>
      <c r="M1" s="532"/>
      <c r="N1" s="532"/>
      <c r="Q1" s="529" t="s">
        <v>1344</v>
      </c>
      <c r="R1" s="529"/>
      <c r="S1" s="529"/>
      <c r="T1" s="529"/>
      <c r="U1" s="530"/>
      <c r="V1" s="530"/>
      <c r="W1" s="530"/>
      <c r="X1" s="530"/>
      <c r="Y1" s="245" t="s">
        <v>1345</v>
      </c>
      <c r="AI1" s="204" t="s">
        <v>1336</v>
      </c>
      <c r="AJ1" s="204">
        <v>1</v>
      </c>
      <c r="AL1" s="204">
        <f>IFERROR(VLOOKUP(I1,AI1:AJ2,2,FALSE),0)</f>
        <v>0</v>
      </c>
    </row>
    <row r="2" spans="1:38" s="204" customFormat="1" ht="16.5" customHeight="1">
      <c r="AI2" s="204" t="s">
        <v>1337</v>
      </c>
      <c r="AJ2" s="204">
        <v>2</v>
      </c>
    </row>
    <row r="3" spans="1:38" s="242" customFormat="1" ht="16.5" customHeight="1">
      <c r="A3" s="533" t="s">
        <v>1338</v>
      </c>
      <c r="B3" s="533"/>
      <c r="C3" s="533"/>
      <c r="D3" s="533"/>
      <c r="E3" s="533"/>
      <c r="F3" s="533"/>
      <c r="G3" s="533"/>
      <c r="H3" s="533"/>
      <c r="I3" s="534"/>
      <c r="J3" s="534"/>
      <c r="K3" s="534"/>
      <c r="L3" s="534"/>
      <c r="M3" s="534"/>
      <c r="N3" s="534"/>
      <c r="Q3" s="529" t="s">
        <v>1271</v>
      </c>
      <c r="R3" s="529"/>
      <c r="S3" s="529"/>
      <c r="T3" s="529"/>
      <c r="U3" s="529" t="s">
        <v>1272</v>
      </c>
      <c r="V3" s="529"/>
      <c r="W3" s="529"/>
      <c r="X3" s="243"/>
      <c r="Y3" s="535"/>
      <c r="Z3" s="535"/>
      <c r="AA3" s="535"/>
      <c r="AB3" s="535"/>
      <c r="AC3" s="535"/>
      <c r="AD3" s="535"/>
    </row>
    <row r="4" spans="1:38" s="204" customFormat="1" ht="16.5" customHeight="1">
      <c r="A4" s="533" t="s">
        <v>1347</v>
      </c>
      <c r="B4" s="533"/>
      <c r="C4" s="533"/>
      <c r="D4" s="533"/>
      <c r="E4" s="533"/>
      <c r="F4" s="533"/>
      <c r="G4" s="533"/>
      <c r="H4" s="533"/>
      <c r="I4" s="551"/>
      <c r="J4" s="551"/>
      <c r="K4" s="551"/>
      <c r="L4" s="551"/>
      <c r="M4" s="551"/>
      <c r="N4" s="551"/>
      <c r="O4" s="245" t="s">
        <v>1348</v>
      </c>
      <c r="Q4" s="243"/>
      <c r="R4" s="244"/>
      <c r="S4" s="243"/>
      <c r="T4" s="243"/>
      <c r="U4" s="529" t="s">
        <v>1273</v>
      </c>
      <c r="V4" s="529"/>
      <c r="W4" s="529"/>
      <c r="X4" s="243"/>
      <c r="Y4" s="535"/>
      <c r="Z4" s="535"/>
      <c r="AA4" s="535"/>
      <c r="AB4" s="535"/>
      <c r="AC4" s="535"/>
      <c r="AD4" s="535"/>
      <c r="AI4" s="204" t="s">
        <v>1339</v>
      </c>
      <c r="AJ4" s="204">
        <v>1</v>
      </c>
      <c r="AL4" s="204">
        <f>IFERROR(VLOOKUP(I3,AI4:AJ5,2,FALSE),0)</f>
        <v>0</v>
      </c>
    </row>
    <row r="5" spans="1:38" s="204" customFormat="1" ht="16.5" customHeight="1">
      <c r="AI5" s="204" t="s">
        <v>1340</v>
      </c>
      <c r="AJ5" s="204">
        <v>2</v>
      </c>
    </row>
    <row r="6" spans="1:38" s="240" customFormat="1" ht="16.5" customHeight="1"/>
    <row r="7" spans="1:38" s="198" customFormat="1" ht="16.5" customHeight="1">
      <c r="P7" s="199" t="s">
        <v>1298</v>
      </c>
      <c r="Q7" s="558" t="s">
        <v>1279</v>
      </c>
      <c r="R7" s="558"/>
      <c r="S7" s="558"/>
      <c r="T7" s="200" t="s">
        <v>1135</v>
      </c>
      <c r="U7" s="558" t="s">
        <v>1299</v>
      </c>
      <c r="V7" s="558"/>
      <c r="W7" s="558"/>
      <c r="X7" s="198" t="s">
        <v>1300</v>
      </c>
      <c r="AI7" s="198">
        <f>AL1*10+AL4</f>
        <v>0</v>
      </c>
    </row>
    <row r="9" spans="1:38" ht="16.5" customHeight="1">
      <c r="C9" s="93" t="str">
        <f>IF(入札結果!G8="",REPT("　",15),入札結果!G8)&amp;"　殿"</f>
        <v>　　　　　　　　　　　　　　　　殿</v>
      </c>
    </row>
    <row r="13" spans="1:38" s="201" customFormat="1" ht="16.5" customHeight="1">
      <c r="M13" s="202" t="s">
        <v>1301</v>
      </c>
      <c r="O13" s="528" t="str">
        <f ca="1">受注者情報!M8</f>
        <v/>
      </c>
      <c r="P13" s="528"/>
      <c r="Q13" s="528"/>
      <c r="R13" s="528"/>
      <c r="T13" s="201" t="str">
        <f ca="1">受注者情報!N8</f>
        <v/>
      </c>
    </row>
    <row r="14" spans="1:38" s="201" customFormat="1" ht="16.5" customHeight="1">
      <c r="O14" s="528" t="str">
        <f ca="1">受注者情報!M9</f>
        <v/>
      </c>
      <c r="P14" s="528"/>
      <c r="Q14" s="528"/>
      <c r="R14" s="528"/>
      <c r="T14" s="201" t="str">
        <f ca="1">受注者情報!N9</f>
        <v/>
      </c>
    </row>
    <row r="15" spans="1:38" s="201" customFormat="1" ht="16.5" customHeight="1">
      <c r="O15" s="528" t="str">
        <f ca="1">受注者情報!M10</f>
        <v/>
      </c>
      <c r="P15" s="528"/>
      <c r="Q15" s="528"/>
      <c r="R15" s="528"/>
      <c r="T15" s="201" t="str">
        <f ca="1">受注者情報!N10</f>
        <v/>
      </c>
    </row>
    <row r="16" spans="1:38" s="201" customFormat="1" ht="16.5" customHeight="1">
      <c r="O16" s="528" t="str">
        <f ca="1">受注者情報!M11</f>
        <v/>
      </c>
      <c r="P16" s="528"/>
      <c r="Q16" s="528"/>
      <c r="R16" s="528"/>
      <c r="T16" s="201" t="str">
        <f ca="1">受注者情報!N11</f>
        <v/>
      </c>
    </row>
    <row r="17" spans="2:46" s="201" customFormat="1" ht="16.5" customHeight="1">
      <c r="L17" s="203"/>
      <c r="M17" s="203"/>
      <c r="N17" s="203"/>
      <c r="O17" s="559" t="str">
        <f ca="1">受注者情報!M12</f>
        <v/>
      </c>
      <c r="P17" s="559"/>
      <c r="Q17" s="559"/>
      <c r="R17" s="559"/>
      <c r="S17" s="203"/>
      <c r="T17" s="203" t="str">
        <f ca="1">受注者情報!N12</f>
        <v/>
      </c>
      <c r="U17" s="203"/>
      <c r="V17" s="203"/>
      <c r="W17" s="203"/>
      <c r="X17" s="203"/>
      <c r="Y17" s="203"/>
      <c r="Z17" s="203"/>
      <c r="AA17" s="203"/>
      <c r="AB17" s="203"/>
    </row>
    <row r="20" spans="2:46" s="204" customFormat="1" ht="16.5" customHeight="1">
      <c r="B20" s="204" t="str">
        <f>IF($AL$1=1,"☑","□")</f>
        <v>□</v>
      </c>
      <c r="C20" s="205" t="s">
        <v>411</v>
      </c>
    </row>
    <row r="21" spans="2:46" s="204" customFormat="1" ht="16.5" customHeight="1" thickBot="1">
      <c r="F21" s="537" t="s">
        <v>1302</v>
      </c>
      <c r="G21" s="537"/>
      <c r="H21" s="537"/>
      <c r="I21" s="537"/>
      <c r="J21" s="537"/>
      <c r="K21" s="537"/>
      <c r="L21" s="537"/>
      <c r="M21" s="537"/>
      <c r="N21" s="537"/>
      <c r="O21" s="537"/>
      <c r="P21" s="537"/>
      <c r="Q21" s="537"/>
      <c r="R21" s="537"/>
      <c r="S21" s="537"/>
      <c r="T21" s="537"/>
      <c r="U21" s="537"/>
      <c r="V21" s="538"/>
      <c r="W21" s="538"/>
      <c r="X21" s="538"/>
      <c r="Y21" s="538"/>
      <c r="Z21" s="538"/>
      <c r="AA21" s="538"/>
      <c r="AB21" s="538"/>
      <c r="AC21" s="538"/>
      <c r="AD21" s="538"/>
    </row>
    <row r="22" spans="2:46" s="204" customFormat="1" ht="16.5" customHeight="1" thickBot="1">
      <c r="F22" s="552">
        <f>U1</f>
        <v>0</v>
      </c>
      <c r="G22" s="552"/>
      <c r="H22" s="552"/>
      <c r="I22" s="552"/>
      <c r="J22" s="552"/>
      <c r="K22" s="552"/>
      <c r="L22" s="552"/>
      <c r="M22" s="552"/>
      <c r="N22" s="552"/>
      <c r="O22" s="552"/>
      <c r="P22" s="553">
        <v>320</v>
      </c>
      <c r="Q22" s="553"/>
      <c r="R22" s="553"/>
      <c r="S22" s="553"/>
      <c r="T22" s="553"/>
      <c r="U22" s="554"/>
      <c r="V22" s="555" t="str">
        <f>TEXT(F22*P22,"\#,##0-")</f>
        <v>¥0-</v>
      </c>
      <c r="W22" s="556"/>
      <c r="X22" s="556"/>
      <c r="Y22" s="556"/>
      <c r="Z22" s="556"/>
      <c r="AA22" s="556"/>
      <c r="AB22" s="556"/>
      <c r="AC22" s="556"/>
      <c r="AD22" s="557"/>
    </row>
    <row r="23" spans="2:46" s="204" customFormat="1" ht="16.5" customHeight="1" thickBot="1"/>
    <row r="24" spans="2:46" s="204" customFormat="1" ht="16.5" customHeight="1" thickBot="1">
      <c r="H24" s="206" t="s">
        <v>1303</v>
      </c>
      <c r="I24" s="206"/>
      <c r="J24" s="206"/>
      <c r="K24" s="206"/>
      <c r="L24" s="206"/>
      <c r="M24" s="206"/>
      <c r="N24" s="206"/>
      <c r="O24" s="206" t="s">
        <v>1304</v>
      </c>
      <c r="P24" s="206"/>
      <c r="Q24" s="206"/>
      <c r="R24" s="206"/>
      <c r="S24" s="206"/>
      <c r="T24" s="206"/>
      <c r="U24" s="206"/>
      <c r="V24" s="206" t="s">
        <v>1305</v>
      </c>
      <c r="W24" s="206"/>
      <c r="X24" s="206"/>
      <c r="Y24" s="206"/>
      <c r="Z24" s="206"/>
      <c r="AA24" s="206"/>
      <c r="AB24" s="206"/>
      <c r="AC24" s="206"/>
      <c r="AD24" s="206"/>
      <c r="AT24" s="207"/>
    </row>
    <row r="25" spans="2:46" s="204" customFormat="1" ht="16.5" customHeight="1" thickBot="1">
      <c r="H25" s="536"/>
      <c r="I25" s="536"/>
      <c r="J25" s="536"/>
      <c r="K25" s="536"/>
      <c r="L25" s="536"/>
      <c r="M25" s="536"/>
      <c r="N25" s="536"/>
      <c r="O25" s="536"/>
      <c r="P25" s="536"/>
      <c r="Q25" s="536"/>
      <c r="R25" s="536"/>
      <c r="S25" s="536"/>
      <c r="T25" s="536"/>
      <c r="U25" s="536"/>
      <c r="V25" s="536"/>
      <c r="W25" s="536"/>
      <c r="X25" s="536"/>
      <c r="Y25" s="536"/>
      <c r="Z25" s="536"/>
      <c r="AA25" s="536"/>
      <c r="AB25" s="536"/>
      <c r="AC25" s="536"/>
      <c r="AD25" s="536"/>
    </row>
    <row r="26" spans="2:46" s="204" customFormat="1" ht="16.5" customHeight="1"/>
    <row r="27" spans="2:46" s="204" customFormat="1" ht="16.5" customHeight="1">
      <c r="B27" s="204" t="str">
        <f>IF($AL$1=2,"☑","□")</f>
        <v>□</v>
      </c>
      <c r="C27" s="205" t="s">
        <v>412</v>
      </c>
      <c r="AI27" s="204" t="s">
        <v>1333</v>
      </c>
      <c r="AJ27" s="239" t="str">
        <f>【随時メンテ】建退共証紙購入基本率等!C17</f>
        <v/>
      </c>
    </row>
    <row r="28" spans="2:46" s="204" customFormat="1" ht="16.5" customHeight="1">
      <c r="C28" s="204" t="str">
        <f>IF($AI$7=22,"☑","□")</f>
        <v>□</v>
      </c>
      <c r="D28" s="208" t="s">
        <v>1306</v>
      </c>
      <c r="AI28" s="204" t="s">
        <v>1334</v>
      </c>
      <c r="AJ28" s="204" t="e">
        <f>【随時メンテ】建退共証紙購入基本率等!D17</f>
        <v>#VALUE!</v>
      </c>
    </row>
    <row r="29" spans="2:46" s="204" customFormat="1" ht="16.5" customHeight="1" thickBot="1">
      <c r="F29" s="537" t="s">
        <v>1307</v>
      </c>
      <c r="G29" s="537"/>
      <c r="H29" s="537"/>
      <c r="I29" s="537"/>
      <c r="J29" s="537"/>
      <c r="K29" s="537"/>
      <c r="L29" s="537"/>
      <c r="M29" s="537"/>
      <c r="N29" s="537"/>
      <c r="O29" s="537"/>
      <c r="P29" s="537"/>
      <c r="Q29" s="537"/>
      <c r="R29" s="538"/>
      <c r="S29" s="538"/>
      <c r="T29" s="538"/>
      <c r="U29" s="538"/>
      <c r="V29" s="538"/>
      <c r="W29" s="538"/>
      <c r="X29" s="538"/>
      <c r="Y29" s="538"/>
      <c r="Z29" s="538"/>
    </row>
    <row r="30" spans="2:46" s="204" customFormat="1" ht="16.5" customHeight="1" thickBot="1">
      <c r="F30" s="539" t="str">
        <f>IFERROR($AJ$27,"")</f>
        <v/>
      </c>
      <c r="G30" s="539"/>
      <c r="H30" s="539"/>
      <c r="I30" s="539"/>
      <c r="J30" s="539"/>
      <c r="K30" s="539"/>
      <c r="L30" s="540" t="e">
        <f>$AJ$28</f>
        <v>#VALUE!</v>
      </c>
      <c r="M30" s="540"/>
      <c r="N30" s="540"/>
      <c r="O30" s="540"/>
      <c r="P30" s="540"/>
      <c r="Q30" s="541"/>
      <c r="R30" s="542" t="str">
        <f>IFERROR(TEXT(AJ30,"\#,##0-")&amp;"("&amp;TEXT(AJ31,"\#,##0-")&amp;")","")</f>
        <v/>
      </c>
      <c r="S30" s="543"/>
      <c r="T30" s="543"/>
      <c r="U30" s="543"/>
      <c r="V30" s="543"/>
      <c r="W30" s="543"/>
      <c r="X30" s="543"/>
      <c r="Y30" s="543"/>
      <c r="Z30" s="544"/>
      <c r="AI30" s="204" t="s">
        <v>1342</v>
      </c>
      <c r="AJ30" s="239" t="e">
        <f>ROUNDDOWN(【随時メンテ】建退共証紙購入基本率等!G17,0)</f>
        <v>#VALUE!</v>
      </c>
    </row>
    <row r="31" spans="2:46" s="204" customFormat="1" ht="16.5" customHeight="1" thickBot="1">
      <c r="AI31" s="204" t="s">
        <v>1343</v>
      </c>
      <c r="AJ31" s="239" t="e">
        <f>【随時メンテ】建退共証紙購入基本率等!I17</f>
        <v>#VALUE!</v>
      </c>
    </row>
    <row r="32" spans="2:46" s="204" customFormat="1" ht="16.5" customHeight="1" thickBot="1">
      <c r="H32" s="206" t="s">
        <v>1303</v>
      </c>
      <c r="I32" s="206"/>
      <c r="J32" s="206"/>
      <c r="K32" s="206"/>
      <c r="L32" s="206"/>
      <c r="M32" s="206"/>
      <c r="N32" s="206"/>
      <c r="O32" s="206" t="s">
        <v>1304</v>
      </c>
      <c r="P32" s="206"/>
      <c r="Q32" s="206"/>
      <c r="R32" s="206"/>
      <c r="S32" s="206"/>
      <c r="T32" s="206"/>
      <c r="U32" s="206"/>
      <c r="V32" s="206" t="s">
        <v>1305</v>
      </c>
      <c r="W32" s="206"/>
      <c r="X32" s="206"/>
      <c r="Y32" s="206"/>
      <c r="Z32" s="206"/>
      <c r="AA32" s="206"/>
      <c r="AB32" s="206"/>
      <c r="AC32" s="206"/>
      <c r="AD32" s="206"/>
    </row>
    <row r="33" spans="2:30" s="204" customFormat="1" ht="16.5" customHeight="1" thickBot="1">
      <c r="H33" s="545" t="str">
        <f>R30</f>
        <v/>
      </c>
      <c r="I33" s="545"/>
      <c r="J33" s="545"/>
      <c r="K33" s="545"/>
      <c r="L33" s="545"/>
      <c r="M33" s="545"/>
      <c r="N33" s="545"/>
      <c r="O33" s="545">
        <f>【随時メンテ】建退共証紙購入基本率等!I16</f>
        <v>0</v>
      </c>
      <c r="P33" s="545"/>
      <c r="Q33" s="545"/>
      <c r="R33" s="545"/>
      <c r="S33" s="545"/>
      <c r="T33" s="545"/>
      <c r="U33" s="545"/>
      <c r="V33" s="545" t="e">
        <f>H33-O33</f>
        <v>#VALUE!</v>
      </c>
      <c r="W33" s="545"/>
      <c r="X33" s="545"/>
      <c r="Y33" s="545"/>
      <c r="Z33" s="545"/>
      <c r="AA33" s="545"/>
      <c r="AB33" s="545"/>
      <c r="AC33" s="545"/>
      <c r="AD33" s="545"/>
    </row>
    <row r="34" spans="2:30" s="204" customFormat="1" ht="16.5" customHeight="1"/>
    <row r="35" spans="2:30" s="204" customFormat="1" ht="16.5" customHeight="1">
      <c r="C35" s="204" t="str">
        <f>IF($AI$7=21,"☑","□")</f>
        <v>□</v>
      </c>
      <c r="D35" s="204" t="s">
        <v>1308</v>
      </c>
    </row>
    <row r="36" spans="2:30" s="204" customFormat="1" ht="16.5" customHeight="1" thickBot="1">
      <c r="F36" s="537" t="s">
        <v>1309</v>
      </c>
      <c r="G36" s="537"/>
      <c r="H36" s="537"/>
      <c r="I36" s="537"/>
      <c r="J36" s="537"/>
      <c r="K36" s="537"/>
      <c r="L36" s="537"/>
      <c r="M36" s="537"/>
      <c r="N36" s="537"/>
      <c r="O36" s="537"/>
      <c r="P36" s="537"/>
      <c r="Q36" s="537"/>
      <c r="R36" s="537"/>
      <c r="S36" s="537"/>
      <c r="T36" s="537"/>
      <c r="U36" s="537"/>
      <c r="V36" s="537"/>
      <c r="W36" s="537"/>
      <c r="X36" s="538"/>
      <c r="Y36" s="538"/>
      <c r="Z36" s="538"/>
      <c r="AA36" s="538"/>
      <c r="AB36" s="538"/>
      <c r="AC36" s="538"/>
      <c r="AD36" s="538"/>
    </row>
    <row r="37" spans="2:30" s="204" customFormat="1" ht="16.5" customHeight="1" thickBot="1">
      <c r="F37" s="539" t="str">
        <f>IFERROR($AJ$27,"")</f>
        <v/>
      </c>
      <c r="G37" s="539"/>
      <c r="H37" s="539"/>
      <c r="I37" s="539"/>
      <c r="J37" s="539"/>
      <c r="K37" s="539"/>
      <c r="L37" s="540" t="e">
        <f>$AJ$28</f>
        <v>#VALUE!</v>
      </c>
      <c r="M37" s="540"/>
      <c r="N37" s="540"/>
      <c r="O37" s="540"/>
      <c r="P37" s="540"/>
      <c r="Q37" s="541"/>
      <c r="R37" s="546" t="str">
        <f>I4&amp;"%/70%"</f>
        <v>%/70%</v>
      </c>
      <c r="S37" s="546"/>
      <c r="T37" s="546"/>
      <c r="U37" s="546"/>
      <c r="V37" s="546"/>
      <c r="W37" s="547"/>
      <c r="X37" s="548" t="e">
        <f>TEXT(AJ30,"\#,##0-")&amp;"("&amp;TEXT(AJ31,"\#,##0-")&amp;")"</f>
        <v>#VALUE!</v>
      </c>
      <c r="Y37" s="549"/>
      <c r="Z37" s="549"/>
      <c r="AA37" s="549"/>
      <c r="AB37" s="549"/>
      <c r="AC37" s="549"/>
      <c r="AD37" s="550"/>
    </row>
    <row r="38" spans="2:30" s="204" customFormat="1" ht="16.5" customHeight="1" thickBot="1"/>
    <row r="39" spans="2:30" s="204" customFormat="1" ht="16.5" customHeight="1" thickBot="1">
      <c r="H39" s="206" t="s">
        <v>1303</v>
      </c>
      <c r="I39" s="206"/>
      <c r="J39" s="206"/>
      <c r="K39" s="206"/>
      <c r="L39" s="206"/>
      <c r="M39" s="206"/>
      <c r="N39" s="206"/>
      <c r="O39" s="206" t="s">
        <v>1304</v>
      </c>
      <c r="P39" s="206"/>
      <c r="Q39" s="206"/>
      <c r="R39" s="206"/>
      <c r="S39" s="206"/>
      <c r="T39" s="206"/>
      <c r="U39" s="206"/>
      <c r="V39" s="206" t="s">
        <v>1305</v>
      </c>
      <c r="W39" s="206"/>
      <c r="X39" s="206"/>
      <c r="Y39" s="206"/>
      <c r="Z39" s="206"/>
      <c r="AA39" s="206"/>
      <c r="AB39" s="206"/>
      <c r="AC39" s="206"/>
      <c r="AD39" s="206"/>
    </row>
    <row r="40" spans="2:30" s="204" customFormat="1" ht="16.5" customHeight="1" thickBot="1">
      <c r="H40" s="536"/>
      <c r="I40" s="536"/>
      <c r="J40" s="536"/>
      <c r="K40" s="536"/>
      <c r="L40" s="536"/>
      <c r="M40" s="536"/>
      <c r="N40" s="536"/>
      <c r="O40" s="536"/>
      <c r="P40" s="536"/>
      <c r="Q40" s="536"/>
      <c r="R40" s="536"/>
      <c r="S40" s="536"/>
      <c r="T40" s="536"/>
      <c r="U40" s="536"/>
      <c r="V40" s="536"/>
      <c r="W40" s="536"/>
      <c r="X40" s="536"/>
      <c r="Y40" s="536"/>
      <c r="Z40" s="536"/>
      <c r="AA40" s="536"/>
      <c r="AB40" s="536"/>
      <c r="AC40" s="536"/>
      <c r="AD40" s="536"/>
    </row>
    <row r="41" spans="2:30" s="204" customFormat="1" ht="16.5" customHeight="1"/>
    <row r="42" spans="2:30" s="204" customFormat="1" ht="16.5" customHeight="1"/>
    <row r="43" spans="2:30" s="153" customFormat="1" ht="16.5" customHeight="1">
      <c r="B43" s="153" t="s">
        <v>1310</v>
      </c>
    </row>
    <row r="44" spans="2:30" s="153" customFormat="1" ht="16.5" customHeight="1">
      <c r="B44" s="209" t="s">
        <v>1311</v>
      </c>
    </row>
    <row r="45" spans="2:30" s="153" customFormat="1" ht="16.5" customHeight="1">
      <c r="B45" s="209" t="s">
        <v>1312</v>
      </c>
    </row>
    <row r="46" spans="2:30" s="153" customFormat="1" ht="16.5" customHeight="1">
      <c r="B46" s="209" t="s">
        <v>1313</v>
      </c>
    </row>
    <row r="47" spans="2:30" s="153" customFormat="1" ht="16.5" customHeight="1">
      <c r="B47" s="209" t="s">
        <v>1314</v>
      </c>
    </row>
    <row r="48" spans="2:30" s="153" customFormat="1" ht="16.5" customHeight="1">
      <c r="B48" s="209" t="s">
        <v>1315</v>
      </c>
    </row>
    <row r="49" spans="2:2" s="153" customFormat="1" ht="16.5" customHeight="1">
      <c r="B49" s="209" t="s">
        <v>1316</v>
      </c>
    </row>
    <row r="50" spans="2:2" s="153" customFormat="1" ht="16.5" customHeight="1">
      <c r="B50" s="209" t="s">
        <v>1317</v>
      </c>
    </row>
    <row r="51" spans="2:2" s="153" customFormat="1" ht="16.5" customHeight="1">
      <c r="B51" s="209" t="s">
        <v>1318</v>
      </c>
    </row>
  </sheetData>
  <sheetProtection sheet="1" objects="1" scenarios="1"/>
  <mergeCells count="42">
    <mergeCell ref="H25:N25"/>
    <mergeCell ref="O25:U25"/>
    <mergeCell ref="V25:AD25"/>
    <mergeCell ref="A4:H4"/>
    <mergeCell ref="I4:N4"/>
    <mergeCell ref="F21:AD21"/>
    <mergeCell ref="F22:O22"/>
    <mergeCell ref="P22:U22"/>
    <mergeCell ref="V22:AD22"/>
    <mergeCell ref="Q7:S7"/>
    <mergeCell ref="U7:W7"/>
    <mergeCell ref="O13:R13"/>
    <mergeCell ref="O14:R14"/>
    <mergeCell ref="O17:R17"/>
    <mergeCell ref="U4:W4"/>
    <mergeCell ref="Y4:AD4"/>
    <mergeCell ref="Y3:AD3"/>
    <mergeCell ref="H40:N40"/>
    <mergeCell ref="O40:U40"/>
    <mergeCell ref="V40:AD40"/>
    <mergeCell ref="F29:Z29"/>
    <mergeCell ref="F30:K30"/>
    <mergeCell ref="L30:Q30"/>
    <mergeCell ref="R30:Z30"/>
    <mergeCell ref="H33:N33"/>
    <mergeCell ref="O33:U33"/>
    <mergeCell ref="V33:AD33"/>
    <mergeCell ref="F36:AD36"/>
    <mergeCell ref="F37:K37"/>
    <mergeCell ref="L37:Q37"/>
    <mergeCell ref="R37:W37"/>
    <mergeCell ref="X37:AD37"/>
    <mergeCell ref="O15:R15"/>
    <mergeCell ref="O16:R16"/>
    <mergeCell ref="Q1:T1"/>
    <mergeCell ref="U1:X1"/>
    <mergeCell ref="A1:H1"/>
    <mergeCell ref="I1:N1"/>
    <mergeCell ref="A3:H3"/>
    <mergeCell ref="I3:N3"/>
    <mergeCell ref="Q3:T3"/>
    <mergeCell ref="U3:W3"/>
  </mergeCells>
  <phoneticPr fontId="2"/>
  <conditionalFormatting sqref="A3:N3 Q3:AD4">
    <cfRule type="expression" dxfId="56" priority="58">
      <formula>$AL$1=2</formula>
    </cfRule>
  </conditionalFormatting>
  <conditionalFormatting sqref="A4:O4">
    <cfRule type="expression" dxfId="55" priority="7">
      <formula>$I$3="できる"</formula>
    </cfRule>
  </conditionalFormatting>
  <conditionalFormatting sqref="F22:AD22">
    <cfRule type="expression" dxfId="54" priority="11">
      <formula>$AL$1=1</formula>
    </cfRule>
  </conditionalFormatting>
  <conditionalFormatting sqref="F30:AD30">
    <cfRule type="expression" dxfId="53" priority="15">
      <formula>$AI$7=22</formula>
    </cfRule>
  </conditionalFormatting>
  <conditionalFormatting sqref="F37:AD37">
    <cfRule type="expression" dxfId="52" priority="14">
      <formula>$AI$7=21</formula>
    </cfRule>
  </conditionalFormatting>
  <conditionalFormatting sqref="I3">
    <cfRule type="expression" dxfId="50" priority="5">
      <formula>$AL$1=2</formula>
    </cfRule>
  </conditionalFormatting>
  <conditionalFormatting sqref="I4">
    <cfRule type="expression" dxfId="49" priority="4">
      <formula>$I$3="できる"</formula>
    </cfRule>
  </conditionalFormatting>
  <conditionalFormatting sqref="L30:Q30 L37:Q37 X37:AD37">
    <cfRule type="containsErrors" dxfId="48" priority="12">
      <formula>ISERROR(L30)</formula>
    </cfRule>
  </conditionalFormatting>
  <conditionalFormatting sqref="Q1:Y1">
    <cfRule type="expression" dxfId="47" priority="2">
      <formula>$AL$1=1</formula>
    </cfRule>
  </conditionalFormatting>
  <conditionalFormatting sqref="U1">
    <cfRule type="expression" dxfId="46" priority="3">
      <formula>$AL$1=1</formula>
    </cfRule>
  </conditionalFormatting>
  <conditionalFormatting sqref="Y3:AD4">
    <cfRule type="expression" dxfId="45" priority="1">
      <formula>$AL$1=2</formula>
    </cfRule>
  </conditionalFormatting>
  <dataValidations count="5">
    <dataValidation type="list" imeMode="hiragana" allowBlank="1" showInputMessage="1" showErrorMessage="1" sqref="Y4" xr:uid="{00000000-0002-0000-0F00-000000000000}">
      <formula1>INDIRECT(Y3)</formula1>
    </dataValidation>
    <dataValidation type="list" imeMode="hiragana" allowBlank="1" showInputMessage="1" showErrorMessage="1" sqref="I3:N3" xr:uid="{00000000-0002-0000-0F00-000001000000}">
      <formula1>$AI$4:$AI$5</formula1>
    </dataValidation>
    <dataValidation type="list" imeMode="hiragana" allowBlank="1" showInputMessage="1" showErrorMessage="1" sqref="I1:N1" xr:uid="{00000000-0002-0000-0F00-000002000000}">
      <formula1>$AI$1:$AI$2</formula1>
    </dataValidation>
    <dataValidation imeMode="disabled" allowBlank="1" showInputMessage="1" showErrorMessage="1" sqref="U1:X1" xr:uid="{00000000-0002-0000-0F00-000003000000}"/>
    <dataValidation type="whole" imeMode="disabled" allowBlank="1" showInputMessage="1" showErrorMessage="1" sqref="I4:N4" xr:uid="{00000000-0002-0000-0F00-000004000000}">
      <formula1>1</formula1>
      <formula2>100</formula2>
    </dataValidation>
  </dataValidations>
  <printOptions horizontalCentered="1"/>
  <pageMargins left="0" right="0" top="0.74803149606299213" bottom="0.74803149606299213" header="0.31496062992125984" footer="0.31496062992125984"/>
  <pageSetup paperSize="9" orientation="portrait" r:id="rId1"/>
  <drawing r:id="rId2"/>
  <extLst>
    <ext xmlns:x14="http://schemas.microsoft.com/office/spreadsheetml/2009/9/main" uri="{78C0D931-6437-407d-A8EE-F0AAD7539E65}">
      <x14:conditionalFormattings>
        <x14:conditionalFormatting xmlns:xm="http://schemas.microsoft.com/office/excel/2006/main">
          <x14:cfRule type="expression" priority="19" id="{6E423076-FAC8-4C51-A83C-619DD49AE788}">
            <xm:f>【随時メンテ】建退共証紙購入基本率等!$I$23="変更"</xm:f>
            <x14:dxf>
              <font>
                <color theme="1"/>
              </font>
            </x14:dxf>
          </x14:cfRule>
          <xm:sqref>H33:AD33</xm:sqref>
        </x14:conditionalFormatting>
      </x14:conditionalFormattings>
    </ext>
    <ext xmlns:x14="http://schemas.microsoft.com/office/spreadsheetml/2009/9/main" uri="{CCE6A557-97BC-4b89-ADB6-D9C93CAAB3DF}">
      <x14:dataValidations xmlns:xm="http://schemas.microsoft.com/office/excel/2006/main" count="1">
        <x14:dataValidation type="list" imeMode="hiragana" allowBlank="1" showInputMessage="1" showErrorMessage="1" xr:uid="{00000000-0002-0000-0F00-000005000000}">
          <x14:formula1>
            <xm:f>【随時メンテ】建退共証紙購入基本率等!$Q$3:$Q$5</xm:f>
          </x14:formula1>
          <xm:sqref>Y3</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1">
    <tabColor theme="7" tint="0.79998168889431442"/>
    <pageSetUpPr fitToPage="1"/>
  </sheetPr>
  <dimension ref="A2:AF48"/>
  <sheetViews>
    <sheetView showGridLines="0" showRowColHeaders="0" zoomScale="95" zoomScaleNormal="95" zoomScaleSheetLayoutView="95" workbookViewId="0">
      <pane ySplit="8" topLeftCell="A16" activePane="bottomLeft" state="frozen"/>
      <selection pane="bottomLeft" activeCell="T5" sqref="T5"/>
    </sheetView>
  </sheetViews>
  <sheetFormatPr defaultColWidth="3.25" defaultRowHeight="18.75" outlineLevelCol="1"/>
  <cols>
    <col min="1" max="9" width="3.25" style="172"/>
    <col min="10" max="10" width="3.25" style="172" customWidth="1"/>
    <col min="11" max="16" width="3.25" style="172"/>
    <col min="17" max="18" width="3.25" style="172" customWidth="1"/>
    <col min="19" max="26" width="3.25" style="172"/>
    <col min="27" max="27" width="13.875" style="172" hidden="1" customWidth="1" outlineLevel="1"/>
    <col min="28" max="28" width="29.375" style="172" hidden="1" customWidth="1" outlineLevel="1"/>
    <col min="29" max="29" width="5.25" style="172" hidden="1" customWidth="1" outlineLevel="1"/>
    <col min="30" max="31" width="13" style="172" hidden="1" customWidth="1" outlineLevel="1"/>
    <col min="32" max="32" width="3.25" style="172" collapsed="1"/>
    <col min="33" max="16384" width="3.25" style="172"/>
  </cols>
  <sheetData>
    <row r="2" spans="1:31" ht="13.5" customHeight="1">
      <c r="D2" s="186" t="s">
        <v>1268</v>
      </c>
      <c r="F2" s="562"/>
      <c r="G2" s="562"/>
      <c r="H2" s="562"/>
      <c r="I2" s="562"/>
      <c r="K2" s="190" t="e">
        <f>VLOOKUP(F2,AA2:AB3,2,FALSE)</f>
        <v>#N/A</v>
      </c>
      <c r="AA2" s="172" t="str">
        <f>【随時メンテ】部分払い回数等!A33</f>
        <v>土木</v>
      </c>
      <c r="AB2" s="172">
        <v>1</v>
      </c>
      <c r="AD2" s="172" t="s">
        <v>1269</v>
      </c>
      <c r="AE2" s="172" t="s">
        <v>1270</v>
      </c>
    </row>
    <row r="3" spans="1:31" ht="13.5" customHeight="1">
      <c r="AA3" s="172" t="str">
        <f>【随時メンテ】部分払い回数等!A34</f>
        <v>建築</v>
      </c>
      <c r="AB3" s="172">
        <v>2</v>
      </c>
      <c r="AC3" s="172" t="s">
        <v>1265</v>
      </c>
      <c r="AD3" s="172" t="s">
        <v>1266</v>
      </c>
      <c r="AE3" s="172" t="s">
        <v>1267</v>
      </c>
    </row>
    <row r="4" spans="1:31" ht="13.5" customHeight="1">
      <c r="A4" s="185" t="s">
        <v>1264</v>
      </c>
    </row>
    <row r="5" spans="1:31" ht="13.5" customHeight="1">
      <c r="A5" s="172" t="s">
        <v>1262</v>
      </c>
    </row>
    <row r="6" spans="1:31" ht="13.5" customHeight="1">
      <c r="A6" s="172" t="s">
        <v>1263</v>
      </c>
      <c r="O6" s="568"/>
      <c r="P6" s="568"/>
      <c r="Q6" s="568"/>
      <c r="R6" s="568"/>
      <c r="S6" s="172" t="s">
        <v>1261</v>
      </c>
    </row>
    <row r="7" spans="1:31" ht="13.5" customHeight="1"/>
    <row r="8" spans="1:31" s="173" customFormat="1" ht="13.5">
      <c r="A8" s="173" t="str">
        <f>"第５号様式（"&amp;F2&amp;"関係工事）"</f>
        <v>第５号様式（関係工事）</v>
      </c>
    </row>
    <row r="9" spans="1:31" s="173" customFormat="1" ht="13.5">
      <c r="B9" s="565"/>
      <c r="C9" s="565"/>
      <c r="D9" s="565"/>
      <c r="R9" s="174" t="s">
        <v>1247</v>
      </c>
      <c r="S9" s="564" t="str">
        <f>DBCS(TEXT(契約日ほか!K20,"ggge年m月d日"))</f>
        <v/>
      </c>
      <c r="T9" s="564"/>
      <c r="U9" s="564"/>
      <c r="V9" s="564"/>
      <c r="W9" s="564"/>
      <c r="X9" s="564"/>
      <c r="Y9" s="564"/>
    </row>
    <row r="10" spans="1:31" s="173" customFormat="1" ht="13.5">
      <c r="A10" s="173" t="str">
        <f>IF(入札結果!G8="",REPT("　",15),入札結果!G8)&amp;"　殿"</f>
        <v>　　　　　　　　　　　　　　　　殿</v>
      </c>
      <c r="B10" s="176"/>
      <c r="C10" s="176"/>
      <c r="D10" s="176"/>
      <c r="R10" s="174"/>
      <c r="S10" s="177"/>
      <c r="T10" s="177"/>
      <c r="U10" s="177"/>
      <c r="V10" s="177"/>
      <c r="W10" s="177"/>
      <c r="X10" s="177"/>
      <c r="Y10" s="177"/>
    </row>
    <row r="11" spans="1:31" s="173" customFormat="1" ht="13.5">
      <c r="C11" s="178"/>
      <c r="D11" s="178"/>
      <c r="E11" s="178"/>
    </row>
    <row r="12" spans="1:31" s="173" customFormat="1" ht="13.5">
      <c r="F12" s="173" t="s">
        <v>1248</v>
      </c>
      <c r="J12" s="173" t="str">
        <f>受注者情報!D4&amp;""</f>
        <v/>
      </c>
    </row>
    <row r="13" spans="1:31" s="173" customFormat="1" ht="13.5">
      <c r="F13" s="179"/>
      <c r="G13" s="563" t="str">
        <f ca="1">受注者情報!M8</f>
        <v/>
      </c>
      <c r="H13" s="563"/>
      <c r="I13" s="563"/>
      <c r="J13" s="563"/>
      <c r="K13" s="173" t="str">
        <f ca="1">" "&amp;受注者情報!N8</f>
        <v xml:space="preserve"> </v>
      </c>
    </row>
    <row r="14" spans="1:31" s="173" customFormat="1" ht="13.5">
      <c r="F14" s="179"/>
      <c r="G14" s="563" t="str">
        <f ca="1">受注者情報!M9</f>
        <v/>
      </c>
      <c r="H14" s="563"/>
      <c r="I14" s="563"/>
      <c r="J14" s="563"/>
      <c r="K14" s="173" t="str">
        <f ca="1">" "&amp;受注者情報!N9</f>
        <v xml:space="preserve"> </v>
      </c>
    </row>
    <row r="15" spans="1:31" s="173" customFormat="1" ht="13.5" customHeight="1">
      <c r="F15" s="179"/>
      <c r="G15" s="563" t="str">
        <f ca="1">受注者情報!M10</f>
        <v/>
      </c>
      <c r="H15" s="563"/>
      <c r="I15" s="563"/>
      <c r="J15" s="563"/>
      <c r="K15" s="173" t="str">
        <f ca="1">" "&amp;受注者情報!N10</f>
        <v xml:space="preserve"> </v>
      </c>
    </row>
    <row r="16" spans="1:31" s="173" customFormat="1" ht="13.5" customHeight="1">
      <c r="G16" s="563" t="str">
        <f ca="1">受注者情報!M11</f>
        <v/>
      </c>
      <c r="H16" s="563"/>
      <c r="I16" s="563"/>
      <c r="J16" s="563"/>
      <c r="K16" s="173" t="str">
        <f ca="1">" "&amp;受注者情報!N11</f>
        <v xml:space="preserve"> </v>
      </c>
    </row>
    <row r="17" spans="1:25" s="173" customFormat="1" ht="13.5" customHeight="1">
      <c r="G17" s="563" t="str">
        <f ca="1">受注者情報!M12</f>
        <v/>
      </c>
      <c r="H17" s="563"/>
      <c r="I17" s="563"/>
      <c r="J17" s="563"/>
      <c r="K17" s="173" t="str">
        <f ca="1">" "&amp;受注者情報!N12</f>
        <v xml:space="preserve"> </v>
      </c>
      <c r="U17" s="175"/>
      <c r="V17" s="320"/>
    </row>
    <row r="18" spans="1:25" s="173" customFormat="1" ht="13.5"/>
    <row r="19" spans="1:25" s="173" customFormat="1" ht="26.1" customHeight="1">
      <c r="A19" s="573" t="s">
        <v>1249</v>
      </c>
      <c r="B19" s="573"/>
      <c r="C19" s="573"/>
      <c r="D19" s="573"/>
      <c r="E19" s="573"/>
      <c r="F19" s="573"/>
      <c r="G19" s="573"/>
      <c r="H19" s="573"/>
      <c r="I19" s="573"/>
      <c r="J19" s="573"/>
      <c r="K19" s="573"/>
      <c r="L19" s="573"/>
      <c r="M19" s="573"/>
      <c r="N19" s="573"/>
      <c r="O19" s="573"/>
      <c r="P19" s="573"/>
      <c r="Q19" s="573"/>
      <c r="R19" s="573"/>
      <c r="S19" s="573"/>
      <c r="T19" s="573"/>
      <c r="U19" s="573"/>
      <c r="V19" s="573"/>
      <c r="W19" s="573"/>
      <c r="X19" s="573"/>
      <c r="Y19" s="573"/>
    </row>
    <row r="20" spans="1:25" s="173" customFormat="1" ht="13.5"/>
    <row r="21" spans="1:25" s="173" customFormat="1" ht="13.5">
      <c r="A21" s="563" t="s">
        <v>1250</v>
      </c>
      <c r="B21" s="563"/>
      <c r="C21" s="563"/>
      <c r="D21" s="180" t="str">
        <f>入札結果!G12</f>
        <v/>
      </c>
    </row>
    <row r="22" spans="1:25" s="173" customFormat="1" ht="13.5">
      <c r="A22" s="563" t="s">
        <v>1251</v>
      </c>
      <c r="B22" s="563"/>
      <c r="C22" s="563"/>
      <c r="D22" s="181" t="str">
        <f>入札結果!G13</f>
        <v/>
      </c>
      <c r="E22" s="182"/>
      <c r="F22" s="182"/>
      <c r="G22" s="182"/>
      <c r="H22" s="182"/>
      <c r="I22" s="182"/>
      <c r="J22" s="182"/>
      <c r="K22" s="182"/>
      <c r="L22" s="182"/>
      <c r="M22" s="182"/>
      <c r="N22" s="182"/>
      <c r="O22" s="182"/>
      <c r="P22" s="182"/>
      <c r="Q22" s="182"/>
      <c r="R22" s="182"/>
      <c r="S22" s="182"/>
      <c r="T22" s="182"/>
      <c r="U22" s="182"/>
      <c r="V22" s="182"/>
      <c r="W22" s="182"/>
      <c r="X22" s="182"/>
    </row>
    <row r="23" spans="1:25" s="173" customFormat="1" ht="13.5">
      <c r="A23" s="563" t="s">
        <v>1252</v>
      </c>
      <c r="B23" s="563"/>
      <c r="C23" s="563"/>
      <c r="D23" s="564" t="str">
        <f>IFERROR(DBCS(TEXT(契約日ほか!K22,"ggge年m月d日")),"")</f>
        <v/>
      </c>
      <c r="E23" s="564"/>
      <c r="F23" s="564"/>
      <c r="G23" s="564"/>
      <c r="H23" s="564"/>
      <c r="I23" s="564"/>
      <c r="J23" s="564"/>
      <c r="K23" s="564"/>
      <c r="L23" s="564"/>
      <c r="M23" s="564"/>
      <c r="N23" s="183" t="s">
        <v>1253</v>
      </c>
      <c r="O23" s="564" t="str">
        <f>IFERROR(DBCS(TEXT(契約日ほか!K23,"ggge年m月d日")),"")</f>
        <v/>
      </c>
      <c r="P23" s="564"/>
      <c r="Q23" s="564"/>
      <c r="R23" s="564"/>
      <c r="S23" s="564"/>
      <c r="T23" s="564"/>
      <c r="U23" s="564"/>
      <c r="V23" s="564"/>
      <c r="W23" s="564"/>
      <c r="X23" s="564"/>
      <c r="Y23" s="173" t="s">
        <v>1254</v>
      </c>
    </row>
    <row r="24" spans="1:25" s="424" customFormat="1" ht="27" customHeight="1">
      <c r="A24" s="424" t="str">
        <f>IF(F2="建築","（種目別内訳）","")</f>
        <v/>
      </c>
    </row>
    <row r="25" spans="1:25" s="173" customFormat="1" ht="27" customHeight="1">
      <c r="A25" s="188" t="e">
        <f>VLOOKUP($K$2,$AB$2:$AE$3,2,FALSE)&amp;""</f>
        <v>#N/A</v>
      </c>
      <c r="B25" s="560" t="e">
        <f>VLOOKUP($K$2,$AB$2:$AE$3,3,FALSE)&amp;""</f>
        <v>#N/A</v>
      </c>
      <c r="C25" s="560"/>
      <c r="D25" s="560"/>
      <c r="E25" s="560"/>
      <c r="F25" s="560" t="e">
        <f>VLOOKUP($K$2,$AB$2:$AE$3,4,FALSE)&amp;""</f>
        <v>#N/A</v>
      </c>
      <c r="G25" s="560"/>
      <c r="H25" s="560"/>
      <c r="I25" s="561"/>
      <c r="J25" s="567" t="s">
        <v>1255</v>
      </c>
      <c r="K25" s="567"/>
      <c r="L25" s="567" t="s">
        <v>1256</v>
      </c>
      <c r="M25" s="567"/>
      <c r="N25" s="567" t="s">
        <v>1257</v>
      </c>
      <c r="O25" s="567"/>
      <c r="P25" s="567"/>
      <c r="Q25" s="567"/>
      <c r="R25" s="567" t="s">
        <v>1258</v>
      </c>
      <c r="S25" s="567"/>
      <c r="T25" s="567"/>
      <c r="U25" s="567"/>
      <c r="V25" s="567" t="s">
        <v>1259</v>
      </c>
      <c r="W25" s="567"/>
      <c r="X25" s="567"/>
      <c r="Y25" s="567"/>
    </row>
    <row r="26" spans="1:25" s="173" customFormat="1" ht="27" customHeight="1">
      <c r="A26" s="189" t="s">
        <v>1260</v>
      </c>
      <c r="B26" s="560" t="s">
        <v>1260</v>
      </c>
      <c r="C26" s="560"/>
      <c r="D26" s="560"/>
      <c r="E26" s="561"/>
      <c r="F26" s="566" t="s">
        <v>1260</v>
      </c>
      <c r="G26" s="560"/>
      <c r="H26" s="560"/>
      <c r="I26" s="561"/>
      <c r="J26" s="567" t="s">
        <v>1260</v>
      </c>
      <c r="K26" s="567"/>
      <c r="L26" s="567" t="s">
        <v>1260</v>
      </c>
      <c r="M26" s="567"/>
      <c r="N26" s="567" t="s">
        <v>1260</v>
      </c>
      <c r="O26" s="567"/>
      <c r="P26" s="567"/>
      <c r="Q26" s="567"/>
      <c r="R26" s="567" t="s">
        <v>1260</v>
      </c>
      <c r="S26" s="567"/>
      <c r="T26" s="567"/>
      <c r="U26" s="567"/>
      <c r="V26" s="567" t="s">
        <v>1110</v>
      </c>
      <c r="W26" s="567"/>
      <c r="X26" s="567"/>
      <c r="Y26" s="567"/>
    </row>
    <row r="27" spans="1:25" s="173" customFormat="1" ht="27" customHeight="1">
      <c r="A27" s="187"/>
      <c r="B27" s="560"/>
      <c r="C27" s="560"/>
      <c r="D27" s="560"/>
      <c r="E27" s="561"/>
      <c r="F27" s="566"/>
      <c r="G27" s="560"/>
      <c r="H27" s="560"/>
      <c r="I27" s="561"/>
      <c r="J27" s="567"/>
      <c r="K27" s="567"/>
      <c r="L27" s="567"/>
      <c r="M27" s="567"/>
      <c r="N27" s="567"/>
      <c r="O27" s="567"/>
      <c r="P27" s="567"/>
      <c r="Q27" s="567"/>
      <c r="R27" s="567"/>
      <c r="S27" s="567"/>
      <c r="T27" s="567"/>
      <c r="U27" s="567"/>
      <c r="V27" s="567"/>
      <c r="W27" s="567"/>
      <c r="X27" s="567"/>
      <c r="Y27" s="567"/>
    </row>
    <row r="28" spans="1:25" s="173" customFormat="1" ht="27" customHeight="1">
      <c r="A28" s="187"/>
      <c r="B28" s="560"/>
      <c r="C28" s="560"/>
      <c r="D28" s="560"/>
      <c r="E28" s="561"/>
      <c r="F28" s="566"/>
      <c r="G28" s="560"/>
      <c r="H28" s="560"/>
      <c r="I28" s="561"/>
      <c r="J28" s="567"/>
      <c r="K28" s="567"/>
      <c r="L28" s="567"/>
      <c r="M28" s="567"/>
      <c r="N28" s="567"/>
      <c r="O28" s="567"/>
      <c r="P28" s="567"/>
      <c r="Q28" s="567"/>
      <c r="R28" s="567"/>
      <c r="S28" s="567"/>
      <c r="T28" s="567"/>
      <c r="U28" s="567"/>
      <c r="V28" s="567"/>
      <c r="W28" s="567"/>
      <c r="X28" s="567"/>
      <c r="Y28" s="567"/>
    </row>
    <row r="29" spans="1:25" s="173" customFormat="1" ht="27" customHeight="1">
      <c r="A29" s="187"/>
      <c r="B29" s="560"/>
      <c r="C29" s="560"/>
      <c r="D29" s="560"/>
      <c r="E29" s="561"/>
      <c r="F29" s="566"/>
      <c r="G29" s="560"/>
      <c r="H29" s="560"/>
      <c r="I29" s="561"/>
      <c r="J29" s="567"/>
      <c r="K29" s="567"/>
      <c r="L29" s="567"/>
      <c r="M29" s="567"/>
      <c r="N29" s="567"/>
      <c r="O29" s="567"/>
      <c r="P29" s="567"/>
      <c r="Q29" s="567"/>
      <c r="R29" s="567"/>
      <c r="S29" s="567"/>
      <c r="T29" s="567"/>
      <c r="U29" s="567"/>
      <c r="V29" s="567"/>
      <c r="W29" s="567"/>
      <c r="X29" s="567"/>
      <c r="Y29" s="567"/>
    </row>
    <row r="30" spans="1:25" s="173" customFormat="1" ht="27" customHeight="1">
      <c r="A30" s="187"/>
      <c r="B30" s="560"/>
      <c r="C30" s="560"/>
      <c r="D30" s="560"/>
      <c r="E30" s="561"/>
      <c r="F30" s="566"/>
      <c r="G30" s="560"/>
      <c r="H30" s="560"/>
      <c r="I30" s="561"/>
      <c r="J30" s="567"/>
      <c r="K30" s="567"/>
      <c r="L30" s="567"/>
      <c r="M30" s="567"/>
      <c r="N30" s="567"/>
      <c r="O30" s="567"/>
      <c r="P30" s="567"/>
      <c r="Q30" s="567"/>
      <c r="R30" s="567"/>
      <c r="S30" s="567"/>
      <c r="T30" s="567"/>
      <c r="U30" s="567"/>
      <c r="V30" s="567"/>
      <c r="W30" s="567"/>
      <c r="X30" s="567"/>
      <c r="Y30" s="567"/>
    </row>
    <row r="31" spans="1:25" s="173" customFormat="1" ht="27" customHeight="1">
      <c r="A31" s="187"/>
      <c r="B31" s="560"/>
      <c r="C31" s="560"/>
      <c r="D31" s="560"/>
      <c r="E31" s="561"/>
      <c r="F31" s="566"/>
      <c r="G31" s="560"/>
      <c r="H31" s="560"/>
      <c r="I31" s="561"/>
      <c r="J31" s="567"/>
      <c r="K31" s="567"/>
      <c r="L31" s="567"/>
      <c r="M31" s="567"/>
      <c r="N31" s="567"/>
      <c r="O31" s="567"/>
      <c r="P31" s="567"/>
      <c r="Q31" s="567"/>
      <c r="R31" s="567"/>
      <c r="S31" s="567"/>
      <c r="T31" s="567"/>
      <c r="U31" s="567"/>
      <c r="V31" s="567"/>
      <c r="W31" s="567"/>
      <c r="X31" s="567"/>
      <c r="Y31" s="567"/>
    </row>
    <row r="32" spans="1:25" s="173" customFormat="1" ht="27" customHeight="1">
      <c r="A32" s="187"/>
      <c r="B32" s="560"/>
      <c r="C32" s="560"/>
      <c r="D32" s="560"/>
      <c r="E32" s="561"/>
      <c r="F32" s="566"/>
      <c r="G32" s="560"/>
      <c r="H32" s="560"/>
      <c r="I32" s="561"/>
      <c r="J32" s="567"/>
      <c r="K32" s="567"/>
      <c r="L32" s="567"/>
      <c r="M32" s="567"/>
      <c r="N32" s="567"/>
      <c r="O32" s="567"/>
      <c r="P32" s="567"/>
      <c r="Q32" s="567"/>
      <c r="R32" s="567"/>
      <c r="S32" s="567"/>
      <c r="T32" s="567"/>
      <c r="U32" s="567"/>
      <c r="V32" s="567"/>
      <c r="W32" s="567"/>
      <c r="X32" s="567"/>
      <c r="Y32" s="567"/>
    </row>
    <row r="33" spans="1:25" s="173" customFormat="1" ht="27" customHeight="1">
      <c r="A33" s="187"/>
      <c r="B33" s="560"/>
      <c r="C33" s="560"/>
      <c r="D33" s="560"/>
      <c r="E33" s="561"/>
      <c r="F33" s="566"/>
      <c r="G33" s="560"/>
      <c r="H33" s="560"/>
      <c r="I33" s="561"/>
      <c r="J33" s="567"/>
      <c r="K33" s="567"/>
      <c r="L33" s="567"/>
      <c r="M33" s="567"/>
      <c r="N33" s="567"/>
      <c r="O33" s="567"/>
      <c r="P33" s="567"/>
      <c r="Q33" s="567"/>
      <c r="R33" s="567"/>
      <c r="S33" s="567"/>
      <c r="T33" s="567"/>
      <c r="U33" s="567"/>
      <c r="V33" s="567"/>
      <c r="W33" s="567"/>
      <c r="X33" s="567"/>
      <c r="Y33" s="567"/>
    </row>
    <row r="34" spans="1:25" s="173" customFormat="1" ht="27" customHeight="1">
      <c r="A34" s="187"/>
      <c r="B34" s="560"/>
      <c r="C34" s="560"/>
      <c r="D34" s="560"/>
      <c r="E34" s="561"/>
      <c r="F34" s="566"/>
      <c r="G34" s="560"/>
      <c r="H34" s="560"/>
      <c r="I34" s="561"/>
      <c r="J34" s="567"/>
      <c r="K34" s="567"/>
      <c r="L34" s="567"/>
      <c r="M34" s="567"/>
      <c r="N34" s="567"/>
      <c r="O34" s="567"/>
      <c r="P34" s="567"/>
      <c r="Q34" s="567"/>
      <c r="R34" s="567"/>
      <c r="S34" s="567"/>
      <c r="T34" s="567"/>
      <c r="U34" s="567"/>
      <c r="V34" s="567"/>
      <c r="W34" s="567"/>
      <c r="X34" s="567"/>
      <c r="Y34" s="567"/>
    </row>
    <row r="35" spans="1:25" s="173" customFormat="1" ht="27" customHeight="1">
      <c r="A35" s="187"/>
      <c r="B35" s="560"/>
      <c r="C35" s="560"/>
      <c r="D35" s="560"/>
      <c r="E35" s="561"/>
      <c r="F35" s="566"/>
      <c r="G35" s="560"/>
      <c r="H35" s="560"/>
      <c r="I35" s="561"/>
      <c r="J35" s="567"/>
      <c r="K35" s="567"/>
      <c r="L35" s="567"/>
      <c r="M35" s="567"/>
      <c r="N35" s="567"/>
      <c r="O35" s="567"/>
      <c r="P35" s="567"/>
      <c r="Q35" s="567"/>
      <c r="R35" s="567"/>
      <c r="S35" s="567"/>
      <c r="T35" s="567"/>
      <c r="U35" s="567"/>
      <c r="V35" s="567"/>
      <c r="W35" s="567"/>
      <c r="X35" s="567"/>
      <c r="Y35" s="567"/>
    </row>
    <row r="36" spans="1:25" s="173" customFormat="1" ht="27" customHeight="1">
      <c r="A36" s="187"/>
      <c r="B36" s="560"/>
      <c r="C36" s="560"/>
      <c r="D36" s="560"/>
      <c r="E36" s="561"/>
      <c r="F36" s="566"/>
      <c r="G36" s="560"/>
      <c r="H36" s="560"/>
      <c r="I36" s="561"/>
      <c r="J36" s="567"/>
      <c r="K36" s="567"/>
      <c r="L36" s="567"/>
      <c r="M36" s="567"/>
      <c r="N36" s="567"/>
      <c r="O36" s="567"/>
      <c r="P36" s="567"/>
      <c r="Q36" s="567"/>
      <c r="R36" s="567"/>
      <c r="S36" s="567"/>
      <c r="T36" s="567"/>
      <c r="U36" s="567"/>
      <c r="V36" s="567"/>
      <c r="W36" s="567"/>
      <c r="X36" s="567"/>
      <c r="Y36" s="567"/>
    </row>
    <row r="37" spans="1:25" s="173" customFormat="1" ht="27" customHeight="1">
      <c r="A37" s="187"/>
      <c r="B37" s="560"/>
      <c r="C37" s="560"/>
      <c r="D37" s="560"/>
      <c r="E37" s="561"/>
      <c r="F37" s="566"/>
      <c r="G37" s="560"/>
      <c r="H37" s="560"/>
      <c r="I37" s="561"/>
      <c r="J37" s="567"/>
      <c r="K37" s="567"/>
      <c r="L37" s="567"/>
      <c r="M37" s="567"/>
      <c r="N37" s="567"/>
      <c r="O37" s="567"/>
      <c r="P37" s="567"/>
      <c r="Q37" s="567"/>
      <c r="R37" s="567"/>
      <c r="S37" s="567"/>
      <c r="T37" s="567"/>
      <c r="U37" s="567"/>
      <c r="V37" s="567"/>
      <c r="W37" s="567"/>
      <c r="X37" s="567"/>
      <c r="Y37" s="567"/>
    </row>
    <row r="38" spans="1:25" s="173" customFormat="1" ht="27" customHeight="1">
      <c r="A38" s="187"/>
      <c r="B38" s="560"/>
      <c r="C38" s="560"/>
      <c r="D38" s="560"/>
      <c r="E38" s="561"/>
      <c r="F38" s="566"/>
      <c r="G38" s="560"/>
      <c r="H38" s="560"/>
      <c r="I38" s="561"/>
      <c r="J38" s="567"/>
      <c r="K38" s="567"/>
      <c r="L38" s="567"/>
      <c r="M38" s="567"/>
      <c r="N38" s="567"/>
      <c r="O38" s="567"/>
      <c r="P38" s="567"/>
      <c r="Q38" s="567"/>
      <c r="R38" s="567"/>
      <c r="S38" s="567"/>
      <c r="T38" s="567"/>
      <c r="U38" s="567"/>
      <c r="V38" s="567"/>
      <c r="W38" s="567"/>
      <c r="X38" s="567"/>
      <c r="Y38" s="567"/>
    </row>
    <row r="39" spans="1:25" s="173" customFormat="1" ht="27" customHeight="1">
      <c r="A39" s="187"/>
      <c r="B39" s="560"/>
      <c r="C39" s="560"/>
      <c r="D39" s="560"/>
      <c r="E39" s="561"/>
      <c r="F39" s="566"/>
      <c r="G39" s="560"/>
      <c r="H39" s="560"/>
      <c r="I39" s="561"/>
      <c r="J39" s="567"/>
      <c r="K39" s="567"/>
      <c r="L39" s="567"/>
      <c r="M39" s="567"/>
      <c r="N39" s="567"/>
      <c r="O39" s="567"/>
      <c r="P39" s="567"/>
      <c r="Q39" s="567"/>
      <c r="R39" s="567"/>
      <c r="S39" s="567"/>
      <c r="T39" s="567"/>
      <c r="U39" s="567"/>
      <c r="V39" s="567"/>
      <c r="W39" s="567"/>
      <c r="X39" s="567"/>
      <c r="Y39" s="567"/>
    </row>
    <row r="40" spans="1:25" s="173" customFormat="1" ht="27" customHeight="1">
      <c r="A40" s="187"/>
      <c r="B40" s="560"/>
      <c r="C40" s="560"/>
      <c r="D40" s="560"/>
      <c r="E40" s="561"/>
      <c r="F40" s="566"/>
      <c r="G40" s="560"/>
      <c r="H40" s="560"/>
      <c r="I40" s="561"/>
      <c r="J40" s="567"/>
      <c r="K40" s="567"/>
      <c r="L40" s="567"/>
      <c r="M40" s="567"/>
      <c r="N40" s="567"/>
      <c r="O40" s="567"/>
      <c r="P40" s="567"/>
      <c r="Q40" s="567"/>
      <c r="R40" s="567"/>
      <c r="S40" s="567"/>
      <c r="T40" s="567"/>
      <c r="U40" s="567"/>
      <c r="V40" s="567"/>
      <c r="W40" s="567"/>
      <c r="X40" s="567"/>
      <c r="Y40" s="567"/>
    </row>
    <row r="41" spans="1:25" s="173" customFormat="1" ht="27" customHeight="1">
      <c r="A41" s="187"/>
      <c r="B41" s="560"/>
      <c r="C41" s="560"/>
      <c r="D41" s="560"/>
      <c r="E41" s="561"/>
      <c r="F41" s="566"/>
      <c r="G41" s="560"/>
      <c r="H41" s="560"/>
      <c r="I41" s="561"/>
      <c r="J41" s="567"/>
      <c r="K41" s="567"/>
      <c r="L41" s="567"/>
      <c r="M41" s="567"/>
      <c r="N41" s="567"/>
      <c r="O41" s="567"/>
      <c r="P41" s="567"/>
      <c r="Q41" s="567"/>
      <c r="R41" s="567"/>
      <c r="S41" s="567"/>
      <c r="T41" s="567"/>
      <c r="U41" s="567"/>
      <c r="V41" s="567"/>
      <c r="W41" s="567"/>
      <c r="X41" s="567"/>
      <c r="Y41" s="567"/>
    </row>
    <row r="42" spans="1:25" s="173" customFormat="1" ht="27" customHeight="1">
      <c r="A42" s="187"/>
      <c r="B42" s="560"/>
      <c r="C42" s="560"/>
      <c r="D42" s="560"/>
      <c r="E42" s="561"/>
      <c r="F42" s="566"/>
      <c r="G42" s="560"/>
      <c r="H42" s="560"/>
      <c r="I42" s="561"/>
      <c r="J42" s="567"/>
      <c r="K42" s="567"/>
      <c r="L42" s="567"/>
      <c r="M42" s="567"/>
      <c r="N42" s="567"/>
      <c r="O42" s="567"/>
      <c r="P42" s="567"/>
      <c r="Q42" s="567"/>
      <c r="R42" s="567"/>
      <c r="S42" s="567"/>
      <c r="T42" s="567"/>
      <c r="U42" s="567"/>
      <c r="V42" s="567"/>
      <c r="W42" s="567"/>
      <c r="X42" s="567"/>
      <c r="Y42" s="567"/>
    </row>
    <row r="43" spans="1:25" s="173" customFormat="1" ht="27" customHeight="1">
      <c r="A43" s="187"/>
      <c r="B43" s="560"/>
      <c r="C43" s="560"/>
      <c r="D43" s="560"/>
      <c r="E43" s="561"/>
      <c r="F43" s="566"/>
      <c r="G43" s="560"/>
      <c r="H43" s="560"/>
      <c r="I43" s="561"/>
      <c r="J43" s="567"/>
      <c r="K43" s="567"/>
      <c r="L43" s="567"/>
      <c r="M43" s="567"/>
      <c r="N43" s="567"/>
      <c r="O43" s="567"/>
      <c r="P43" s="567"/>
      <c r="Q43" s="567"/>
      <c r="R43" s="567"/>
      <c r="S43" s="567"/>
      <c r="T43" s="567"/>
      <c r="U43" s="567"/>
      <c r="V43" s="567"/>
      <c r="W43" s="567"/>
      <c r="X43" s="567"/>
      <c r="Y43" s="567"/>
    </row>
    <row r="44" spans="1:25" s="173" customFormat="1" ht="27" customHeight="1">
      <c r="A44" s="420"/>
      <c r="B44" s="420"/>
      <c r="C44" s="423" t="s">
        <v>18527</v>
      </c>
      <c r="D44" s="420"/>
      <c r="E44" s="420"/>
      <c r="F44" s="420"/>
      <c r="G44" s="420"/>
      <c r="H44" s="420"/>
      <c r="I44" s="420"/>
      <c r="J44" s="420"/>
      <c r="K44" s="420"/>
      <c r="L44" s="420"/>
      <c r="M44" s="420"/>
      <c r="N44" s="420"/>
      <c r="O44" s="420"/>
      <c r="P44" s="420"/>
      <c r="Q44" s="420"/>
      <c r="R44" s="420"/>
      <c r="S44" s="420"/>
      <c r="T44" s="420"/>
      <c r="U44" s="420"/>
      <c r="V44" s="420"/>
      <c r="W44" s="420"/>
      <c r="X44" s="420"/>
      <c r="Y44" s="420"/>
    </row>
    <row r="45" spans="1:25" ht="27" customHeight="1">
      <c r="A45" s="421"/>
      <c r="B45" s="421"/>
      <c r="C45" s="421"/>
      <c r="D45" s="421" t="s">
        <v>18528</v>
      </c>
      <c r="E45" s="421"/>
      <c r="F45" s="422"/>
      <c r="G45" s="422"/>
      <c r="H45" s="422"/>
      <c r="I45" s="422"/>
      <c r="J45" s="422"/>
      <c r="N45" s="571">
        <f>O6</f>
        <v>0</v>
      </c>
      <c r="O45" s="572"/>
      <c r="P45" s="572"/>
      <c r="Q45" s="572"/>
      <c r="R45" s="572"/>
      <c r="S45" s="572"/>
      <c r="T45" s="572"/>
      <c r="U45" s="572"/>
      <c r="V45" s="172" t="s">
        <v>18526</v>
      </c>
    </row>
    <row r="46" spans="1:25" ht="13.5" customHeight="1">
      <c r="A46" s="569" t="s">
        <v>18525</v>
      </c>
      <c r="B46" s="570"/>
      <c r="C46" s="570"/>
      <c r="D46" s="570"/>
      <c r="E46" s="570"/>
      <c r="F46" s="570"/>
      <c r="G46" s="570"/>
      <c r="H46" s="570"/>
      <c r="I46" s="570"/>
      <c r="J46" s="570"/>
      <c r="K46" s="570"/>
      <c r="L46" s="570"/>
      <c r="M46" s="570"/>
      <c r="N46" s="570"/>
      <c r="O46" s="570"/>
      <c r="P46" s="570"/>
      <c r="Q46" s="570"/>
      <c r="R46" s="570"/>
      <c r="S46" s="570"/>
      <c r="T46" s="570"/>
      <c r="U46" s="570"/>
      <c r="V46" s="570"/>
      <c r="W46" s="570"/>
      <c r="X46" s="570"/>
      <c r="Y46" s="570"/>
    </row>
    <row r="47" spans="1:25">
      <c r="A47" s="570"/>
      <c r="B47" s="570"/>
      <c r="C47" s="570"/>
      <c r="D47" s="570"/>
      <c r="E47" s="570"/>
      <c r="F47" s="570"/>
      <c r="G47" s="570"/>
      <c r="H47" s="570"/>
      <c r="I47" s="570"/>
      <c r="J47" s="570"/>
      <c r="K47" s="570"/>
      <c r="L47" s="570"/>
      <c r="M47" s="570"/>
      <c r="N47" s="570"/>
      <c r="O47" s="570"/>
      <c r="P47" s="570"/>
      <c r="Q47" s="570"/>
      <c r="R47" s="570"/>
      <c r="S47" s="570"/>
      <c r="T47" s="570"/>
      <c r="U47" s="570"/>
      <c r="V47" s="570"/>
      <c r="W47" s="570"/>
      <c r="X47" s="570"/>
      <c r="Y47" s="570"/>
    </row>
    <row r="48" spans="1:25">
      <c r="K48" s="184"/>
    </row>
  </sheetData>
  <sheetProtection sheet="1" insertRows="0" deleteRows="0"/>
  <protectedRanges>
    <protectedRange sqref="A26:Y43" name="範囲1"/>
  </protectedRanges>
  <mergeCells count="150">
    <mergeCell ref="A46:Y47"/>
    <mergeCell ref="N45:U45"/>
    <mergeCell ref="S9:Y9"/>
    <mergeCell ref="G13:J13"/>
    <mergeCell ref="G14:J14"/>
    <mergeCell ref="O23:X23"/>
    <mergeCell ref="J25:K25"/>
    <mergeCell ref="L25:M25"/>
    <mergeCell ref="N25:Q25"/>
    <mergeCell ref="R25:U25"/>
    <mergeCell ref="V25:Y25"/>
    <mergeCell ref="G15:J15"/>
    <mergeCell ref="G16:J16"/>
    <mergeCell ref="A19:Y19"/>
    <mergeCell ref="A21:C21"/>
    <mergeCell ref="B25:E25"/>
    <mergeCell ref="F25:I25"/>
    <mergeCell ref="V26:Y26"/>
    <mergeCell ref="F27:I27"/>
    <mergeCell ref="J27:K27"/>
    <mergeCell ref="L27:M27"/>
    <mergeCell ref="N27:Q27"/>
    <mergeCell ref="R27:U27"/>
    <mergeCell ref="V27:Y27"/>
    <mergeCell ref="N26:Q26"/>
    <mergeCell ref="R26:U26"/>
    <mergeCell ref="V28:Y28"/>
    <mergeCell ref="F29:I29"/>
    <mergeCell ref="J29:K29"/>
    <mergeCell ref="L29:M29"/>
    <mergeCell ref="N29:Q29"/>
    <mergeCell ref="R29:U29"/>
    <mergeCell ref="V29:Y29"/>
    <mergeCell ref="F28:I28"/>
    <mergeCell ref="J28:K28"/>
    <mergeCell ref="L28:M28"/>
    <mergeCell ref="N28:Q28"/>
    <mergeCell ref="R28:U28"/>
    <mergeCell ref="V30:Y30"/>
    <mergeCell ref="F31:I31"/>
    <mergeCell ref="J31:K31"/>
    <mergeCell ref="L31:M31"/>
    <mergeCell ref="N31:Q31"/>
    <mergeCell ref="R31:U31"/>
    <mergeCell ref="V31:Y31"/>
    <mergeCell ref="B30:E30"/>
    <mergeCell ref="F30:I30"/>
    <mergeCell ref="J30:K30"/>
    <mergeCell ref="L30:M30"/>
    <mergeCell ref="N30:Q30"/>
    <mergeCell ref="R30:U30"/>
    <mergeCell ref="B31:E31"/>
    <mergeCell ref="V32:Y32"/>
    <mergeCell ref="F33:I33"/>
    <mergeCell ref="J33:K33"/>
    <mergeCell ref="L33:M33"/>
    <mergeCell ref="N33:Q33"/>
    <mergeCell ref="R33:U33"/>
    <mergeCell ref="V33:Y33"/>
    <mergeCell ref="F32:I32"/>
    <mergeCell ref="J32:K32"/>
    <mergeCell ref="L32:M32"/>
    <mergeCell ref="N32:Q32"/>
    <mergeCell ref="R32:U32"/>
    <mergeCell ref="V34:Y34"/>
    <mergeCell ref="F35:I35"/>
    <mergeCell ref="J35:K35"/>
    <mergeCell ref="L35:M35"/>
    <mergeCell ref="N35:Q35"/>
    <mergeCell ref="R35:U35"/>
    <mergeCell ref="V35:Y35"/>
    <mergeCell ref="F34:I34"/>
    <mergeCell ref="J34:K34"/>
    <mergeCell ref="L34:M34"/>
    <mergeCell ref="N34:Q34"/>
    <mergeCell ref="R34:U34"/>
    <mergeCell ref="V36:Y36"/>
    <mergeCell ref="F37:I37"/>
    <mergeCell ref="J37:K37"/>
    <mergeCell ref="L37:M37"/>
    <mergeCell ref="N37:Q37"/>
    <mergeCell ref="R37:U37"/>
    <mergeCell ref="V37:Y37"/>
    <mergeCell ref="B37:E37"/>
    <mergeCell ref="F36:I36"/>
    <mergeCell ref="J36:K36"/>
    <mergeCell ref="L36:M36"/>
    <mergeCell ref="N36:Q36"/>
    <mergeCell ref="R36:U36"/>
    <mergeCell ref="V41:Y41"/>
    <mergeCell ref="B40:E40"/>
    <mergeCell ref="B41:E41"/>
    <mergeCell ref="F40:I40"/>
    <mergeCell ref="J40:K40"/>
    <mergeCell ref="L40:M40"/>
    <mergeCell ref="N40:Q40"/>
    <mergeCell ref="R40:U40"/>
    <mergeCell ref="V38:Y38"/>
    <mergeCell ref="F39:I39"/>
    <mergeCell ref="J39:K39"/>
    <mergeCell ref="L39:M39"/>
    <mergeCell ref="N39:Q39"/>
    <mergeCell ref="R39:U39"/>
    <mergeCell ref="V39:Y39"/>
    <mergeCell ref="B38:E38"/>
    <mergeCell ref="B39:E39"/>
    <mergeCell ref="F38:I38"/>
    <mergeCell ref="J38:K38"/>
    <mergeCell ref="L38:M38"/>
    <mergeCell ref="N38:Q38"/>
    <mergeCell ref="R38:U38"/>
    <mergeCell ref="O6:R6"/>
    <mergeCell ref="V42:Y42"/>
    <mergeCell ref="F43:I43"/>
    <mergeCell ref="J43:K43"/>
    <mergeCell ref="L43:M43"/>
    <mergeCell ref="N43:Q43"/>
    <mergeCell ref="R43:U43"/>
    <mergeCell ref="V43:Y43"/>
    <mergeCell ref="B42:E42"/>
    <mergeCell ref="B43:E43"/>
    <mergeCell ref="F42:I42"/>
    <mergeCell ref="J42:K42"/>
    <mergeCell ref="L42:M42"/>
    <mergeCell ref="N42:Q42"/>
    <mergeCell ref="R42:U42"/>
    <mergeCell ref="V40:Y40"/>
    <mergeCell ref="F41:I41"/>
    <mergeCell ref="J41:K41"/>
    <mergeCell ref="L41:M41"/>
    <mergeCell ref="N41:Q41"/>
    <mergeCell ref="R41:U41"/>
    <mergeCell ref="B32:E32"/>
    <mergeCell ref="B33:E33"/>
    <mergeCell ref="B34:E34"/>
    <mergeCell ref="B35:E35"/>
    <mergeCell ref="B36:E36"/>
    <mergeCell ref="F2:I2"/>
    <mergeCell ref="B26:E26"/>
    <mergeCell ref="B27:E27"/>
    <mergeCell ref="B28:E28"/>
    <mergeCell ref="B29:E29"/>
    <mergeCell ref="A22:C22"/>
    <mergeCell ref="A23:C23"/>
    <mergeCell ref="D23:M23"/>
    <mergeCell ref="B9:D9"/>
    <mergeCell ref="G17:J17"/>
    <mergeCell ref="F26:I26"/>
    <mergeCell ref="J26:K26"/>
    <mergeCell ref="L26:M26"/>
  </mergeCells>
  <phoneticPr fontId="2"/>
  <conditionalFormatting sqref="A26">
    <cfRule type="expression" dxfId="44" priority="6">
      <formula>$K$2=2</formula>
    </cfRule>
  </conditionalFormatting>
  <conditionalFormatting sqref="B25:E43">
    <cfRule type="expression" dxfId="43" priority="1">
      <formula>$K$2=2</formula>
    </cfRule>
  </conditionalFormatting>
  <conditionalFormatting sqref="K13:K17">
    <cfRule type="cellIs" dxfId="42" priority="2" operator="equal">
      <formula>0</formula>
    </cfRule>
  </conditionalFormatting>
  <conditionalFormatting sqref="S9:Y9 D21:X21 D22 D23:M23 O23:X23">
    <cfRule type="cellIs" dxfId="41" priority="27" operator="equal">
      <formula>0</formula>
    </cfRule>
  </conditionalFormatting>
  <dataValidations count="2">
    <dataValidation imeMode="disabled" allowBlank="1" showInputMessage="1" showErrorMessage="1" sqref="O6:R6 S10:Y10" xr:uid="{00000000-0002-0000-1200-000000000000}"/>
    <dataValidation type="list" imeMode="hiragana" allowBlank="1" showInputMessage="1" showErrorMessage="1" sqref="F2:I2" xr:uid="{00000000-0002-0000-1200-000001000000}">
      <formula1>$AA$2:$AA$3</formula1>
    </dataValidation>
  </dataValidations>
  <printOptions horizontalCentered="1" verticalCentered="1"/>
  <pageMargins left="0.31496062992125984" right="0.31496062992125984" top="0.35433070866141736" bottom="0.35433070866141736" header="0.31496062992125984" footer="0.31496062992125984"/>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C42357-A4DC-4623-A7F5-BD1B227C6C61}">
  <sheetPr>
    <tabColor theme="7" tint="0.79998168889431442"/>
  </sheetPr>
  <dimension ref="A1:Y20"/>
  <sheetViews>
    <sheetView showGridLines="0" showRowColHeaders="0" zoomScaleNormal="100" workbookViewId="0">
      <selection activeCell="J8" sqref="J8:K8"/>
    </sheetView>
  </sheetViews>
  <sheetFormatPr defaultRowHeight="13.5"/>
  <cols>
    <col min="1" max="35" width="3.25" customWidth="1"/>
  </cols>
  <sheetData>
    <row r="1" spans="1:25" ht="27" customHeight="1">
      <c r="A1" s="425" t="s">
        <v>18537</v>
      </c>
      <c r="B1" s="173"/>
      <c r="C1" s="173"/>
      <c r="D1" s="173"/>
      <c r="E1" s="173"/>
      <c r="F1" s="173"/>
      <c r="G1" s="173"/>
      <c r="H1" s="173"/>
      <c r="I1" s="173"/>
      <c r="J1" s="173"/>
      <c r="K1" s="173"/>
      <c r="L1" s="173"/>
      <c r="M1" s="173"/>
      <c r="N1" s="173"/>
      <c r="O1" s="173"/>
      <c r="P1" s="173"/>
      <c r="Q1" s="173"/>
      <c r="R1" s="173"/>
      <c r="S1" s="173"/>
      <c r="T1" s="173"/>
      <c r="U1" s="173"/>
      <c r="V1" s="173"/>
      <c r="W1" s="173"/>
      <c r="X1" s="173"/>
      <c r="Y1" s="173"/>
    </row>
    <row r="2" spans="1:25" ht="27" customHeight="1">
      <c r="A2" s="426" t="s">
        <v>1265</v>
      </c>
      <c r="B2" s="566" t="s">
        <v>1266</v>
      </c>
      <c r="C2" s="560"/>
      <c r="D2" s="560"/>
      <c r="E2" s="561"/>
      <c r="F2" s="566" t="s">
        <v>1267</v>
      </c>
      <c r="G2" s="560"/>
      <c r="H2" s="560"/>
      <c r="I2" s="561"/>
      <c r="J2" s="567" t="s">
        <v>1255</v>
      </c>
      <c r="K2" s="567"/>
      <c r="L2" s="567" t="s">
        <v>1256</v>
      </c>
      <c r="M2" s="567"/>
      <c r="N2" s="567" t="s">
        <v>1257</v>
      </c>
      <c r="O2" s="567"/>
      <c r="P2" s="567"/>
      <c r="Q2" s="567"/>
      <c r="R2" s="567" t="s">
        <v>1258</v>
      </c>
      <c r="S2" s="567"/>
      <c r="T2" s="567"/>
      <c r="U2" s="567"/>
      <c r="V2" s="567" t="s">
        <v>1259</v>
      </c>
      <c r="W2" s="567"/>
      <c r="X2" s="567"/>
      <c r="Y2" s="567"/>
    </row>
    <row r="3" spans="1:25" ht="27" customHeight="1">
      <c r="A3" s="426"/>
      <c r="B3" s="566"/>
      <c r="C3" s="560"/>
      <c r="D3" s="560"/>
      <c r="E3" s="561"/>
      <c r="F3" s="566"/>
      <c r="G3" s="560"/>
      <c r="H3" s="560"/>
      <c r="I3" s="561"/>
      <c r="J3" s="567"/>
      <c r="K3" s="567"/>
      <c r="L3" s="567"/>
      <c r="M3" s="567"/>
      <c r="N3" s="567"/>
      <c r="O3" s="567"/>
      <c r="P3" s="567"/>
      <c r="Q3" s="567"/>
      <c r="R3" s="567"/>
      <c r="S3" s="567"/>
      <c r="T3" s="567"/>
      <c r="U3" s="567"/>
      <c r="V3" s="567"/>
      <c r="W3" s="567"/>
      <c r="X3" s="567"/>
      <c r="Y3" s="567"/>
    </row>
    <row r="4" spans="1:25" ht="27" customHeight="1">
      <c r="A4" s="426"/>
      <c r="B4" s="566"/>
      <c r="C4" s="560"/>
      <c r="D4" s="560"/>
      <c r="E4" s="561"/>
      <c r="F4" s="566"/>
      <c r="G4" s="560"/>
      <c r="H4" s="560"/>
      <c r="I4" s="561"/>
      <c r="J4" s="567"/>
      <c r="K4" s="567"/>
      <c r="L4" s="567"/>
      <c r="M4" s="567"/>
      <c r="N4" s="567"/>
      <c r="O4" s="567"/>
      <c r="P4" s="567"/>
      <c r="Q4" s="567"/>
      <c r="R4" s="567"/>
      <c r="S4" s="567"/>
      <c r="T4" s="567"/>
      <c r="U4" s="567"/>
      <c r="V4" s="567"/>
      <c r="W4" s="567"/>
      <c r="X4" s="567"/>
      <c r="Y4" s="567"/>
    </row>
    <row r="5" spans="1:25" ht="27" customHeight="1">
      <c r="A5" s="426"/>
      <c r="B5" s="566"/>
      <c r="C5" s="560"/>
      <c r="D5" s="560"/>
      <c r="E5" s="561"/>
      <c r="F5" s="566"/>
      <c r="G5" s="560"/>
      <c r="H5" s="560"/>
      <c r="I5" s="561"/>
      <c r="J5" s="567"/>
      <c r="K5" s="567"/>
      <c r="L5" s="567"/>
      <c r="M5" s="567"/>
      <c r="N5" s="567"/>
      <c r="O5" s="567"/>
      <c r="P5" s="567"/>
      <c r="Q5" s="567"/>
      <c r="R5" s="567"/>
      <c r="S5" s="567"/>
      <c r="T5" s="567"/>
      <c r="U5" s="567"/>
      <c r="V5" s="567"/>
      <c r="W5" s="567"/>
      <c r="X5" s="567"/>
      <c r="Y5" s="567"/>
    </row>
    <row r="6" spans="1:25" ht="27" customHeight="1">
      <c r="A6" s="426"/>
      <c r="B6" s="566"/>
      <c r="C6" s="560"/>
      <c r="D6" s="560"/>
      <c r="E6" s="561"/>
      <c r="F6" s="566"/>
      <c r="G6" s="560"/>
      <c r="H6" s="560"/>
      <c r="I6" s="561"/>
      <c r="J6" s="567"/>
      <c r="K6" s="567"/>
      <c r="L6" s="567"/>
      <c r="M6" s="567"/>
      <c r="N6" s="567"/>
      <c r="O6" s="567"/>
      <c r="P6" s="567"/>
      <c r="Q6" s="567"/>
      <c r="R6" s="567"/>
      <c r="S6" s="567"/>
      <c r="T6" s="567"/>
      <c r="U6" s="567"/>
      <c r="V6" s="567"/>
      <c r="W6" s="567"/>
      <c r="X6" s="567"/>
      <c r="Y6" s="567"/>
    </row>
    <row r="7" spans="1:25" ht="27" customHeight="1">
      <c r="A7" s="426"/>
      <c r="B7" s="566"/>
      <c r="C7" s="560"/>
      <c r="D7" s="560"/>
      <c r="E7" s="561"/>
      <c r="F7" s="566"/>
      <c r="G7" s="560"/>
      <c r="H7" s="560"/>
      <c r="I7" s="561"/>
      <c r="J7" s="567"/>
      <c r="K7" s="567"/>
      <c r="L7" s="567"/>
      <c r="M7" s="567"/>
      <c r="N7" s="567"/>
      <c r="O7" s="567"/>
      <c r="P7" s="567"/>
      <c r="Q7" s="567"/>
      <c r="R7" s="567"/>
      <c r="S7" s="567"/>
      <c r="T7" s="567"/>
      <c r="U7" s="567"/>
      <c r="V7" s="567"/>
      <c r="W7" s="567"/>
      <c r="X7" s="567"/>
      <c r="Y7" s="567"/>
    </row>
    <row r="8" spans="1:25" ht="27" customHeight="1">
      <c r="A8" s="426"/>
      <c r="B8" s="566"/>
      <c r="C8" s="560"/>
      <c r="D8" s="560"/>
      <c r="E8" s="561"/>
      <c r="F8" s="566"/>
      <c r="G8" s="560"/>
      <c r="H8" s="560"/>
      <c r="I8" s="561"/>
      <c r="J8" s="567"/>
      <c r="K8" s="567"/>
      <c r="L8" s="567"/>
      <c r="M8" s="567"/>
      <c r="N8" s="567"/>
      <c r="O8" s="567"/>
      <c r="P8" s="567"/>
      <c r="Q8" s="567"/>
      <c r="R8" s="567"/>
      <c r="S8" s="567"/>
      <c r="T8" s="567"/>
      <c r="U8" s="567"/>
      <c r="V8" s="567"/>
      <c r="W8" s="567"/>
      <c r="X8" s="567"/>
      <c r="Y8" s="567"/>
    </row>
    <row r="9" spans="1:25" ht="27" customHeight="1">
      <c r="A9" s="426"/>
      <c r="B9" s="566"/>
      <c r="C9" s="560"/>
      <c r="D9" s="560"/>
      <c r="E9" s="561"/>
      <c r="F9" s="566"/>
      <c r="G9" s="560"/>
      <c r="H9" s="560"/>
      <c r="I9" s="561"/>
      <c r="J9" s="567"/>
      <c r="K9" s="567"/>
      <c r="L9" s="567"/>
      <c r="M9" s="567"/>
      <c r="N9" s="567"/>
      <c r="O9" s="567"/>
      <c r="P9" s="567"/>
      <c r="Q9" s="567"/>
      <c r="R9" s="567"/>
      <c r="S9" s="567"/>
      <c r="T9" s="567"/>
      <c r="U9" s="567"/>
      <c r="V9" s="567"/>
      <c r="W9" s="567"/>
      <c r="X9" s="567"/>
      <c r="Y9" s="567"/>
    </row>
    <row r="10" spans="1:25" ht="27" customHeight="1">
      <c r="A10" s="426"/>
      <c r="B10" s="566"/>
      <c r="C10" s="560"/>
      <c r="D10" s="560"/>
      <c r="E10" s="561"/>
      <c r="F10" s="566"/>
      <c r="G10" s="560"/>
      <c r="H10" s="560"/>
      <c r="I10" s="561"/>
      <c r="J10" s="567"/>
      <c r="K10" s="567"/>
      <c r="L10" s="567"/>
      <c r="M10" s="567"/>
      <c r="N10" s="567"/>
      <c r="O10" s="567"/>
      <c r="P10" s="567"/>
      <c r="Q10" s="567"/>
      <c r="R10" s="567"/>
      <c r="S10" s="567"/>
      <c r="T10" s="567"/>
      <c r="U10" s="567"/>
      <c r="V10" s="567"/>
      <c r="W10" s="567"/>
      <c r="X10" s="567"/>
      <c r="Y10" s="567"/>
    </row>
    <row r="11" spans="1:25" ht="27" customHeight="1">
      <c r="A11" s="426"/>
      <c r="B11" s="566"/>
      <c r="C11" s="560"/>
      <c r="D11" s="560"/>
      <c r="E11" s="561"/>
      <c r="F11" s="566"/>
      <c r="G11" s="560"/>
      <c r="H11" s="560"/>
      <c r="I11" s="561"/>
      <c r="J11" s="567"/>
      <c r="K11" s="567"/>
      <c r="L11" s="567"/>
      <c r="M11" s="567"/>
      <c r="N11" s="567"/>
      <c r="O11" s="567"/>
      <c r="P11" s="567"/>
      <c r="Q11" s="567"/>
      <c r="R11" s="567"/>
      <c r="S11" s="567"/>
      <c r="T11" s="567"/>
      <c r="U11" s="567"/>
      <c r="V11" s="567"/>
      <c r="W11" s="567"/>
      <c r="X11" s="567"/>
      <c r="Y11" s="567"/>
    </row>
    <row r="12" spans="1:25" ht="27" customHeight="1">
      <c r="A12" s="426"/>
      <c r="B12" s="566"/>
      <c r="C12" s="560"/>
      <c r="D12" s="560"/>
      <c r="E12" s="561"/>
      <c r="F12" s="566"/>
      <c r="G12" s="560"/>
      <c r="H12" s="560"/>
      <c r="I12" s="561"/>
      <c r="J12" s="567"/>
      <c r="K12" s="567"/>
      <c r="L12" s="567"/>
      <c r="M12" s="567"/>
      <c r="N12" s="567"/>
      <c r="O12" s="567"/>
      <c r="P12" s="567"/>
      <c r="Q12" s="567"/>
      <c r="R12" s="567"/>
      <c r="S12" s="567"/>
      <c r="T12" s="567"/>
      <c r="U12" s="567"/>
      <c r="V12" s="567"/>
      <c r="W12" s="567"/>
      <c r="X12" s="567"/>
      <c r="Y12" s="567"/>
    </row>
    <row r="13" spans="1:25" ht="27" customHeight="1">
      <c r="A13" s="426"/>
      <c r="B13" s="566"/>
      <c r="C13" s="560"/>
      <c r="D13" s="560"/>
      <c r="E13" s="561"/>
      <c r="F13" s="566"/>
      <c r="G13" s="560"/>
      <c r="H13" s="560"/>
      <c r="I13" s="561"/>
      <c r="J13" s="567"/>
      <c r="K13" s="567"/>
      <c r="L13" s="567"/>
      <c r="M13" s="567"/>
      <c r="N13" s="567"/>
      <c r="O13" s="567"/>
      <c r="P13" s="567"/>
      <c r="Q13" s="567"/>
      <c r="R13" s="567"/>
      <c r="S13" s="567"/>
      <c r="T13" s="567"/>
      <c r="U13" s="567"/>
      <c r="V13" s="567"/>
      <c r="W13" s="567"/>
      <c r="X13" s="567"/>
      <c r="Y13" s="567"/>
    </row>
    <row r="14" spans="1:25" ht="27" customHeight="1">
      <c r="A14" s="426"/>
      <c r="B14" s="566"/>
      <c r="C14" s="560"/>
      <c r="D14" s="560"/>
      <c r="E14" s="561"/>
      <c r="F14" s="566"/>
      <c r="G14" s="560"/>
      <c r="H14" s="560"/>
      <c r="I14" s="561"/>
      <c r="J14" s="567"/>
      <c r="K14" s="567"/>
      <c r="L14" s="567"/>
      <c r="M14" s="567"/>
      <c r="N14" s="567"/>
      <c r="O14" s="567"/>
      <c r="P14" s="567"/>
      <c r="Q14" s="567"/>
      <c r="R14" s="567"/>
      <c r="S14" s="567"/>
      <c r="T14" s="567"/>
      <c r="U14" s="567"/>
      <c r="V14" s="567"/>
      <c r="W14" s="567"/>
      <c r="X14" s="567"/>
      <c r="Y14" s="567"/>
    </row>
    <row r="15" spans="1:25" ht="27" customHeight="1">
      <c r="A15" s="426"/>
      <c r="B15" s="566"/>
      <c r="C15" s="560"/>
      <c r="D15" s="560"/>
      <c r="E15" s="561"/>
      <c r="F15" s="566"/>
      <c r="G15" s="560"/>
      <c r="H15" s="560"/>
      <c r="I15" s="561"/>
      <c r="J15" s="567"/>
      <c r="K15" s="567"/>
      <c r="L15" s="567"/>
      <c r="M15" s="567"/>
      <c r="N15" s="567"/>
      <c r="O15" s="567"/>
      <c r="P15" s="567"/>
      <c r="Q15" s="567"/>
      <c r="R15" s="567"/>
      <c r="S15" s="567"/>
      <c r="T15" s="567"/>
      <c r="U15" s="567"/>
      <c r="V15" s="567"/>
      <c r="W15" s="567"/>
      <c r="X15" s="567"/>
      <c r="Y15" s="567"/>
    </row>
    <row r="16" spans="1:25" ht="27" customHeight="1">
      <c r="A16" s="426"/>
      <c r="B16" s="566"/>
      <c r="C16" s="560"/>
      <c r="D16" s="560"/>
      <c r="E16" s="561"/>
      <c r="F16" s="566"/>
      <c r="G16" s="560"/>
      <c r="H16" s="560"/>
      <c r="I16" s="561"/>
      <c r="J16" s="567"/>
      <c r="K16" s="567"/>
      <c r="L16" s="567"/>
      <c r="M16" s="567"/>
      <c r="N16" s="567"/>
      <c r="O16" s="567"/>
      <c r="P16" s="567"/>
      <c r="Q16" s="567"/>
      <c r="R16" s="567"/>
      <c r="S16" s="567"/>
      <c r="T16" s="567"/>
      <c r="U16" s="567"/>
      <c r="V16" s="567"/>
      <c r="W16" s="567"/>
      <c r="X16" s="567"/>
      <c r="Y16" s="567"/>
    </row>
    <row r="17" spans="1:25" ht="27" customHeight="1">
      <c r="A17" s="426"/>
      <c r="B17" s="566"/>
      <c r="C17" s="560"/>
      <c r="D17" s="560"/>
      <c r="E17" s="561"/>
      <c r="F17" s="566"/>
      <c r="G17" s="560"/>
      <c r="H17" s="560"/>
      <c r="I17" s="561"/>
      <c r="J17" s="567"/>
      <c r="K17" s="567"/>
      <c r="L17" s="567"/>
      <c r="M17" s="567"/>
      <c r="N17" s="567"/>
      <c r="O17" s="567"/>
      <c r="P17" s="567"/>
      <c r="Q17" s="567"/>
      <c r="R17" s="567"/>
      <c r="S17" s="567"/>
      <c r="T17" s="567"/>
      <c r="U17" s="567"/>
      <c r="V17" s="567"/>
      <c r="W17" s="567"/>
      <c r="X17" s="567"/>
      <c r="Y17" s="567"/>
    </row>
    <row r="18" spans="1:25" ht="27" customHeight="1">
      <c r="A18" s="426"/>
      <c r="B18" s="566"/>
      <c r="C18" s="560"/>
      <c r="D18" s="560"/>
      <c r="E18" s="561"/>
      <c r="F18" s="566"/>
      <c r="G18" s="560"/>
      <c r="H18" s="560"/>
      <c r="I18" s="561"/>
      <c r="J18" s="567"/>
      <c r="K18" s="567"/>
      <c r="L18" s="567"/>
      <c r="M18" s="567"/>
      <c r="N18" s="567"/>
      <c r="O18" s="567"/>
      <c r="P18" s="567"/>
      <c r="Q18" s="567"/>
      <c r="R18" s="567"/>
      <c r="S18" s="567"/>
      <c r="T18" s="567"/>
      <c r="U18" s="567"/>
      <c r="V18" s="567"/>
      <c r="W18" s="567"/>
      <c r="X18" s="567"/>
      <c r="Y18" s="567"/>
    </row>
    <row r="19" spans="1:25" ht="27" customHeight="1">
      <c r="A19" s="426"/>
      <c r="B19" s="566"/>
      <c r="C19" s="560"/>
      <c r="D19" s="560"/>
      <c r="E19" s="561"/>
      <c r="F19" s="566"/>
      <c r="G19" s="560"/>
      <c r="H19" s="560"/>
      <c r="I19" s="561"/>
      <c r="J19" s="567"/>
      <c r="K19" s="567"/>
      <c r="L19" s="567"/>
      <c r="M19" s="567"/>
      <c r="N19" s="567"/>
      <c r="O19" s="567"/>
      <c r="P19" s="567"/>
      <c r="Q19" s="567"/>
      <c r="R19" s="567"/>
      <c r="S19" s="567"/>
      <c r="T19" s="567"/>
      <c r="U19" s="567"/>
      <c r="V19" s="567"/>
      <c r="W19" s="567"/>
      <c r="X19" s="567"/>
      <c r="Y19" s="567"/>
    </row>
    <row r="20" spans="1:25" ht="27" customHeight="1">
      <c r="A20" s="426"/>
      <c r="B20" s="566"/>
      <c r="C20" s="560"/>
      <c r="D20" s="560"/>
      <c r="E20" s="561"/>
      <c r="F20" s="566"/>
      <c r="G20" s="560"/>
      <c r="H20" s="560"/>
      <c r="I20" s="561"/>
      <c r="J20" s="567"/>
      <c r="K20" s="567"/>
      <c r="L20" s="567"/>
      <c r="M20" s="567"/>
      <c r="N20" s="567"/>
      <c r="O20" s="567"/>
      <c r="P20" s="567"/>
      <c r="Q20" s="567"/>
      <c r="R20" s="567"/>
      <c r="S20" s="567"/>
      <c r="T20" s="567"/>
      <c r="U20" s="567"/>
      <c r="V20" s="567"/>
      <c r="W20" s="567"/>
      <c r="X20" s="567"/>
      <c r="Y20" s="567"/>
    </row>
  </sheetData>
  <mergeCells count="133">
    <mergeCell ref="V2:Y2"/>
    <mergeCell ref="B3:E3"/>
    <mergeCell ref="F3:I3"/>
    <mergeCell ref="J3:K3"/>
    <mergeCell ref="L3:M3"/>
    <mergeCell ref="N3:Q3"/>
    <mergeCell ref="R3:U3"/>
    <mergeCell ref="V3:Y3"/>
    <mergeCell ref="B2:E2"/>
    <mergeCell ref="F2:I2"/>
    <mergeCell ref="J2:K2"/>
    <mergeCell ref="L2:M2"/>
    <mergeCell ref="N2:Q2"/>
    <mergeCell ref="R2:U2"/>
    <mergeCell ref="V4:Y4"/>
    <mergeCell ref="B5:E5"/>
    <mergeCell ref="F5:I5"/>
    <mergeCell ref="J5:K5"/>
    <mergeCell ref="L5:M5"/>
    <mergeCell ref="N5:Q5"/>
    <mergeCell ref="R5:U5"/>
    <mergeCell ref="V5:Y5"/>
    <mergeCell ref="B4:E4"/>
    <mergeCell ref="F4:I4"/>
    <mergeCell ref="J4:K4"/>
    <mergeCell ref="L4:M4"/>
    <mergeCell ref="N4:Q4"/>
    <mergeCell ref="R4:U4"/>
    <mergeCell ref="V6:Y6"/>
    <mergeCell ref="B7:E7"/>
    <mergeCell ref="F7:I7"/>
    <mergeCell ref="J7:K7"/>
    <mergeCell ref="L7:M7"/>
    <mergeCell ref="N7:Q7"/>
    <mergeCell ref="R7:U7"/>
    <mergeCell ref="V7:Y7"/>
    <mergeCell ref="B6:E6"/>
    <mergeCell ref="F6:I6"/>
    <mergeCell ref="J6:K6"/>
    <mergeCell ref="L6:M6"/>
    <mergeCell ref="N6:Q6"/>
    <mergeCell ref="R6:U6"/>
    <mergeCell ref="V8:Y8"/>
    <mergeCell ref="B9:E9"/>
    <mergeCell ref="F9:I9"/>
    <mergeCell ref="J9:K9"/>
    <mergeCell ref="L9:M9"/>
    <mergeCell ref="N9:Q9"/>
    <mergeCell ref="R9:U9"/>
    <mergeCell ref="V9:Y9"/>
    <mergeCell ref="B8:E8"/>
    <mergeCell ref="F8:I8"/>
    <mergeCell ref="J8:K8"/>
    <mergeCell ref="L8:M8"/>
    <mergeCell ref="N8:Q8"/>
    <mergeCell ref="R8:U8"/>
    <mergeCell ref="V10:Y10"/>
    <mergeCell ref="B11:E11"/>
    <mergeCell ref="F11:I11"/>
    <mergeCell ref="J11:K11"/>
    <mergeCell ref="L11:M11"/>
    <mergeCell ref="N11:Q11"/>
    <mergeCell ref="R11:U11"/>
    <mergeCell ref="V11:Y11"/>
    <mergeCell ref="B10:E10"/>
    <mergeCell ref="F10:I10"/>
    <mergeCell ref="J10:K10"/>
    <mergeCell ref="L10:M10"/>
    <mergeCell ref="N10:Q10"/>
    <mergeCell ref="R10:U10"/>
    <mergeCell ref="V12:Y12"/>
    <mergeCell ref="B13:E13"/>
    <mergeCell ref="F13:I13"/>
    <mergeCell ref="J13:K13"/>
    <mergeCell ref="L13:M13"/>
    <mergeCell ref="N13:Q13"/>
    <mergeCell ref="R13:U13"/>
    <mergeCell ref="V13:Y13"/>
    <mergeCell ref="B12:E12"/>
    <mergeCell ref="F12:I12"/>
    <mergeCell ref="J12:K12"/>
    <mergeCell ref="L12:M12"/>
    <mergeCell ref="N12:Q12"/>
    <mergeCell ref="R12:U12"/>
    <mergeCell ref="V14:Y14"/>
    <mergeCell ref="B15:E15"/>
    <mergeCell ref="F15:I15"/>
    <mergeCell ref="J15:K15"/>
    <mergeCell ref="L15:M15"/>
    <mergeCell ref="N15:Q15"/>
    <mergeCell ref="R15:U15"/>
    <mergeCell ref="V15:Y15"/>
    <mergeCell ref="B14:E14"/>
    <mergeCell ref="F14:I14"/>
    <mergeCell ref="J14:K14"/>
    <mergeCell ref="L14:M14"/>
    <mergeCell ref="N14:Q14"/>
    <mergeCell ref="R14:U14"/>
    <mergeCell ref="V16:Y16"/>
    <mergeCell ref="B17:E17"/>
    <mergeCell ref="F17:I17"/>
    <mergeCell ref="J17:K17"/>
    <mergeCell ref="L17:M17"/>
    <mergeCell ref="N17:Q17"/>
    <mergeCell ref="R17:U17"/>
    <mergeCell ref="V17:Y17"/>
    <mergeCell ref="B16:E16"/>
    <mergeCell ref="F16:I16"/>
    <mergeCell ref="J16:K16"/>
    <mergeCell ref="L16:M16"/>
    <mergeCell ref="N16:Q16"/>
    <mergeCell ref="R16:U16"/>
    <mergeCell ref="V20:Y20"/>
    <mergeCell ref="B20:E20"/>
    <mergeCell ref="F20:I20"/>
    <mergeCell ref="J20:K20"/>
    <mergeCell ref="L20:M20"/>
    <mergeCell ref="N20:Q20"/>
    <mergeCell ref="R20:U20"/>
    <mergeCell ref="V18:Y18"/>
    <mergeCell ref="B19:E19"/>
    <mergeCell ref="F19:I19"/>
    <mergeCell ref="J19:K19"/>
    <mergeCell ref="L19:M19"/>
    <mergeCell ref="N19:Q19"/>
    <mergeCell ref="R19:U19"/>
    <mergeCell ref="V19:Y19"/>
    <mergeCell ref="B18:E18"/>
    <mergeCell ref="F18:I18"/>
    <mergeCell ref="J18:K18"/>
    <mergeCell ref="L18:M18"/>
    <mergeCell ref="N18:Q18"/>
    <mergeCell ref="R18:U18"/>
  </mergeCells>
  <phoneticPr fontId="2"/>
  <pageMargins left="0.31496062992125984" right="0.31496062992125984" top="0.35433070866141736" bottom="0.35433070866141736" header="0.31496062992125984" footer="0.31496062992125984"/>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2">
    <tabColor theme="7" tint="0.79998168889431442"/>
    <pageSetUpPr fitToPage="1"/>
  </sheetPr>
  <dimension ref="A1:AY55"/>
  <sheetViews>
    <sheetView showGridLines="0" showRowColHeaders="0" zoomScale="95" zoomScaleNormal="95" zoomScaleSheetLayoutView="95" workbookViewId="0">
      <pane ySplit="12" topLeftCell="A13" activePane="bottomLeft" state="frozen"/>
      <selection activeCell="E11" sqref="E11"/>
      <selection pane="bottomLeft" activeCell="X9" sqref="X9"/>
    </sheetView>
  </sheetViews>
  <sheetFormatPr defaultColWidth="2.375" defaultRowHeight="18.75"/>
  <cols>
    <col min="1" max="9" width="2.375" style="211" customWidth="1"/>
    <col min="10" max="19" width="2.875" style="211" customWidth="1"/>
    <col min="20" max="36" width="2.875" style="246" customWidth="1"/>
    <col min="37" max="57" width="2.875" style="211" customWidth="1"/>
    <col min="58" max="16384" width="2.375" style="211"/>
  </cols>
  <sheetData>
    <row r="1" spans="1:51" ht="13.5" customHeight="1">
      <c r="A1" s="210" t="s">
        <v>1319</v>
      </c>
      <c r="B1" s="210"/>
      <c r="C1" s="210"/>
      <c r="D1" s="210"/>
      <c r="E1" s="210"/>
      <c r="F1" s="210"/>
      <c r="G1" s="210"/>
      <c r="H1" s="210"/>
      <c r="I1" s="210"/>
      <c r="J1" s="210"/>
      <c r="K1" s="210"/>
      <c r="L1" s="210"/>
      <c r="M1" s="210"/>
      <c r="N1" s="210"/>
      <c r="O1" s="210"/>
      <c r="P1" s="210"/>
      <c r="Q1" s="210"/>
      <c r="R1" s="210"/>
      <c r="S1" s="210"/>
      <c r="T1" s="252"/>
      <c r="U1" s="252"/>
      <c r="V1" s="252"/>
      <c r="W1" s="252"/>
      <c r="X1" s="252"/>
      <c r="Y1" s="252"/>
      <c r="Z1" s="252"/>
      <c r="AA1" s="252"/>
      <c r="AB1" s="252"/>
      <c r="AC1" s="252"/>
      <c r="AD1" s="252"/>
      <c r="AE1" s="252"/>
      <c r="AF1" s="252"/>
      <c r="AG1" s="252"/>
      <c r="AH1" s="252"/>
      <c r="AI1" s="252"/>
      <c r="AJ1" s="252"/>
      <c r="AK1" s="210"/>
      <c r="AL1" s="210"/>
      <c r="AM1" s="210"/>
      <c r="AN1" s="210"/>
      <c r="AO1" s="210"/>
      <c r="AP1" s="210"/>
      <c r="AQ1" s="210"/>
      <c r="AR1" s="210"/>
      <c r="AS1" s="210"/>
      <c r="AT1" s="210"/>
      <c r="AU1" s="210"/>
      <c r="AV1" s="210"/>
      <c r="AW1" s="210"/>
      <c r="AX1" s="210"/>
      <c r="AY1" s="210"/>
    </row>
    <row r="2" spans="1:51" ht="26.1" customHeight="1">
      <c r="A2" s="247" t="s">
        <v>1320</v>
      </c>
      <c r="B2" s="247"/>
      <c r="C2" s="247"/>
      <c r="D2" s="247"/>
      <c r="E2" s="247"/>
      <c r="F2" s="247"/>
      <c r="G2" s="247"/>
      <c r="H2" s="247"/>
      <c r="I2" s="247"/>
      <c r="J2" s="247"/>
      <c r="K2" s="247"/>
      <c r="L2" s="247"/>
      <c r="M2" s="247"/>
      <c r="N2" s="247"/>
      <c r="O2" s="247"/>
      <c r="P2" s="247"/>
      <c r="Q2" s="247"/>
      <c r="R2" s="247"/>
      <c r="S2" s="247"/>
      <c r="T2" s="253"/>
      <c r="U2" s="253"/>
      <c r="V2" s="253"/>
      <c r="W2" s="253"/>
      <c r="X2" s="253"/>
      <c r="Y2" s="253"/>
      <c r="Z2" s="253"/>
      <c r="AA2" s="253"/>
      <c r="AB2" s="253"/>
      <c r="AC2" s="253"/>
      <c r="AD2" s="253"/>
      <c r="AE2" s="253"/>
      <c r="AF2" s="253"/>
      <c r="AG2" s="253"/>
      <c r="AH2" s="253"/>
      <c r="AI2" s="253"/>
      <c r="AJ2" s="253"/>
      <c r="AK2" s="247"/>
      <c r="AL2" s="247"/>
      <c r="AM2" s="247"/>
      <c r="AN2" s="247"/>
      <c r="AO2" s="247"/>
      <c r="AP2" s="247"/>
      <c r="AQ2" s="247"/>
      <c r="AR2" s="247"/>
      <c r="AS2" s="247"/>
      <c r="AT2" s="247"/>
      <c r="AU2" s="247"/>
      <c r="AV2" s="247"/>
      <c r="AW2" s="247"/>
      <c r="AX2" s="247"/>
      <c r="AY2" s="247"/>
    </row>
    <row r="3" spans="1:51" ht="13.5" customHeight="1">
      <c r="A3" s="210"/>
      <c r="B3" s="210"/>
      <c r="C3" s="210"/>
      <c r="D3" s="210"/>
      <c r="E3" s="210"/>
      <c r="F3" s="210"/>
      <c r="G3" s="210"/>
      <c r="H3" s="210"/>
      <c r="I3" s="210"/>
      <c r="J3" s="210"/>
      <c r="K3" s="210"/>
      <c r="L3" s="210"/>
      <c r="M3" s="210"/>
      <c r="N3" s="210"/>
      <c r="O3" s="210"/>
      <c r="P3" s="210"/>
      <c r="Q3" s="210"/>
      <c r="R3" s="210"/>
      <c r="S3" s="210"/>
      <c r="T3" s="252"/>
      <c r="U3" s="252"/>
      <c r="V3" s="252"/>
      <c r="W3" s="252"/>
      <c r="X3" s="252"/>
      <c r="Y3" s="252"/>
      <c r="Z3" s="252"/>
      <c r="AA3" s="252"/>
      <c r="AB3" s="252"/>
      <c r="AC3" s="252"/>
      <c r="AD3" s="252"/>
      <c r="AE3" s="252"/>
      <c r="AF3" s="252"/>
      <c r="AG3" s="252"/>
      <c r="AH3" s="252"/>
      <c r="AI3" s="252"/>
      <c r="AJ3" s="252"/>
      <c r="AK3" s="210"/>
      <c r="AL3" s="210"/>
      <c r="AM3" s="210"/>
      <c r="AN3" s="210"/>
      <c r="AO3" s="210"/>
      <c r="AP3" s="210"/>
      <c r="AQ3" s="210"/>
      <c r="AR3" s="174" t="s">
        <v>1247</v>
      </c>
      <c r="AS3" s="564" t="str">
        <f>契約日ほか!K20</f>
        <v/>
      </c>
      <c r="AT3" s="564"/>
      <c r="AU3" s="564"/>
      <c r="AV3" s="564"/>
      <c r="AW3" s="564"/>
      <c r="AX3" s="564"/>
      <c r="AY3" s="564"/>
    </row>
    <row r="4" spans="1:51" ht="13.5" customHeight="1">
      <c r="A4" s="210"/>
      <c r="B4" s="210"/>
      <c r="C4" s="210"/>
      <c r="D4" s="212" t="s">
        <v>1321</v>
      </c>
      <c r="E4" s="210" t="str">
        <f>IF(入札結果!G8="",REPT("　",14),入札結果!G8)&amp;"　殿"</f>
        <v>　　　　　　　　　　　　　　　殿</v>
      </c>
      <c r="F4" s="210"/>
      <c r="G4" s="210"/>
      <c r="H4" s="210"/>
      <c r="I4" s="210"/>
      <c r="J4" s="210"/>
      <c r="K4" s="210"/>
      <c r="L4" s="210"/>
      <c r="N4" s="210"/>
      <c r="O4" s="210"/>
      <c r="P4" s="210"/>
      <c r="Q4" s="210"/>
      <c r="R4" s="210"/>
      <c r="S4" s="210"/>
      <c r="T4" s="252"/>
      <c r="U4" s="252"/>
      <c r="V4" s="252"/>
      <c r="W4" s="252"/>
      <c r="X4" s="252"/>
      <c r="Y4" s="252"/>
      <c r="Z4" s="252"/>
      <c r="AA4" s="252"/>
      <c r="AB4" s="252"/>
      <c r="AC4" s="252"/>
      <c r="AD4" s="252"/>
      <c r="AE4" s="252"/>
      <c r="AF4" s="252"/>
      <c r="AG4" s="252"/>
      <c r="AH4" s="252"/>
      <c r="AI4" s="252"/>
      <c r="AJ4" s="252"/>
      <c r="AK4" s="210"/>
      <c r="AL4" s="210"/>
      <c r="AM4" s="210"/>
      <c r="AN4" s="210"/>
      <c r="AO4" s="210"/>
      <c r="AP4" s="210"/>
      <c r="AQ4" s="210"/>
      <c r="AR4" s="210"/>
      <c r="AS4" s="210"/>
      <c r="AT4" s="210"/>
      <c r="AU4" s="210"/>
      <c r="AV4" s="210"/>
      <c r="AW4" s="210"/>
      <c r="AX4" s="210"/>
      <c r="AY4" s="210"/>
    </row>
    <row r="5" spans="1:51" ht="13.5" customHeight="1">
      <c r="A5" s="210"/>
      <c r="B5" s="210"/>
      <c r="C5" s="210"/>
      <c r="D5" s="210"/>
      <c r="E5" s="210"/>
      <c r="F5" s="210"/>
      <c r="G5" s="210"/>
      <c r="H5" s="210"/>
      <c r="I5" s="210"/>
      <c r="J5" s="210"/>
      <c r="K5" s="210"/>
      <c r="L5" s="210"/>
      <c r="M5" s="210"/>
      <c r="N5" s="210"/>
      <c r="O5" s="210"/>
      <c r="P5" s="210"/>
      <c r="Q5" s="210"/>
      <c r="R5" s="210"/>
      <c r="S5" s="210"/>
      <c r="T5" s="252"/>
      <c r="U5" s="252"/>
      <c r="V5" s="252"/>
      <c r="W5" s="252"/>
      <c r="X5" s="252"/>
      <c r="Y5" s="252"/>
      <c r="Z5" s="252"/>
      <c r="AA5" s="252"/>
      <c r="AB5" s="252"/>
      <c r="AC5" s="252"/>
      <c r="AD5" s="252"/>
      <c r="AE5" s="252"/>
      <c r="AF5" s="252"/>
      <c r="AG5" s="252"/>
      <c r="AH5" s="252"/>
      <c r="AI5" s="252"/>
      <c r="AJ5" s="252"/>
      <c r="AK5" s="210"/>
      <c r="AL5" s="210"/>
      <c r="AM5" s="210"/>
      <c r="AN5" s="210"/>
      <c r="AO5" s="210"/>
      <c r="AP5" s="210"/>
      <c r="AQ5" s="210"/>
      <c r="AR5" s="210"/>
      <c r="AS5" s="210"/>
      <c r="AT5" s="210"/>
      <c r="AU5" s="210"/>
      <c r="AV5" s="210"/>
      <c r="AW5" s="210"/>
      <c r="AX5" s="210"/>
      <c r="AY5" s="210"/>
    </row>
    <row r="6" spans="1:51" ht="13.5" customHeight="1">
      <c r="A6" s="210"/>
      <c r="B6" s="210"/>
      <c r="C6" s="210"/>
      <c r="D6" s="210"/>
      <c r="E6" s="210"/>
      <c r="F6" s="210"/>
      <c r="G6" s="210"/>
      <c r="H6" s="210"/>
      <c r="I6" s="210"/>
      <c r="J6" s="210"/>
      <c r="K6" s="210"/>
      <c r="L6" s="210"/>
      <c r="M6" s="210"/>
      <c r="N6" s="210"/>
      <c r="O6" s="210"/>
      <c r="P6" s="210"/>
      <c r="Q6" s="210"/>
      <c r="R6" s="210"/>
      <c r="S6" s="210"/>
      <c r="T6" s="252"/>
      <c r="U6" s="252"/>
      <c r="V6" s="252"/>
      <c r="W6" s="252"/>
      <c r="X6" s="252"/>
      <c r="Y6" s="252"/>
      <c r="Z6" s="252"/>
      <c r="AA6" s="252"/>
      <c r="AB6" s="252"/>
      <c r="AC6" s="252"/>
      <c r="AD6" s="252"/>
      <c r="AE6" s="252"/>
      <c r="AF6" s="252"/>
      <c r="AG6" s="213"/>
      <c r="AH6" s="213"/>
      <c r="AI6" s="216"/>
      <c r="AJ6" s="214" t="str">
        <f ca="1">受注者情報!N8</f>
        <v/>
      </c>
      <c r="AK6" s="216"/>
      <c r="AL6" s="216"/>
      <c r="AM6" s="216"/>
      <c r="AN6" s="216"/>
      <c r="AO6" s="216"/>
      <c r="AP6" s="216"/>
      <c r="AQ6" s="216"/>
      <c r="AR6" s="216"/>
      <c r="AS6" s="216"/>
      <c r="AT6" s="216"/>
      <c r="AU6" s="216"/>
    </row>
    <row r="7" spans="1:51" ht="13.5" customHeight="1">
      <c r="A7" s="577" t="s">
        <v>1322</v>
      </c>
      <c r="B7" s="577"/>
      <c r="C7" s="577"/>
      <c r="D7" s="249" t="str">
        <f>入札結果!G12</f>
        <v/>
      </c>
      <c r="E7" s="248"/>
      <c r="F7" s="248"/>
      <c r="G7" s="248"/>
      <c r="H7" s="248"/>
      <c r="I7" s="248"/>
      <c r="J7" s="248"/>
      <c r="K7" s="248"/>
      <c r="L7" s="248"/>
      <c r="M7" s="248"/>
      <c r="N7" s="248"/>
      <c r="O7" s="248"/>
      <c r="P7" s="248"/>
      <c r="Q7" s="248"/>
      <c r="R7" s="248"/>
      <c r="S7" s="248"/>
      <c r="T7" s="254"/>
      <c r="U7" s="254"/>
      <c r="V7" s="254"/>
      <c r="W7" s="254"/>
      <c r="X7" s="254"/>
      <c r="Y7" s="254"/>
      <c r="Z7" s="254"/>
      <c r="AA7" s="254"/>
      <c r="AB7" s="254"/>
      <c r="AC7" s="254"/>
      <c r="AD7" s="254"/>
      <c r="AE7" s="254"/>
      <c r="AF7" s="254"/>
      <c r="AG7" s="248"/>
      <c r="AH7" s="210"/>
      <c r="AI7" s="216"/>
      <c r="AJ7" s="214" t="str">
        <f ca="1">受注者情報!N9</f>
        <v/>
      </c>
      <c r="AL7" s="216"/>
      <c r="AM7" s="216"/>
      <c r="AN7" s="216"/>
      <c r="AO7" s="216"/>
      <c r="AP7" s="216"/>
      <c r="AQ7" s="216"/>
      <c r="AR7" s="216"/>
      <c r="AS7" s="216"/>
      <c r="AT7" s="216"/>
      <c r="AU7" s="216"/>
    </row>
    <row r="8" spans="1:51" ht="13.5" customHeight="1">
      <c r="A8" s="577" t="s">
        <v>1252</v>
      </c>
      <c r="B8" s="577"/>
      <c r="C8" s="577"/>
      <c r="D8" s="210" t="s">
        <v>1323</v>
      </c>
      <c r="E8" s="564" t="str">
        <f>IFERROR(契約日ほか!K22,"")</f>
        <v/>
      </c>
      <c r="F8" s="564"/>
      <c r="G8" s="564"/>
      <c r="H8" s="564"/>
      <c r="I8" s="564"/>
      <c r="J8" s="564"/>
      <c r="K8" s="564"/>
      <c r="L8" s="210"/>
      <c r="M8" s="210" t="s">
        <v>1324</v>
      </c>
      <c r="N8" s="564" t="str">
        <f>IFERROR(契約日ほか!K23,"")</f>
        <v/>
      </c>
      <c r="O8" s="564"/>
      <c r="P8" s="564"/>
      <c r="Q8" s="564"/>
      <c r="R8" s="564"/>
      <c r="S8" s="564"/>
      <c r="T8" s="255"/>
      <c r="U8" s="252"/>
      <c r="V8" s="252"/>
      <c r="W8" s="252"/>
      <c r="X8" s="252"/>
      <c r="Y8" s="252"/>
      <c r="Z8" s="252"/>
      <c r="AA8" s="252"/>
      <c r="AB8" s="252"/>
      <c r="AC8" s="252"/>
      <c r="AD8" s="252"/>
      <c r="AE8" s="252"/>
      <c r="AF8" s="252"/>
      <c r="AG8" s="213"/>
      <c r="AH8" s="213" t="s">
        <v>1248</v>
      </c>
      <c r="AI8" s="214"/>
      <c r="AJ8" s="214" t="str">
        <f ca="1">受注者情報!N10</f>
        <v/>
      </c>
      <c r="AK8" s="214"/>
      <c r="AL8" s="214"/>
      <c r="AM8" s="214"/>
      <c r="AN8" s="214"/>
      <c r="AO8" s="214"/>
      <c r="AP8" s="214"/>
      <c r="AQ8" s="214"/>
      <c r="AR8" s="214"/>
      <c r="AS8" s="214"/>
      <c r="AT8" s="214"/>
      <c r="AU8" s="214"/>
    </row>
    <row r="9" spans="1:51" ht="13.5" customHeight="1">
      <c r="A9" s="213"/>
      <c r="B9" s="213"/>
      <c r="C9" s="213"/>
      <c r="D9" s="210"/>
      <c r="E9" s="177"/>
      <c r="F9" s="177"/>
      <c r="G9" s="177"/>
      <c r="H9" s="177"/>
      <c r="I9" s="177"/>
      <c r="J9" s="177"/>
      <c r="K9" s="177"/>
      <c r="L9" s="210"/>
      <c r="M9" s="210"/>
      <c r="N9" s="177"/>
      <c r="O9" s="177"/>
      <c r="P9" s="177"/>
      <c r="Q9" s="177"/>
      <c r="R9" s="177"/>
      <c r="S9" s="177"/>
      <c r="T9" s="255"/>
      <c r="U9" s="252"/>
      <c r="V9" s="252"/>
      <c r="W9" s="252"/>
      <c r="X9" s="252"/>
      <c r="Y9" s="252"/>
      <c r="Z9" s="252"/>
      <c r="AA9" s="252"/>
      <c r="AB9" s="252"/>
      <c r="AC9" s="252"/>
      <c r="AD9" s="252"/>
      <c r="AE9" s="252"/>
      <c r="AF9" s="252"/>
      <c r="AG9" s="213"/>
      <c r="AH9" s="213"/>
      <c r="AI9" s="214"/>
      <c r="AJ9" s="214" t="str">
        <f ca="1">受注者情報!N11</f>
        <v/>
      </c>
      <c r="AK9" s="214"/>
      <c r="AL9" s="214"/>
      <c r="AM9" s="214"/>
      <c r="AN9" s="214"/>
      <c r="AO9" s="214"/>
      <c r="AP9" s="214"/>
      <c r="AQ9" s="214"/>
      <c r="AR9" s="214"/>
      <c r="AS9" s="214"/>
      <c r="AT9" s="214"/>
      <c r="AU9" s="214"/>
    </row>
    <row r="10" spans="1:51" ht="13.5" customHeight="1" thickBot="1">
      <c r="A10" s="210"/>
      <c r="B10" s="210"/>
      <c r="C10" s="210"/>
      <c r="D10" s="210"/>
      <c r="E10" s="210"/>
      <c r="F10" s="210"/>
      <c r="G10" s="210"/>
      <c r="H10" s="210"/>
      <c r="I10" s="210"/>
      <c r="J10" s="210"/>
      <c r="K10" s="210"/>
      <c r="L10" s="210"/>
      <c r="M10" s="210"/>
      <c r="N10" s="210"/>
      <c r="O10" s="210"/>
      <c r="P10" s="210"/>
      <c r="Q10" s="210"/>
      <c r="R10" s="210"/>
      <c r="S10" s="210"/>
      <c r="T10" s="252"/>
      <c r="U10" s="252"/>
      <c r="V10" s="252"/>
      <c r="W10" s="252"/>
      <c r="X10" s="252"/>
      <c r="Y10" s="252"/>
      <c r="Z10" s="252"/>
      <c r="AA10" s="252"/>
      <c r="AB10" s="252"/>
      <c r="AC10" s="252"/>
      <c r="AD10" s="252"/>
      <c r="AE10" s="252"/>
      <c r="AF10" s="252"/>
      <c r="AG10" s="210"/>
      <c r="AH10" s="210"/>
      <c r="AI10" s="210"/>
      <c r="AJ10" s="214" t="str">
        <f ca="1">受注者情報!N12</f>
        <v/>
      </c>
      <c r="AK10" s="210"/>
      <c r="AL10" s="210"/>
      <c r="AM10" s="210"/>
      <c r="AN10" s="210"/>
      <c r="AO10" s="210"/>
      <c r="AP10" s="210"/>
      <c r="AQ10" s="210"/>
      <c r="AR10" s="210"/>
      <c r="AS10" s="210"/>
      <c r="AT10" s="210"/>
      <c r="AU10" s="210"/>
    </row>
    <row r="11" spans="1:51" ht="13.5" customHeight="1">
      <c r="A11" s="578" t="s">
        <v>1325</v>
      </c>
      <c r="B11" s="579"/>
      <c r="C11" s="579"/>
      <c r="D11" s="579"/>
      <c r="E11" s="579"/>
      <c r="F11" s="579"/>
      <c r="G11" s="579"/>
      <c r="H11" s="579"/>
      <c r="I11" s="580"/>
      <c r="J11" s="584" t="s">
        <v>1326</v>
      </c>
      <c r="K11" s="579"/>
      <c r="L11" s="250"/>
      <c r="M11" s="250"/>
      <c r="N11" s="250"/>
      <c r="O11" s="250"/>
      <c r="P11" s="250"/>
      <c r="Q11" s="250"/>
      <c r="R11" s="250"/>
      <c r="S11" s="250"/>
      <c r="T11" s="256"/>
      <c r="U11" s="256"/>
      <c r="V11" s="256"/>
      <c r="W11" s="256"/>
      <c r="X11" s="256"/>
      <c r="Y11" s="256"/>
      <c r="Z11" s="256"/>
      <c r="AA11" s="256"/>
      <c r="AB11" s="256"/>
      <c r="AC11" s="256"/>
      <c r="AD11" s="256"/>
      <c r="AE11" s="256"/>
      <c r="AF11" s="256"/>
      <c r="AG11" s="256"/>
      <c r="AH11" s="256"/>
      <c r="AI11" s="256"/>
      <c r="AJ11" s="256"/>
      <c r="AK11" s="250"/>
      <c r="AL11" s="250"/>
      <c r="AM11" s="250"/>
      <c r="AN11" s="250"/>
      <c r="AO11" s="250"/>
      <c r="AP11" s="250"/>
      <c r="AQ11" s="250"/>
      <c r="AR11" s="250"/>
      <c r="AS11" s="250"/>
      <c r="AT11" s="250"/>
      <c r="AU11" s="250"/>
      <c r="AV11" s="250"/>
      <c r="AW11" s="250"/>
      <c r="AX11" s="586" t="s">
        <v>1327</v>
      </c>
      <c r="AY11" s="587"/>
    </row>
    <row r="12" spans="1:51" ht="13.5" customHeight="1" thickBot="1">
      <c r="A12" s="581"/>
      <c r="B12" s="582"/>
      <c r="C12" s="582"/>
      <c r="D12" s="582"/>
      <c r="E12" s="582"/>
      <c r="F12" s="582"/>
      <c r="G12" s="582"/>
      <c r="H12" s="582"/>
      <c r="I12" s="583"/>
      <c r="J12" s="585"/>
      <c r="K12" s="582"/>
      <c r="L12" s="251"/>
      <c r="M12" s="251"/>
      <c r="N12" s="251"/>
      <c r="O12" s="251"/>
      <c r="P12" s="251"/>
      <c r="Q12" s="251"/>
      <c r="R12" s="251"/>
      <c r="S12" s="251"/>
      <c r="T12" s="257"/>
      <c r="U12" s="257"/>
      <c r="V12" s="257"/>
      <c r="W12" s="257"/>
      <c r="X12" s="257"/>
      <c r="Y12" s="257"/>
      <c r="Z12" s="257"/>
      <c r="AA12" s="257"/>
      <c r="AB12" s="257"/>
      <c r="AC12" s="257"/>
      <c r="AD12" s="257"/>
      <c r="AE12" s="257"/>
      <c r="AF12" s="257"/>
      <c r="AG12" s="257"/>
      <c r="AH12" s="257"/>
      <c r="AI12" s="257"/>
      <c r="AJ12" s="257"/>
      <c r="AK12" s="251"/>
      <c r="AL12" s="251"/>
      <c r="AM12" s="251"/>
      <c r="AN12" s="251"/>
      <c r="AO12" s="251"/>
      <c r="AP12" s="251"/>
      <c r="AQ12" s="251"/>
      <c r="AR12" s="251"/>
      <c r="AS12" s="251"/>
      <c r="AT12" s="251"/>
      <c r="AU12" s="251"/>
      <c r="AV12" s="251"/>
      <c r="AW12" s="251"/>
      <c r="AX12" s="582"/>
      <c r="AY12" s="588"/>
    </row>
    <row r="13" spans="1:51" s="246" customFormat="1" ht="6.75" customHeight="1">
      <c r="A13" s="589"/>
      <c r="B13" s="590"/>
      <c r="C13" s="590"/>
      <c r="D13" s="590"/>
      <c r="E13" s="590"/>
      <c r="F13" s="590"/>
      <c r="G13" s="590"/>
      <c r="H13" s="590"/>
      <c r="I13" s="591"/>
      <c r="J13" s="217"/>
      <c r="K13" s="218"/>
      <c r="L13" s="218"/>
      <c r="M13" s="219"/>
      <c r="N13" s="219"/>
      <c r="O13" s="219"/>
      <c r="P13" s="219"/>
      <c r="Q13" s="219"/>
      <c r="R13" s="219"/>
      <c r="S13" s="218"/>
      <c r="T13" s="218"/>
      <c r="U13" s="219"/>
      <c r="V13" s="219"/>
      <c r="W13" s="219"/>
      <c r="X13" s="219"/>
      <c r="Y13" s="219"/>
      <c r="Z13" s="219"/>
      <c r="AA13" s="219"/>
      <c r="AB13" s="219"/>
      <c r="AC13" s="219"/>
      <c r="AD13" s="219"/>
      <c r="AE13" s="219"/>
      <c r="AF13" s="219"/>
      <c r="AG13" s="219"/>
      <c r="AH13" s="219"/>
      <c r="AI13" s="219"/>
      <c r="AJ13" s="219"/>
      <c r="AK13" s="219"/>
      <c r="AL13" s="219"/>
      <c r="AM13" s="219"/>
      <c r="AN13" s="219"/>
      <c r="AO13" s="219"/>
      <c r="AP13" s="219"/>
      <c r="AQ13" s="219"/>
      <c r="AR13" s="219"/>
      <c r="AS13" s="219"/>
      <c r="AT13" s="219"/>
      <c r="AU13" s="219"/>
      <c r="AV13" s="219"/>
      <c r="AW13" s="219"/>
      <c r="AX13" s="219"/>
      <c r="AY13" s="220"/>
    </row>
    <row r="14" spans="1:51" s="246" customFormat="1" ht="6.75" customHeight="1">
      <c r="A14" s="589"/>
      <c r="B14" s="590"/>
      <c r="C14" s="590"/>
      <c r="D14" s="590"/>
      <c r="E14" s="590"/>
      <c r="F14" s="590"/>
      <c r="G14" s="590"/>
      <c r="H14" s="590"/>
      <c r="I14" s="591"/>
      <c r="J14" s="221"/>
      <c r="K14" s="222"/>
      <c r="L14" s="222"/>
      <c r="M14" s="223"/>
      <c r="N14" s="223"/>
      <c r="O14" s="223"/>
      <c r="P14" s="223"/>
      <c r="Q14" s="223"/>
      <c r="R14" s="223"/>
      <c r="S14" s="224"/>
      <c r="T14" s="224"/>
      <c r="U14" s="223"/>
      <c r="V14" s="223"/>
      <c r="W14" s="223"/>
      <c r="X14" s="223"/>
      <c r="Y14" s="223"/>
      <c r="Z14" s="223"/>
      <c r="AA14" s="223"/>
      <c r="AB14" s="223"/>
      <c r="AC14" s="223"/>
      <c r="AD14" s="223"/>
      <c r="AE14" s="223"/>
      <c r="AF14" s="223"/>
      <c r="AG14" s="223"/>
      <c r="AH14" s="223"/>
      <c r="AI14" s="223"/>
      <c r="AJ14" s="223"/>
      <c r="AK14" s="223"/>
      <c r="AL14" s="223"/>
      <c r="AM14" s="223"/>
      <c r="AN14" s="223"/>
      <c r="AO14" s="223"/>
      <c r="AP14" s="223"/>
      <c r="AQ14" s="223"/>
      <c r="AR14" s="223"/>
      <c r="AS14" s="223"/>
      <c r="AT14" s="223"/>
      <c r="AU14" s="223"/>
      <c r="AV14" s="223"/>
      <c r="AW14" s="223"/>
      <c r="AX14" s="223"/>
      <c r="AY14" s="225"/>
    </row>
    <row r="15" spans="1:51" s="246" customFormat="1" ht="6.75" customHeight="1">
      <c r="A15" s="589"/>
      <c r="B15" s="590"/>
      <c r="C15" s="590"/>
      <c r="D15" s="590"/>
      <c r="E15" s="590"/>
      <c r="F15" s="590"/>
      <c r="G15" s="590"/>
      <c r="H15" s="590"/>
      <c r="I15" s="591"/>
      <c r="J15" s="221"/>
      <c r="K15" s="222"/>
      <c r="L15" s="222"/>
      <c r="M15" s="223"/>
      <c r="N15" s="223"/>
      <c r="O15" s="223"/>
      <c r="P15" s="223"/>
      <c r="Q15" s="223"/>
      <c r="R15" s="223"/>
      <c r="S15" s="224"/>
      <c r="T15" s="224"/>
      <c r="U15" s="223"/>
      <c r="V15" s="223"/>
      <c r="W15" s="223"/>
      <c r="X15" s="223"/>
      <c r="Y15" s="223"/>
      <c r="Z15" s="223"/>
      <c r="AA15" s="223"/>
      <c r="AB15" s="223"/>
      <c r="AC15" s="223"/>
      <c r="AD15" s="223"/>
      <c r="AE15" s="223"/>
      <c r="AF15" s="223"/>
      <c r="AG15" s="223"/>
      <c r="AH15" s="223"/>
      <c r="AI15" s="223"/>
      <c r="AJ15" s="223"/>
      <c r="AK15" s="223"/>
      <c r="AL15" s="223"/>
      <c r="AM15" s="223"/>
      <c r="AN15" s="223"/>
      <c r="AO15" s="223"/>
      <c r="AP15" s="223"/>
      <c r="AQ15" s="223"/>
      <c r="AR15" s="223"/>
      <c r="AS15" s="223"/>
      <c r="AT15" s="223"/>
      <c r="AU15" s="223"/>
      <c r="AV15" s="223"/>
      <c r="AW15" s="223"/>
      <c r="AX15" s="223"/>
      <c r="AY15" s="225"/>
    </row>
    <row r="16" spans="1:51" s="246" customFormat="1" ht="6.75" customHeight="1">
      <c r="A16" s="574"/>
      <c r="B16" s="575"/>
      <c r="C16" s="575"/>
      <c r="D16" s="575"/>
      <c r="E16" s="575"/>
      <c r="F16" s="575"/>
      <c r="G16" s="575"/>
      <c r="H16" s="575"/>
      <c r="I16" s="576"/>
      <c r="J16" s="226"/>
      <c r="K16" s="227"/>
      <c r="L16" s="227"/>
      <c r="M16" s="227"/>
      <c r="N16" s="227"/>
      <c r="O16" s="227"/>
      <c r="P16" s="227"/>
      <c r="Q16" s="227"/>
      <c r="R16" s="227"/>
      <c r="S16" s="227"/>
      <c r="T16" s="227"/>
      <c r="U16" s="227"/>
      <c r="V16" s="227"/>
      <c r="W16" s="227"/>
      <c r="X16" s="227"/>
      <c r="Y16" s="227"/>
      <c r="Z16" s="227"/>
      <c r="AA16" s="227"/>
      <c r="AB16" s="227"/>
      <c r="AC16" s="227"/>
      <c r="AD16" s="227"/>
      <c r="AE16" s="227"/>
      <c r="AF16" s="227"/>
      <c r="AG16" s="227"/>
      <c r="AH16" s="227"/>
      <c r="AI16" s="227"/>
      <c r="AJ16" s="227"/>
      <c r="AK16" s="227"/>
      <c r="AL16" s="227"/>
      <c r="AM16" s="227"/>
      <c r="AN16" s="227"/>
      <c r="AO16" s="227"/>
      <c r="AP16" s="227"/>
      <c r="AQ16" s="227"/>
      <c r="AR16" s="227"/>
      <c r="AS16" s="227"/>
      <c r="AT16" s="227"/>
      <c r="AU16" s="227"/>
      <c r="AV16" s="227"/>
      <c r="AW16" s="227"/>
      <c r="AX16" s="227"/>
      <c r="AY16" s="228"/>
    </row>
    <row r="17" spans="1:51" s="246" customFormat="1" ht="6.75" customHeight="1">
      <c r="A17" s="574"/>
      <c r="B17" s="575"/>
      <c r="C17" s="575"/>
      <c r="D17" s="575"/>
      <c r="E17" s="575"/>
      <c r="F17" s="575"/>
      <c r="G17" s="575"/>
      <c r="H17" s="575"/>
      <c r="I17" s="576"/>
      <c r="J17" s="229"/>
      <c r="K17" s="230"/>
      <c r="L17" s="230"/>
      <c r="M17" s="230"/>
      <c r="N17" s="230"/>
      <c r="O17" s="230"/>
      <c r="P17" s="230"/>
      <c r="Q17" s="230"/>
      <c r="R17" s="230"/>
      <c r="S17" s="230"/>
      <c r="T17" s="230"/>
      <c r="U17" s="231"/>
      <c r="V17" s="231"/>
      <c r="W17" s="230"/>
      <c r="X17" s="230"/>
      <c r="Y17" s="230"/>
      <c r="Z17" s="230"/>
      <c r="AA17" s="230"/>
      <c r="AB17" s="230"/>
      <c r="AC17" s="230"/>
      <c r="AD17" s="230"/>
      <c r="AE17" s="230"/>
      <c r="AF17" s="230"/>
      <c r="AG17" s="230"/>
      <c r="AH17" s="230"/>
      <c r="AI17" s="230"/>
      <c r="AJ17" s="230"/>
      <c r="AK17" s="230"/>
      <c r="AL17" s="230"/>
      <c r="AM17" s="230"/>
      <c r="AN17" s="230"/>
      <c r="AO17" s="230"/>
      <c r="AP17" s="230"/>
      <c r="AQ17" s="230"/>
      <c r="AR17" s="230"/>
      <c r="AS17" s="230"/>
      <c r="AT17" s="230"/>
      <c r="AU17" s="230"/>
      <c r="AV17" s="230"/>
      <c r="AW17" s="231"/>
      <c r="AX17" s="231"/>
      <c r="AY17" s="232"/>
    </row>
    <row r="18" spans="1:51" s="246" customFormat="1" ht="6.75" customHeight="1">
      <c r="A18" s="574"/>
      <c r="B18" s="575"/>
      <c r="C18" s="575"/>
      <c r="D18" s="575"/>
      <c r="E18" s="575"/>
      <c r="F18" s="575"/>
      <c r="G18" s="575"/>
      <c r="H18" s="575"/>
      <c r="I18" s="576"/>
      <c r="J18" s="221"/>
      <c r="K18" s="223"/>
      <c r="L18" s="223"/>
      <c r="M18" s="223"/>
      <c r="N18" s="223"/>
      <c r="O18" s="223"/>
      <c r="P18" s="223"/>
      <c r="Q18" s="223"/>
      <c r="R18" s="223"/>
      <c r="S18" s="223"/>
      <c r="T18" s="223"/>
      <c r="U18" s="222"/>
      <c r="V18" s="222"/>
      <c r="W18" s="223"/>
      <c r="X18" s="223"/>
      <c r="Y18" s="223"/>
      <c r="Z18" s="223"/>
      <c r="AA18" s="223"/>
      <c r="AB18" s="223"/>
      <c r="AC18" s="223"/>
      <c r="AD18" s="223"/>
      <c r="AE18" s="223"/>
      <c r="AF18" s="223"/>
      <c r="AG18" s="223"/>
      <c r="AH18" s="223"/>
      <c r="AI18" s="223"/>
      <c r="AJ18" s="223"/>
      <c r="AK18" s="223"/>
      <c r="AL18" s="223"/>
      <c r="AM18" s="223"/>
      <c r="AN18" s="223"/>
      <c r="AO18" s="223"/>
      <c r="AP18" s="223"/>
      <c r="AQ18" s="223"/>
      <c r="AR18" s="223"/>
      <c r="AS18" s="223"/>
      <c r="AT18" s="223"/>
      <c r="AU18" s="223"/>
      <c r="AV18" s="223"/>
      <c r="AW18" s="224"/>
      <c r="AX18" s="224"/>
      <c r="AY18" s="225"/>
    </row>
    <row r="19" spans="1:51" s="246" customFormat="1" ht="6.75" customHeight="1">
      <c r="A19" s="574"/>
      <c r="B19" s="575"/>
      <c r="C19" s="575"/>
      <c r="D19" s="575"/>
      <c r="E19" s="575"/>
      <c r="F19" s="575"/>
      <c r="G19" s="575"/>
      <c r="H19" s="575"/>
      <c r="I19" s="576"/>
      <c r="J19" s="221"/>
      <c r="K19" s="223"/>
      <c r="L19" s="223"/>
      <c r="M19" s="223"/>
      <c r="N19" s="223"/>
      <c r="O19" s="223"/>
      <c r="P19" s="223"/>
      <c r="Q19" s="223"/>
      <c r="R19" s="223"/>
      <c r="S19" s="223"/>
      <c r="T19" s="223"/>
      <c r="U19" s="222"/>
      <c r="V19" s="222"/>
      <c r="W19" s="223"/>
      <c r="X19" s="223"/>
      <c r="Y19" s="223"/>
      <c r="Z19" s="223"/>
      <c r="AA19" s="223"/>
      <c r="AB19" s="223"/>
      <c r="AC19" s="223"/>
      <c r="AD19" s="223"/>
      <c r="AE19" s="223"/>
      <c r="AF19" s="223"/>
      <c r="AG19" s="223"/>
      <c r="AH19" s="223"/>
      <c r="AI19" s="223"/>
      <c r="AJ19" s="223"/>
      <c r="AK19" s="223"/>
      <c r="AL19" s="223"/>
      <c r="AM19" s="223"/>
      <c r="AN19" s="223"/>
      <c r="AO19" s="223"/>
      <c r="AP19" s="223"/>
      <c r="AQ19" s="223"/>
      <c r="AR19" s="223"/>
      <c r="AS19" s="223"/>
      <c r="AT19" s="223"/>
      <c r="AU19" s="223"/>
      <c r="AV19" s="223"/>
      <c r="AW19" s="224"/>
      <c r="AX19" s="224"/>
      <c r="AY19" s="225"/>
    </row>
    <row r="20" spans="1:51" s="246" customFormat="1" ht="6.75" customHeight="1">
      <c r="A20" s="574"/>
      <c r="B20" s="575"/>
      <c r="C20" s="575"/>
      <c r="D20" s="575"/>
      <c r="E20" s="575"/>
      <c r="F20" s="575"/>
      <c r="G20" s="575"/>
      <c r="H20" s="575"/>
      <c r="I20" s="576"/>
      <c r="J20" s="226"/>
      <c r="K20" s="227"/>
      <c r="L20" s="227"/>
      <c r="M20" s="227"/>
      <c r="N20" s="227"/>
      <c r="O20" s="227"/>
      <c r="P20" s="227"/>
      <c r="Q20" s="227"/>
      <c r="R20" s="227"/>
      <c r="S20" s="227"/>
      <c r="T20" s="227"/>
      <c r="U20" s="227"/>
      <c r="V20" s="227"/>
      <c r="W20" s="227"/>
      <c r="X20" s="227"/>
      <c r="Y20" s="227"/>
      <c r="Z20" s="227"/>
      <c r="AA20" s="227"/>
      <c r="AB20" s="227"/>
      <c r="AC20" s="227"/>
      <c r="AD20" s="227"/>
      <c r="AE20" s="227"/>
      <c r="AF20" s="227"/>
      <c r="AG20" s="227"/>
      <c r="AH20" s="227"/>
      <c r="AI20" s="227"/>
      <c r="AJ20" s="227"/>
      <c r="AK20" s="227"/>
      <c r="AL20" s="227"/>
      <c r="AM20" s="227"/>
      <c r="AN20" s="227"/>
      <c r="AO20" s="227"/>
      <c r="AP20" s="227"/>
      <c r="AQ20" s="227"/>
      <c r="AR20" s="227"/>
      <c r="AS20" s="227"/>
      <c r="AT20" s="227"/>
      <c r="AU20" s="227"/>
      <c r="AV20" s="227"/>
      <c r="AW20" s="227"/>
      <c r="AX20" s="227"/>
      <c r="AY20" s="228"/>
    </row>
    <row r="21" spans="1:51" s="246" customFormat="1" ht="6.75" customHeight="1">
      <c r="A21" s="574"/>
      <c r="B21" s="575"/>
      <c r="C21" s="575"/>
      <c r="D21" s="575"/>
      <c r="E21" s="575"/>
      <c r="F21" s="575"/>
      <c r="G21" s="575"/>
      <c r="H21" s="575"/>
      <c r="I21" s="576"/>
      <c r="J21" s="229"/>
      <c r="K21" s="230"/>
      <c r="L21" s="230"/>
      <c r="M21" s="230"/>
      <c r="N21" s="230"/>
      <c r="O21" s="230"/>
      <c r="P21" s="230"/>
      <c r="Q21" s="230"/>
      <c r="R21" s="230"/>
      <c r="S21" s="230"/>
      <c r="T21" s="230"/>
      <c r="U21" s="230"/>
      <c r="V21" s="230"/>
      <c r="W21" s="230"/>
      <c r="X21" s="230"/>
      <c r="Y21" s="230"/>
      <c r="Z21" s="230"/>
      <c r="AA21" s="230"/>
      <c r="AB21" s="230"/>
      <c r="AC21" s="230"/>
      <c r="AD21" s="230"/>
      <c r="AE21" s="230"/>
      <c r="AF21" s="230"/>
      <c r="AG21" s="230"/>
      <c r="AH21" s="230"/>
      <c r="AI21" s="230"/>
      <c r="AJ21" s="230"/>
      <c r="AK21" s="230"/>
      <c r="AL21" s="230"/>
      <c r="AM21" s="230"/>
      <c r="AN21" s="230"/>
      <c r="AO21" s="230"/>
      <c r="AP21" s="230"/>
      <c r="AQ21" s="230"/>
      <c r="AR21" s="230"/>
      <c r="AS21" s="230"/>
      <c r="AT21" s="230"/>
      <c r="AU21" s="230"/>
      <c r="AV21" s="230"/>
      <c r="AW21" s="230"/>
      <c r="AX21" s="230"/>
      <c r="AY21" s="232"/>
    </row>
    <row r="22" spans="1:51" s="246" customFormat="1" ht="6.75" customHeight="1">
      <c r="A22" s="574"/>
      <c r="B22" s="575"/>
      <c r="C22" s="575"/>
      <c r="D22" s="575"/>
      <c r="E22" s="575"/>
      <c r="F22" s="575"/>
      <c r="G22" s="575"/>
      <c r="H22" s="575"/>
      <c r="I22" s="576"/>
      <c r="J22" s="221"/>
      <c r="K22" s="223"/>
      <c r="L22" s="223"/>
      <c r="M22" s="223"/>
      <c r="N22" s="223"/>
      <c r="O22" s="223"/>
      <c r="P22" s="223"/>
      <c r="Q22" s="223"/>
      <c r="R22" s="223"/>
      <c r="S22" s="223"/>
      <c r="T22" s="223"/>
      <c r="U22" s="223"/>
      <c r="V22" s="223"/>
      <c r="W22" s="223"/>
      <c r="X22" s="223"/>
      <c r="Y22" s="223"/>
      <c r="Z22" s="223"/>
      <c r="AA22" s="223"/>
      <c r="AB22" s="223"/>
      <c r="AC22" s="223"/>
      <c r="AD22" s="223"/>
      <c r="AE22" s="223"/>
      <c r="AF22" s="223"/>
      <c r="AG22" s="223"/>
      <c r="AH22" s="223"/>
      <c r="AI22" s="223"/>
      <c r="AJ22" s="223"/>
      <c r="AK22" s="223"/>
      <c r="AL22" s="223"/>
      <c r="AM22" s="223"/>
      <c r="AN22" s="223"/>
      <c r="AO22" s="223"/>
      <c r="AP22" s="223"/>
      <c r="AQ22" s="223"/>
      <c r="AR22" s="223"/>
      <c r="AS22" s="223"/>
      <c r="AT22" s="223"/>
      <c r="AU22" s="223"/>
      <c r="AV22" s="223"/>
      <c r="AW22" s="223"/>
      <c r="AX22" s="223"/>
      <c r="AY22" s="225"/>
    </row>
    <row r="23" spans="1:51" s="246" customFormat="1" ht="6.75" customHeight="1">
      <c r="A23" s="574"/>
      <c r="B23" s="575"/>
      <c r="C23" s="575"/>
      <c r="D23" s="575"/>
      <c r="E23" s="575"/>
      <c r="F23" s="575"/>
      <c r="G23" s="575"/>
      <c r="H23" s="575"/>
      <c r="I23" s="576"/>
      <c r="J23" s="221"/>
      <c r="K23" s="223"/>
      <c r="L23" s="223"/>
      <c r="M23" s="223"/>
      <c r="N23" s="223"/>
      <c r="O23" s="223"/>
      <c r="P23" s="223"/>
      <c r="Q23" s="223"/>
      <c r="R23" s="223"/>
      <c r="S23" s="223"/>
      <c r="T23" s="223"/>
      <c r="U23" s="223"/>
      <c r="V23" s="223"/>
      <c r="W23" s="223"/>
      <c r="X23" s="223"/>
      <c r="Y23" s="223"/>
      <c r="Z23" s="223"/>
      <c r="AA23" s="223"/>
      <c r="AB23" s="223"/>
      <c r="AC23" s="223"/>
      <c r="AD23" s="223"/>
      <c r="AE23" s="223"/>
      <c r="AF23" s="223"/>
      <c r="AG23" s="223"/>
      <c r="AH23" s="223"/>
      <c r="AI23" s="223"/>
      <c r="AJ23" s="223"/>
      <c r="AK23" s="223"/>
      <c r="AL23" s="223"/>
      <c r="AM23" s="223"/>
      <c r="AN23" s="223"/>
      <c r="AO23" s="223"/>
      <c r="AP23" s="223"/>
      <c r="AQ23" s="223"/>
      <c r="AR23" s="223"/>
      <c r="AS23" s="223"/>
      <c r="AT23" s="223"/>
      <c r="AU23" s="223"/>
      <c r="AV23" s="223"/>
      <c r="AW23" s="223"/>
      <c r="AX23" s="223"/>
      <c r="AY23" s="225"/>
    </row>
    <row r="24" spans="1:51" s="246" customFormat="1" ht="6.75" customHeight="1">
      <c r="A24" s="574"/>
      <c r="B24" s="575"/>
      <c r="C24" s="575"/>
      <c r="D24" s="575"/>
      <c r="E24" s="575"/>
      <c r="F24" s="575"/>
      <c r="G24" s="575"/>
      <c r="H24" s="575"/>
      <c r="I24" s="576"/>
      <c r="J24" s="226"/>
      <c r="K24" s="227"/>
      <c r="L24" s="227"/>
      <c r="M24" s="227"/>
      <c r="N24" s="227"/>
      <c r="O24" s="227"/>
      <c r="P24" s="227"/>
      <c r="Q24" s="227"/>
      <c r="R24" s="227"/>
      <c r="S24" s="227"/>
      <c r="T24" s="227"/>
      <c r="U24" s="227"/>
      <c r="V24" s="227"/>
      <c r="W24" s="227"/>
      <c r="X24" s="227"/>
      <c r="Y24" s="227"/>
      <c r="Z24" s="227"/>
      <c r="AA24" s="227"/>
      <c r="AB24" s="227"/>
      <c r="AC24" s="227"/>
      <c r="AD24" s="227"/>
      <c r="AE24" s="227"/>
      <c r="AF24" s="227"/>
      <c r="AG24" s="227"/>
      <c r="AH24" s="227"/>
      <c r="AI24" s="227"/>
      <c r="AJ24" s="227"/>
      <c r="AK24" s="227"/>
      <c r="AL24" s="227"/>
      <c r="AM24" s="227"/>
      <c r="AN24" s="227"/>
      <c r="AO24" s="227"/>
      <c r="AP24" s="227"/>
      <c r="AQ24" s="227"/>
      <c r="AR24" s="227"/>
      <c r="AS24" s="227"/>
      <c r="AT24" s="227"/>
      <c r="AU24" s="227"/>
      <c r="AV24" s="227"/>
      <c r="AW24" s="227"/>
      <c r="AX24" s="227"/>
      <c r="AY24" s="228"/>
    </row>
    <row r="25" spans="1:51" s="246" customFormat="1" ht="6.75" customHeight="1">
      <c r="A25" s="574"/>
      <c r="B25" s="575"/>
      <c r="C25" s="575"/>
      <c r="D25" s="575"/>
      <c r="E25" s="575"/>
      <c r="F25" s="575"/>
      <c r="G25" s="575"/>
      <c r="H25" s="575"/>
      <c r="I25" s="576"/>
      <c r="J25" s="229"/>
      <c r="K25" s="230"/>
      <c r="L25" s="230"/>
      <c r="M25" s="230"/>
      <c r="N25" s="230"/>
      <c r="O25" s="230"/>
      <c r="P25" s="230"/>
      <c r="Q25" s="230"/>
      <c r="R25" s="230"/>
      <c r="S25" s="230"/>
      <c r="T25" s="230"/>
      <c r="U25" s="230"/>
      <c r="V25" s="230"/>
      <c r="W25" s="230"/>
      <c r="X25" s="230"/>
      <c r="Y25" s="230"/>
      <c r="Z25" s="230"/>
      <c r="AA25" s="230"/>
      <c r="AB25" s="230"/>
      <c r="AC25" s="230"/>
      <c r="AD25" s="230"/>
      <c r="AE25" s="230"/>
      <c r="AF25" s="230"/>
      <c r="AG25" s="230"/>
      <c r="AH25" s="230"/>
      <c r="AI25" s="230"/>
      <c r="AJ25" s="230"/>
      <c r="AK25" s="230"/>
      <c r="AL25" s="230"/>
      <c r="AM25" s="230"/>
      <c r="AN25" s="230"/>
      <c r="AO25" s="230"/>
      <c r="AP25" s="230"/>
      <c r="AQ25" s="230"/>
      <c r="AR25" s="230"/>
      <c r="AS25" s="230"/>
      <c r="AT25" s="230"/>
      <c r="AU25" s="230"/>
      <c r="AV25" s="230"/>
      <c r="AW25" s="230"/>
      <c r="AX25" s="230"/>
      <c r="AY25" s="232"/>
    </row>
    <row r="26" spans="1:51" s="246" customFormat="1" ht="6.75" customHeight="1">
      <c r="A26" s="574"/>
      <c r="B26" s="575"/>
      <c r="C26" s="575"/>
      <c r="D26" s="575"/>
      <c r="E26" s="575"/>
      <c r="F26" s="575"/>
      <c r="G26" s="575"/>
      <c r="H26" s="575"/>
      <c r="I26" s="576"/>
      <c r="J26" s="221"/>
      <c r="K26" s="223"/>
      <c r="L26" s="223"/>
      <c r="M26" s="223"/>
      <c r="N26" s="223"/>
      <c r="O26" s="223"/>
      <c r="P26" s="223"/>
      <c r="Q26" s="223"/>
      <c r="R26" s="223"/>
      <c r="S26" s="223"/>
      <c r="T26" s="223"/>
      <c r="U26" s="223"/>
      <c r="V26" s="223"/>
      <c r="W26" s="223"/>
      <c r="X26" s="223"/>
      <c r="Y26" s="223"/>
      <c r="Z26" s="223"/>
      <c r="AA26" s="223"/>
      <c r="AB26" s="223"/>
      <c r="AC26" s="223"/>
      <c r="AD26" s="223"/>
      <c r="AE26" s="223"/>
      <c r="AF26" s="223"/>
      <c r="AG26" s="223"/>
      <c r="AH26" s="223"/>
      <c r="AI26" s="223"/>
      <c r="AJ26" s="223"/>
      <c r="AK26" s="223"/>
      <c r="AL26" s="223"/>
      <c r="AM26" s="223"/>
      <c r="AN26" s="223"/>
      <c r="AO26" s="223"/>
      <c r="AP26" s="223"/>
      <c r="AQ26" s="223"/>
      <c r="AR26" s="223"/>
      <c r="AS26" s="223"/>
      <c r="AT26" s="223"/>
      <c r="AU26" s="223"/>
      <c r="AV26" s="223"/>
      <c r="AW26" s="223"/>
      <c r="AX26" s="223"/>
      <c r="AY26" s="225"/>
    </row>
    <row r="27" spans="1:51" s="246" customFormat="1" ht="6.75" customHeight="1">
      <c r="A27" s="574"/>
      <c r="B27" s="575"/>
      <c r="C27" s="575"/>
      <c r="D27" s="575"/>
      <c r="E27" s="575"/>
      <c r="F27" s="575"/>
      <c r="G27" s="575"/>
      <c r="H27" s="575"/>
      <c r="I27" s="576"/>
      <c r="J27" s="221"/>
      <c r="K27" s="223"/>
      <c r="L27" s="223"/>
      <c r="M27" s="223"/>
      <c r="N27" s="223"/>
      <c r="O27" s="223"/>
      <c r="P27" s="223"/>
      <c r="Q27" s="223"/>
      <c r="R27" s="223"/>
      <c r="S27" s="223"/>
      <c r="T27" s="223"/>
      <c r="U27" s="223"/>
      <c r="V27" s="223"/>
      <c r="W27" s="223"/>
      <c r="X27" s="223"/>
      <c r="Y27" s="223"/>
      <c r="Z27" s="223"/>
      <c r="AA27" s="223"/>
      <c r="AB27" s="223"/>
      <c r="AC27" s="223"/>
      <c r="AD27" s="223"/>
      <c r="AE27" s="223"/>
      <c r="AF27" s="223"/>
      <c r="AG27" s="223"/>
      <c r="AH27" s="223"/>
      <c r="AI27" s="223"/>
      <c r="AJ27" s="223"/>
      <c r="AK27" s="223"/>
      <c r="AL27" s="223"/>
      <c r="AM27" s="223"/>
      <c r="AN27" s="223"/>
      <c r="AO27" s="223"/>
      <c r="AP27" s="223"/>
      <c r="AQ27" s="223"/>
      <c r="AR27" s="223"/>
      <c r="AS27" s="223"/>
      <c r="AT27" s="223"/>
      <c r="AU27" s="223"/>
      <c r="AV27" s="223"/>
      <c r="AW27" s="223"/>
      <c r="AX27" s="223"/>
      <c r="AY27" s="225"/>
    </row>
    <row r="28" spans="1:51" s="246" customFormat="1" ht="6.75" customHeight="1">
      <c r="A28" s="574"/>
      <c r="B28" s="575"/>
      <c r="C28" s="575"/>
      <c r="D28" s="575"/>
      <c r="E28" s="575"/>
      <c r="F28" s="575"/>
      <c r="G28" s="575"/>
      <c r="H28" s="575"/>
      <c r="I28" s="576"/>
      <c r="J28" s="226"/>
      <c r="K28" s="227"/>
      <c r="L28" s="227"/>
      <c r="M28" s="227"/>
      <c r="N28" s="227"/>
      <c r="O28" s="227"/>
      <c r="P28" s="227"/>
      <c r="Q28" s="227"/>
      <c r="R28" s="227"/>
      <c r="S28" s="227"/>
      <c r="T28" s="227"/>
      <c r="U28" s="227"/>
      <c r="V28" s="227"/>
      <c r="W28" s="227"/>
      <c r="X28" s="227"/>
      <c r="Y28" s="227"/>
      <c r="Z28" s="227"/>
      <c r="AA28" s="227"/>
      <c r="AB28" s="227"/>
      <c r="AC28" s="227"/>
      <c r="AD28" s="227"/>
      <c r="AE28" s="227"/>
      <c r="AF28" s="227"/>
      <c r="AG28" s="227"/>
      <c r="AH28" s="227"/>
      <c r="AI28" s="227"/>
      <c r="AJ28" s="227"/>
      <c r="AK28" s="227"/>
      <c r="AL28" s="227"/>
      <c r="AM28" s="227"/>
      <c r="AN28" s="227"/>
      <c r="AO28" s="227"/>
      <c r="AP28" s="227"/>
      <c r="AQ28" s="227"/>
      <c r="AR28" s="227"/>
      <c r="AS28" s="227"/>
      <c r="AT28" s="227"/>
      <c r="AU28" s="227"/>
      <c r="AV28" s="227"/>
      <c r="AW28" s="227"/>
      <c r="AX28" s="227"/>
      <c r="AY28" s="228"/>
    </row>
    <row r="29" spans="1:51" s="246" customFormat="1" ht="6.75" customHeight="1">
      <c r="A29" s="574"/>
      <c r="B29" s="575"/>
      <c r="C29" s="575"/>
      <c r="D29" s="575"/>
      <c r="E29" s="575"/>
      <c r="F29" s="575"/>
      <c r="G29" s="575"/>
      <c r="H29" s="575"/>
      <c r="I29" s="576"/>
      <c r="J29" s="229"/>
      <c r="K29" s="230"/>
      <c r="L29" s="230"/>
      <c r="M29" s="230"/>
      <c r="N29" s="230"/>
      <c r="O29" s="230"/>
      <c r="P29" s="230"/>
      <c r="Q29" s="230"/>
      <c r="R29" s="230"/>
      <c r="S29" s="230"/>
      <c r="T29" s="230"/>
      <c r="U29" s="230"/>
      <c r="V29" s="230"/>
      <c r="W29" s="230"/>
      <c r="X29" s="230"/>
      <c r="Y29" s="230"/>
      <c r="Z29" s="230"/>
      <c r="AA29" s="230"/>
      <c r="AB29" s="230"/>
      <c r="AC29" s="230"/>
      <c r="AD29" s="230"/>
      <c r="AE29" s="230"/>
      <c r="AF29" s="230"/>
      <c r="AG29" s="230"/>
      <c r="AH29" s="230"/>
      <c r="AI29" s="230"/>
      <c r="AJ29" s="230"/>
      <c r="AK29" s="230"/>
      <c r="AL29" s="230"/>
      <c r="AM29" s="230"/>
      <c r="AN29" s="230"/>
      <c r="AO29" s="230"/>
      <c r="AP29" s="230"/>
      <c r="AQ29" s="230"/>
      <c r="AR29" s="230"/>
      <c r="AS29" s="230"/>
      <c r="AT29" s="230"/>
      <c r="AU29" s="230"/>
      <c r="AV29" s="230"/>
      <c r="AW29" s="230"/>
      <c r="AX29" s="230"/>
      <c r="AY29" s="232"/>
    </row>
    <row r="30" spans="1:51" s="246" customFormat="1" ht="6.75" customHeight="1">
      <c r="A30" s="574"/>
      <c r="B30" s="575"/>
      <c r="C30" s="575"/>
      <c r="D30" s="575"/>
      <c r="E30" s="575"/>
      <c r="F30" s="575"/>
      <c r="G30" s="575"/>
      <c r="H30" s="575"/>
      <c r="I30" s="576"/>
      <c r="J30" s="221"/>
      <c r="K30" s="223"/>
      <c r="L30" s="223"/>
      <c r="M30" s="223"/>
      <c r="N30" s="223"/>
      <c r="O30" s="223"/>
      <c r="P30" s="223"/>
      <c r="Q30" s="223"/>
      <c r="R30" s="223"/>
      <c r="S30" s="223"/>
      <c r="T30" s="223"/>
      <c r="U30" s="223"/>
      <c r="V30" s="223"/>
      <c r="W30" s="223"/>
      <c r="X30" s="223"/>
      <c r="Y30" s="223"/>
      <c r="Z30" s="223"/>
      <c r="AA30" s="223"/>
      <c r="AB30" s="223"/>
      <c r="AC30" s="223"/>
      <c r="AD30" s="223"/>
      <c r="AE30" s="223"/>
      <c r="AF30" s="223"/>
      <c r="AG30" s="223"/>
      <c r="AH30" s="223"/>
      <c r="AI30" s="223"/>
      <c r="AJ30" s="223"/>
      <c r="AK30" s="223"/>
      <c r="AL30" s="223"/>
      <c r="AM30" s="223"/>
      <c r="AN30" s="223"/>
      <c r="AO30" s="223"/>
      <c r="AP30" s="223"/>
      <c r="AQ30" s="223"/>
      <c r="AR30" s="223"/>
      <c r="AS30" s="223"/>
      <c r="AT30" s="223"/>
      <c r="AU30" s="223"/>
      <c r="AV30" s="223"/>
      <c r="AW30" s="223"/>
      <c r="AX30" s="223"/>
      <c r="AY30" s="225"/>
    </row>
    <row r="31" spans="1:51" s="246" customFormat="1" ht="6.75" customHeight="1">
      <c r="A31" s="574"/>
      <c r="B31" s="575"/>
      <c r="C31" s="575"/>
      <c r="D31" s="575"/>
      <c r="E31" s="575"/>
      <c r="F31" s="575"/>
      <c r="G31" s="575"/>
      <c r="H31" s="575"/>
      <c r="I31" s="576"/>
      <c r="J31" s="221"/>
      <c r="K31" s="223"/>
      <c r="L31" s="223"/>
      <c r="M31" s="223"/>
      <c r="N31" s="223"/>
      <c r="O31" s="223"/>
      <c r="P31" s="223"/>
      <c r="Q31" s="223"/>
      <c r="R31" s="223"/>
      <c r="S31" s="223"/>
      <c r="T31" s="223"/>
      <c r="U31" s="223"/>
      <c r="V31" s="223"/>
      <c r="W31" s="223"/>
      <c r="X31" s="223"/>
      <c r="Y31" s="223"/>
      <c r="Z31" s="223"/>
      <c r="AA31" s="223"/>
      <c r="AB31" s="223"/>
      <c r="AC31" s="223"/>
      <c r="AD31" s="223"/>
      <c r="AE31" s="223"/>
      <c r="AF31" s="223"/>
      <c r="AG31" s="223"/>
      <c r="AH31" s="223"/>
      <c r="AI31" s="223"/>
      <c r="AJ31" s="223"/>
      <c r="AK31" s="223"/>
      <c r="AL31" s="223"/>
      <c r="AM31" s="223"/>
      <c r="AN31" s="223"/>
      <c r="AO31" s="223"/>
      <c r="AP31" s="223"/>
      <c r="AQ31" s="223"/>
      <c r="AR31" s="223"/>
      <c r="AS31" s="223"/>
      <c r="AT31" s="223"/>
      <c r="AU31" s="223"/>
      <c r="AV31" s="223"/>
      <c r="AW31" s="223"/>
      <c r="AX31" s="223"/>
      <c r="AY31" s="225"/>
    </row>
    <row r="32" spans="1:51" s="246" customFormat="1" ht="6.75" customHeight="1">
      <c r="A32" s="574"/>
      <c r="B32" s="575"/>
      <c r="C32" s="575"/>
      <c r="D32" s="575"/>
      <c r="E32" s="575"/>
      <c r="F32" s="575"/>
      <c r="G32" s="575"/>
      <c r="H32" s="575"/>
      <c r="I32" s="576"/>
      <c r="J32" s="226"/>
      <c r="K32" s="227"/>
      <c r="L32" s="227"/>
      <c r="M32" s="227"/>
      <c r="N32" s="227"/>
      <c r="O32" s="227"/>
      <c r="P32" s="227"/>
      <c r="Q32" s="227"/>
      <c r="R32" s="227"/>
      <c r="S32" s="227"/>
      <c r="T32" s="227"/>
      <c r="U32" s="227"/>
      <c r="V32" s="227"/>
      <c r="W32" s="227"/>
      <c r="X32" s="227"/>
      <c r="Y32" s="227"/>
      <c r="Z32" s="227"/>
      <c r="AA32" s="227"/>
      <c r="AB32" s="227"/>
      <c r="AC32" s="227"/>
      <c r="AD32" s="227"/>
      <c r="AE32" s="227"/>
      <c r="AF32" s="227"/>
      <c r="AG32" s="227"/>
      <c r="AH32" s="227"/>
      <c r="AI32" s="227"/>
      <c r="AJ32" s="227"/>
      <c r="AK32" s="227"/>
      <c r="AL32" s="227"/>
      <c r="AM32" s="227"/>
      <c r="AN32" s="227"/>
      <c r="AO32" s="227"/>
      <c r="AP32" s="227"/>
      <c r="AQ32" s="227"/>
      <c r="AR32" s="227"/>
      <c r="AS32" s="227"/>
      <c r="AT32" s="227"/>
      <c r="AU32" s="227"/>
      <c r="AV32" s="227"/>
      <c r="AW32" s="227"/>
      <c r="AX32" s="227"/>
      <c r="AY32" s="228"/>
    </row>
    <row r="33" spans="1:51" s="246" customFormat="1" ht="6.75" customHeight="1">
      <c r="A33" s="574"/>
      <c r="B33" s="575"/>
      <c r="C33" s="575"/>
      <c r="D33" s="575"/>
      <c r="E33" s="575"/>
      <c r="F33" s="575"/>
      <c r="G33" s="575"/>
      <c r="H33" s="575"/>
      <c r="I33" s="576"/>
      <c r="J33" s="229"/>
      <c r="K33" s="230"/>
      <c r="L33" s="230"/>
      <c r="M33" s="230"/>
      <c r="N33" s="230"/>
      <c r="O33" s="230"/>
      <c r="P33" s="230"/>
      <c r="Q33" s="230"/>
      <c r="R33" s="230"/>
      <c r="S33" s="230"/>
      <c r="T33" s="230"/>
      <c r="U33" s="230"/>
      <c r="V33" s="230"/>
      <c r="W33" s="230"/>
      <c r="X33" s="230"/>
      <c r="Y33" s="230"/>
      <c r="Z33" s="230"/>
      <c r="AA33" s="230"/>
      <c r="AB33" s="230"/>
      <c r="AC33" s="230"/>
      <c r="AD33" s="230"/>
      <c r="AE33" s="230"/>
      <c r="AF33" s="230"/>
      <c r="AG33" s="230"/>
      <c r="AH33" s="230"/>
      <c r="AI33" s="230"/>
      <c r="AJ33" s="230"/>
      <c r="AK33" s="230"/>
      <c r="AL33" s="230"/>
      <c r="AM33" s="230"/>
      <c r="AN33" s="230"/>
      <c r="AO33" s="230"/>
      <c r="AP33" s="230"/>
      <c r="AQ33" s="230"/>
      <c r="AR33" s="230"/>
      <c r="AS33" s="230"/>
      <c r="AT33" s="230"/>
      <c r="AU33" s="230"/>
      <c r="AV33" s="230"/>
      <c r="AW33" s="230"/>
      <c r="AX33" s="230"/>
      <c r="AY33" s="232"/>
    </row>
    <row r="34" spans="1:51" s="246" customFormat="1" ht="6.75" customHeight="1">
      <c r="A34" s="574"/>
      <c r="B34" s="575"/>
      <c r="C34" s="575"/>
      <c r="D34" s="575"/>
      <c r="E34" s="575"/>
      <c r="F34" s="575"/>
      <c r="G34" s="575"/>
      <c r="H34" s="575"/>
      <c r="I34" s="576"/>
      <c r="J34" s="221"/>
      <c r="K34" s="223"/>
      <c r="L34" s="223"/>
      <c r="M34" s="223"/>
      <c r="N34" s="223"/>
      <c r="O34" s="223"/>
      <c r="P34" s="223"/>
      <c r="Q34" s="223"/>
      <c r="R34" s="223"/>
      <c r="S34" s="223"/>
      <c r="T34" s="223"/>
      <c r="U34" s="223"/>
      <c r="V34" s="223"/>
      <c r="W34" s="223"/>
      <c r="X34" s="223"/>
      <c r="Y34" s="223"/>
      <c r="Z34" s="223"/>
      <c r="AA34" s="223"/>
      <c r="AB34" s="223"/>
      <c r="AC34" s="223"/>
      <c r="AD34" s="223"/>
      <c r="AE34" s="223"/>
      <c r="AF34" s="223"/>
      <c r="AG34" s="223"/>
      <c r="AH34" s="223"/>
      <c r="AI34" s="223"/>
      <c r="AJ34" s="223"/>
      <c r="AK34" s="223"/>
      <c r="AL34" s="223"/>
      <c r="AM34" s="223"/>
      <c r="AN34" s="223"/>
      <c r="AO34" s="223"/>
      <c r="AP34" s="223"/>
      <c r="AQ34" s="223"/>
      <c r="AR34" s="223"/>
      <c r="AS34" s="223"/>
      <c r="AT34" s="223"/>
      <c r="AU34" s="223"/>
      <c r="AV34" s="223"/>
      <c r="AW34" s="223"/>
      <c r="AX34" s="223"/>
      <c r="AY34" s="225"/>
    </row>
    <row r="35" spans="1:51" s="246" customFormat="1" ht="6.75" customHeight="1">
      <c r="A35" s="574"/>
      <c r="B35" s="575"/>
      <c r="C35" s="575"/>
      <c r="D35" s="575"/>
      <c r="E35" s="575"/>
      <c r="F35" s="575"/>
      <c r="G35" s="575"/>
      <c r="H35" s="575"/>
      <c r="I35" s="576"/>
      <c r="J35" s="221"/>
      <c r="K35" s="223"/>
      <c r="L35" s="223"/>
      <c r="M35" s="223"/>
      <c r="N35" s="223"/>
      <c r="O35" s="223"/>
      <c r="P35" s="223"/>
      <c r="Q35" s="223"/>
      <c r="R35" s="223"/>
      <c r="S35" s="223"/>
      <c r="T35" s="223"/>
      <c r="U35" s="223"/>
      <c r="V35" s="223"/>
      <c r="W35" s="223"/>
      <c r="X35" s="223"/>
      <c r="Y35" s="223"/>
      <c r="Z35" s="223"/>
      <c r="AA35" s="223"/>
      <c r="AB35" s="223"/>
      <c r="AC35" s="223"/>
      <c r="AD35" s="223"/>
      <c r="AE35" s="223"/>
      <c r="AF35" s="223"/>
      <c r="AG35" s="223"/>
      <c r="AH35" s="223"/>
      <c r="AI35" s="223"/>
      <c r="AJ35" s="223"/>
      <c r="AK35" s="223"/>
      <c r="AL35" s="223"/>
      <c r="AM35" s="223"/>
      <c r="AN35" s="223"/>
      <c r="AO35" s="223"/>
      <c r="AP35" s="223"/>
      <c r="AQ35" s="223"/>
      <c r="AR35" s="223"/>
      <c r="AS35" s="223"/>
      <c r="AT35" s="223"/>
      <c r="AU35" s="223"/>
      <c r="AV35" s="223"/>
      <c r="AW35" s="223"/>
      <c r="AX35" s="223"/>
      <c r="AY35" s="225"/>
    </row>
    <row r="36" spans="1:51" s="246" customFormat="1" ht="6.75" customHeight="1">
      <c r="A36" s="574"/>
      <c r="B36" s="575"/>
      <c r="C36" s="575"/>
      <c r="D36" s="575"/>
      <c r="E36" s="575"/>
      <c r="F36" s="575"/>
      <c r="G36" s="575"/>
      <c r="H36" s="575"/>
      <c r="I36" s="576"/>
      <c r="J36" s="226"/>
      <c r="K36" s="227"/>
      <c r="L36" s="227"/>
      <c r="M36" s="227"/>
      <c r="N36" s="227"/>
      <c r="O36" s="227"/>
      <c r="P36" s="227"/>
      <c r="Q36" s="227"/>
      <c r="R36" s="227"/>
      <c r="S36" s="227"/>
      <c r="T36" s="227"/>
      <c r="U36" s="227"/>
      <c r="V36" s="227"/>
      <c r="W36" s="227"/>
      <c r="X36" s="227"/>
      <c r="Y36" s="227"/>
      <c r="Z36" s="227"/>
      <c r="AA36" s="227"/>
      <c r="AB36" s="227"/>
      <c r="AC36" s="227"/>
      <c r="AD36" s="227"/>
      <c r="AE36" s="227"/>
      <c r="AF36" s="227"/>
      <c r="AG36" s="227"/>
      <c r="AH36" s="227"/>
      <c r="AI36" s="227"/>
      <c r="AJ36" s="227"/>
      <c r="AK36" s="227"/>
      <c r="AL36" s="227"/>
      <c r="AM36" s="227"/>
      <c r="AN36" s="227"/>
      <c r="AO36" s="227"/>
      <c r="AP36" s="227"/>
      <c r="AQ36" s="227"/>
      <c r="AR36" s="227"/>
      <c r="AS36" s="227"/>
      <c r="AT36" s="227"/>
      <c r="AU36" s="227"/>
      <c r="AV36" s="227"/>
      <c r="AW36" s="227"/>
      <c r="AX36" s="227"/>
      <c r="AY36" s="228"/>
    </row>
    <row r="37" spans="1:51" s="246" customFormat="1" ht="6.75" customHeight="1">
      <c r="A37" s="574"/>
      <c r="B37" s="575"/>
      <c r="C37" s="575"/>
      <c r="D37" s="575"/>
      <c r="E37" s="575"/>
      <c r="F37" s="575"/>
      <c r="G37" s="575"/>
      <c r="H37" s="575"/>
      <c r="I37" s="576"/>
      <c r="J37" s="229"/>
      <c r="K37" s="230"/>
      <c r="L37" s="230"/>
      <c r="M37" s="230"/>
      <c r="N37" s="230"/>
      <c r="O37" s="230"/>
      <c r="P37" s="230"/>
      <c r="Q37" s="230"/>
      <c r="R37" s="230"/>
      <c r="S37" s="230"/>
      <c r="T37" s="230"/>
      <c r="U37" s="230"/>
      <c r="V37" s="230"/>
      <c r="W37" s="230"/>
      <c r="X37" s="230"/>
      <c r="Y37" s="230"/>
      <c r="Z37" s="230"/>
      <c r="AA37" s="230"/>
      <c r="AB37" s="230"/>
      <c r="AC37" s="230"/>
      <c r="AD37" s="230"/>
      <c r="AE37" s="230"/>
      <c r="AF37" s="230"/>
      <c r="AG37" s="230"/>
      <c r="AH37" s="230"/>
      <c r="AI37" s="230"/>
      <c r="AJ37" s="230"/>
      <c r="AK37" s="230"/>
      <c r="AL37" s="230"/>
      <c r="AM37" s="230"/>
      <c r="AN37" s="230"/>
      <c r="AO37" s="230"/>
      <c r="AP37" s="230"/>
      <c r="AQ37" s="230"/>
      <c r="AR37" s="230"/>
      <c r="AS37" s="230"/>
      <c r="AT37" s="230"/>
      <c r="AU37" s="230"/>
      <c r="AV37" s="230"/>
      <c r="AW37" s="230"/>
      <c r="AX37" s="230"/>
      <c r="AY37" s="232"/>
    </row>
    <row r="38" spans="1:51" s="246" customFormat="1" ht="6.75" customHeight="1">
      <c r="A38" s="574"/>
      <c r="B38" s="575"/>
      <c r="C38" s="575"/>
      <c r="D38" s="575"/>
      <c r="E38" s="575"/>
      <c r="F38" s="575"/>
      <c r="G38" s="575"/>
      <c r="H38" s="575"/>
      <c r="I38" s="576"/>
      <c r="J38" s="221"/>
      <c r="K38" s="223"/>
      <c r="L38" s="223"/>
      <c r="M38" s="223"/>
      <c r="N38" s="223"/>
      <c r="O38" s="223"/>
      <c r="P38" s="223"/>
      <c r="Q38" s="223"/>
      <c r="R38" s="223"/>
      <c r="S38" s="223"/>
      <c r="T38" s="223"/>
      <c r="U38" s="223"/>
      <c r="V38" s="223"/>
      <c r="W38" s="223"/>
      <c r="X38" s="223"/>
      <c r="Y38" s="223"/>
      <c r="Z38" s="223"/>
      <c r="AA38" s="223"/>
      <c r="AB38" s="223"/>
      <c r="AC38" s="223"/>
      <c r="AD38" s="223"/>
      <c r="AE38" s="223"/>
      <c r="AF38" s="223"/>
      <c r="AG38" s="223"/>
      <c r="AH38" s="223"/>
      <c r="AI38" s="223"/>
      <c r="AJ38" s="223"/>
      <c r="AK38" s="223"/>
      <c r="AL38" s="223"/>
      <c r="AM38" s="223"/>
      <c r="AN38" s="223"/>
      <c r="AO38" s="223"/>
      <c r="AP38" s="223"/>
      <c r="AQ38" s="223"/>
      <c r="AR38" s="223"/>
      <c r="AS38" s="223"/>
      <c r="AT38" s="223"/>
      <c r="AU38" s="223"/>
      <c r="AV38" s="223"/>
      <c r="AW38" s="223"/>
      <c r="AX38" s="223"/>
      <c r="AY38" s="225"/>
    </row>
    <row r="39" spans="1:51" s="246" customFormat="1" ht="6.75" customHeight="1">
      <c r="A39" s="574"/>
      <c r="B39" s="575"/>
      <c r="C39" s="575"/>
      <c r="D39" s="575"/>
      <c r="E39" s="575"/>
      <c r="F39" s="575"/>
      <c r="G39" s="575"/>
      <c r="H39" s="575"/>
      <c r="I39" s="576"/>
      <c r="J39" s="221"/>
      <c r="K39" s="223"/>
      <c r="L39" s="223"/>
      <c r="M39" s="223"/>
      <c r="N39" s="223"/>
      <c r="O39" s="223"/>
      <c r="P39" s="223"/>
      <c r="Q39" s="223"/>
      <c r="R39" s="223"/>
      <c r="S39" s="223"/>
      <c r="T39" s="223"/>
      <c r="U39" s="223"/>
      <c r="V39" s="223"/>
      <c r="W39" s="223"/>
      <c r="X39" s="223"/>
      <c r="Y39" s="223"/>
      <c r="Z39" s="223"/>
      <c r="AA39" s="223"/>
      <c r="AB39" s="223"/>
      <c r="AC39" s="223"/>
      <c r="AD39" s="223"/>
      <c r="AE39" s="223"/>
      <c r="AF39" s="223"/>
      <c r="AG39" s="223"/>
      <c r="AH39" s="223"/>
      <c r="AI39" s="223"/>
      <c r="AJ39" s="223"/>
      <c r="AK39" s="223"/>
      <c r="AL39" s="223"/>
      <c r="AM39" s="223"/>
      <c r="AN39" s="223"/>
      <c r="AO39" s="223"/>
      <c r="AP39" s="223"/>
      <c r="AQ39" s="223"/>
      <c r="AR39" s="223"/>
      <c r="AS39" s="223"/>
      <c r="AT39" s="223"/>
      <c r="AU39" s="223"/>
      <c r="AV39" s="223"/>
      <c r="AW39" s="223"/>
      <c r="AX39" s="223"/>
      <c r="AY39" s="225"/>
    </row>
    <row r="40" spans="1:51" s="246" customFormat="1" ht="6.75" customHeight="1">
      <c r="A40" s="574"/>
      <c r="B40" s="575"/>
      <c r="C40" s="575"/>
      <c r="D40" s="575"/>
      <c r="E40" s="575"/>
      <c r="F40" s="575"/>
      <c r="G40" s="575"/>
      <c r="H40" s="575"/>
      <c r="I40" s="576"/>
      <c r="J40" s="226"/>
      <c r="K40" s="227"/>
      <c r="L40" s="227"/>
      <c r="M40" s="227"/>
      <c r="N40" s="227"/>
      <c r="O40" s="227"/>
      <c r="P40" s="227"/>
      <c r="Q40" s="227"/>
      <c r="R40" s="227"/>
      <c r="S40" s="227"/>
      <c r="T40" s="227"/>
      <c r="U40" s="227"/>
      <c r="V40" s="227"/>
      <c r="W40" s="227"/>
      <c r="X40" s="227"/>
      <c r="Y40" s="227"/>
      <c r="Z40" s="227"/>
      <c r="AA40" s="227"/>
      <c r="AB40" s="227"/>
      <c r="AC40" s="227"/>
      <c r="AD40" s="227"/>
      <c r="AE40" s="227"/>
      <c r="AF40" s="227"/>
      <c r="AG40" s="227"/>
      <c r="AH40" s="227"/>
      <c r="AI40" s="227"/>
      <c r="AJ40" s="227"/>
      <c r="AK40" s="227"/>
      <c r="AL40" s="227"/>
      <c r="AM40" s="227"/>
      <c r="AN40" s="227"/>
      <c r="AO40" s="227"/>
      <c r="AP40" s="227"/>
      <c r="AQ40" s="227"/>
      <c r="AR40" s="227"/>
      <c r="AS40" s="227"/>
      <c r="AT40" s="227"/>
      <c r="AU40" s="227"/>
      <c r="AV40" s="227"/>
      <c r="AW40" s="227"/>
      <c r="AX40" s="227"/>
      <c r="AY40" s="228"/>
    </row>
    <row r="41" spans="1:51" s="246" customFormat="1" ht="6.75" customHeight="1">
      <c r="A41" s="574"/>
      <c r="B41" s="575"/>
      <c r="C41" s="575"/>
      <c r="D41" s="575"/>
      <c r="E41" s="575"/>
      <c r="F41" s="575"/>
      <c r="G41" s="575"/>
      <c r="H41" s="575"/>
      <c r="I41" s="576"/>
      <c r="J41" s="229"/>
      <c r="K41" s="230"/>
      <c r="L41" s="230"/>
      <c r="M41" s="230"/>
      <c r="N41" s="230"/>
      <c r="O41" s="230"/>
      <c r="P41" s="230"/>
      <c r="Q41" s="230"/>
      <c r="R41" s="230"/>
      <c r="S41" s="230"/>
      <c r="T41" s="230"/>
      <c r="U41" s="230"/>
      <c r="V41" s="230"/>
      <c r="W41" s="230"/>
      <c r="X41" s="230"/>
      <c r="Y41" s="230"/>
      <c r="Z41" s="230"/>
      <c r="AA41" s="230"/>
      <c r="AB41" s="230"/>
      <c r="AC41" s="230"/>
      <c r="AD41" s="230"/>
      <c r="AE41" s="230"/>
      <c r="AF41" s="230"/>
      <c r="AG41" s="230"/>
      <c r="AH41" s="230"/>
      <c r="AI41" s="230"/>
      <c r="AJ41" s="230"/>
      <c r="AK41" s="230"/>
      <c r="AL41" s="230"/>
      <c r="AM41" s="230"/>
      <c r="AN41" s="230"/>
      <c r="AO41" s="230"/>
      <c r="AP41" s="230"/>
      <c r="AQ41" s="230"/>
      <c r="AR41" s="230"/>
      <c r="AS41" s="230"/>
      <c r="AT41" s="230"/>
      <c r="AU41" s="230"/>
      <c r="AV41" s="230"/>
      <c r="AW41" s="230"/>
      <c r="AX41" s="230"/>
      <c r="AY41" s="232"/>
    </row>
    <row r="42" spans="1:51" s="246" customFormat="1" ht="6.75" customHeight="1">
      <c r="A42" s="574"/>
      <c r="B42" s="575"/>
      <c r="C42" s="575"/>
      <c r="D42" s="575"/>
      <c r="E42" s="575"/>
      <c r="F42" s="575"/>
      <c r="G42" s="575"/>
      <c r="H42" s="575"/>
      <c r="I42" s="576"/>
      <c r="J42" s="221"/>
      <c r="K42" s="223"/>
      <c r="L42" s="223"/>
      <c r="M42" s="223"/>
      <c r="N42" s="223"/>
      <c r="O42" s="223"/>
      <c r="P42" s="223"/>
      <c r="Q42" s="223"/>
      <c r="R42" s="223"/>
      <c r="S42" s="223"/>
      <c r="T42" s="223"/>
      <c r="U42" s="223"/>
      <c r="V42" s="223"/>
      <c r="W42" s="223"/>
      <c r="X42" s="223"/>
      <c r="Y42" s="223"/>
      <c r="Z42" s="223"/>
      <c r="AA42" s="223"/>
      <c r="AB42" s="223"/>
      <c r="AC42" s="223"/>
      <c r="AD42" s="223"/>
      <c r="AE42" s="223"/>
      <c r="AF42" s="223"/>
      <c r="AG42" s="223"/>
      <c r="AH42" s="223"/>
      <c r="AI42" s="223"/>
      <c r="AJ42" s="223"/>
      <c r="AK42" s="223"/>
      <c r="AL42" s="223"/>
      <c r="AM42" s="223"/>
      <c r="AN42" s="223"/>
      <c r="AO42" s="223"/>
      <c r="AP42" s="223"/>
      <c r="AQ42" s="223"/>
      <c r="AR42" s="223"/>
      <c r="AS42" s="223"/>
      <c r="AT42" s="223"/>
      <c r="AU42" s="223"/>
      <c r="AV42" s="223"/>
      <c r="AW42" s="223"/>
      <c r="AX42" s="223"/>
      <c r="AY42" s="225"/>
    </row>
    <row r="43" spans="1:51" s="246" customFormat="1" ht="6.75" customHeight="1">
      <c r="A43" s="574"/>
      <c r="B43" s="575"/>
      <c r="C43" s="575"/>
      <c r="D43" s="575"/>
      <c r="E43" s="575"/>
      <c r="F43" s="575"/>
      <c r="G43" s="575"/>
      <c r="H43" s="575"/>
      <c r="I43" s="576"/>
      <c r="J43" s="221"/>
      <c r="K43" s="223"/>
      <c r="L43" s="223"/>
      <c r="M43" s="223"/>
      <c r="N43" s="223"/>
      <c r="O43" s="223"/>
      <c r="P43" s="223"/>
      <c r="Q43" s="223"/>
      <c r="R43" s="223"/>
      <c r="S43" s="223"/>
      <c r="T43" s="223"/>
      <c r="U43" s="223"/>
      <c r="V43" s="223"/>
      <c r="W43" s="223"/>
      <c r="X43" s="223"/>
      <c r="Y43" s="223"/>
      <c r="Z43" s="223"/>
      <c r="AA43" s="223"/>
      <c r="AB43" s="223"/>
      <c r="AC43" s="223"/>
      <c r="AD43" s="223"/>
      <c r="AE43" s="223"/>
      <c r="AF43" s="223"/>
      <c r="AG43" s="223"/>
      <c r="AH43" s="223"/>
      <c r="AI43" s="223"/>
      <c r="AJ43" s="223"/>
      <c r="AK43" s="223"/>
      <c r="AL43" s="223"/>
      <c r="AM43" s="223"/>
      <c r="AN43" s="223"/>
      <c r="AO43" s="223"/>
      <c r="AP43" s="223"/>
      <c r="AQ43" s="223"/>
      <c r="AR43" s="223"/>
      <c r="AS43" s="223"/>
      <c r="AT43" s="223"/>
      <c r="AU43" s="223"/>
      <c r="AV43" s="223"/>
      <c r="AW43" s="223"/>
      <c r="AX43" s="223"/>
      <c r="AY43" s="225"/>
    </row>
    <row r="44" spans="1:51" s="246" customFormat="1" ht="6.75" customHeight="1">
      <c r="A44" s="574"/>
      <c r="B44" s="575"/>
      <c r="C44" s="575"/>
      <c r="D44" s="575"/>
      <c r="E44" s="575"/>
      <c r="F44" s="575"/>
      <c r="G44" s="575"/>
      <c r="H44" s="575"/>
      <c r="I44" s="576"/>
      <c r="J44" s="226"/>
      <c r="K44" s="227"/>
      <c r="L44" s="227"/>
      <c r="M44" s="227"/>
      <c r="N44" s="227"/>
      <c r="O44" s="227"/>
      <c r="P44" s="227"/>
      <c r="Q44" s="227"/>
      <c r="R44" s="227"/>
      <c r="S44" s="227"/>
      <c r="T44" s="227"/>
      <c r="U44" s="227"/>
      <c r="V44" s="227"/>
      <c r="W44" s="227"/>
      <c r="X44" s="227"/>
      <c r="Y44" s="227"/>
      <c r="Z44" s="227"/>
      <c r="AA44" s="227"/>
      <c r="AB44" s="227"/>
      <c r="AC44" s="227"/>
      <c r="AD44" s="227"/>
      <c r="AE44" s="227"/>
      <c r="AF44" s="227"/>
      <c r="AG44" s="227"/>
      <c r="AH44" s="227"/>
      <c r="AI44" s="227"/>
      <c r="AJ44" s="227"/>
      <c r="AK44" s="227"/>
      <c r="AL44" s="227"/>
      <c r="AM44" s="227"/>
      <c r="AN44" s="227"/>
      <c r="AO44" s="227"/>
      <c r="AP44" s="227"/>
      <c r="AQ44" s="227"/>
      <c r="AR44" s="227"/>
      <c r="AS44" s="227"/>
      <c r="AT44" s="227"/>
      <c r="AU44" s="227"/>
      <c r="AV44" s="227"/>
      <c r="AW44" s="227"/>
      <c r="AX44" s="227"/>
      <c r="AY44" s="228"/>
    </row>
    <row r="45" spans="1:51" s="246" customFormat="1" ht="6.75" customHeight="1">
      <c r="A45" s="574"/>
      <c r="B45" s="575"/>
      <c r="C45" s="575"/>
      <c r="D45" s="575"/>
      <c r="E45" s="575"/>
      <c r="F45" s="575"/>
      <c r="G45" s="575"/>
      <c r="H45" s="575"/>
      <c r="I45" s="576"/>
      <c r="J45" s="229"/>
      <c r="K45" s="230"/>
      <c r="L45" s="230"/>
      <c r="M45" s="230"/>
      <c r="N45" s="230"/>
      <c r="O45" s="230"/>
      <c r="P45" s="230"/>
      <c r="Q45" s="230"/>
      <c r="R45" s="230"/>
      <c r="S45" s="230"/>
      <c r="T45" s="230"/>
      <c r="U45" s="230"/>
      <c r="V45" s="230"/>
      <c r="W45" s="230"/>
      <c r="X45" s="230"/>
      <c r="Y45" s="230"/>
      <c r="Z45" s="230"/>
      <c r="AA45" s="230"/>
      <c r="AB45" s="230"/>
      <c r="AC45" s="230"/>
      <c r="AD45" s="230"/>
      <c r="AE45" s="230"/>
      <c r="AF45" s="230"/>
      <c r="AG45" s="230"/>
      <c r="AH45" s="230"/>
      <c r="AI45" s="230"/>
      <c r="AJ45" s="230"/>
      <c r="AK45" s="230"/>
      <c r="AL45" s="230"/>
      <c r="AM45" s="230"/>
      <c r="AN45" s="230"/>
      <c r="AO45" s="230"/>
      <c r="AP45" s="230"/>
      <c r="AQ45" s="230"/>
      <c r="AR45" s="230"/>
      <c r="AS45" s="230"/>
      <c r="AT45" s="230"/>
      <c r="AU45" s="230"/>
      <c r="AV45" s="230"/>
      <c r="AW45" s="230"/>
      <c r="AX45" s="230"/>
      <c r="AY45" s="232"/>
    </row>
    <row r="46" spans="1:51" s="246" customFormat="1" ht="6.75" customHeight="1">
      <c r="A46" s="574"/>
      <c r="B46" s="575"/>
      <c r="C46" s="575"/>
      <c r="D46" s="575"/>
      <c r="E46" s="575"/>
      <c r="F46" s="575"/>
      <c r="G46" s="575"/>
      <c r="H46" s="575"/>
      <c r="I46" s="576"/>
      <c r="J46" s="221"/>
      <c r="K46" s="223"/>
      <c r="L46" s="223"/>
      <c r="M46" s="223"/>
      <c r="N46" s="223"/>
      <c r="O46" s="223"/>
      <c r="P46" s="223"/>
      <c r="Q46" s="223"/>
      <c r="R46" s="223"/>
      <c r="S46" s="223"/>
      <c r="T46" s="223"/>
      <c r="U46" s="223"/>
      <c r="V46" s="223"/>
      <c r="W46" s="223"/>
      <c r="X46" s="223"/>
      <c r="Y46" s="223"/>
      <c r="Z46" s="223"/>
      <c r="AA46" s="223"/>
      <c r="AB46" s="223"/>
      <c r="AC46" s="223"/>
      <c r="AD46" s="223"/>
      <c r="AE46" s="223"/>
      <c r="AF46" s="223"/>
      <c r="AG46" s="223"/>
      <c r="AH46" s="223"/>
      <c r="AI46" s="223"/>
      <c r="AJ46" s="223"/>
      <c r="AK46" s="223"/>
      <c r="AL46" s="223"/>
      <c r="AM46" s="223"/>
      <c r="AN46" s="223"/>
      <c r="AO46" s="223"/>
      <c r="AP46" s="223"/>
      <c r="AQ46" s="223"/>
      <c r="AR46" s="223"/>
      <c r="AS46" s="223"/>
      <c r="AT46" s="223"/>
      <c r="AU46" s="223"/>
      <c r="AV46" s="223"/>
      <c r="AW46" s="223"/>
      <c r="AX46" s="223"/>
      <c r="AY46" s="225"/>
    </row>
    <row r="47" spans="1:51" s="246" customFormat="1" ht="6.75" customHeight="1">
      <c r="A47" s="574"/>
      <c r="B47" s="575"/>
      <c r="C47" s="575"/>
      <c r="D47" s="575"/>
      <c r="E47" s="575"/>
      <c r="F47" s="575"/>
      <c r="G47" s="575"/>
      <c r="H47" s="575"/>
      <c r="I47" s="576"/>
      <c r="J47" s="221"/>
      <c r="K47" s="223"/>
      <c r="L47" s="223"/>
      <c r="M47" s="223"/>
      <c r="N47" s="223"/>
      <c r="O47" s="223"/>
      <c r="P47" s="223"/>
      <c r="Q47" s="223"/>
      <c r="R47" s="223"/>
      <c r="S47" s="223"/>
      <c r="T47" s="223"/>
      <c r="U47" s="223"/>
      <c r="V47" s="223"/>
      <c r="W47" s="223"/>
      <c r="X47" s="223"/>
      <c r="Y47" s="223"/>
      <c r="Z47" s="223"/>
      <c r="AA47" s="223"/>
      <c r="AB47" s="223"/>
      <c r="AC47" s="223"/>
      <c r="AD47" s="223"/>
      <c r="AE47" s="223"/>
      <c r="AF47" s="223"/>
      <c r="AG47" s="223"/>
      <c r="AH47" s="223"/>
      <c r="AI47" s="223"/>
      <c r="AJ47" s="223"/>
      <c r="AK47" s="223"/>
      <c r="AL47" s="223"/>
      <c r="AM47" s="223"/>
      <c r="AN47" s="223"/>
      <c r="AO47" s="223"/>
      <c r="AP47" s="223"/>
      <c r="AQ47" s="223"/>
      <c r="AR47" s="223"/>
      <c r="AS47" s="223"/>
      <c r="AT47" s="223"/>
      <c r="AU47" s="223"/>
      <c r="AV47" s="223"/>
      <c r="AW47" s="223"/>
      <c r="AX47" s="223"/>
      <c r="AY47" s="225"/>
    </row>
    <row r="48" spans="1:51" s="246" customFormat="1" ht="6.75" customHeight="1">
      <c r="A48" s="574"/>
      <c r="B48" s="575"/>
      <c r="C48" s="575"/>
      <c r="D48" s="575"/>
      <c r="E48" s="575"/>
      <c r="F48" s="575"/>
      <c r="G48" s="575"/>
      <c r="H48" s="575"/>
      <c r="I48" s="576"/>
      <c r="J48" s="226"/>
      <c r="K48" s="227"/>
      <c r="L48" s="227"/>
      <c r="M48" s="227"/>
      <c r="N48" s="227"/>
      <c r="O48" s="227"/>
      <c r="P48" s="227"/>
      <c r="Q48" s="227"/>
      <c r="R48" s="227"/>
      <c r="S48" s="227"/>
      <c r="T48" s="227"/>
      <c r="U48" s="227"/>
      <c r="V48" s="227"/>
      <c r="W48" s="227"/>
      <c r="X48" s="227"/>
      <c r="Y48" s="227"/>
      <c r="Z48" s="227"/>
      <c r="AA48" s="227"/>
      <c r="AB48" s="227"/>
      <c r="AC48" s="227"/>
      <c r="AD48" s="227"/>
      <c r="AE48" s="227"/>
      <c r="AF48" s="227"/>
      <c r="AG48" s="227"/>
      <c r="AH48" s="227"/>
      <c r="AI48" s="227"/>
      <c r="AJ48" s="227"/>
      <c r="AK48" s="227"/>
      <c r="AL48" s="227"/>
      <c r="AM48" s="227"/>
      <c r="AN48" s="227"/>
      <c r="AO48" s="227"/>
      <c r="AP48" s="227"/>
      <c r="AQ48" s="227"/>
      <c r="AR48" s="227"/>
      <c r="AS48" s="227"/>
      <c r="AT48" s="227"/>
      <c r="AU48" s="227"/>
      <c r="AV48" s="227"/>
      <c r="AW48" s="227"/>
      <c r="AX48" s="227"/>
      <c r="AY48" s="228"/>
    </row>
    <row r="49" spans="1:51" s="246" customFormat="1" ht="6.75" customHeight="1">
      <c r="A49" s="574"/>
      <c r="B49" s="575"/>
      <c r="C49" s="575"/>
      <c r="D49" s="575"/>
      <c r="E49" s="575"/>
      <c r="F49" s="575"/>
      <c r="G49" s="575"/>
      <c r="H49" s="575"/>
      <c r="I49" s="576"/>
      <c r="J49" s="229"/>
      <c r="K49" s="230"/>
      <c r="L49" s="230"/>
      <c r="M49" s="230"/>
      <c r="N49" s="230"/>
      <c r="O49" s="230"/>
      <c r="P49" s="230"/>
      <c r="Q49" s="230"/>
      <c r="R49" s="230"/>
      <c r="S49" s="230"/>
      <c r="T49" s="230"/>
      <c r="U49" s="230"/>
      <c r="V49" s="230"/>
      <c r="W49" s="230"/>
      <c r="X49" s="230"/>
      <c r="Y49" s="230"/>
      <c r="Z49" s="230"/>
      <c r="AA49" s="230"/>
      <c r="AB49" s="230"/>
      <c r="AC49" s="230"/>
      <c r="AD49" s="230"/>
      <c r="AE49" s="230"/>
      <c r="AF49" s="230"/>
      <c r="AG49" s="230"/>
      <c r="AH49" s="230"/>
      <c r="AI49" s="230"/>
      <c r="AJ49" s="230"/>
      <c r="AK49" s="230"/>
      <c r="AL49" s="230"/>
      <c r="AM49" s="230"/>
      <c r="AN49" s="230"/>
      <c r="AO49" s="230"/>
      <c r="AP49" s="230"/>
      <c r="AQ49" s="230"/>
      <c r="AR49" s="230"/>
      <c r="AS49" s="230"/>
      <c r="AT49" s="230"/>
      <c r="AU49" s="230"/>
      <c r="AV49" s="230"/>
      <c r="AW49" s="230"/>
      <c r="AX49" s="230"/>
      <c r="AY49" s="232"/>
    </row>
    <row r="50" spans="1:51" s="246" customFormat="1" ht="6.75" customHeight="1">
      <c r="A50" s="592"/>
      <c r="B50" s="593"/>
      <c r="C50" s="593"/>
      <c r="D50" s="593"/>
      <c r="E50" s="593"/>
      <c r="F50" s="593"/>
      <c r="G50" s="593"/>
      <c r="H50" s="593"/>
      <c r="I50" s="594"/>
      <c r="J50" s="221"/>
      <c r="K50" s="223"/>
      <c r="L50" s="223"/>
      <c r="M50" s="223"/>
      <c r="N50" s="223"/>
      <c r="O50" s="223"/>
      <c r="P50" s="223"/>
      <c r="Q50" s="223"/>
      <c r="R50" s="223"/>
      <c r="S50" s="223"/>
      <c r="T50" s="223"/>
      <c r="U50" s="223"/>
      <c r="V50" s="223"/>
      <c r="W50" s="223"/>
      <c r="X50" s="223"/>
      <c r="Y50" s="223"/>
      <c r="Z50" s="223"/>
      <c r="AA50" s="223"/>
      <c r="AB50" s="223"/>
      <c r="AC50" s="223"/>
      <c r="AD50" s="223"/>
      <c r="AE50" s="223"/>
      <c r="AF50" s="223"/>
      <c r="AG50" s="223"/>
      <c r="AH50" s="223"/>
      <c r="AI50" s="223"/>
      <c r="AJ50" s="223"/>
      <c r="AK50" s="223"/>
      <c r="AL50" s="223"/>
      <c r="AM50" s="223"/>
      <c r="AN50" s="223"/>
      <c r="AO50" s="223"/>
      <c r="AP50" s="223"/>
      <c r="AQ50" s="223"/>
      <c r="AR50" s="223"/>
      <c r="AS50" s="223"/>
      <c r="AT50" s="223"/>
      <c r="AU50" s="223"/>
      <c r="AV50" s="223"/>
      <c r="AW50" s="223"/>
      <c r="AX50" s="223"/>
      <c r="AY50" s="225"/>
    </row>
    <row r="51" spans="1:51" s="246" customFormat="1" ht="6.75" customHeight="1">
      <c r="A51" s="592"/>
      <c r="B51" s="593"/>
      <c r="C51" s="593"/>
      <c r="D51" s="593"/>
      <c r="E51" s="593"/>
      <c r="F51" s="593"/>
      <c r="G51" s="593"/>
      <c r="H51" s="593"/>
      <c r="I51" s="594"/>
      <c r="J51" s="221"/>
      <c r="K51" s="223"/>
      <c r="L51" s="223"/>
      <c r="M51" s="223"/>
      <c r="N51" s="223"/>
      <c r="O51" s="223"/>
      <c r="P51" s="223"/>
      <c r="Q51" s="223"/>
      <c r="R51" s="223"/>
      <c r="S51" s="223"/>
      <c r="T51" s="223"/>
      <c r="U51" s="223"/>
      <c r="V51" s="223"/>
      <c r="W51" s="223"/>
      <c r="X51" s="223"/>
      <c r="Y51" s="223"/>
      <c r="Z51" s="223"/>
      <c r="AA51" s="223"/>
      <c r="AB51" s="223"/>
      <c r="AC51" s="223"/>
      <c r="AD51" s="223"/>
      <c r="AE51" s="223"/>
      <c r="AF51" s="223"/>
      <c r="AG51" s="223"/>
      <c r="AH51" s="223"/>
      <c r="AI51" s="223"/>
      <c r="AJ51" s="223"/>
      <c r="AK51" s="223"/>
      <c r="AL51" s="223"/>
      <c r="AM51" s="223"/>
      <c r="AN51" s="223"/>
      <c r="AO51" s="223"/>
      <c r="AP51" s="223"/>
      <c r="AQ51" s="223"/>
      <c r="AR51" s="223"/>
      <c r="AS51" s="223"/>
      <c r="AT51" s="223"/>
      <c r="AU51" s="223"/>
      <c r="AV51" s="223"/>
      <c r="AW51" s="223"/>
      <c r="AX51" s="223"/>
      <c r="AY51" s="225"/>
    </row>
    <row r="52" spans="1:51" s="246" customFormat="1" ht="6.75" customHeight="1" thickBot="1">
      <c r="A52" s="595"/>
      <c r="B52" s="596"/>
      <c r="C52" s="596"/>
      <c r="D52" s="596"/>
      <c r="E52" s="596"/>
      <c r="F52" s="596"/>
      <c r="G52" s="596"/>
      <c r="H52" s="596"/>
      <c r="I52" s="597"/>
      <c r="J52" s="233"/>
      <c r="K52" s="234"/>
      <c r="L52" s="234"/>
      <c r="M52" s="234"/>
      <c r="N52" s="234"/>
      <c r="O52" s="234"/>
      <c r="P52" s="234"/>
      <c r="Q52" s="234"/>
      <c r="R52" s="234"/>
      <c r="S52" s="234"/>
      <c r="T52" s="234"/>
      <c r="U52" s="234"/>
      <c r="V52" s="234"/>
      <c r="W52" s="234"/>
      <c r="X52" s="234"/>
      <c r="Y52" s="234"/>
      <c r="Z52" s="234"/>
      <c r="AA52" s="234"/>
      <c r="AB52" s="234"/>
      <c r="AC52" s="234"/>
      <c r="AD52" s="234"/>
      <c r="AE52" s="234"/>
      <c r="AF52" s="234"/>
      <c r="AG52" s="234"/>
      <c r="AH52" s="234"/>
      <c r="AI52" s="234"/>
      <c r="AJ52" s="234"/>
      <c r="AK52" s="234"/>
      <c r="AL52" s="234"/>
      <c r="AM52" s="234"/>
      <c r="AN52" s="234"/>
      <c r="AO52" s="234"/>
      <c r="AP52" s="234"/>
      <c r="AQ52" s="234"/>
      <c r="AR52" s="234"/>
      <c r="AS52" s="234"/>
      <c r="AT52" s="234"/>
      <c r="AU52" s="234"/>
      <c r="AV52" s="234"/>
      <c r="AW52" s="234"/>
      <c r="AX52" s="234"/>
      <c r="AY52" s="235"/>
    </row>
    <row r="53" spans="1:51" ht="13.5" customHeight="1">
      <c r="A53" s="577" t="s">
        <v>1328</v>
      </c>
      <c r="B53" s="577"/>
      <c r="C53" s="577"/>
      <c r="D53" s="577"/>
      <c r="E53" s="210" t="s">
        <v>1329</v>
      </c>
      <c r="F53" s="210"/>
      <c r="G53" s="210"/>
      <c r="H53" s="210"/>
      <c r="I53" s="210"/>
      <c r="J53" s="210"/>
      <c r="K53" s="210"/>
      <c r="L53" s="210"/>
      <c r="M53" s="210"/>
      <c r="N53" s="210"/>
      <c r="O53" s="210"/>
      <c r="P53" s="210"/>
      <c r="Q53" s="210"/>
      <c r="R53" s="210"/>
      <c r="S53" s="210"/>
      <c r="T53" s="252"/>
      <c r="U53" s="252"/>
      <c r="V53" s="252"/>
      <c r="W53" s="252"/>
      <c r="X53" s="252"/>
      <c r="Y53" s="252"/>
      <c r="Z53" s="252"/>
      <c r="AA53" s="252"/>
      <c r="AB53" s="252"/>
      <c r="AC53" s="252"/>
      <c r="AD53" s="252"/>
      <c r="AE53" s="252"/>
      <c r="AF53" s="252"/>
      <c r="AG53" s="252"/>
      <c r="AH53" s="252"/>
      <c r="AI53" s="252"/>
      <c r="AJ53" s="252"/>
      <c r="AK53" s="210"/>
      <c r="AL53" s="210"/>
      <c r="AM53" s="210"/>
      <c r="AN53" s="210"/>
      <c r="AO53" s="210"/>
      <c r="AP53" s="210"/>
      <c r="AQ53" s="210"/>
      <c r="AR53" s="210"/>
      <c r="AS53" s="210"/>
      <c r="AT53" s="210"/>
      <c r="AU53" s="210"/>
      <c r="AV53" s="210"/>
      <c r="AW53" s="210"/>
      <c r="AX53" s="210"/>
      <c r="AY53" s="210"/>
    </row>
    <row r="54" spans="1:51" ht="13.5" customHeight="1">
      <c r="A54" s="210"/>
      <c r="B54" s="210"/>
      <c r="C54" s="210"/>
      <c r="D54" s="210"/>
      <c r="E54" s="210" t="s">
        <v>1330</v>
      </c>
      <c r="F54" s="210"/>
      <c r="G54" s="210"/>
      <c r="H54" s="210"/>
      <c r="I54" s="210"/>
      <c r="J54" s="210"/>
      <c r="K54" s="210"/>
      <c r="L54" s="210"/>
      <c r="M54" s="210"/>
      <c r="N54" s="210"/>
      <c r="O54" s="210"/>
      <c r="P54" s="210"/>
      <c r="Q54" s="210"/>
      <c r="R54" s="210"/>
      <c r="S54" s="210"/>
      <c r="T54" s="252"/>
      <c r="U54" s="252"/>
      <c r="V54" s="252"/>
      <c r="W54" s="252"/>
      <c r="X54" s="252"/>
      <c r="Y54" s="252"/>
      <c r="Z54" s="252"/>
      <c r="AA54" s="252"/>
      <c r="AB54" s="252"/>
      <c r="AC54" s="252"/>
      <c r="AD54" s="252"/>
      <c r="AE54" s="252"/>
      <c r="AF54" s="252"/>
      <c r="AG54" s="252"/>
      <c r="AH54" s="252"/>
      <c r="AI54" s="252"/>
      <c r="AJ54" s="252"/>
      <c r="AK54" s="210"/>
      <c r="AL54" s="210"/>
      <c r="AM54" s="210"/>
      <c r="AN54" s="210"/>
      <c r="AO54" s="210"/>
      <c r="AP54" s="210"/>
      <c r="AQ54" s="210"/>
      <c r="AR54" s="210"/>
      <c r="AS54" s="210"/>
      <c r="AT54" s="210"/>
      <c r="AU54" s="210"/>
      <c r="AV54" s="210"/>
      <c r="AW54" s="210"/>
      <c r="AX54" s="210"/>
      <c r="AY54" s="210"/>
    </row>
    <row r="55" spans="1:51" ht="13.5" customHeight="1">
      <c r="E55" s="215" t="s">
        <v>1331</v>
      </c>
    </row>
  </sheetData>
  <sheetProtection sheet="1" objects="1" scenarios="1" formatCells="0" insertRows="0" deleteRows="0"/>
  <mergeCells count="19">
    <mergeCell ref="A49:I52"/>
    <mergeCell ref="A53:D53"/>
    <mergeCell ref="A37:I40"/>
    <mergeCell ref="A21:I24"/>
    <mergeCell ref="A25:I28"/>
    <mergeCell ref="A29:I32"/>
    <mergeCell ref="A33:I36"/>
    <mergeCell ref="A41:I44"/>
    <mergeCell ref="A45:I48"/>
    <mergeCell ref="A17:I20"/>
    <mergeCell ref="AS3:AY3"/>
    <mergeCell ref="A7:C7"/>
    <mergeCell ref="A8:C8"/>
    <mergeCell ref="E8:K8"/>
    <mergeCell ref="N8:S8"/>
    <mergeCell ref="A11:I12"/>
    <mergeCell ref="J11:K12"/>
    <mergeCell ref="AX11:AY12"/>
    <mergeCell ref="A13:I16"/>
  </mergeCells>
  <phoneticPr fontId="2"/>
  <dataValidations count="2">
    <dataValidation imeMode="hiragana" allowBlank="1" showInputMessage="1" showErrorMessage="1" sqref="A13:I52 D7:AG7" xr:uid="{00000000-0002-0000-1300-000000000000}"/>
    <dataValidation imeMode="disabled" allowBlank="1" showInputMessage="1" showErrorMessage="1" sqref="E8:K8 N8:S8" xr:uid="{00000000-0002-0000-1300-000001000000}"/>
  </dataValidations>
  <printOptions horizontalCentered="1"/>
  <pageMargins left="0.39370078740157483" right="0.39370078740157483" top="0.78740157480314965" bottom="0.78740157480314965" header="0" footer="0"/>
  <pageSetup paperSize="9"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3">
    <tabColor theme="7" tint="0.79998168889431442"/>
    <pageSetUpPr fitToPage="1"/>
  </sheetPr>
  <dimension ref="A1:AD41"/>
  <sheetViews>
    <sheetView showGridLines="0" showRowColHeaders="0" topLeftCell="B1" zoomScaleNormal="100" workbookViewId="0">
      <selection activeCell="E6" sqref="E6:G6"/>
    </sheetView>
  </sheetViews>
  <sheetFormatPr defaultRowHeight="18.75"/>
  <cols>
    <col min="1" max="1" width="3.75" style="290" hidden="1" customWidth="1"/>
    <col min="2" max="2" width="4.375" style="290" customWidth="1"/>
    <col min="3" max="3" width="4.875" style="290" customWidth="1"/>
    <col min="4" max="4" width="10.625" style="290" customWidth="1"/>
    <col min="5" max="5" width="23" style="290" customWidth="1"/>
    <col min="6" max="6" width="21.125" style="290" customWidth="1"/>
    <col min="7" max="7" width="32.875" style="290" customWidth="1"/>
    <col min="8" max="8" width="8" style="290" customWidth="1"/>
    <col min="9" max="28" width="3.75" style="290" customWidth="1"/>
    <col min="29" max="29" width="2.5" style="290" customWidth="1"/>
    <col min="30" max="30" width="5.25" style="416" bestFit="1" customWidth="1"/>
    <col min="31" max="16384" width="9" style="290"/>
  </cols>
  <sheetData>
    <row r="1" spans="1:30">
      <c r="B1" s="289" t="s">
        <v>1438</v>
      </c>
      <c r="C1" s="289"/>
      <c r="D1" s="289"/>
      <c r="E1" s="289"/>
      <c r="F1" s="289"/>
      <c r="G1" s="289"/>
    </row>
    <row r="2" spans="1:30" ht="28.5" customHeight="1" thickBot="1">
      <c r="B2" s="289"/>
      <c r="C2" s="599" t="s">
        <v>1439</v>
      </c>
      <c r="D2" s="599"/>
      <c r="E2" s="599"/>
      <c r="F2" s="599"/>
      <c r="G2" s="599"/>
      <c r="I2" s="418" t="s">
        <v>18501</v>
      </c>
      <c r="J2" s="299"/>
      <c r="K2" s="299"/>
      <c r="L2" s="299"/>
      <c r="M2" s="299"/>
      <c r="N2" s="299"/>
      <c r="O2" s="299"/>
      <c r="P2" s="299"/>
    </row>
    <row r="3" spans="1:30" ht="32.25" customHeight="1">
      <c r="B3" s="289"/>
      <c r="C3" s="600" t="s">
        <v>1440</v>
      </c>
      <c r="D3" s="291" t="s">
        <v>1441</v>
      </c>
      <c r="E3" s="322" t="str">
        <f>入札結果!G12</f>
        <v/>
      </c>
      <c r="F3" s="292" t="s">
        <v>1442</v>
      </c>
      <c r="G3" s="293" t="str">
        <f>DBCS(TEXT(契約日ほか!K20,"ggge年m月d日"))</f>
        <v/>
      </c>
      <c r="I3" s="392" t="s">
        <v>7235</v>
      </c>
      <c r="J3" s="413"/>
      <c r="K3" s="392" t="s">
        <v>7236</v>
      </c>
      <c r="L3" s="413"/>
      <c r="M3" s="392" t="s">
        <v>7237</v>
      </c>
      <c r="N3" s="413"/>
      <c r="O3" s="392" t="s">
        <v>7238</v>
      </c>
      <c r="P3" s="413"/>
      <c r="Q3" s="392" t="s">
        <v>7239</v>
      </c>
      <c r="R3" s="413"/>
      <c r="S3" s="392" t="s">
        <v>7240</v>
      </c>
      <c r="T3" s="413"/>
      <c r="U3" s="392" t="s">
        <v>7241</v>
      </c>
      <c r="V3" s="413"/>
      <c r="W3" s="392" t="s">
        <v>7242</v>
      </c>
      <c r="X3" s="413"/>
      <c r="Y3" s="392" t="s">
        <v>7243</v>
      </c>
      <c r="Z3" s="413"/>
      <c r="AA3" s="392" t="s">
        <v>7244</v>
      </c>
      <c r="AB3" s="413"/>
    </row>
    <row r="4" spans="1:30" ht="32.25" customHeight="1">
      <c r="B4" s="289"/>
      <c r="C4" s="601"/>
      <c r="D4" s="294" t="s">
        <v>1443</v>
      </c>
      <c r="E4" s="301" t="str">
        <f>入札結果!G13</f>
        <v/>
      </c>
      <c r="F4" s="295" t="s">
        <v>1444</v>
      </c>
      <c r="G4" s="398" t="str">
        <f>契約日ほか!S19</f>
        <v/>
      </c>
      <c r="I4" s="392" t="s">
        <v>7245</v>
      </c>
      <c r="J4" s="413"/>
      <c r="K4" s="392" t="s">
        <v>7246</v>
      </c>
      <c r="L4" s="413"/>
      <c r="M4" s="392" t="s">
        <v>7247</v>
      </c>
      <c r="N4" s="413"/>
      <c r="O4" s="393" t="s">
        <v>7248</v>
      </c>
      <c r="P4" s="413"/>
      <c r="Q4" s="392" t="s">
        <v>7249</v>
      </c>
      <c r="R4" s="413"/>
      <c r="S4" s="392" t="s">
        <v>7250</v>
      </c>
      <c r="T4" s="413"/>
      <c r="U4" s="392" t="s">
        <v>7251</v>
      </c>
      <c r="V4" s="413"/>
      <c r="W4" s="392" t="s">
        <v>7252</v>
      </c>
      <c r="X4" s="413"/>
      <c r="Y4" s="392" t="s">
        <v>7253</v>
      </c>
      <c r="Z4" s="413"/>
      <c r="AA4" s="392" t="s">
        <v>7254</v>
      </c>
      <c r="AB4" s="413"/>
    </row>
    <row r="5" spans="1:30" ht="32.25" customHeight="1">
      <c r="B5" s="289"/>
      <c r="C5" s="602"/>
      <c r="D5" s="296" t="s">
        <v>1445</v>
      </c>
      <c r="E5" s="397" t="str">
        <f>IFERROR("自　"&amp;TEXT(契約日ほか!K22,"ggge年m月d日")&amp;CHAR(10)&amp;"至　"&amp;TEXT(契約日ほか!K23,"ggge年m月d日"),"")</f>
        <v/>
      </c>
      <c r="F5" s="295" t="s">
        <v>1446</v>
      </c>
      <c r="G5" s="399" t="str">
        <f>_xlfn.TEXTJOIN("、", TRUE, IF(J3=1, I3, ""), IF(L3=1, K3, ""), IF(N3=1, M3, ""), IF(P3=1, O3, ""), IF(R3=1, Q3, ""), IF(T3=1, S3, ""), IF(V3=1, U3, ""), IF(X3=1, W3, ""), IF(Z3=1, Y3, ""), IF(AB3=1, AA3, ""), IF(J4=1, I4, ""), IF(L4=1, K4, ""), IF(N4=1, M4, ""), IF(P4=1, O4, ""), IF(R4=1, Q4, ""), IF(T4=1, S4, ""), IF(V4=1, U4, ""), IF(X4=1, W4, ""), IF(Z4=1, Y4, ""), IF(AB4=1, AA4, ""), IF(J5=1, I5, ""), IF(L5=1, K5, ""), IF(N5=1, M5, ""), IF(P5=1, O5, ""), IF(R5=1, Q5, ""), IF(T5=1, S5, ""), IF(V5=1, U5, ""), IF(X5=1, W5, ""), IF(Z5=1, Y5, ""))</f>
        <v/>
      </c>
      <c r="I5" s="392" t="s">
        <v>7255</v>
      </c>
      <c r="J5" s="413"/>
      <c r="K5" s="392" t="s">
        <v>7256</v>
      </c>
      <c r="L5" s="413"/>
      <c r="M5" s="392" t="s">
        <v>7257</v>
      </c>
      <c r="N5" s="413"/>
      <c r="O5" s="392" t="s">
        <v>7258</v>
      </c>
      <c r="P5" s="413"/>
      <c r="Q5" s="392" t="s">
        <v>7259</v>
      </c>
      <c r="R5" s="413"/>
      <c r="S5" s="392" t="s">
        <v>7260</v>
      </c>
      <c r="T5" s="413"/>
      <c r="U5" s="392" t="s">
        <v>7261</v>
      </c>
      <c r="V5" s="413"/>
      <c r="W5" s="392" t="s">
        <v>7262</v>
      </c>
      <c r="X5" s="413"/>
      <c r="Y5" s="392" t="s">
        <v>7263</v>
      </c>
      <c r="Z5" s="413"/>
      <c r="AA5" s="394"/>
      <c r="AB5" s="395"/>
    </row>
    <row r="6" spans="1:30" ht="32.25" customHeight="1">
      <c r="B6" s="289"/>
      <c r="C6" s="603" t="s">
        <v>1447</v>
      </c>
      <c r="D6" s="296" t="s">
        <v>1448</v>
      </c>
      <c r="E6" s="606" t="s">
        <v>1449</v>
      </c>
      <c r="F6" s="606"/>
      <c r="G6" s="607"/>
      <c r="I6" s="419" t="s">
        <v>18500</v>
      </c>
      <c r="AD6" s="415" t="s">
        <v>18499</v>
      </c>
    </row>
    <row r="7" spans="1:30" ht="16.5" customHeight="1">
      <c r="B7" s="289"/>
      <c r="C7" s="604"/>
      <c r="D7" s="608" t="str">
        <f>I10&amp;""</f>
        <v/>
      </c>
      <c r="E7" s="609" t="s">
        <v>1450</v>
      </c>
      <c r="F7" s="610" t="str">
        <f>IF(AD7=1,"未定",DBCS(CONCATENATE(V7,REPT(" ",3-LEN(W7)),W7," ",X7,REPT(" ",3-LEN(Y7)),Y7," ",Z7,REPT(" ",3-LEN(AA7)),AA7," ",AB7)))</f>
        <v>令和　　　　年　　　　月　　　　日</v>
      </c>
      <c r="G7" s="611"/>
      <c r="N7" s="414"/>
      <c r="Q7" s="620" t="str">
        <f>E7</f>
        <v xml:space="preserve">契約予定年月日  </v>
      </c>
      <c r="R7" s="620"/>
      <c r="S7" s="620"/>
      <c r="T7" s="620"/>
      <c r="U7" s="620"/>
      <c r="V7" s="620" t="s">
        <v>223</v>
      </c>
      <c r="W7" s="621"/>
      <c r="X7" s="620" t="s">
        <v>244</v>
      </c>
      <c r="Y7" s="621"/>
      <c r="Z7" s="620" t="s">
        <v>245</v>
      </c>
      <c r="AA7" s="621"/>
      <c r="AB7" s="620" t="s">
        <v>246</v>
      </c>
      <c r="AD7" s="598"/>
    </row>
    <row r="8" spans="1:30" ht="16.5" customHeight="1">
      <c r="B8" s="289"/>
      <c r="C8" s="604"/>
      <c r="D8" s="608"/>
      <c r="E8" s="609"/>
      <c r="F8" s="612"/>
      <c r="G8" s="613"/>
      <c r="Q8" s="620"/>
      <c r="R8" s="620"/>
      <c r="S8" s="620"/>
      <c r="T8" s="620"/>
      <c r="U8" s="620"/>
      <c r="V8" s="620"/>
      <c r="W8" s="621"/>
      <c r="X8" s="620"/>
      <c r="Y8" s="621"/>
      <c r="Z8" s="620"/>
      <c r="AA8" s="621"/>
      <c r="AB8" s="620"/>
      <c r="AD8" s="598"/>
    </row>
    <row r="9" spans="1:30" ht="16.5" customHeight="1">
      <c r="B9" s="289"/>
      <c r="C9" s="604"/>
      <c r="D9" s="608"/>
      <c r="E9" s="614" t="s">
        <v>1451</v>
      </c>
      <c r="F9" s="610" t="str">
        <f>IF(AD9=1,DBCS(CONCATENATE(U9," 　　　　　　　未定　　　　　　　　 ")),DBCS(CONCATENATE(U9,"  ",V9,REPT(" ",3-LEN(W9)),W9," ",X9,REPT(" ",3-LEN(Y9)),Y9," ",Z9,REPT(" ",3-LEN(AA9)),AA9," ",AB9)))</f>
        <v>自　　令和　　　　年　　　　月　　　　日</v>
      </c>
      <c r="G9" s="611"/>
      <c r="I9" s="396" t="s">
        <v>1</v>
      </c>
      <c r="J9" s="299"/>
      <c r="K9" s="299"/>
      <c r="L9" s="299"/>
      <c r="M9" s="299"/>
      <c r="N9" s="299"/>
      <c r="O9" s="299"/>
      <c r="P9" s="299"/>
      <c r="Q9" s="620" t="str">
        <f>E9</f>
        <v>予定工期</v>
      </c>
      <c r="R9" s="620"/>
      <c r="S9" s="620"/>
      <c r="T9" s="620"/>
      <c r="U9" s="299" t="s">
        <v>79</v>
      </c>
      <c r="V9" s="299" t="s">
        <v>223</v>
      </c>
      <c r="W9" s="300"/>
      <c r="X9" s="299" t="s">
        <v>244</v>
      </c>
      <c r="Y9" s="300"/>
      <c r="Z9" s="299" t="s">
        <v>245</v>
      </c>
      <c r="AA9" s="300"/>
      <c r="AB9" s="299" t="s">
        <v>246</v>
      </c>
      <c r="AD9" s="417"/>
    </row>
    <row r="10" spans="1:30" ht="16.5" customHeight="1">
      <c r="B10" s="289"/>
      <c r="C10" s="604"/>
      <c r="D10" s="608"/>
      <c r="E10" s="615"/>
      <c r="F10" s="616" t="str">
        <f>IF(AD10=1,DBCS(CONCATENATE(U10," 　　　　　　　未定　　　　　　　　 ")),DBCS(CONCATENATE(U10,"  ",V10,REPT(" ",3-LEN(W10)),W10," ",X10,REPT(" ",3-LEN(Y10)),Y10," ",Z10,REPT(" ",3-LEN(AA10)),AA10," ",AB10)))</f>
        <v>至　　令和　　　　年　　　　月　　　　日</v>
      </c>
      <c r="G10" s="617"/>
      <c r="I10" s="622"/>
      <c r="J10" s="622"/>
      <c r="K10" s="622"/>
      <c r="L10" s="622"/>
      <c r="M10" s="622"/>
      <c r="N10" s="622"/>
      <c r="O10" s="622"/>
      <c r="P10" s="622"/>
      <c r="Q10" s="620"/>
      <c r="R10" s="620"/>
      <c r="S10" s="620"/>
      <c r="T10" s="620"/>
      <c r="U10" s="299" t="s">
        <v>80</v>
      </c>
      <c r="V10" s="299" t="s">
        <v>223</v>
      </c>
      <c r="W10" s="300"/>
      <c r="X10" s="299" t="s">
        <v>244</v>
      </c>
      <c r="Y10" s="300"/>
      <c r="Z10" s="299" t="s">
        <v>245</v>
      </c>
      <c r="AA10" s="300"/>
      <c r="AB10" s="299" t="s">
        <v>246</v>
      </c>
      <c r="AD10" s="417"/>
    </row>
    <row r="11" spans="1:30" ht="16.5" customHeight="1">
      <c r="A11" s="290">
        <f>A5+1</f>
        <v>1</v>
      </c>
      <c r="B11" s="289"/>
      <c r="C11" s="604"/>
      <c r="D11" s="608"/>
      <c r="E11" s="609" t="str">
        <f>"契約予定金額"&amp;DBCS(A11)</f>
        <v>契約予定金額１</v>
      </c>
      <c r="F11" s="618" t="str">
        <f>IF(AD11=1,"未定 　　　　　　　　　",IF(V11="","",V11))</f>
        <v/>
      </c>
      <c r="G11" s="619"/>
      <c r="I11" s="622"/>
      <c r="J11" s="622"/>
      <c r="K11" s="622"/>
      <c r="L11" s="622"/>
      <c r="M11" s="622"/>
      <c r="N11" s="622"/>
      <c r="O11" s="622"/>
      <c r="P11" s="622"/>
      <c r="Q11" s="620" t="str">
        <f>E11</f>
        <v>契約予定金額１</v>
      </c>
      <c r="R11" s="620"/>
      <c r="S11" s="620"/>
      <c r="T11" s="620"/>
      <c r="U11" s="620"/>
      <c r="V11" s="623"/>
      <c r="W11" s="623"/>
      <c r="X11" s="623"/>
      <c r="Y11" s="623"/>
      <c r="Z11" s="623"/>
      <c r="AA11" s="623"/>
      <c r="AB11" s="623"/>
      <c r="AD11" s="417"/>
    </row>
    <row r="12" spans="1:30" ht="16.5" customHeight="1">
      <c r="B12" s="289"/>
      <c r="C12" s="604"/>
      <c r="D12" s="608"/>
      <c r="E12" s="609"/>
      <c r="F12" s="618"/>
      <c r="G12" s="619"/>
      <c r="AD12" s="415" t="s">
        <v>18499</v>
      </c>
    </row>
    <row r="13" spans="1:30" ht="16.5" customHeight="1">
      <c r="B13" s="289"/>
      <c r="C13" s="604"/>
      <c r="D13" s="608" t="str">
        <f>I16&amp;""</f>
        <v/>
      </c>
      <c r="E13" s="609" t="s">
        <v>1450</v>
      </c>
      <c r="F13" s="610" t="str">
        <f>IF(AD13=1,"未定",DBCS(CONCATENATE(V13,REPT(" ",3-LEN(W13)),W13," ",X13,REPT(" ",3-LEN(Y13)),Y13," ",Z13,REPT(" ",3-LEN(AA13)),AA13," ",AB13)))</f>
        <v>令和　　　　年　　　　月　　　　日</v>
      </c>
      <c r="G13" s="611"/>
      <c r="Q13" s="620" t="str">
        <f>E13</f>
        <v xml:space="preserve">契約予定年月日  </v>
      </c>
      <c r="R13" s="620"/>
      <c r="S13" s="620"/>
      <c r="T13" s="620"/>
      <c r="U13" s="620"/>
      <c r="V13" s="620" t="s">
        <v>223</v>
      </c>
      <c r="W13" s="621"/>
      <c r="X13" s="620" t="s">
        <v>244</v>
      </c>
      <c r="Y13" s="621"/>
      <c r="Z13" s="620" t="s">
        <v>245</v>
      </c>
      <c r="AA13" s="621"/>
      <c r="AB13" s="620" t="s">
        <v>246</v>
      </c>
      <c r="AD13" s="598"/>
    </row>
    <row r="14" spans="1:30" ht="16.5" customHeight="1">
      <c r="B14" s="289"/>
      <c r="C14" s="604"/>
      <c r="D14" s="608"/>
      <c r="E14" s="609"/>
      <c r="F14" s="612"/>
      <c r="G14" s="613"/>
      <c r="Q14" s="620"/>
      <c r="R14" s="620"/>
      <c r="S14" s="620"/>
      <c r="T14" s="620"/>
      <c r="U14" s="620"/>
      <c r="V14" s="620"/>
      <c r="W14" s="621"/>
      <c r="X14" s="620"/>
      <c r="Y14" s="621"/>
      <c r="Z14" s="620"/>
      <c r="AA14" s="621"/>
      <c r="AB14" s="620"/>
      <c r="AD14" s="598"/>
    </row>
    <row r="15" spans="1:30" ht="16.5" customHeight="1">
      <c r="B15" s="289"/>
      <c r="C15" s="604"/>
      <c r="D15" s="608"/>
      <c r="E15" s="614" t="s">
        <v>1451</v>
      </c>
      <c r="F15" s="610" t="str">
        <f>IF(AD15=1,DBCS(CONCATENATE(U15," 　　　　　　　未定　　　　　　　　 ")),DBCS(CONCATENATE(U15,"  ",V15,REPT(" ",3-LEN(W15)),W15," ",X15,REPT(" ",3-LEN(Y15)),Y15," ",Z15,REPT(" ",3-LEN(AA15)),AA15," ",AB15)))</f>
        <v>自　　令和　　　　年　　　　月　　　　日</v>
      </c>
      <c r="G15" s="611"/>
      <c r="I15" s="290" t="s">
        <v>1</v>
      </c>
      <c r="Q15" s="620" t="str">
        <f>E15</f>
        <v>予定工期</v>
      </c>
      <c r="R15" s="620"/>
      <c r="S15" s="620"/>
      <c r="T15" s="620"/>
      <c r="U15" s="299" t="s">
        <v>79</v>
      </c>
      <c r="V15" s="299" t="s">
        <v>223</v>
      </c>
      <c r="W15" s="300"/>
      <c r="X15" s="299" t="s">
        <v>244</v>
      </c>
      <c r="Y15" s="300"/>
      <c r="Z15" s="299" t="s">
        <v>245</v>
      </c>
      <c r="AA15" s="300"/>
      <c r="AB15" s="299" t="s">
        <v>246</v>
      </c>
      <c r="AD15" s="417"/>
    </row>
    <row r="16" spans="1:30" ht="16.5" customHeight="1">
      <c r="B16" s="289"/>
      <c r="C16" s="604"/>
      <c r="D16" s="608"/>
      <c r="E16" s="615"/>
      <c r="F16" s="612" t="str">
        <f>IF(AD16=1,DBCS(CONCATENATE(U16," 　　　　　　　未定　　　　　　　　 ")),DBCS(CONCATENATE(U16,"  ",V16,REPT(" ",3-LEN(W16)),W16," ",X16,REPT(" ",3-LEN(Y16)),Y16," ",Z16,REPT(" ",3-LEN(AA16)),AA16," ",AB16)))</f>
        <v>至　　令和　　　　年　　　　月　　　　日</v>
      </c>
      <c r="G16" s="613"/>
      <c r="I16" s="622"/>
      <c r="J16" s="622"/>
      <c r="K16" s="622"/>
      <c r="L16" s="622"/>
      <c r="M16" s="622"/>
      <c r="N16" s="622"/>
      <c r="O16" s="622"/>
      <c r="P16" s="622"/>
      <c r="Q16" s="620"/>
      <c r="R16" s="620"/>
      <c r="S16" s="620"/>
      <c r="T16" s="620"/>
      <c r="U16" s="299" t="s">
        <v>80</v>
      </c>
      <c r="V16" s="299" t="s">
        <v>223</v>
      </c>
      <c r="W16" s="300"/>
      <c r="X16" s="299" t="s">
        <v>244</v>
      </c>
      <c r="Y16" s="300"/>
      <c r="Z16" s="299" t="s">
        <v>245</v>
      </c>
      <c r="AA16" s="300"/>
      <c r="AB16" s="299" t="s">
        <v>246</v>
      </c>
      <c r="AD16" s="417"/>
    </row>
    <row r="17" spans="1:30" ht="16.5" customHeight="1">
      <c r="A17" s="290">
        <f>A11+1</f>
        <v>2</v>
      </c>
      <c r="B17" s="289"/>
      <c r="C17" s="604"/>
      <c r="D17" s="608"/>
      <c r="E17" s="609" t="str">
        <f>"契約予定金額"&amp;DBCS(A17)</f>
        <v>契約予定金額２</v>
      </c>
      <c r="F17" s="631" t="str">
        <f>IF(AD17=1,"未定 　　　　　　　　　",IF(V17="","",V17))</f>
        <v/>
      </c>
      <c r="G17" s="632"/>
      <c r="I17" s="622"/>
      <c r="J17" s="622"/>
      <c r="K17" s="622"/>
      <c r="L17" s="622"/>
      <c r="M17" s="622"/>
      <c r="N17" s="622"/>
      <c r="O17" s="622"/>
      <c r="P17" s="622"/>
      <c r="Q17" s="620" t="str">
        <f>E17</f>
        <v>契約予定金額２</v>
      </c>
      <c r="R17" s="620"/>
      <c r="S17" s="620"/>
      <c r="T17" s="620"/>
      <c r="U17" s="620"/>
      <c r="V17" s="623"/>
      <c r="W17" s="623"/>
      <c r="X17" s="623"/>
      <c r="Y17" s="623"/>
      <c r="Z17" s="623"/>
      <c r="AA17" s="623"/>
      <c r="AB17" s="623"/>
      <c r="AD17" s="417"/>
    </row>
    <row r="18" spans="1:30" ht="16.5" customHeight="1">
      <c r="B18" s="289"/>
      <c r="C18" s="604"/>
      <c r="D18" s="608"/>
      <c r="E18" s="609"/>
      <c r="F18" s="633"/>
      <c r="G18" s="634"/>
      <c r="AD18" s="415" t="s">
        <v>18499</v>
      </c>
    </row>
    <row r="19" spans="1:30" ht="16.5" customHeight="1">
      <c r="B19" s="289"/>
      <c r="C19" s="604"/>
      <c r="D19" s="608" t="str">
        <f>I22&amp;""</f>
        <v/>
      </c>
      <c r="E19" s="609" t="s">
        <v>1450</v>
      </c>
      <c r="F19" s="610" t="str">
        <f>IF(AD19=1,"未定",DBCS(CONCATENATE(V19,REPT(" ",3-LEN(W19)),W19," ",X19,REPT(" ",3-LEN(Y19)),Y19," ",Z19,REPT(" ",3-LEN(AA19)),AA19," ",AB19)))</f>
        <v>令和　　　　年　　　　月　　　　日</v>
      </c>
      <c r="G19" s="611"/>
      <c r="Q19" s="620" t="str">
        <f>E19</f>
        <v xml:space="preserve">契約予定年月日  </v>
      </c>
      <c r="R19" s="620"/>
      <c r="S19" s="620"/>
      <c r="T19" s="620"/>
      <c r="U19" s="620"/>
      <c r="V19" s="620" t="s">
        <v>223</v>
      </c>
      <c r="W19" s="621"/>
      <c r="X19" s="620" t="s">
        <v>244</v>
      </c>
      <c r="Y19" s="621"/>
      <c r="Z19" s="620" t="s">
        <v>245</v>
      </c>
      <c r="AA19" s="621"/>
      <c r="AB19" s="620" t="s">
        <v>246</v>
      </c>
      <c r="AD19" s="598"/>
    </row>
    <row r="20" spans="1:30" ht="16.5" customHeight="1">
      <c r="B20" s="289"/>
      <c r="C20" s="604"/>
      <c r="D20" s="608"/>
      <c r="E20" s="609"/>
      <c r="F20" s="612"/>
      <c r="G20" s="613"/>
      <c r="Q20" s="620"/>
      <c r="R20" s="620"/>
      <c r="S20" s="620"/>
      <c r="T20" s="620"/>
      <c r="U20" s="620"/>
      <c r="V20" s="620"/>
      <c r="W20" s="621"/>
      <c r="X20" s="620"/>
      <c r="Y20" s="621"/>
      <c r="Z20" s="620"/>
      <c r="AA20" s="621"/>
      <c r="AB20" s="620"/>
      <c r="AD20" s="598"/>
    </row>
    <row r="21" spans="1:30" ht="16.5" customHeight="1">
      <c r="B21" s="289"/>
      <c r="C21" s="604"/>
      <c r="D21" s="608"/>
      <c r="E21" s="614" t="s">
        <v>1451</v>
      </c>
      <c r="F21" s="610" t="str">
        <f>IF(AD21=1,DBCS(CONCATENATE(U21," 　　　　　　　未定　　　　　　　　 ")),DBCS(CONCATENATE(U21,"  ",V21,REPT(" ",3-LEN(W21)),W21," ",X21,REPT(" ",3-LEN(Y21)),Y21," ",Z21,REPT(" ",3-LEN(AA21)),AA21," ",AB21)))</f>
        <v>自　　令和　　　　年　　　　月　　　　日</v>
      </c>
      <c r="G21" s="611"/>
      <c r="I21" s="290" t="s">
        <v>1</v>
      </c>
      <c r="Q21" s="620" t="str">
        <f>E21</f>
        <v>予定工期</v>
      </c>
      <c r="R21" s="620"/>
      <c r="S21" s="620"/>
      <c r="T21" s="620"/>
      <c r="U21" s="299" t="s">
        <v>79</v>
      </c>
      <c r="V21" s="299" t="s">
        <v>223</v>
      </c>
      <c r="W21" s="300"/>
      <c r="X21" s="299" t="s">
        <v>244</v>
      </c>
      <c r="Y21" s="300"/>
      <c r="Z21" s="299" t="s">
        <v>245</v>
      </c>
      <c r="AA21" s="300"/>
      <c r="AB21" s="299" t="s">
        <v>246</v>
      </c>
      <c r="AD21" s="417"/>
    </row>
    <row r="22" spans="1:30" ht="16.5" customHeight="1">
      <c r="B22" s="289"/>
      <c r="C22" s="604"/>
      <c r="D22" s="608"/>
      <c r="E22" s="615"/>
      <c r="F22" s="616" t="str">
        <f>IF(AD22=1,DBCS(CONCATENATE(U22," 　　　　　　　未定　　　　　　　　 ")),DBCS(CONCATENATE(U22,"  ",V22,REPT(" ",3-LEN(W22)),W22," ",X22,REPT(" ",3-LEN(Y22)),Y22," ",Z22,REPT(" ",3-LEN(AA22)),AA22," ",AB22)))</f>
        <v>至　　令和　　　　年　　　　月　　　　日</v>
      </c>
      <c r="G22" s="617"/>
      <c r="I22" s="622"/>
      <c r="J22" s="622"/>
      <c r="K22" s="622"/>
      <c r="L22" s="622"/>
      <c r="M22" s="622"/>
      <c r="N22" s="622"/>
      <c r="O22" s="622"/>
      <c r="P22" s="622"/>
      <c r="Q22" s="620"/>
      <c r="R22" s="620"/>
      <c r="S22" s="620"/>
      <c r="T22" s="620"/>
      <c r="U22" s="299" t="s">
        <v>80</v>
      </c>
      <c r="V22" s="299" t="s">
        <v>223</v>
      </c>
      <c r="W22" s="300"/>
      <c r="X22" s="299" t="s">
        <v>244</v>
      </c>
      <c r="Y22" s="300"/>
      <c r="Z22" s="299" t="s">
        <v>245</v>
      </c>
      <c r="AA22" s="300"/>
      <c r="AB22" s="299" t="s">
        <v>246</v>
      </c>
      <c r="AD22" s="417"/>
    </row>
    <row r="23" spans="1:30" ht="16.5" customHeight="1">
      <c r="A23" s="290">
        <f>A17+1</f>
        <v>3</v>
      </c>
      <c r="B23" s="289"/>
      <c r="C23" s="604"/>
      <c r="D23" s="608"/>
      <c r="E23" s="609" t="str">
        <f>"契約予定金額"&amp;DBCS(A23)</f>
        <v>契約予定金額３</v>
      </c>
      <c r="F23" s="618" t="str">
        <f>IF(AD23=1,"未定 　　　　　　　　　",IF(V23="","",V23))</f>
        <v/>
      </c>
      <c r="G23" s="619"/>
      <c r="I23" s="622"/>
      <c r="J23" s="622"/>
      <c r="K23" s="622"/>
      <c r="L23" s="622"/>
      <c r="M23" s="622"/>
      <c r="N23" s="622"/>
      <c r="O23" s="622"/>
      <c r="P23" s="622"/>
      <c r="Q23" s="620" t="str">
        <f>E23</f>
        <v>契約予定金額３</v>
      </c>
      <c r="R23" s="620"/>
      <c r="S23" s="620"/>
      <c r="T23" s="620"/>
      <c r="U23" s="620"/>
      <c r="V23" s="623"/>
      <c r="W23" s="623"/>
      <c r="X23" s="623"/>
      <c r="Y23" s="623"/>
      <c r="Z23" s="623"/>
      <c r="AA23" s="623"/>
      <c r="AB23" s="623"/>
      <c r="AD23" s="417"/>
    </row>
    <row r="24" spans="1:30" ht="16.5" customHeight="1">
      <c r="B24" s="289"/>
      <c r="C24" s="604"/>
      <c r="D24" s="608"/>
      <c r="E24" s="609"/>
      <c r="F24" s="618"/>
      <c r="G24" s="619"/>
      <c r="AD24" s="415" t="s">
        <v>18499</v>
      </c>
    </row>
    <row r="25" spans="1:30" ht="16.5" customHeight="1">
      <c r="B25" s="289"/>
      <c r="C25" s="604"/>
      <c r="D25" s="608" t="str">
        <f>I28&amp;""</f>
        <v/>
      </c>
      <c r="E25" s="609" t="s">
        <v>1450</v>
      </c>
      <c r="F25" s="610" t="str">
        <f>IF(AD25=1,"未定",DBCS(CONCATENATE(V25,REPT(" ",3-LEN(W25)),W25," ",X25,REPT(" ",3-LEN(Y25)),Y25," ",Z25,REPT(" ",3-LEN(AA25)),AA25," ",AB25)))</f>
        <v>令和　　　　年　　　　月　　　　日</v>
      </c>
      <c r="G25" s="611"/>
      <c r="Q25" s="620" t="str">
        <f>E25</f>
        <v xml:space="preserve">契約予定年月日  </v>
      </c>
      <c r="R25" s="620"/>
      <c r="S25" s="620"/>
      <c r="T25" s="620"/>
      <c r="U25" s="620"/>
      <c r="V25" s="620" t="s">
        <v>223</v>
      </c>
      <c r="W25" s="621"/>
      <c r="X25" s="620" t="s">
        <v>244</v>
      </c>
      <c r="Y25" s="621"/>
      <c r="Z25" s="620" t="s">
        <v>245</v>
      </c>
      <c r="AA25" s="621"/>
      <c r="AB25" s="620" t="s">
        <v>246</v>
      </c>
      <c r="AD25" s="598"/>
    </row>
    <row r="26" spans="1:30" ht="16.5" customHeight="1">
      <c r="B26" s="289"/>
      <c r="C26" s="604"/>
      <c r="D26" s="608"/>
      <c r="E26" s="609"/>
      <c r="F26" s="612"/>
      <c r="G26" s="613"/>
      <c r="Q26" s="620"/>
      <c r="R26" s="620"/>
      <c r="S26" s="620"/>
      <c r="T26" s="620"/>
      <c r="U26" s="620"/>
      <c r="V26" s="620"/>
      <c r="W26" s="621"/>
      <c r="X26" s="620"/>
      <c r="Y26" s="621"/>
      <c r="Z26" s="620"/>
      <c r="AA26" s="621"/>
      <c r="AB26" s="620"/>
      <c r="AD26" s="598"/>
    </row>
    <row r="27" spans="1:30" ht="16.5" customHeight="1">
      <c r="B27" s="289"/>
      <c r="C27" s="604"/>
      <c r="D27" s="608"/>
      <c r="E27" s="614" t="s">
        <v>1451</v>
      </c>
      <c r="F27" s="610" t="str">
        <f>IF(AD27=1,DBCS(CONCATENATE(U27," 　　　　　　　未定　　　　　　　　 ")),DBCS(CONCATENATE(U27,"  ",V27,REPT(" ",3-LEN(W27)),W27," ",X27,REPT(" ",3-LEN(Y27)),Y27," ",Z27,REPT(" ",3-LEN(AA27)),AA27," ",AB27)))</f>
        <v>自　　令和　　　　年　　　　月　　　　日</v>
      </c>
      <c r="G27" s="611"/>
      <c r="I27" s="290" t="s">
        <v>1</v>
      </c>
      <c r="Q27" s="620" t="str">
        <f>E27</f>
        <v>予定工期</v>
      </c>
      <c r="R27" s="620"/>
      <c r="S27" s="620"/>
      <c r="T27" s="620"/>
      <c r="U27" s="299" t="s">
        <v>79</v>
      </c>
      <c r="V27" s="299" t="s">
        <v>223</v>
      </c>
      <c r="W27" s="300"/>
      <c r="X27" s="299" t="s">
        <v>244</v>
      </c>
      <c r="Y27" s="300"/>
      <c r="Z27" s="299" t="s">
        <v>245</v>
      </c>
      <c r="AA27" s="300"/>
      <c r="AB27" s="299" t="s">
        <v>246</v>
      </c>
      <c r="AD27" s="417"/>
    </row>
    <row r="28" spans="1:30" ht="16.5" customHeight="1">
      <c r="B28" s="289"/>
      <c r="C28" s="604"/>
      <c r="D28" s="608"/>
      <c r="E28" s="615"/>
      <c r="F28" s="616" t="str">
        <f>IF(AD28=1,DBCS(CONCATENATE(U28," 　　　　　　　未定　　　　　　　　 ")),DBCS(CONCATENATE(U28,"  ",V28,REPT(" ",3-LEN(W28)),W28," ",X28,REPT(" ",3-LEN(Y28)),Y28," ",Z28,REPT(" ",3-LEN(AA28)),AA28," ",AB28)))</f>
        <v>至　　令和　　　　年　　　　月　　　　日</v>
      </c>
      <c r="G28" s="617"/>
      <c r="I28" s="622"/>
      <c r="J28" s="622"/>
      <c r="K28" s="622"/>
      <c r="L28" s="622"/>
      <c r="M28" s="622"/>
      <c r="N28" s="622"/>
      <c r="O28" s="622"/>
      <c r="P28" s="622"/>
      <c r="Q28" s="620"/>
      <c r="R28" s="620"/>
      <c r="S28" s="620"/>
      <c r="T28" s="620"/>
      <c r="U28" s="299" t="s">
        <v>80</v>
      </c>
      <c r="V28" s="299" t="s">
        <v>223</v>
      </c>
      <c r="W28" s="300"/>
      <c r="X28" s="299" t="s">
        <v>244</v>
      </c>
      <c r="Y28" s="300"/>
      <c r="Z28" s="299" t="s">
        <v>245</v>
      </c>
      <c r="AA28" s="300"/>
      <c r="AB28" s="299" t="s">
        <v>246</v>
      </c>
      <c r="AD28" s="417"/>
    </row>
    <row r="29" spans="1:30" ht="16.5" customHeight="1">
      <c r="A29" s="290">
        <f>A23+1</f>
        <v>4</v>
      </c>
      <c r="B29" s="289"/>
      <c r="C29" s="604"/>
      <c r="D29" s="608"/>
      <c r="E29" s="609" t="str">
        <f>"契約予定金額"&amp;DBCS(A29)</f>
        <v>契約予定金額４</v>
      </c>
      <c r="F29" s="618" t="str">
        <f>IF(AD29=1,"未定 　　　　　　　　　",IF(V29="","",V29))</f>
        <v/>
      </c>
      <c r="G29" s="619"/>
      <c r="I29" s="622"/>
      <c r="J29" s="622"/>
      <c r="K29" s="622"/>
      <c r="L29" s="622"/>
      <c r="M29" s="622"/>
      <c r="N29" s="622"/>
      <c r="O29" s="622"/>
      <c r="P29" s="622"/>
      <c r="Q29" s="620" t="str">
        <f>E29</f>
        <v>契約予定金額４</v>
      </c>
      <c r="R29" s="620"/>
      <c r="S29" s="620"/>
      <c r="T29" s="620"/>
      <c r="U29" s="620"/>
      <c r="V29" s="623"/>
      <c r="W29" s="623"/>
      <c r="X29" s="623"/>
      <c r="Y29" s="623"/>
      <c r="Z29" s="623"/>
      <c r="AA29" s="623"/>
      <c r="AB29" s="623"/>
      <c r="AD29" s="417"/>
    </row>
    <row r="30" spans="1:30" ht="16.5" customHeight="1">
      <c r="B30" s="289"/>
      <c r="C30" s="604"/>
      <c r="D30" s="608"/>
      <c r="E30" s="609"/>
      <c r="F30" s="618"/>
      <c r="G30" s="619"/>
      <c r="AD30" s="415" t="s">
        <v>18499</v>
      </c>
    </row>
    <row r="31" spans="1:30" ht="16.5" customHeight="1">
      <c r="B31" s="289"/>
      <c r="C31" s="604"/>
      <c r="D31" s="608" t="str">
        <f>I34&amp;""</f>
        <v/>
      </c>
      <c r="E31" s="609" t="s">
        <v>1450</v>
      </c>
      <c r="F31" s="610" t="str">
        <f>IF(AD31=1,"未定",DBCS(CONCATENATE(V31,REPT(" ",3-LEN(W31)),W31," ",X31,REPT(" ",3-LEN(Y31)),Y31," ",Z31,REPT(" ",3-LEN(AA31)),AA31," ",AB31)))</f>
        <v>令和　　　　年　　　　月　　　　日</v>
      </c>
      <c r="G31" s="611"/>
      <c r="Q31" s="620" t="str">
        <f>E31</f>
        <v xml:space="preserve">契約予定年月日  </v>
      </c>
      <c r="R31" s="620"/>
      <c r="S31" s="620"/>
      <c r="T31" s="620"/>
      <c r="U31" s="620"/>
      <c r="V31" s="620" t="s">
        <v>223</v>
      </c>
      <c r="W31" s="621"/>
      <c r="X31" s="620" t="s">
        <v>244</v>
      </c>
      <c r="Y31" s="621"/>
      <c r="Z31" s="620" t="s">
        <v>245</v>
      </c>
      <c r="AA31" s="621"/>
      <c r="AB31" s="620" t="s">
        <v>246</v>
      </c>
      <c r="AD31" s="598"/>
    </row>
    <row r="32" spans="1:30" ht="16.5" customHeight="1">
      <c r="B32" s="289"/>
      <c r="C32" s="604"/>
      <c r="D32" s="608"/>
      <c r="E32" s="609"/>
      <c r="F32" s="612"/>
      <c r="G32" s="613"/>
      <c r="Q32" s="620"/>
      <c r="R32" s="620"/>
      <c r="S32" s="620"/>
      <c r="T32" s="620"/>
      <c r="U32" s="620"/>
      <c r="V32" s="620"/>
      <c r="W32" s="621"/>
      <c r="X32" s="620"/>
      <c r="Y32" s="621"/>
      <c r="Z32" s="620"/>
      <c r="AA32" s="621"/>
      <c r="AB32" s="620"/>
      <c r="AD32" s="598"/>
    </row>
    <row r="33" spans="1:30" ht="16.5" customHeight="1">
      <c r="B33" s="289"/>
      <c r="C33" s="604"/>
      <c r="D33" s="608"/>
      <c r="E33" s="614" t="s">
        <v>1451</v>
      </c>
      <c r="F33" s="610" t="str">
        <f>IF(AD33=1,DBCS(CONCATENATE(U33," 　　　　　　　未定　　　　　　　　 ")),DBCS(CONCATENATE(U33,"  ",V33,REPT(" ",3-LEN(W33)),W33," ",X33,REPT(" ",3-LEN(Y33)),Y33," ",Z33,REPT(" ",3-LEN(AA33)),AA33," ",AB33)))</f>
        <v>自　　令和　　　　年　　　　月　　　　日</v>
      </c>
      <c r="G33" s="611"/>
      <c r="I33" s="290" t="s">
        <v>1</v>
      </c>
      <c r="Q33" s="620" t="str">
        <f>E33</f>
        <v>予定工期</v>
      </c>
      <c r="R33" s="620"/>
      <c r="S33" s="620"/>
      <c r="T33" s="620"/>
      <c r="U33" s="299" t="s">
        <v>79</v>
      </c>
      <c r="V33" s="299" t="s">
        <v>223</v>
      </c>
      <c r="W33" s="300"/>
      <c r="X33" s="299" t="s">
        <v>244</v>
      </c>
      <c r="Y33" s="300"/>
      <c r="Z33" s="299" t="s">
        <v>245</v>
      </c>
      <c r="AA33" s="300"/>
      <c r="AB33" s="299" t="s">
        <v>246</v>
      </c>
      <c r="AD33" s="417"/>
    </row>
    <row r="34" spans="1:30" ht="16.5" customHeight="1">
      <c r="B34" s="289"/>
      <c r="C34" s="604"/>
      <c r="D34" s="608"/>
      <c r="E34" s="615"/>
      <c r="F34" s="616" t="str">
        <f>IF(AD34=1,DBCS(CONCATENATE(U34," 　　　　　　　未定　　　　　　　　 ")),DBCS(CONCATENATE(U34,"  ",V34,REPT(" ",3-LEN(W34)),W34," ",X34,REPT(" ",3-LEN(Y34)),Y34," ",Z34,REPT(" ",3-LEN(AA34)),AA34," ",AB34)))</f>
        <v>至　　令和　　　　年　　　　月　　　　日</v>
      </c>
      <c r="G34" s="617"/>
      <c r="I34" s="622"/>
      <c r="J34" s="622"/>
      <c r="K34" s="622"/>
      <c r="L34" s="622"/>
      <c r="M34" s="622"/>
      <c r="N34" s="622"/>
      <c r="O34" s="622"/>
      <c r="P34" s="622"/>
      <c r="Q34" s="620"/>
      <c r="R34" s="620"/>
      <c r="S34" s="620"/>
      <c r="T34" s="620"/>
      <c r="U34" s="299" t="s">
        <v>80</v>
      </c>
      <c r="V34" s="299" t="s">
        <v>223</v>
      </c>
      <c r="W34" s="300"/>
      <c r="X34" s="299" t="s">
        <v>244</v>
      </c>
      <c r="Y34" s="300"/>
      <c r="Z34" s="299" t="s">
        <v>245</v>
      </c>
      <c r="AA34" s="300"/>
      <c r="AB34" s="299" t="s">
        <v>246</v>
      </c>
      <c r="AD34" s="417"/>
    </row>
    <row r="35" spans="1:30" ht="16.5" customHeight="1">
      <c r="A35" s="290">
        <f>A29+1</f>
        <v>5</v>
      </c>
      <c r="B35" s="289"/>
      <c r="C35" s="604"/>
      <c r="D35" s="608"/>
      <c r="E35" s="609" t="str">
        <f>"契約予定金額"&amp;DBCS(A35)</f>
        <v>契約予定金額５</v>
      </c>
      <c r="F35" s="618" t="str">
        <f>IF(AD35=1,"未定 　　　　　　　　　",IF(V35="","",V35))</f>
        <v/>
      </c>
      <c r="G35" s="619"/>
      <c r="I35" s="622"/>
      <c r="J35" s="622"/>
      <c r="K35" s="622"/>
      <c r="L35" s="622"/>
      <c r="M35" s="622"/>
      <c r="N35" s="622"/>
      <c r="O35" s="622"/>
      <c r="P35" s="622"/>
      <c r="Q35" s="620" t="str">
        <f>E35</f>
        <v>契約予定金額５</v>
      </c>
      <c r="R35" s="620"/>
      <c r="S35" s="620"/>
      <c r="T35" s="620"/>
      <c r="U35" s="620"/>
      <c r="V35" s="623"/>
      <c r="W35" s="623"/>
      <c r="X35" s="623"/>
      <c r="Y35" s="623"/>
      <c r="Z35" s="623"/>
      <c r="AA35" s="623"/>
      <c r="AB35" s="623"/>
      <c r="AD35" s="417"/>
    </row>
    <row r="36" spans="1:30" ht="16.5" customHeight="1">
      <c r="B36" s="289"/>
      <c r="C36" s="604"/>
      <c r="D36" s="608"/>
      <c r="E36" s="609"/>
      <c r="F36" s="618"/>
      <c r="G36" s="619"/>
    </row>
    <row r="37" spans="1:30" ht="16.5" customHeight="1">
      <c r="B37" s="289"/>
      <c r="C37" s="604"/>
      <c r="D37" s="624" t="s">
        <v>18497</v>
      </c>
      <c r="E37" s="625"/>
      <c r="F37" s="618" t="str">
        <f>IF(N7=1,"予定なし　　　　　　　　　　",IF(OR(AD11=1,AD17=1,AD23=1,AD29=1,AD35=1),"未定　　　　　　　　　　",IF(V38=0,"",V38)))</f>
        <v/>
      </c>
      <c r="G37" s="619"/>
      <c r="Q37" s="620" t="str">
        <f>D37</f>
        <v>下請予定合計金額</v>
      </c>
      <c r="R37" s="620"/>
      <c r="S37" s="620"/>
      <c r="T37" s="620"/>
      <c r="U37" s="620"/>
      <c r="V37" s="620"/>
      <c r="W37" s="620"/>
    </row>
    <row r="38" spans="1:30" ht="16.5" customHeight="1" thickBot="1">
      <c r="B38" s="289"/>
      <c r="C38" s="605"/>
      <c r="D38" s="626"/>
      <c r="E38" s="627"/>
      <c r="F38" s="628"/>
      <c r="G38" s="629"/>
      <c r="V38" s="635">
        <f>SUM(V11,V17,V23,V29,V35)</f>
        <v>0</v>
      </c>
      <c r="W38" s="636"/>
      <c r="X38" s="636"/>
      <c r="Y38" s="636"/>
      <c r="Z38" s="636"/>
      <c r="AA38" s="636"/>
      <c r="AB38" s="636"/>
    </row>
    <row r="39" spans="1:30">
      <c r="B39" s="289"/>
      <c r="C39" s="297"/>
      <c r="D39" s="298"/>
      <c r="E39" s="298"/>
      <c r="F39" s="297"/>
      <c r="G39" s="297"/>
    </row>
    <row r="40" spans="1:30">
      <c r="B40" s="630" t="s">
        <v>1452</v>
      </c>
      <c r="C40" s="630"/>
      <c r="D40" s="630"/>
      <c r="E40" s="630"/>
      <c r="F40" s="630"/>
      <c r="G40" s="630"/>
    </row>
    <row r="41" spans="1:30">
      <c r="B41" s="289"/>
      <c r="C41" s="289"/>
      <c r="D41" s="289"/>
      <c r="E41" s="289"/>
      <c r="F41" s="289"/>
      <c r="G41" s="289"/>
    </row>
  </sheetData>
  <sheetProtection sheet="1"/>
  <protectedRanges>
    <protectedRange sqref="AD7:AD11 AD13:AD17 AD19:AD23 AD25:AD29 AD31:AD36" name="範囲5"/>
    <protectedRange sqref="N7" name="範囲4"/>
    <protectedRange sqref="J3:J5 L3:L5 N3:N5 P3:P5 R3:R5 T3:T5 V3:V5 X3:X5 Z3:Z5 AB3:AB4" name="範囲1"/>
    <protectedRange sqref="D7:D36" name="範囲2"/>
    <protectedRange sqref="F7:G38" name="範囲3"/>
  </protectedRanges>
  <mergeCells count="114">
    <mergeCell ref="Q11:U11"/>
    <mergeCell ref="Q13:U14"/>
    <mergeCell ref="Q19:U20"/>
    <mergeCell ref="V19:V20"/>
    <mergeCell ref="W19:W20"/>
    <mergeCell ref="Q35:U35"/>
    <mergeCell ref="V35:AB35"/>
    <mergeCell ref="Q31:U32"/>
    <mergeCell ref="V31:V32"/>
    <mergeCell ref="W31:W32"/>
    <mergeCell ref="X31:X32"/>
    <mergeCell ref="Y31:Y32"/>
    <mergeCell ref="X25:X26"/>
    <mergeCell ref="Y25:Y26"/>
    <mergeCell ref="Z25:Z26"/>
    <mergeCell ref="Q17:U17"/>
    <mergeCell ref="V17:AB17"/>
    <mergeCell ref="X19:X20"/>
    <mergeCell ref="Y19:Y20"/>
    <mergeCell ref="Z19:Z20"/>
    <mergeCell ref="AA19:AA20"/>
    <mergeCell ref="AB19:AB20"/>
    <mergeCell ref="Q23:U23"/>
    <mergeCell ref="V23:AB23"/>
    <mergeCell ref="V38:AB38"/>
    <mergeCell ref="Z31:Z32"/>
    <mergeCell ref="AA31:AA32"/>
    <mergeCell ref="AB31:AB32"/>
    <mergeCell ref="Q37:W37"/>
    <mergeCell ref="I34:P35"/>
    <mergeCell ref="Q33:T34"/>
    <mergeCell ref="Q29:U29"/>
    <mergeCell ref="V29:AB29"/>
    <mergeCell ref="AA25:AA26"/>
    <mergeCell ref="AB25:AB26"/>
    <mergeCell ref="I28:P29"/>
    <mergeCell ref="I22:P23"/>
    <mergeCell ref="Q27:T28"/>
    <mergeCell ref="Q21:T22"/>
    <mergeCell ref="Q25:U26"/>
    <mergeCell ref="V25:V26"/>
    <mergeCell ref="W25:W26"/>
    <mergeCell ref="D37:E38"/>
    <mergeCell ref="F37:G38"/>
    <mergeCell ref="B40:G40"/>
    <mergeCell ref="Q7:U8"/>
    <mergeCell ref="V7:V8"/>
    <mergeCell ref="D31:D36"/>
    <mergeCell ref="E31:E32"/>
    <mergeCell ref="F31:G32"/>
    <mergeCell ref="E33:E34"/>
    <mergeCell ref="F33:G33"/>
    <mergeCell ref="F34:G34"/>
    <mergeCell ref="E35:E36"/>
    <mergeCell ref="F35:G36"/>
    <mergeCell ref="D25:D30"/>
    <mergeCell ref="E25:E26"/>
    <mergeCell ref="F25:G26"/>
    <mergeCell ref="E27:E28"/>
    <mergeCell ref="F27:G27"/>
    <mergeCell ref="F28:G28"/>
    <mergeCell ref="F17:G18"/>
    <mergeCell ref="E29:E30"/>
    <mergeCell ref="F29:G30"/>
    <mergeCell ref="D19:D24"/>
    <mergeCell ref="E19:E20"/>
    <mergeCell ref="F22:G22"/>
    <mergeCell ref="E23:E24"/>
    <mergeCell ref="F23:G24"/>
    <mergeCell ref="AB7:AB8"/>
    <mergeCell ref="W7:W8"/>
    <mergeCell ref="Y7:Y8"/>
    <mergeCell ref="AA7:AA8"/>
    <mergeCell ref="V13:V14"/>
    <mergeCell ref="W13:W14"/>
    <mergeCell ref="X13:X14"/>
    <mergeCell ref="Y13:Y14"/>
    <mergeCell ref="Z13:Z14"/>
    <mergeCell ref="X7:X8"/>
    <mergeCell ref="Z7:Z8"/>
    <mergeCell ref="I16:P17"/>
    <mergeCell ref="I10:P11"/>
    <mergeCell ref="Q9:T10"/>
    <mergeCell ref="Q15:T16"/>
    <mergeCell ref="V11:AB11"/>
    <mergeCell ref="F19:G20"/>
    <mergeCell ref="E21:E22"/>
    <mergeCell ref="F21:G21"/>
    <mergeCell ref="AA13:AA14"/>
    <mergeCell ref="AB13:AB14"/>
    <mergeCell ref="AD7:AD8"/>
    <mergeCell ref="AD13:AD14"/>
    <mergeCell ref="AD19:AD20"/>
    <mergeCell ref="AD25:AD26"/>
    <mergeCell ref="AD31:AD32"/>
    <mergeCell ref="C2:G2"/>
    <mergeCell ref="C3:C5"/>
    <mergeCell ref="C6:C38"/>
    <mergeCell ref="E6:G6"/>
    <mergeCell ref="D7:D12"/>
    <mergeCell ref="E7:E8"/>
    <mergeCell ref="F7:G8"/>
    <mergeCell ref="E9:E10"/>
    <mergeCell ref="F9:G9"/>
    <mergeCell ref="F10:G10"/>
    <mergeCell ref="E11:E12"/>
    <mergeCell ref="F11:G12"/>
    <mergeCell ref="D13:D18"/>
    <mergeCell ref="E13:E14"/>
    <mergeCell ref="F13:G14"/>
    <mergeCell ref="E15:E16"/>
    <mergeCell ref="F15:G15"/>
    <mergeCell ref="F16:G16"/>
    <mergeCell ref="E17:E18"/>
  </mergeCells>
  <phoneticPr fontId="2"/>
  <conditionalFormatting sqref="D7:G36">
    <cfRule type="expression" dxfId="40" priority="3">
      <formula>$N$7=TRUE</formula>
    </cfRule>
  </conditionalFormatting>
  <conditionalFormatting sqref="E7:G12">
    <cfRule type="expression" dxfId="39" priority="15">
      <formula>$D$7=""</formula>
    </cfRule>
  </conditionalFormatting>
  <conditionalFormatting sqref="E13:G18">
    <cfRule type="expression" dxfId="38" priority="14">
      <formula>$D$13=""</formula>
    </cfRule>
  </conditionalFormatting>
  <conditionalFormatting sqref="E19:G24">
    <cfRule type="expression" dxfId="37" priority="13">
      <formula>$D$19=""</formula>
    </cfRule>
  </conditionalFormatting>
  <conditionalFormatting sqref="E25:G30">
    <cfRule type="expression" dxfId="36" priority="12">
      <formula>$D$25=""</formula>
    </cfRule>
  </conditionalFormatting>
  <conditionalFormatting sqref="E31:G36">
    <cfRule type="expression" dxfId="35" priority="11">
      <formula>$D$31=""</formula>
    </cfRule>
  </conditionalFormatting>
  <conditionalFormatting sqref="F7:G12">
    <cfRule type="expression" dxfId="34" priority="10">
      <formula>$N$7=TRUE</formula>
    </cfRule>
  </conditionalFormatting>
  <conditionalFormatting sqref="Q6:AB35 AD6:AD35 I9:P36 Q36:AC36">
    <cfRule type="expression" dxfId="33" priority="9">
      <formula>$N$7=1</formula>
    </cfRule>
  </conditionalFormatting>
  <conditionalFormatting sqref="Q6:AD11">
    <cfRule type="expression" dxfId="32" priority="8">
      <formula>$I$10=""</formula>
    </cfRule>
  </conditionalFormatting>
  <conditionalFormatting sqref="Q12:AD17">
    <cfRule type="expression" dxfId="31" priority="7">
      <formula>$I$16=""</formula>
    </cfRule>
  </conditionalFormatting>
  <conditionalFormatting sqref="Q18:AD23">
    <cfRule type="expression" dxfId="30" priority="6">
      <formula>$I$22=""</formula>
    </cfRule>
  </conditionalFormatting>
  <conditionalFormatting sqref="Q24:AD29">
    <cfRule type="expression" dxfId="29" priority="5">
      <formula>$I$28=""</formula>
    </cfRule>
  </conditionalFormatting>
  <conditionalFormatting sqref="Q30:AD35">
    <cfRule type="expression" dxfId="28" priority="4">
      <formula>$I$34=""</formula>
    </cfRule>
  </conditionalFormatting>
  <conditionalFormatting sqref="AD12:AD35">
    <cfRule type="expression" dxfId="27" priority="1">
      <formula>$I$10=""</formula>
    </cfRule>
  </conditionalFormatting>
  <dataValidations count="3">
    <dataValidation type="whole" imeMode="disabled" allowBlank="1" showInputMessage="1" showErrorMessage="1" sqref="Y7:Y10 Y13:Y16 Y19:Y22 Y25:Y28 Y31:Y34" xr:uid="{00000000-0002-0000-1400-000000000000}">
      <formula1>1</formula1>
      <formula2>12</formula2>
    </dataValidation>
    <dataValidation type="whole" imeMode="disabled" allowBlank="1" showInputMessage="1" showErrorMessage="1" sqref="AA7:AA10 AA13:AA16 AA19:AA22 AA25:AA28 AA31:AA34" xr:uid="{00000000-0002-0000-1400-000001000000}">
      <formula1>1</formula1>
      <formula2>31</formula2>
    </dataValidation>
    <dataValidation type="whole" imeMode="disabled" operator="greaterThanOrEqual" allowBlank="1" showInputMessage="1" showErrorMessage="1" sqref="W7:W10 V11 W13:W16 V17 W19:W22 V23 W25:W28 V29 W31:W34 V35" xr:uid="{00000000-0002-0000-1400-000002000000}">
      <formula1>1</formula1>
    </dataValidation>
  </dataValidations>
  <pageMargins left="0.70866141732283472" right="0.70866141732283472" top="0.74803149606299213" bottom="0.74803149606299213" header="0.31496062992125984" footer="0.31496062992125984"/>
  <pageSetup paperSize="9" scale="70" orientation="landscape" horizontalDpi="300" verticalDpi="300" r:id="rId1"/>
  <extLst>
    <ext xmlns:x14="http://schemas.microsoft.com/office/spreadsheetml/2009/9/main" uri="{CCE6A557-97BC-4b89-ADB6-D9C93CAAB3DF}">
      <x14:dataValidations xmlns:xm="http://schemas.microsoft.com/office/excel/2006/main" count="1">
        <x14:dataValidation type="list" imeMode="hiragana" allowBlank="1" showInputMessage="1" showErrorMessage="1" xr:uid="{1180DF3B-BFB9-495F-A29F-06B61115990C}">
          <x14:formula1>
            <xm:f>【定期メンテ】所属長名ほか!$A$7:$A$35</xm:f>
          </x14:formula1>
          <xm:sqref>I16 I10 I22 I28 I34</xm:sqref>
        </x14:dataValidation>
      </x14:dataValidation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4">
    <tabColor theme="7" tint="0.79998168889431442"/>
    <pageSetUpPr fitToPage="1"/>
  </sheetPr>
  <dimension ref="A3:AI52"/>
  <sheetViews>
    <sheetView showGridLines="0" showRowColHeaders="0" workbookViewId="0">
      <pane ySplit="6" topLeftCell="A55" activePane="bottomLeft" state="frozen"/>
      <selection activeCell="E11" sqref="E11"/>
      <selection pane="bottomLeft" activeCell="M4" sqref="M4"/>
    </sheetView>
  </sheetViews>
  <sheetFormatPr defaultColWidth="2.625" defaultRowHeight="15" customHeight="1"/>
  <cols>
    <col min="1" max="5" width="2.625" style="93"/>
    <col min="6" max="6" width="2.625" style="93" customWidth="1"/>
    <col min="7" max="14" width="2.625" style="93"/>
    <col min="15" max="15" width="2.625" style="93" customWidth="1"/>
    <col min="16" max="16384" width="2.625" style="93"/>
  </cols>
  <sheetData>
    <row r="3" spans="2:27" ht="15" customHeight="1">
      <c r="H3" s="157"/>
      <c r="Z3" s="94" t="s">
        <v>1193</v>
      </c>
      <c r="AA3" s="93" t="s">
        <v>1223</v>
      </c>
    </row>
    <row r="4" spans="2:27" ht="30" customHeight="1">
      <c r="H4" s="165" t="str">
        <f>IF(契約日ほか!S26="あり","","※該当なし")</f>
        <v>※該当なし</v>
      </c>
    </row>
    <row r="5" spans="2:27" s="157" customFormat="1" ht="30" customHeight="1">
      <c r="I5" s="157" t="s">
        <v>1194</v>
      </c>
      <c r="N5" s="157" t="s">
        <v>1195</v>
      </c>
      <c r="P5" s="637" t="s">
        <v>1218</v>
      </c>
      <c r="Q5" s="637"/>
      <c r="R5" s="637"/>
      <c r="S5" s="637"/>
      <c r="T5" s="637"/>
      <c r="U5" s="637"/>
      <c r="V5" s="637"/>
      <c r="W5" s="637"/>
      <c r="X5" s="637"/>
      <c r="Y5" s="157" t="s">
        <v>1196</v>
      </c>
    </row>
    <row r="8" spans="2:27" ht="15" customHeight="1">
      <c r="B8" s="93" t="s">
        <v>1197</v>
      </c>
    </row>
    <row r="9" spans="2:27" ht="15" customHeight="1">
      <c r="C9" s="93" t="str">
        <f>IF(入札結果!G8="",REPT("　",14),入札結果!G8)&amp;"　殿"</f>
        <v>　　　　　　　　　　　　　　　殿</v>
      </c>
    </row>
    <row r="11" spans="2:27" ht="15" customHeight="1">
      <c r="Q11" s="94" t="s">
        <v>1198</v>
      </c>
      <c r="R11" s="93" t="str">
        <f ca="1">受注者情報!K8</f>
        <v/>
      </c>
    </row>
    <row r="12" spans="2:27" ht="15" customHeight="1">
      <c r="R12" s="93" t="str">
        <f ca="1">受注者情報!K9</f>
        <v/>
      </c>
    </row>
    <row r="13" spans="2:27" ht="15" customHeight="1">
      <c r="R13" s="93" t="str">
        <f ca="1">受注者情報!K10</f>
        <v>　</v>
      </c>
    </row>
    <row r="14" spans="2:27" ht="15" customHeight="1">
      <c r="R14" s="93" t="str">
        <f ca="1">受注者情報!K11</f>
        <v/>
      </c>
    </row>
    <row r="15" spans="2:27" ht="15" customHeight="1">
      <c r="Q15" s="94" t="s">
        <v>1199</v>
      </c>
      <c r="R15" s="93" t="str">
        <f ca="1">IF(受注者情報!K13="",REPT("　",10),受注者情報!K12&amp;受注者情報!K13&amp;"　　㊞")</f>
        <v>　　　　㊞</v>
      </c>
    </row>
    <row r="17" spans="2:27" ht="15" customHeight="1">
      <c r="B17" s="93" t="s">
        <v>1200</v>
      </c>
    </row>
    <row r="19" spans="2:27" ht="15" customHeight="1">
      <c r="D19" s="101" t="s">
        <v>1201</v>
      </c>
      <c r="E19" s="101"/>
      <c r="F19" s="101"/>
      <c r="G19" s="101"/>
      <c r="H19" s="101" t="s">
        <v>1202</v>
      </c>
      <c r="I19" s="101"/>
      <c r="J19" s="101" t="str">
        <f>DBCS(TEXT(契約日ほか!Z27,"#,##0")&amp;"-")</f>
        <v>０－</v>
      </c>
      <c r="K19" s="101"/>
      <c r="L19" s="101"/>
      <c r="M19" s="101"/>
      <c r="N19" s="101"/>
      <c r="O19" s="101"/>
      <c r="P19" s="101"/>
      <c r="Q19" s="101"/>
      <c r="R19" s="101"/>
      <c r="S19" s="101"/>
      <c r="T19" s="101"/>
      <c r="U19" s="101"/>
      <c r="V19" s="101"/>
    </row>
    <row r="22" spans="2:27" ht="15" customHeight="1">
      <c r="B22" s="93" t="s">
        <v>1203</v>
      </c>
      <c r="J22" s="463" t="str">
        <f>P5</f>
        <v>前払金</v>
      </c>
      <c r="K22" s="463"/>
      <c r="L22" s="463"/>
      <c r="M22" s="463"/>
      <c r="N22" s="463"/>
      <c r="O22" s="463"/>
      <c r="P22" s="463"/>
      <c r="Q22" s="463"/>
      <c r="R22" s="463"/>
      <c r="S22" s="463"/>
      <c r="T22" s="463"/>
      <c r="U22" s="463"/>
      <c r="V22" s="463"/>
      <c r="W22" s="93" t="s">
        <v>1204</v>
      </c>
    </row>
    <row r="24" spans="2:27" ht="15" customHeight="1">
      <c r="B24" s="93" t="s">
        <v>1205</v>
      </c>
      <c r="F24" s="93" t="str">
        <f>入札結果!G12</f>
        <v/>
      </c>
    </row>
    <row r="26" spans="2:27" ht="15" customHeight="1">
      <c r="B26" s="93" t="s">
        <v>1206</v>
      </c>
      <c r="F26" s="93" t="str">
        <f>契約日ほか!AD20</f>
        <v>令和　　　年　　　月　　　日</v>
      </c>
    </row>
    <row r="29" spans="2:27" ht="15" customHeight="1">
      <c r="B29" s="93" t="s">
        <v>1207</v>
      </c>
      <c r="M29" s="101" t="s">
        <v>1202</v>
      </c>
      <c r="N29" s="101"/>
      <c r="O29" s="101" t="str">
        <f>DBCS(TEXT(入札結果!G16,"#,##0")&amp;"-")</f>
        <v>－</v>
      </c>
      <c r="P29" s="101"/>
      <c r="Q29" s="101"/>
      <c r="R29" s="101"/>
      <c r="S29" s="101"/>
      <c r="T29" s="101"/>
      <c r="U29" s="101"/>
      <c r="V29" s="101"/>
      <c r="W29" s="101"/>
      <c r="X29" s="101"/>
      <c r="Y29" s="101"/>
      <c r="Z29" s="101"/>
      <c r="AA29" s="101"/>
    </row>
    <row r="31" spans="2:27" ht="15" customHeight="1">
      <c r="B31" s="93" t="s">
        <v>1208</v>
      </c>
      <c r="M31" s="101" t="s">
        <v>1202</v>
      </c>
      <c r="N31" s="101"/>
      <c r="O31" s="158" t="s">
        <v>1217</v>
      </c>
      <c r="P31" s="101"/>
      <c r="Q31" s="101"/>
      <c r="R31" s="101"/>
      <c r="S31" s="101"/>
      <c r="T31" s="101"/>
      <c r="U31" s="101"/>
      <c r="V31" s="101"/>
      <c r="W31" s="101"/>
      <c r="X31" s="101"/>
      <c r="Y31" s="101"/>
      <c r="Z31" s="101"/>
      <c r="AA31" s="101"/>
    </row>
    <row r="33" spans="2:34" ht="15" customHeight="1">
      <c r="B33" s="93" t="s">
        <v>1209</v>
      </c>
      <c r="M33" s="101" t="s">
        <v>1202</v>
      </c>
      <c r="N33" s="101"/>
      <c r="O33" s="158" t="s">
        <v>1217</v>
      </c>
      <c r="P33" s="101"/>
      <c r="Q33" s="101"/>
      <c r="R33" s="101"/>
      <c r="S33" s="101"/>
      <c r="T33" s="101"/>
      <c r="U33" s="101"/>
      <c r="V33" s="101"/>
      <c r="W33" s="101"/>
      <c r="X33" s="101"/>
      <c r="Y33" s="101"/>
      <c r="Z33" s="101"/>
      <c r="AA33" s="101"/>
    </row>
    <row r="35" spans="2:34" ht="15" customHeight="1">
      <c r="B35" s="93" t="s">
        <v>1210</v>
      </c>
      <c r="M35" s="101" t="s">
        <v>1202</v>
      </c>
      <c r="N35" s="101"/>
      <c r="O35" s="101" t="str">
        <f>O29</f>
        <v>－</v>
      </c>
      <c r="P35" s="101"/>
      <c r="Q35" s="101"/>
      <c r="R35" s="101"/>
      <c r="S35" s="101"/>
      <c r="T35" s="101"/>
      <c r="U35" s="101"/>
      <c r="V35" s="101"/>
      <c r="W35" s="101"/>
      <c r="X35" s="101"/>
      <c r="Y35" s="101"/>
      <c r="Z35" s="101"/>
      <c r="AA35" s="101"/>
    </row>
    <row r="38" spans="2:34" ht="15" customHeight="1">
      <c r="B38" s="93" t="s">
        <v>1211</v>
      </c>
      <c r="J38" s="93" t="str">
        <f>契約日ほか!AH23&amp;""</f>
        <v/>
      </c>
      <c r="Q38" s="93" t="str">
        <f>IF(契約日ほか!$AI$23=R38,"●","○")</f>
        <v>○</v>
      </c>
      <c r="R38" s="93" t="s">
        <v>1229</v>
      </c>
      <c r="V38" s="93" t="str">
        <f>IF(契約日ほか!$AI$23=W38,"●","○")</f>
        <v>○</v>
      </c>
      <c r="W38" s="93" t="s">
        <v>1230</v>
      </c>
      <c r="AF38" s="94" t="e">
        <f>LEFT(契約日ほか!AG24,LEN(契約日ほか!AG24)-1)</f>
        <v>#VALUE!</v>
      </c>
      <c r="AH38" s="93" t="s">
        <v>1212</v>
      </c>
    </row>
    <row r="40" spans="2:34" ht="15" customHeight="1">
      <c r="B40" s="448" t="s">
        <v>1213</v>
      </c>
      <c r="C40" s="448"/>
      <c r="D40" s="448"/>
      <c r="E40" s="448"/>
      <c r="F40" s="448"/>
      <c r="H40" s="93" t="str">
        <f>契約日ほか!AG25&amp;""</f>
        <v/>
      </c>
    </row>
    <row r="42" spans="2:34" ht="15" customHeight="1">
      <c r="B42" s="448" t="s">
        <v>1214</v>
      </c>
      <c r="C42" s="448"/>
      <c r="D42" s="448"/>
      <c r="E42" s="448"/>
      <c r="F42" s="448"/>
      <c r="H42" s="93" t="str">
        <f>IF(契約日ほか!AG26="","",DBCS(TEXT(契約日ほか!AG26,"0000000")))</f>
        <v/>
      </c>
    </row>
    <row r="44" spans="2:34" ht="15" customHeight="1">
      <c r="B44" s="448" t="s">
        <v>1215</v>
      </c>
      <c r="C44" s="448"/>
      <c r="D44" s="448"/>
      <c r="E44" s="448"/>
      <c r="F44" s="448"/>
      <c r="H44" s="93" t="str">
        <f>契約日ほか!AG27&amp;""</f>
        <v/>
      </c>
    </row>
    <row r="49" spans="1:35" ht="15" customHeight="1">
      <c r="A49" s="159"/>
      <c r="B49" s="159"/>
      <c r="C49" s="159"/>
      <c r="D49" s="159"/>
      <c r="E49" s="159"/>
      <c r="F49" s="159"/>
      <c r="G49" s="159"/>
      <c r="H49" s="159"/>
      <c r="I49" s="159"/>
      <c r="J49" s="159"/>
      <c r="K49" s="159"/>
      <c r="L49" s="159"/>
      <c r="M49" s="159"/>
      <c r="N49" s="159"/>
      <c r="O49" s="159"/>
      <c r="P49" s="159"/>
      <c r="Q49" s="159"/>
      <c r="R49" s="159"/>
      <c r="S49" s="159"/>
      <c r="T49" s="159"/>
      <c r="U49" s="159"/>
      <c r="V49" s="159"/>
      <c r="W49" s="159"/>
      <c r="X49" s="159"/>
      <c r="Y49" s="159"/>
      <c r="Z49" s="159"/>
      <c r="AA49" s="159"/>
      <c r="AB49" s="159"/>
      <c r="AC49" s="159"/>
      <c r="AD49" s="159"/>
      <c r="AE49" s="159"/>
      <c r="AF49" s="159"/>
      <c r="AG49" s="159"/>
      <c r="AH49" s="159"/>
      <c r="AI49" s="159"/>
    </row>
    <row r="51" spans="1:35" ht="15" customHeight="1">
      <c r="E51" s="94" t="s">
        <v>1216</v>
      </c>
      <c r="F51" s="93" t="s">
        <v>1232</v>
      </c>
    </row>
    <row r="52" spans="1:35" ht="15" customHeight="1">
      <c r="F52" s="93" t="s">
        <v>1233</v>
      </c>
    </row>
  </sheetData>
  <sheetProtection sheet="1"/>
  <mergeCells count="5">
    <mergeCell ref="J22:V22"/>
    <mergeCell ref="P5:X5"/>
    <mergeCell ref="B40:F40"/>
    <mergeCell ref="B42:F42"/>
    <mergeCell ref="B44:F44"/>
  </mergeCells>
  <phoneticPr fontId="2"/>
  <conditionalFormatting sqref="O29 O35">
    <cfRule type="containsErrors" dxfId="26" priority="1">
      <formula>ISERROR(O29)</formula>
    </cfRule>
  </conditionalFormatting>
  <conditionalFormatting sqref="AF38">
    <cfRule type="containsErrors" dxfId="25" priority="2">
      <formula>ISERROR(AF38)</formula>
    </cfRule>
  </conditionalFormatting>
  <printOptions horizontalCentered="1"/>
  <pageMargins left="0.59055118110236227" right="0.59055118110236227" top="0.59055118110236227" bottom="0.78740157480314965" header="0" footer="0"/>
  <pageSetup paperSize="9" orientation="portrait" r:id="rId1"/>
  <extLst>
    <ext xmlns:x14="http://schemas.microsoft.com/office/spreadsheetml/2009/9/main" uri="{CCE6A557-97BC-4b89-ADB6-D9C93CAAB3DF}">
      <x14:dataValidations xmlns:xm="http://schemas.microsoft.com/office/excel/2006/main" count="1">
        <x14:dataValidation type="list" imeMode="hiragana" allowBlank="1" showInputMessage="1" showErrorMessage="1" xr:uid="{00000000-0002-0000-1600-000000000000}">
          <x14:formula1>
            <xm:f>【随時メンテ】部分払い回数等!$B$55:$B$59</xm:f>
          </x14:formula1>
          <xm:sqref>P5:X5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4" tint="0.79998168889431442"/>
  </sheetPr>
  <dimension ref="A1:E26"/>
  <sheetViews>
    <sheetView showGridLines="0" showRowColHeaders="0" zoomScaleNormal="100" workbookViewId="0">
      <selection activeCell="D16" sqref="D16"/>
    </sheetView>
  </sheetViews>
  <sheetFormatPr defaultRowHeight="13.5"/>
  <cols>
    <col min="1" max="1" width="3.5" style="2" customWidth="1"/>
    <col min="2" max="2" width="31.875" style="2" customWidth="1"/>
    <col min="3" max="3" width="16.5" style="2" bestFit="1" customWidth="1"/>
    <col min="4" max="4" width="9.375" style="2" customWidth="1"/>
    <col min="5" max="7" width="9.375" customWidth="1"/>
    <col min="8" max="8" width="1.25" customWidth="1"/>
  </cols>
  <sheetData>
    <row r="1" spans="1:5" ht="30" customHeight="1">
      <c r="A1" s="428" t="s">
        <v>5181</v>
      </c>
      <c r="B1" s="428"/>
      <c r="C1" s="428"/>
      <c r="D1" s="429"/>
      <c r="E1" s="337"/>
    </row>
    <row r="2" spans="1:5">
      <c r="A2" s="43" t="s">
        <v>347</v>
      </c>
      <c r="B2" s="30"/>
      <c r="C2" s="30"/>
      <c r="E2" s="337"/>
    </row>
    <row r="3" spans="1:5">
      <c r="A3" s="43"/>
      <c r="B3" s="30"/>
      <c r="C3" s="30"/>
      <c r="E3" s="337"/>
    </row>
    <row r="4" spans="1:5" ht="18.75">
      <c r="A4" s="334" t="s">
        <v>5186</v>
      </c>
      <c r="B4" s="334"/>
      <c r="E4" s="337"/>
    </row>
    <row r="5" spans="1:5" ht="6.75" customHeight="1">
      <c r="A5" s="29"/>
      <c r="B5" s="30"/>
      <c r="C5" s="30"/>
      <c r="E5" s="337"/>
    </row>
    <row r="6" spans="1:5" ht="30" customHeight="1">
      <c r="B6" s="2" t="s">
        <v>5187</v>
      </c>
      <c r="C6" s="330"/>
      <c r="E6" s="338"/>
    </row>
    <row r="7" spans="1:5" ht="30" customHeight="1">
      <c r="A7" s="319"/>
      <c r="B7" s="111" t="s">
        <v>5154</v>
      </c>
      <c r="C7" s="331"/>
      <c r="E7" s="338"/>
    </row>
    <row r="8" spans="1:5">
      <c r="A8" s="29"/>
      <c r="B8" s="30"/>
      <c r="C8" s="30"/>
      <c r="E8" s="337"/>
    </row>
    <row r="9" spans="1:5" ht="18.75">
      <c r="A9" s="334" t="s">
        <v>207</v>
      </c>
      <c r="B9" s="334"/>
      <c r="E9" s="337"/>
    </row>
    <row r="10" spans="1:5" ht="6.75" customHeight="1">
      <c r="A10" s="334"/>
      <c r="B10" s="334"/>
      <c r="E10" s="337"/>
    </row>
    <row r="11" spans="1:5" ht="30" customHeight="1">
      <c r="B11" s="2" t="s">
        <v>208</v>
      </c>
      <c r="C11" s="330"/>
      <c r="E11" s="337"/>
    </row>
    <row r="12" spans="1:5" ht="30" customHeight="1">
      <c r="A12" s="27"/>
      <c r="B12" s="2" t="s">
        <v>138</v>
      </c>
      <c r="C12" s="330"/>
      <c r="E12" s="337"/>
    </row>
    <row r="13" spans="1:5" ht="30" customHeight="1">
      <c r="A13" s="27"/>
      <c r="B13" s="74" t="s">
        <v>335</v>
      </c>
      <c r="C13" s="332"/>
      <c r="E13" s="337"/>
    </row>
    <row r="14" spans="1:5" ht="30" customHeight="1">
      <c r="A14" s="27"/>
      <c r="B14" s="74" t="s">
        <v>336</v>
      </c>
      <c r="C14" s="332"/>
      <c r="E14" s="337"/>
    </row>
    <row r="15" spans="1:5" ht="30" customHeight="1">
      <c r="B15" s="74" t="s">
        <v>209</v>
      </c>
      <c r="C15" s="35"/>
      <c r="E15" s="337"/>
    </row>
    <row r="16" spans="1:5" ht="30" customHeight="1">
      <c r="B16" s="74" t="s">
        <v>210</v>
      </c>
      <c r="C16" s="35"/>
      <c r="E16" s="337"/>
    </row>
    <row r="17" spans="1:5">
      <c r="A17" s="29"/>
      <c r="B17" s="30"/>
      <c r="C17" s="30"/>
      <c r="E17" s="337"/>
    </row>
    <row r="18" spans="1:5" ht="30" customHeight="1">
      <c r="B18" s="2" t="s">
        <v>1435</v>
      </c>
      <c r="C18" s="330"/>
      <c r="E18" s="337"/>
    </row>
    <row r="19" spans="1:5">
      <c r="E19" s="337"/>
    </row>
    <row r="20" spans="1:5" ht="18.75">
      <c r="A20" s="334" t="s">
        <v>211</v>
      </c>
      <c r="B20" s="334"/>
      <c r="E20" s="337"/>
    </row>
    <row r="21" spans="1:5" ht="6.75" customHeight="1">
      <c r="A21" s="334"/>
      <c r="B21" s="334"/>
      <c r="E21" s="337"/>
    </row>
    <row r="22" spans="1:5" ht="30" customHeight="1">
      <c r="B22" s="27" t="s">
        <v>5188</v>
      </c>
      <c r="C22" s="151"/>
      <c r="E22" s="338"/>
    </row>
    <row r="23" spans="1:5" ht="30" customHeight="1">
      <c r="B23" s="27" t="s">
        <v>5189</v>
      </c>
      <c r="C23" s="151"/>
      <c r="E23" s="337"/>
    </row>
    <row r="24" spans="1:5">
      <c r="E24" s="337"/>
    </row>
    <row r="25" spans="1:5" ht="30" customHeight="1">
      <c r="B25" s="5" t="str">
        <f>IF(OR(C6="",C11="",C12="",C18="",C22="",C23=""),【随時メンテ】部分払い回数等!$A$53,【随時メンテ】部分払い回数等!$A$52)</f>
        <v>NG</v>
      </c>
      <c r="C25" s="333" t="s">
        <v>231</v>
      </c>
      <c r="E25" s="337"/>
    </row>
    <row r="26" spans="1:5" ht="7.5" customHeight="1">
      <c r="A26" s="335"/>
      <c r="B26" s="335"/>
      <c r="C26" s="335"/>
      <c r="D26" s="335"/>
      <c r="E26" s="337"/>
    </row>
  </sheetData>
  <sheetProtection sheet="1" objects="1" scenarios="1"/>
  <mergeCells count="1">
    <mergeCell ref="A1:D1"/>
  </mergeCells>
  <phoneticPr fontId="2"/>
  <conditionalFormatting sqref="B13:B14">
    <cfRule type="expression" dxfId="164" priority="9">
      <formula>$C$12="発注者指定"</formula>
    </cfRule>
  </conditionalFormatting>
  <conditionalFormatting sqref="B15:B16">
    <cfRule type="expression" dxfId="163" priority="8">
      <formula>$C$12="任意着手"</formula>
    </cfRule>
  </conditionalFormatting>
  <conditionalFormatting sqref="B25">
    <cfRule type="cellIs" dxfId="162" priority="6" operator="equal">
      <formula>"NG"</formula>
    </cfRule>
  </conditionalFormatting>
  <conditionalFormatting sqref="B7:C7">
    <cfRule type="expression" dxfId="161" priority="5">
      <formula>$C$6="あり"</formula>
    </cfRule>
  </conditionalFormatting>
  <conditionalFormatting sqref="C7">
    <cfRule type="expression" dxfId="160" priority="3">
      <formula>$C$6="あり"</formula>
    </cfRule>
  </conditionalFormatting>
  <conditionalFormatting sqref="C13:C14">
    <cfRule type="expression" dxfId="159" priority="2">
      <formula>$C$12="発注者指定"</formula>
    </cfRule>
  </conditionalFormatting>
  <conditionalFormatting sqref="C15:C16">
    <cfRule type="expression" dxfId="158" priority="1">
      <formula>$C$12="任意着手"</formula>
    </cfRule>
  </conditionalFormatting>
  <dataValidations count="1">
    <dataValidation imeMode="disabled" allowBlank="1" showInputMessage="1" showErrorMessage="1" sqref="C15:C16" xr:uid="{00000000-0002-0000-0100-000000000000}"/>
  </dataValidations>
  <hyperlinks>
    <hyperlink ref="C25" location="目次!B3" display="目次へ戻る" xr:uid="{00000000-0004-0000-0100-000000000000}"/>
  </hyperlink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3">
        <x14:dataValidation type="list" imeMode="hiragana" allowBlank="1" showInputMessage="1" showErrorMessage="1" xr:uid="{00000000-0002-0000-0100-000001000000}">
          <x14:formula1>
            <xm:f>【随時メンテ】部分払い回数等!$A$3:$A$5</xm:f>
          </x14:formula1>
          <xm:sqref>C12</xm:sqref>
        </x14:dataValidation>
        <x14:dataValidation type="list" imeMode="hiragana" allowBlank="1" showInputMessage="1" showErrorMessage="1" xr:uid="{00000000-0002-0000-0100-000002000000}">
          <x14:formula1>
            <xm:f>【随時メンテ】部分払い回数等!$A$41:$A$42</xm:f>
          </x14:formula1>
          <xm:sqref>C22:C23 C11 C18 C6</xm:sqref>
        </x14:dataValidation>
        <x14:dataValidation type="list" imeMode="hiragana" allowBlank="1" showInputMessage="1" showErrorMessage="1" xr:uid="{00000000-0002-0000-0100-000003000000}">
          <x14:formula1>
            <xm:f>【随時メンテ】部分払い回数等!$C$12:$C$13</xm:f>
          </x14:formula1>
          <xm:sqref>C7</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8"/>
  <dimension ref="A1:U90"/>
  <sheetViews>
    <sheetView topLeftCell="A52" workbookViewId="0">
      <selection activeCell="M75" sqref="M75"/>
    </sheetView>
  </sheetViews>
  <sheetFormatPr defaultRowHeight="13.5"/>
  <cols>
    <col min="1" max="1" width="13" bestFit="1" customWidth="1"/>
    <col min="2" max="2" width="16.5" bestFit="1" customWidth="1"/>
    <col min="3" max="3" width="5.25" bestFit="1" customWidth="1"/>
    <col min="4" max="4" width="3.5" bestFit="1" customWidth="1"/>
    <col min="5" max="5" width="3.375" bestFit="1" customWidth="1"/>
    <col min="6" max="6" width="4.125" bestFit="1" customWidth="1"/>
    <col min="7" max="7" width="3.375" bestFit="1" customWidth="1"/>
    <col min="8" max="8" width="5.25" bestFit="1" customWidth="1"/>
    <col min="9" max="9" width="3.375" bestFit="1" customWidth="1"/>
    <col min="10" max="10" width="2.5" bestFit="1" customWidth="1"/>
    <col min="11" max="11" width="5.5" bestFit="1" customWidth="1"/>
    <col min="13" max="13" width="15.375" bestFit="1" customWidth="1"/>
    <col min="14" max="14" width="3.375" bestFit="1" customWidth="1"/>
    <col min="16" max="16" width="3.375" bestFit="1" customWidth="1"/>
    <col min="17" max="18" width="3.5" bestFit="1" customWidth="1"/>
    <col min="21" max="21" width="10.5" bestFit="1" customWidth="1"/>
  </cols>
  <sheetData>
    <row r="1" spans="1:21">
      <c r="A1" s="31" t="s">
        <v>339</v>
      </c>
      <c r="B1" s="31"/>
      <c r="D1" s="31" t="s">
        <v>280</v>
      </c>
      <c r="E1" s="31"/>
      <c r="F1" s="1">
        <v>8</v>
      </c>
      <c r="G1" s="31" t="s">
        <v>281</v>
      </c>
      <c r="H1" s="31"/>
      <c r="K1" t="s">
        <v>282</v>
      </c>
      <c r="P1" s="31" t="s">
        <v>283</v>
      </c>
      <c r="Q1" s="31"/>
      <c r="R1" s="31"/>
      <c r="T1" t="s">
        <v>318</v>
      </c>
    </row>
    <row r="2" spans="1:21">
      <c r="C2" s="23" t="s">
        <v>284</v>
      </c>
      <c r="H2" t="s">
        <v>285</v>
      </c>
      <c r="K2">
        <f>F1+2018</f>
        <v>2026</v>
      </c>
      <c r="Q2">
        <v>2</v>
      </c>
      <c r="R2">
        <v>3</v>
      </c>
      <c r="T2" t="s">
        <v>319</v>
      </c>
      <c r="U2" s="67">
        <f>DATE(K2,4,1)</f>
        <v>46113</v>
      </c>
    </row>
    <row r="3" spans="1:21">
      <c r="A3" t="s">
        <v>286</v>
      </c>
      <c r="B3" s="44">
        <f t="shared" ref="B3:B18" si="0">DATE($K$2,D3,F3)</f>
        <v>46141</v>
      </c>
      <c r="C3" s="61" t="str">
        <f>TEXT(B3,"aaa")</f>
        <v>水</v>
      </c>
      <c r="D3">
        <v>4</v>
      </c>
      <c r="E3" t="s">
        <v>287</v>
      </c>
      <c r="F3" s="62">
        <v>29</v>
      </c>
      <c r="G3" t="s">
        <v>288</v>
      </c>
      <c r="H3" t="s">
        <v>289</v>
      </c>
      <c r="P3" t="s">
        <v>288</v>
      </c>
      <c r="Q3">
        <v>8</v>
      </c>
      <c r="R3">
        <f>Q3+7</f>
        <v>15</v>
      </c>
      <c r="T3" t="s">
        <v>320</v>
      </c>
      <c r="U3" s="67">
        <f>DATE(K2+1,3,31)</f>
        <v>46477</v>
      </c>
    </row>
    <row r="4" spans="1:21">
      <c r="A4" s="10" t="s">
        <v>290</v>
      </c>
      <c r="B4" s="63">
        <f>IF(C3="日",B3+1,B3)</f>
        <v>46141</v>
      </c>
      <c r="C4" s="64" t="str">
        <f t="shared" ref="C4:C30" si="1">TEXT(B4,"aaa")</f>
        <v>水</v>
      </c>
      <c r="F4" s="62"/>
      <c r="P4" t="s">
        <v>291</v>
      </c>
      <c r="Q4">
        <v>7</v>
      </c>
      <c r="R4">
        <f t="shared" ref="R4:R9" si="2">Q4+7</f>
        <v>14</v>
      </c>
    </row>
    <row r="5" spans="1:21">
      <c r="A5" t="s">
        <v>292</v>
      </c>
      <c r="B5" s="44">
        <f t="shared" si="0"/>
        <v>46145</v>
      </c>
      <c r="C5" s="61" t="str">
        <f t="shared" si="1"/>
        <v>日</v>
      </c>
      <c r="D5">
        <v>5</v>
      </c>
      <c r="E5" t="s">
        <v>287</v>
      </c>
      <c r="F5" s="62">
        <v>3</v>
      </c>
      <c r="G5" t="s">
        <v>288</v>
      </c>
      <c r="H5" t="s">
        <v>289</v>
      </c>
      <c r="P5" t="s">
        <v>293</v>
      </c>
      <c r="Q5">
        <v>13</v>
      </c>
      <c r="R5">
        <f t="shared" si="2"/>
        <v>20</v>
      </c>
    </row>
    <row r="6" spans="1:21">
      <c r="A6" t="s">
        <v>294</v>
      </c>
      <c r="B6" s="44">
        <f t="shared" si="0"/>
        <v>46146</v>
      </c>
      <c r="C6" s="61" t="str">
        <f t="shared" si="1"/>
        <v>月</v>
      </c>
      <c r="D6">
        <v>5</v>
      </c>
      <c r="E6" t="s">
        <v>287</v>
      </c>
      <c r="F6" s="62">
        <v>4</v>
      </c>
      <c r="G6" t="s">
        <v>288</v>
      </c>
      <c r="H6" t="s">
        <v>289</v>
      </c>
      <c r="P6" t="s">
        <v>295</v>
      </c>
      <c r="Q6">
        <v>12</v>
      </c>
      <c r="R6">
        <f t="shared" si="2"/>
        <v>19</v>
      </c>
    </row>
    <row r="7" spans="1:21">
      <c r="A7" t="s">
        <v>296</v>
      </c>
      <c r="B7" s="44">
        <f t="shared" si="0"/>
        <v>46147</v>
      </c>
      <c r="C7" s="61" t="str">
        <f t="shared" si="1"/>
        <v>火</v>
      </c>
      <c r="D7">
        <v>5</v>
      </c>
      <c r="E7" t="s">
        <v>287</v>
      </c>
      <c r="F7" s="62">
        <v>5</v>
      </c>
      <c r="G7" t="s">
        <v>288</v>
      </c>
      <c r="H7" t="s">
        <v>289</v>
      </c>
      <c r="P7" t="s">
        <v>297</v>
      </c>
      <c r="Q7">
        <v>11</v>
      </c>
      <c r="R7">
        <f t="shared" si="2"/>
        <v>18</v>
      </c>
    </row>
    <row r="8" spans="1:21">
      <c r="A8" s="10" t="s">
        <v>290</v>
      </c>
      <c r="B8" s="63">
        <f>IF(OR(C5="日",C6="日",C7="日"),B7+1,B7)</f>
        <v>46148</v>
      </c>
      <c r="C8" s="64" t="str">
        <f t="shared" si="1"/>
        <v>水</v>
      </c>
      <c r="F8" s="62"/>
      <c r="P8" t="s">
        <v>298</v>
      </c>
      <c r="Q8">
        <v>10</v>
      </c>
      <c r="R8">
        <f t="shared" si="2"/>
        <v>17</v>
      </c>
    </row>
    <row r="9" spans="1:21">
      <c r="A9" t="s">
        <v>299</v>
      </c>
      <c r="B9" s="44">
        <f t="shared" si="0"/>
        <v>46223</v>
      </c>
      <c r="C9" s="61" t="str">
        <f t="shared" si="1"/>
        <v>月</v>
      </c>
      <c r="D9">
        <v>7</v>
      </c>
      <c r="E9" t="s">
        <v>287</v>
      </c>
      <c r="F9" s="62">
        <f>1+VLOOKUP(N9,$P$3:$R$9,$J9,FALSE)</f>
        <v>20</v>
      </c>
      <c r="G9" t="s">
        <v>288</v>
      </c>
      <c r="H9" s="65" t="s">
        <v>300</v>
      </c>
      <c r="I9" s="14" t="s">
        <v>301</v>
      </c>
      <c r="J9" s="23">
        <v>3</v>
      </c>
      <c r="K9" t="s">
        <v>302</v>
      </c>
      <c r="M9" s="44">
        <f>DATE($K$2,D9,1)</f>
        <v>46204</v>
      </c>
      <c r="N9" s="61" t="str">
        <f>TEXT(M9,"aaa")</f>
        <v>水</v>
      </c>
      <c r="P9" t="s">
        <v>303</v>
      </c>
      <c r="Q9">
        <v>9</v>
      </c>
      <c r="R9">
        <f t="shared" si="2"/>
        <v>16</v>
      </c>
    </row>
    <row r="10" spans="1:21">
      <c r="A10" t="s">
        <v>304</v>
      </c>
      <c r="B10" s="44">
        <f t="shared" si="0"/>
        <v>46245</v>
      </c>
      <c r="C10" s="61" t="str">
        <f t="shared" si="1"/>
        <v>火</v>
      </c>
      <c r="D10">
        <v>8</v>
      </c>
      <c r="E10" t="s">
        <v>287</v>
      </c>
      <c r="F10" s="62">
        <v>11</v>
      </c>
      <c r="G10" t="s">
        <v>288</v>
      </c>
      <c r="H10" t="s">
        <v>289</v>
      </c>
    </row>
    <row r="11" spans="1:21">
      <c r="A11" s="10" t="s">
        <v>290</v>
      </c>
      <c r="B11" s="63">
        <f>IF(C10="日",B10+1,B10)</f>
        <v>46245</v>
      </c>
      <c r="C11" s="64" t="str">
        <f t="shared" si="1"/>
        <v>火</v>
      </c>
      <c r="F11" s="62"/>
    </row>
    <row r="12" spans="1:21">
      <c r="A12" t="s">
        <v>305</v>
      </c>
      <c r="B12" s="44">
        <f t="shared" si="0"/>
        <v>46286</v>
      </c>
      <c r="C12" s="61" t="str">
        <f t="shared" si="1"/>
        <v>月</v>
      </c>
      <c r="D12">
        <v>9</v>
      </c>
      <c r="E12" t="s">
        <v>287</v>
      </c>
      <c r="F12" s="62">
        <f>1+VLOOKUP(N12,$P$3:$R$9,$J12,FALSE)</f>
        <v>21</v>
      </c>
      <c r="G12" t="s">
        <v>288</v>
      </c>
      <c r="H12" s="65" t="s">
        <v>300</v>
      </c>
      <c r="I12" s="14" t="s">
        <v>301</v>
      </c>
      <c r="J12" s="23">
        <v>3</v>
      </c>
      <c r="K12" t="s">
        <v>302</v>
      </c>
      <c r="M12" s="44">
        <f>DATE($K$2,D12,1)</f>
        <v>46266</v>
      </c>
      <c r="N12" s="61" t="str">
        <f>TEXT(M12,"aaa")</f>
        <v>火</v>
      </c>
    </row>
    <row r="13" spans="1:21">
      <c r="A13" t="s">
        <v>306</v>
      </c>
      <c r="B13" s="44">
        <f t="shared" si="0"/>
        <v>46288</v>
      </c>
      <c r="C13" s="61" t="str">
        <f t="shared" si="1"/>
        <v>水</v>
      </c>
      <c r="D13">
        <v>9</v>
      </c>
      <c r="E13" t="s">
        <v>287</v>
      </c>
      <c r="F13" s="66">
        <v>23</v>
      </c>
      <c r="G13" t="s">
        <v>288</v>
      </c>
      <c r="H13" s="65" t="s">
        <v>300</v>
      </c>
    </row>
    <row r="14" spans="1:21">
      <c r="A14" s="10" t="s">
        <v>290</v>
      </c>
      <c r="B14" s="63">
        <f>IF(C13="日",B13+1,B13)</f>
        <v>46288</v>
      </c>
      <c r="C14" s="64" t="str">
        <f t="shared" si="1"/>
        <v>水</v>
      </c>
      <c r="F14" s="62"/>
    </row>
    <row r="15" spans="1:21">
      <c r="A15" t="s">
        <v>307</v>
      </c>
      <c r="B15" s="44">
        <f t="shared" si="0"/>
        <v>46307</v>
      </c>
      <c r="C15" s="61" t="str">
        <f t="shared" si="1"/>
        <v>月</v>
      </c>
      <c r="D15">
        <v>10</v>
      </c>
      <c r="E15" t="s">
        <v>287</v>
      </c>
      <c r="F15" s="62">
        <f>1+VLOOKUP(N15,$P$3:$R$9,$J15,FALSE)</f>
        <v>12</v>
      </c>
      <c r="G15" t="s">
        <v>288</v>
      </c>
      <c r="H15" s="65" t="s">
        <v>300</v>
      </c>
      <c r="I15" s="14" t="s">
        <v>301</v>
      </c>
      <c r="J15" s="23">
        <v>2</v>
      </c>
      <c r="K15" t="s">
        <v>302</v>
      </c>
      <c r="M15" s="44">
        <f>DATE($K$2,D15,1)</f>
        <v>46296</v>
      </c>
      <c r="N15" s="61" t="str">
        <f>TEXT(M15,"aaa")</f>
        <v>木</v>
      </c>
    </row>
    <row r="16" spans="1:21">
      <c r="A16" t="s">
        <v>308</v>
      </c>
      <c r="B16" s="44">
        <f t="shared" si="0"/>
        <v>46329</v>
      </c>
      <c r="C16" s="61" t="str">
        <f t="shared" si="1"/>
        <v>火</v>
      </c>
      <c r="D16">
        <v>11</v>
      </c>
      <c r="E16" t="s">
        <v>287</v>
      </c>
      <c r="F16" s="62">
        <v>3</v>
      </c>
      <c r="G16" t="s">
        <v>288</v>
      </c>
      <c r="H16" t="s">
        <v>289</v>
      </c>
    </row>
    <row r="17" spans="1:14">
      <c r="A17" s="10" t="s">
        <v>290</v>
      </c>
      <c r="B17" s="63">
        <f>IF(C16="日",B16+1,B16)</f>
        <v>46329</v>
      </c>
      <c r="C17" s="64" t="str">
        <f t="shared" si="1"/>
        <v>火</v>
      </c>
      <c r="F17" s="62"/>
    </row>
    <row r="18" spans="1:14">
      <c r="A18" t="s">
        <v>309</v>
      </c>
      <c r="B18" s="44">
        <f t="shared" si="0"/>
        <v>46349</v>
      </c>
      <c r="C18" s="61" t="str">
        <f t="shared" si="1"/>
        <v>月</v>
      </c>
      <c r="D18">
        <v>11</v>
      </c>
      <c r="E18" t="s">
        <v>287</v>
      </c>
      <c r="F18" s="62">
        <v>23</v>
      </c>
      <c r="G18" t="s">
        <v>288</v>
      </c>
      <c r="H18" t="s">
        <v>289</v>
      </c>
    </row>
    <row r="19" spans="1:14">
      <c r="A19" s="10" t="s">
        <v>290</v>
      </c>
      <c r="B19" s="63">
        <f>IF(C18="日",B18+1,B18)</f>
        <v>46349</v>
      </c>
      <c r="C19" s="64" t="str">
        <f t="shared" si="1"/>
        <v>月</v>
      </c>
      <c r="F19" s="62"/>
    </row>
    <row r="20" spans="1:14">
      <c r="A20" t="s">
        <v>310</v>
      </c>
      <c r="B20" s="44">
        <f>DATE($K$2,D20,F20)</f>
        <v>46385</v>
      </c>
      <c r="C20" s="61" t="str">
        <f t="shared" si="1"/>
        <v>火</v>
      </c>
      <c r="D20">
        <v>12</v>
      </c>
      <c r="E20" t="s">
        <v>287</v>
      </c>
      <c r="F20" s="62">
        <v>29</v>
      </c>
      <c r="G20" t="s">
        <v>288</v>
      </c>
      <c r="H20" t="s">
        <v>289</v>
      </c>
    </row>
    <row r="21" spans="1:14">
      <c r="A21" t="s">
        <v>310</v>
      </c>
      <c r="B21" s="44">
        <f>DATE($K$2,D21,F21)</f>
        <v>46386</v>
      </c>
      <c r="C21" s="61" t="str">
        <f t="shared" si="1"/>
        <v>水</v>
      </c>
      <c r="D21">
        <v>12</v>
      </c>
      <c r="E21" t="s">
        <v>287</v>
      </c>
      <c r="F21" s="62">
        <v>30</v>
      </c>
      <c r="G21" t="s">
        <v>288</v>
      </c>
      <c r="H21" t="s">
        <v>289</v>
      </c>
    </row>
    <row r="22" spans="1:14">
      <c r="A22" t="s">
        <v>310</v>
      </c>
      <c r="B22" s="44">
        <f>DATE($K$2,D22,F22)</f>
        <v>46387</v>
      </c>
      <c r="C22" s="61" t="str">
        <f t="shared" si="1"/>
        <v>木</v>
      </c>
      <c r="D22">
        <v>12</v>
      </c>
      <c r="E22" t="s">
        <v>287</v>
      </c>
      <c r="F22" s="62">
        <v>31</v>
      </c>
      <c r="G22" t="s">
        <v>288</v>
      </c>
      <c r="H22" t="s">
        <v>289</v>
      </c>
    </row>
    <row r="23" spans="1:14">
      <c r="A23" t="s">
        <v>311</v>
      </c>
      <c r="B23" s="44">
        <f t="shared" ref="B23:B29" si="3">DATE($K$2+1,D23,F23)</f>
        <v>46388</v>
      </c>
      <c r="C23" s="61" t="str">
        <f t="shared" si="1"/>
        <v>金</v>
      </c>
      <c r="D23">
        <v>1</v>
      </c>
      <c r="E23" t="s">
        <v>287</v>
      </c>
      <c r="F23" s="62">
        <v>1</v>
      </c>
      <c r="G23" t="s">
        <v>288</v>
      </c>
      <c r="H23" t="s">
        <v>289</v>
      </c>
    </row>
    <row r="24" spans="1:14">
      <c r="A24" t="s">
        <v>312</v>
      </c>
      <c r="B24" s="44">
        <f t="shared" si="3"/>
        <v>46389</v>
      </c>
      <c r="C24" s="61" t="str">
        <f t="shared" si="1"/>
        <v>土</v>
      </c>
      <c r="D24">
        <v>1</v>
      </c>
      <c r="E24" t="s">
        <v>287</v>
      </c>
      <c r="F24" s="62">
        <v>2</v>
      </c>
      <c r="G24" t="s">
        <v>288</v>
      </c>
      <c r="H24" t="s">
        <v>289</v>
      </c>
    </row>
    <row r="25" spans="1:14">
      <c r="A25" t="s">
        <v>312</v>
      </c>
      <c r="B25" s="44">
        <f t="shared" si="3"/>
        <v>46390</v>
      </c>
      <c r="C25" s="61" t="str">
        <f t="shared" si="1"/>
        <v>日</v>
      </c>
      <c r="D25">
        <v>1</v>
      </c>
      <c r="E25" t="s">
        <v>287</v>
      </c>
      <c r="F25" s="62">
        <v>3</v>
      </c>
      <c r="G25" t="s">
        <v>288</v>
      </c>
      <c r="H25" t="s">
        <v>289</v>
      </c>
    </row>
    <row r="26" spans="1:14">
      <c r="A26" t="s">
        <v>313</v>
      </c>
      <c r="B26" s="44">
        <f t="shared" si="3"/>
        <v>46398</v>
      </c>
      <c r="C26" s="61" t="str">
        <f t="shared" si="1"/>
        <v>月</v>
      </c>
      <c r="D26">
        <v>1</v>
      </c>
      <c r="E26" t="s">
        <v>287</v>
      </c>
      <c r="F26" s="62">
        <f>1+VLOOKUP(N26,$P$3:$R$9,$J26,FALSE)</f>
        <v>11</v>
      </c>
      <c r="G26" t="s">
        <v>288</v>
      </c>
      <c r="H26" s="65" t="s">
        <v>300</v>
      </c>
      <c r="I26" s="14" t="s">
        <v>301</v>
      </c>
      <c r="J26" s="23">
        <v>2</v>
      </c>
      <c r="K26" t="s">
        <v>302</v>
      </c>
      <c r="M26" s="44">
        <f>DATE($K$2+1,D26,1)</f>
        <v>46388</v>
      </c>
      <c r="N26" s="61" t="str">
        <f>TEXT(M26,"aaa")</f>
        <v>金</v>
      </c>
    </row>
    <row r="27" spans="1:14">
      <c r="A27" t="s">
        <v>314</v>
      </c>
      <c r="B27" s="44">
        <f t="shared" si="3"/>
        <v>46429</v>
      </c>
      <c r="C27" s="61" t="str">
        <f t="shared" si="1"/>
        <v>木</v>
      </c>
      <c r="D27">
        <v>2</v>
      </c>
      <c r="E27" t="s">
        <v>287</v>
      </c>
      <c r="F27" s="62">
        <v>11</v>
      </c>
      <c r="G27" t="s">
        <v>288</v>
      </c>
      <c r="H27" t="s">
        <v>289</v>
      </c>
    </row>
    <row r="28" spans="1:14">
      <c r="A28" s="10" t="s">
        <v>290</v>
      </c>
      <c r="B28" s="63">
        <f>IF(C27="日",B27+1,B27)</f>
        <v>46429</v>
      </c>
      <c r="C28" s="64" t="str">
        <f t="shared" si="1"/>
        <v>木</v>
      </c>
      <c r="F28" s="62"/>
    </row>
    <row r="29" spans="1:14">
      <c r="A29" t="s">
        <v>315</v>
      </c>
      <c r="B29" s="44">
        <f t="shared" si="3"/>
        <v>46441</v>
      </c>
      <c r="C29" s="61" t="str">
        <f t="shared" si="1"/>
        <v>火</v>
      </c>
      <c r="D29">
        <v>2</v>
      </c>
      <c r="E29" t="s">
        <v>287</v>
      </c>
      <c r="F29" s="62">
        <v>23</v>
      </c>
      <c r="G29" t="s">
        <v>288</v>
      </c>
      <c r="H29" t="s">
        <v>289</v>
      </c>
    </row>
    <row r="30" spans="1:14">
      <c r="A30" s="10" t="s">
        <v>290</v>
      </c>
      <c r="B30" s="63">
        <f>IF(C29="日",B29+1,B29)</f>
        <v>46441</v>
      </c>
      <c r="C30" s="64" t="str">
        <f t="shared" si="1"/>
        <v>火</v>
      </c>
      <c r="F30" s="62"/>
    </row>
    <row r="31" spans="1:14">
      <c r="A31" t="s">
        <v>316</v>
      </c>
      <c r="B31" s="44">
        <f>DATE($K$2+1,D31,F31)</f>
        <v>46467</v>
      </c>
      <c r="C31" s="61" t="str">
        <f>TEXT(B31,"aaa")</f>
        <v>日</v>
      </c>
      <c r="D31">
        <v>3</v>
      </c>
      <c r="E31" t="s">
        <v>287</v>
      </c>
      <c r="F31" s="66">
        <v>21</v>
      </c>
      <c r="G31" t="s">
        <v>288</v>
      </c>
      <c r="H31" s="65" t="s">
        <v>300</v>
      </c>
    </row>
    <row r="32" spans="1:14">
      <c r="A32" t="s">
        <v>286</v>
      </c>
      <c r="B32" s="44">
        <f>DATE($K$2+1,D32,F32)</f>
        <v>46506</v>
      </c>
      <c r="C32" s="61" t="str">
        <f>TEXT(B32,"aaa")</f>
        <v>木</v>
      </c>
      <c r="D32">
        <v>4</v>
      </c>
      <c r="E32" t="s">
        <v>287</v>
      </c>
      <c r="F32" s="62">
        <v>29</v>
      </c>
      <c r="G32" t="s">
        <v>288</v>
      </c>
      <c r="H32" t="s">
        <v>289</v>
      </c>
    </row>
    <row r="33" spans="1:14">
      <c r="A33" s="10" t="s">
        <v>290</v>
      </c>
      <c r="B33" s="63">
        <f>IF(C32="日",B32+1,B32)</f>
        <v>46506</v>
      </c>
      <c r="C33" s="64" t="str">
        <f t="shared" ref="C33:C59" si="4">TEXT(B33,"aaa")</f>
        <v>木</v>
      </c>
      <c r="F33" s="62"/>
    </row>
    <row r="34" spans="1:14">
      <c r="A34" t="s">
        <v>292</v>
      </c>
      <c r="B34" s="44">
        <f>DATE($K$2+1,D34,F34)</f>
        <v>46510</v>
      </c>
      <c r="C34" s="61" t="str">
        <f t="shared" si="4"/>
        <v>月</v>
      </c>
      <c r="D34">
        <v>5</v>
      </c>
      <c r="E34" t="s">
        <v>287</v>
      </c>
      <c r="F34" s="62">
        <v>3</v>
      </c>
      <c r="G34" t="s">
        <v>288</v>
      </c>
      <c r="H34" t="s">
        <v>289</v>
      </c>
    </row>
    <row r="35" spans="1:14">
      <c r="A35" t="s">
        <v>294</v>
      </c>
      <c r="B35" s="44">
        <f>DATE($K$2+1,D35,F35)</f>
        <v>46511</v>
      </c>
      <c r="C35" s="61" t="str">
        <f t="shared" si="4"/>
        <v>火</v>
      </c>
      <c r="D35">
        <v>5</v>
      </c>
      <c r="E35" t="s">
        <v>287</v>
      </c>
      <c r="F35" s="62">
        <v>4</v>
      </c>
      <c r="G35" t="s">
        <v>288</v>
      </c>
      <c r="H35" t="s">
        <v>289</v>
      </c>
    </row>
    <row r="36" spans="1:14">
      <c r="A36" t="s">
        <v>296</v>
      </c>
      <c r="B36" s="44">
        <f>DATE($K$2+1,D36,F36)</f>
        <v>46512</v>
      </c>
      <c r="C36" s="61" t="str">
        <f t="shared" si="4"/>
        <v>水</v>
      </c>
      <c r="D36">
        <v>5</v>
      </c>
      <c r="E36" t="s">
        <v>287</v>
      </c>
      <c r="F36" s="62">
        <v>5</v>
      </c>
      <c r="G36" t="s">
        <v>288</v>
      </c>
      <c r="H36" t="s">
        <v>289</v>
      </c>
    </row>
    <row r="37" spans="1:14">
      <c r="A37" s="10" t="s">
        <v>290</v>
      </c>
      <c r="B37" s="63">
        <f>IF(OR(C34="日",C35="日",C36="日"),B36+1,B36)</f>
        <v>46512</v>
      </c>
      <c r="C37" s="64" t="str">
        <f t="shared" si="4"/>
        <v>水</v>
      </c>
      <c r="F37" s="62"/>
    </row>
    <row r="38" spans="1:14">
      <c r="A38" t="s">
        <v>299</v>
      </c>
      <c r="B38" s="44">
        <f>DATE($K$2+1,D38,F38)</f>
        <v>46587</v>
      </c>
      <c r="C38" s="61" t="str">
        <f t="shared" si="4"/>
        <v>月</v>
      </c>
      <c r="D38">
        <v>7</v>
      </c>
      <c r="E38" t="s">
        <v>287</v>
      </c>
      <c r="F38" s="62">
        <f>1+VLOOKUP(N38,$P$3:$R$9,$J38,FALSE)</f>
        <v>19</v>
      </c>
      <c r="G38" t="s">
        <v>288</v>
      </c>
      <c r="H38" s="65" t="s">
        <v>300</v>
      </c>
      <c r="I38" s="14" t="s">
        <v>301</v>
      </c>
      <c r="J38" s="23">
        <v>3</v>
      </c>
      <c r="K38" t="s">
        <v>302</v>
      </c>
      <c r="M38" s="44">
        <f>DATE($K$2+1,D38,1)</f>
        <v>46569</v>
      </c>
      <c r="N38" s="61" t="str">
        <f>TEXT(M38,"aaa")</f>
        <v>木</v>
      </c>
    </row>
    <row r="39" spans="1:14">
      <c r="A39" t="s">
        <v>304</v>
      </c>
      <c r="B39" s="44">
        <f>DATE($K$2+1,D39,F39)</f>
        <v>46610</v>
      </c>
      <c r="C39" s="61" t="str">
        <f t="shared" si="4"/>
        <v>水</v>
      </c>
      <c r="D39">
        <v>8</v>
      </c>
      <c r="E39" t="s">
        <v>287</v>
      </c>
      <c r="F39" s="62">
        <v>11</v>
      </c>
      <c r="G39" t="s">
        <v>288</v>
      </c>
      <c r="H39" t="s">
        <v>289</v>
      </c>
    </row>
    <row r="40" spans="1:14">
      <c r="A40" s="10" t="s">
        <v>290</v>
      </c>
      <c r="B40" s="63">
        <f>IF(C39="日",B39+1,B39)</f>
        <v>46610</v>
      </c>
      <c r="C40" s="64" t="str">
        <f t="shared" si="4"/>
        <v>水</v>
      </c>
      <c r="F40" s="62"/>
    </row>
    <row r="41" spans="1:14">
      <c r="A41" t="s">
        <v>305</v>
      </c>
      <c r="B41" s="44">
        <f>DATE($K$2+1,D41,F41)</f>
        <v>46650</v>
      </c>
      <c r="C41" s="61" t="str">
        <f t="shared" si="4"/>
        <v>月</v>
      </c>
      <c r="D41">
        <v>9</v>
      </c>
      <c r="E41" t="s">
        <v>287</v>
      </c>
      <c r="F41" s="62">
        <f>1+VLOOKUP(N41,$P$3:$R$9,$J41,FALSE)</f>
        <v>20</v>
      </c>
      <c r="G41" t="s">
        <v>288</v>
      </c>
      <c r="H41" s="65" t="s">
        <v>300</v>
      </c>
      <c r="I41" s="14" t="s">
        <v>301</v>
      </c>
      <c r="J41" s="23">
        <v>3</v>
      </c>
      <c r="K41" t="s">
        <v>302</v>
      </c>
      <c r="M41" s="44">
        <f>DATE($K$2+1,D41,1)</f>
        <v>46631</v>
      </c>
      <c r="N41" s="61" t="str">
        <f>TEXT(M41,"aaa")</f>
        <v>水</v>
      </c>
    </row>
    <row r="42" spans="1:14">
      <c r="A42" t="s">
        <v>306</v>
      </c>
      <c r="B42" s="44">
        <f>DATE($K$2+1,D42,F42)</f>
        <v>46653</v>
      </c>
      <c r="C42" s="61" t="str">
        <f t="shared" si="4"/>
        <v>木</v>
      </c>
      <c r="D42">
        <v>9</v>
      </c>
      <c r="E42" t="s">
        <v>287</v>
      </c>
      <c r="F42" s="66">
        <v>23</v>
      </c>
      <c r="G42" t="s">
        <v>288</v>
      </c>
      <c r="H42" s="65" t="s">
        <v>300</v>
      </c>
    </row>
    <row r="43" spans="1:14">
      <c r="A43" s="10" t="s">
        <v>290</v>
      </c>
      <c r="B43" s="63">
        <f>IF(C42="日",B42+1,B42)</f>
        <v>46653</v>
      </c>
      <c r="C43" s="64" t="str">
        <f t="shared" si="4"/>
        <v>木</v>
      </c>
      <c r="F43" s="62"/>
    </row>
    <row r="44" spans="1:14">
      <c r="A44" t="s">
        <v>307</v>
      </c>
      <c r="B44" s="44">
        <f>DATE($K$2+1,D44,F44)</f>
        <v>46671</v>
      </c>
      <c r="C44" s="61" t="str">
        <f t="shared" si="4"/>
        <v>月</v>
      </c>
      <c r="D44">
        <v>10</v>
      </c>
      <c r="E44" t="s">
        <v>287</v>
      </c>
      <c r="F44" s="62">
        <f>1+VLOOKUP(N44,$P$3:$R$9,$J44,FALSE)</f>
        <v>11</v>
      </c>
      <c r="G44" t="s">
        <v>288</v>
      </c>
      <c r="H44" s="65" t="s">
        <v>300</v>
      </c>
      <c r="I44" s="14" t="s">
        <v>301</v>
      </c>
      <c r="J44" s="23">
        <v>2</v>
      </c>
      <c r="K44" t="s">
        <v>302</v>
      </c>
      <c r="M44" s="44">
        <f>DATE($K$2+1,D44,1)</f>
        <v>46661</v>
      </c>
      <c r="N44" s="61" t="str">
        <f>TEXT(M44,"aaa")</f>
        <v>金</v>
      </c>
    </row>
    <row r="45" spans="1:14">
      <c r="A45" t="s">
        <v>308</v>
      </c>
      <c r="B45" s="44">
        <f>DATE($K$2+1,D45,F45)</f>
        <v>46694</v>
      </c>
      <c r="C45" s="61" t="str">
        <f t="shared" si="4"/>
        <v>水</v>
      </c>
      <c r="D45">
        <v>11</v>
      </c>
      <c r="E45" t="s">
        <v>287</v>
      </c>
      <c r="F45" s="62">
        <v>3</v>
      </c>
      <c r="G45" t="s">
        <v>288</v>
      </c>
      <c r="H45" t="s">
        <v>289</v>
      </c>
    </row>
    <row r="46" spans="1:14">
      <c r="A46" s="10" t="s">
        <v>290</v>
      </c>
      <c r="B46" s="63">
        <f>IF(C45="日",B45+1,B45)</f>
        <v>46694</v>
      </c>
      <c r="C46" s="64" t="str">
        <f t="shared" si="4"/>
        <v>水</v>
      </c>
      <c r="F46" s="62"/>
    </row>
    <row r="47" spans="1:14">
      <c r="A47" t="s">
        <v>309</v>
      </c>
      <c r="B47" s="44">
        <f>DATE($K$2+1,D47,F47)</f>
        <v>46714</v>
      </c>
      <c r="C47" s="61" t="str">
        <f t="shared" si="4"/>
        <v>火</v>
      </c>
      <c r="D47">
        <v>11</v>
      </c>
      <c r="E47" t="s">
        <v>287</v>
      </c>
      <c r="F47" s="62">
        <v>23</v>
      </c>
      <c r="G47" t="s">
        <v>288</v>
      </c>
      <c r="H47" t="s">
        <v>289</v>
      </c>
    </row>
    <row r="48" spans="1:14">
      <c r="A48" s="10" t="s">
        <v>290</v>
      </c>
      <c r="B48" s="63">
        <f>IF(C47="日",B47+1,B47)</f>
        <v>46714</v>
      </c>
      <c r="C48" s="64" t="str">
        <f t="shared" si="4"/>
        <v>火</v>
      </c>
      <c r="F48" s="62"/>
    </row>
    <row r="49" spans="1:14">
      <c r="A49" t="s">
        <v>310</v>
      </c>
      <c r="B49" s="44">
        <f>DATE($K$2+1,D49,F49)</f>
        <v>46750</v>
      </c>
      <c r="C49" s="61" t="str">
        <f t="shared" si="4"/>
        <v>水</v>
      </c>
      <c r="D49">
        <v>12</v>
      </c>
      <c r="E49" t="s">
        <v>287</v>
      </c>
      <c r="F49" s="62">
        <v>29</v>
      </c>
      <c r="G49" t="s">
        <v>288</v>
      </c>
      <c r="H49" t="s">
        <v>289</v>
      </c>
    </row>
    <row r="50" spans="1:14">
      <c r="A50" t="s">
        <v>310</v>
      </c>
      <c r="B50" s="44">
        <f>DATE($K$2+1,D50,F50)</f>
        <v>46751</v>
      </c>
      <c r="C50" s="61" t="str">
        <f t="shared" si="4"/>
        <v>木</v>
      </c>
      <c r="D50">
        <v>12</v>
      </c>
      <c r="E50" t="s">
        <v>287</v>
      </c>
      <c r="F50" s="62">
        <v>30</v>
      </c>
      <c r="G50" t="s">
        <v>288</v>
      </c>
      <c r="H50" t="s">
        <v>289</v>
      </c>
    </row>
    <row r="51" spans="1:14">
      <c r="A51" t="s">
        <v>310</v>
      </c>
      <c r="B51" s="44">
        <f>DATE($K$2+1,D51,F51)</f>
        <v>46752</v>
      </c>
      <c r="C51" s="61" t="str">
        <f t="shared" si="4"/>
        <v>金</v>
      </c>
      <c r="D51">
        <v>12</v>
      </c>
      <c r="E51" t="s">
        <v>287</v>
      </c>
      <c r="F51" s="62">
        <v>31</v>
      </c>
      <c r="G51" t="s">
        <v>288</v>
      </c>
      <c r="H51" t="s">
        <v>289</v>
      </c>
    </row>
    <row r="52" spans="1:14">
      <c r="A52" t="s">
        <v>311</v>
      </c>
      <c r="B52" s="44">
        <f>DATE($K$2+2,D52,F52)</f>
        <v>46753</v>
      </c>
      <c r="C52" s="61" t="str">
        <f t="shared" si="4"/>
        <v>土</v>
      </c>
      <c r="D52">
        <v>1</v>
      </c>
      <c r="E52" t="s">
        <v>287</v>
      </c>
      <c r="F52" s="62">
        <v>1</v>
      </c>
      <c r="G52" t="s">
        <v>288</v>
      </c>
      <c r="H52" t="s">
        <v>289</v>
      </c>
    </row>
    <row r="53" spans="1:14">
      <c r="A53" t="s">
        <v>312</v>
      </c>
      <c r="B53" s="44">
        <f t="shared" ref="B53:B80" si="5">DATE($K$2+2,D53,F53)</f>
        <v>46754</v>
      </c>
      <c r="C53" s="61" t="str">
        <f t="shared" si="4"/>
        <v>日</v>
      </c>
      <c r="D53">
        <v>1</v>
      </c>
      <c r="E53" t="s">
        <v>287</v>
      </c>
      <c r="F53" s="62">
        <v>2</v>
      </c>
      <c r="G53" t="s">
        <v>288</v>
      </c>
      <c r="H53" t="s">
        <v>289</v>
      </c>
    </row>
    <row r="54" spans="1:14">
      <c r="A54" t="s">
        <v>312</v>
      </c>
      <c r="B54" s="44">
        <f t="shared" si="5"/>
        <v>46755</v>
      </c>
      <c r="C54" s="61" t="str">
        <f t="shared" si="4"/>
        <v>月</v>
      </c>
      <c r="D54">
        <v>1</v>
      </c>
      <c r="E54" t="s">
        <v>287</v>
      </c>
      <c r="F54" s="62">
        <v>3</v>
      </c>
      <c r="G54" t="s">
        <v>288</v>
      </c>
      <c r="H54" t="s">
        <v>289</v>
      </c>
    </row>
    <row r="55" spans="1:14">
      <c r="A55" t="s">
        <v>313</v>
      </c>
      <c r="B55" s="44">
        <f t="shared" si="5"/>
        <v>46762</v>
      </c>
      <c r="C55" s="61" t="str">
        <f t="shared" si="4"/>
        <v>月</v>
      </c>
      <c r="D55">
        <v>1</v>
      </c>
      <c r="E55" t="s">
        <v>287</v>
      </c>
      <c r="F55" s="62">
        <f>1+VLOOKUP(N55,$P$3:$R$9,$J55,FALSE)</f>
        <v>10</v>
      </c>
      <c r="G55" t="s">
        <v>288</v>
      </c>
      <c r="H55" s="65" t="s">
        <v>300</v>
      </c>
      <c r="I55" s="14" t="s">
        <v>301</v>
      </c>
      <c r="J55" s="23">
        <v>2</v>
      </c>
      <c r="K55" t="s">
        <v>302</v>
      </c>
      <c r="M55" s="44">
        <f>DATE($K$2+2,D55,1)</f>
        <v>46753</v>
      </c>
      <c r="N55" s="61" t="str">
        <f>TEXT(M55,"aaa")</f>
        <v>土</v>
      </c>
    </row>
    <row r="56" spans="1:14">
      <c r="A56" t="s">
        <v>314</v>
      </c>
      <c r="B56" s="44">
        <f t="shared" si="5"/>
        <v>46794</v>
      </c>
      <c r="C56" s="61" t="str">
        <f t="shared" si="4"/>
        <v>金</v>
      </c>
      <c r="D56">
        <v>2</v>
      </c>
      <c r="E56" t="s">
        <v>287</v>
      </c>
      <c r="F56" s="62">
        <v>11</v>
      </c>
      <c r="G56" t="s">
        <v>288</v>
      </c>
      <c r="H56" t="s">
        <v>289</v>
      </c>
    </row>
    <row r="57" spans="1:14">
      <c r="A57" s="10" t="s">
        <v>290</v>
      </c>
      <c r="B57" s="63">
        <f>IF(C56="日",B56+1,B56)</f>
        <v>46794</v>
      </c>
      <c r="C57" s="64" t="str">
        <f t="shared" si="4"/>
        <v>金</v>
      </c>
      <c r="F57" s="62"/>
    </row>
    <row r="58" spans="1:14">
      <c r="A58" t="s">
        <v>315</v>
      </c>
      <c r="B58" s="44">
        <f t="shared" si="5"/>
        <v>46806</v>
      </c>
      <c r="C58" s="61" t="str">
        <f t="shared" si="4"/>
        <v>水</v>
      </c>
      <c r="D58">
        <v>2</v>
      </c>
      <c r="E58" t="s">
        <v>287</v>
      </c>
      <c r="F58" s="62">
        <v>23</v>
      </c>
      <c r="G58" t="s">
        <v>288</v>
      </c>
      <c r="H58" t="s">
        <v>289</v>
      </c>
    </row>
    <row r="59" spans="1:14">
      <c r="A59" s="10" t="s">
        <v>290</v>
      </c>
      <c r="B59" s="63">
        <f>IF(C58="日",B58+1,B58)</f>
        <v>46806</v>
      </c>
      <c r="C59" s="64" t="str">
        <f t="shared" si="4"/>
        <v>水</v>
      </c>
      <c r="F59" s="62"/>
    </row>
    <row r="60" spans="1:14">
      <c r="A60" t="s">
        <v>316</v>
      </c>
      <c r="B60" s="44">
        <f t="shared" si="5"/>
        <v>46832</v>
      </c>
      <c r="C60" s="61" t="str">
        <f>TEXT(B60,"aaa")</f>
        <v>月</v>
      </c>
      <c r="D60">
        <v>3</v>
      </c>
      <c r="E60" t="s">
        <v>287</v>
      </c>
      <c r="F60" s="66">
        <v>20</v>
      </c>
      <c r="G60" t="s">
        <v>288</v>
      </c>
      <c r="H60" s="65" t="s">
        <v>300</v>
      </c>
    </row>
    <row r="61" spans="1:14">
      <c r="A61" t="s">
        <v>286</v>
      </c>
      <c r="B61" s="44">
        <f t="shared" si="5"/>
        <v>46872</v>
      </c>
      <c r="C61" s="61" t="str">
        <f>TEXT(B61,"aaa")</f>
        <v>土</v>
      </c>
      <c r="D61">
        <v>4</v>
      </c>
      <c r="E61" t="s">
        <v>287</v>
      </c>
      <c r="F61" s="62">
        <v>29</v>
      </c>
      <c r="G61" t="s">
        <v>288</v>
      </c>
      <c r="H61" t="s">
        <v>289</v>
      </c>
    </row>
    <row r="62" spans="1:14">
      <c r="A62" s="10" t="s">
        <v>290</v>
      </c>
      <c r="B62" s="63">
        <f>IF(C61="日",B61+1,B61)</f>
        <v>46872</v>
      </c>
      <c r="C62" s="64" t="str">
        <f t="shared" ref="C62:C88" si="6">TEXT(B62,"aaa")</f>
        <v>土</v>
      </c>
      <c r="F62" s="62"/>
    </row>
    <row r="63" spans="1:14">
      <c r="A63" t="s">
        <v>292</v>
      </c>
      <c r="B63" s="44">
        <f t="shared" si="5"/>
        <v>46876</v>
      </c>
      <c r="C63" s="61" t="str">
        <f t="shared" si="6"/>
        <v>水</v>
      </c>
      <c r="D63">
        <v>5</v>
      </c>
      <c r="E63" t="s">
        <v>287</v>
      </c>
      <c r="F63" s="62">
        <v>3</v>
      </c>
      <c r="G63" t="s">
        <v>288</v>
      </c>
      <c r="H63" t="s">
        <v>289</v>
      </c>
    </row>
    <row r="64" spans="1:14">
      <c r="A64" t="s">
        <v>294</v>
      </c>
      <c r="B64" s="44">
        <f t="shared" si="5"/>
        <v>46877</v>
      </c>
      <c r="C64" s="61" t="str">
        <f t="shared" si="6"/>
        <v>木</v>
      </c>
      <c r="D64">
        <v>5</v>
      </c>
      <c r="E64" t="s">
        <v>287</v>
      </c>
      <c r="F64" s="62">
        <v>4</v>
      </c>
      <c r="G64" t="s">
        <v>288</v>
      </c>
      <c r="H64" t="s">
        <v>289</v>
      </c>
    </row>
    <row r="65" spans="1:14">
      <c r="A65" t="s">
        <v>296</v>
      </c>
      <c r="B65" s="44">
        <f t="shared" si="5"/>
        <v>46878</v>
      </c>
      <c r="C65" s="61" t="str">
        <f t="shared" si="6"/>
        <v>金</v>
      </c>
      <c r="D65">
        <v>5</v>
      </c>
      <c r="E65" t="s">
        <v>287</v>
      </c>
      <c r="F65" s="62">
        <v>5</v>
      </c>
      <c r="G65" t="s">
        <v>288</v>
      </c>
      <c r="H65" t="s">
        <v>289</v>
      </c>
    </row>
    <row r="66" spans="1:14">
      <c r="A66" s="10" t="s">
        <v>290</v>
      </c>
      <c r="B66" s="63">
        <f>IF(OR(C63="日",C64="日",C65="日"),B65+1,B65)</f>
        <v>46878</v>
      </c>
      <c r="C66" s="64" t="str">
        <f t="shared" si="6"/>
        <v>金</v>
      </c>
      <c r="F66" s="62"/>
    </row>
    <row r="67" spans="1:14">
      <c r="A67" t="s">
        <v>299</v>
      </c>
      <c r="B67" s="44">
        <f t="shared" si="5"/>
        <v>46951</v>
      </c>
      <c r="C67" s="61" t="str">
        <f t="shared" si="6"/>
        <v>月</v>
      </c>
      <c r="D67">
        <v>7</v>
      </c>
      <c r="E67" t="s">
        <v>287</v>
      </c>
      <c r="F67" s="62">
        <f>1+VLOOKUP(N67,$P$3:$R$9,$J67,FALSE)</f>
        <v>17</v>
      </c>
      <c r="G67" t="s">
        <v>288</v>
      </c>
      <c r="H67" s="65" t="s">
        <v>300</v>
      </c>
      <c r="I67" s="14" t="s">
        <v>301</v>
      </c>
      <c r="J67" s="23">
        <v>3</v>
      </c>
      <c r="K67" t="s">
        <v>302</v>
      </c>
      <c r="M67" s="44">
        <f>DATE($K$2+2,D67,1)</f>
        <v>46935</v>
      </c>
      <c r="N67" s="61" t="str">
        <f>TEXT(M67,"aaa")</f>
        <v>土</v>
      </c>
    </row>
    <row r="68" spans="1:14">
      <c r="A68" t="s">
        <v>304</v>
      </c>
      <c r="B68" s="44">
        <f t="shared" si="5"/>
        <v>46976</v>
      </c>
      <c r="C68" s="61" t="str">
        <f t="shared" si="6"/>
        <v>金</v>
      </c>
      <c r="D68">
        <v>8</v>
      </c>
      <c r="E68" t="s">
        <v>287</v>
      </c>
      <c r="F68" s="62">
        <v>11</v>
      </c>
      <c r="G68" t="s">
        <v>288</v>
      </c>
      <c r="H68" t="s">
        <v>289</v>
      </c>
    </row>
    <row r="69" spans="1:14">
      <c r="A69" s="10" t="s">
        <v>290</v>
      </c>
      <c r="B69" s="63">
        <f>IF(C68="日",B68+1,B68)</f>
        <v>46976</v>
      </c>
      <c r="C69" s="64" t="str">
        <f t="shared" si="6"/>
        <v>金</v>
      </c>
      <c r="F69" s="62"/>
    </row>
    <row r="70" spans="1:14">
      <c r="A70" t="s">
        <v>305</v>
      </c>
      <c r="B70" s="44">
        <f t="shared" si="5"/>
        <v>47014</v>
      </c>
      <c r="C70" s="61" t="str">
        <f t="shared" si="6"/>
        <v>月</v>
      </c>
      <c r="D70">
        <v>9</v>
      </c>
      <c r="E70" t="s">
        <v>287</v>
      </c>
      <c r="F70" s="62">
        <f>1+VLOOKUP(N70,$P$3:$R$9,$J70,FALSE)</f>
        <v>18</v>
      </c>
      <c r="G70" t="s">
        <v>288</v>
      </c>
      <c r="H70" s="65" t="s">
        <v>300</v>
      </c>
      <c r="I70" s="14" t="s">
        <v>301</v>
      </c>
      <c r="J70" s="23">
        <v>3</v>
      </c>
      <c r="K70" t="s">
        <v>302</v>
      </c>
      <c r="M70" s="44">
        <f>DATE($K$2+2,D70,1)</f>
        <v>46997</v>
      </c>
      <c r="N70" s="61" t="str">
        <f>TEXT(M70,"aaa")</f>
        <v>金</v>
      </c>
    </row>
    <row r="71" spans="1:14">
      <c r="A71" t="s">
        <v>306</v>
      </c>
      <c r="B71" s="44">
        <f t="shared" si="5"/>
        <v>47018</v>
      </c>
      <c r="C71" s="61" t="str">
        <f t="shared" si="6"/>
        <v>金</v>
      </c>
      <c r="D71">
        <v>9</v>
      </c>
      <c r="E71" t="s">
        <v>287</v>
      </c>
      <c r="F71" s="66">
        <v>22</v>
      </c>
      <c r="G71" t="s">
        <v>288</v>
      </c>
      <c r="H71" s="65" t="s">
        <v>300</v>
      </c>
    </row>
    <row r="72" spans="1:14">
      <c r="A72" s="10" t="s">
        <v>290</v>
      </c>
      <c r="B72" s="63">
        <f>IF(C71="日",B71+1,B71)</f>
        <v>47018</v>
      </c>
      <c r="C72" s="64" t="str">
        <f t="shared" si="6"/>
        <v>金</v>
      </c>
      <c r="F72" s="62"/>
    </row>
    <row r="73" spans="1:14">
      <c r="A73" t="s">
        <v>307</v>
      </c>
      <c r="B73" s="44">
        <f t="shared" si="5"/>
        <v>47035</v>
      </c>
      <c r="C73" s="61" t="str">
        <f t="shared" si="6"/>
        <v>月</v>
      </c>
      <c r="D73">
        <v>10</v>
      </c>
      <c r="E73" t="s">
        <v>287</v>
      </c>
      <c r="F73" s="62">
        <f>1+VLOOKUP(N73,$P$3:$R$9,$J73,FALSE)</f>
        <v>9</v>
      </c>
      <c r="G73" t="s">
        <v>288</v>
      </c>
      <c r="H73" s="65" t="s">
        <v>300</v>
      </c>
      <c r="I73" s="14" t="s">
        <v>301</v>
      </c>
      <c r="J73" s="23">
        <v>2</v>
      </c>
      <c r="K73" t="s">
        <v>302</v>
      </c>
      <c r="M73" s="44">
        <f>DATE($K$2+2,D73,1)</f>
        <v>47027</v>
      </c>
      <c r="N73" s="61" t="str">
        <f>TEXT(M73,"aaa")</f>
        <v>日</v>
      </c>
    </row>
    <row r="74" spans="1:14">
      <c r="A74" t="s">
        <v>308</v>
      </c>
      <c r="B74" s="44">
        <f t="shared" si="5"/>
        <v>47060</v>
      </c>
      <c r="C74" s="61" t="str">
        <f t="shared" si="6"/>
        <v>金</v>
      </c>
      <c r="D74">
        <v>11</v>
      </c>
      <c r="E74" t="s">
        <v>287</v>
      </c>
      <c r="F74" s="62">
        <v>3</v>
      </c>
      <c r="G74" t="s">
        <v>288</v>
      </c>
      <c r="H74" t="s">
        <v>289</v>
      </c>
    </row>
    <row r="75" spans="1:14">
      <c r="A75" s="10" t="s">
        <v>290</v>
      </c>
      <c r="B75" s="63">
        <f>IF(C74="日",B74+1,B74)</f>
        <v>47060</v>
      </c>
      <c r="C75" s="64" t="str">
        <f t="shared" si="6"/>
        <v>金</v>
      </c>
      <c r="F75" s="62"/>
    </row>
    <row r="76" spans="1:14">
      <c r="A76" t="s">
        <v>309</v>
      </c>
      <c r="B76" s="44">
        <f t="shared" si="5"/>
        <v>47080</v>
      </c>
      <c r="C76" s="61" t="str">
        <f t="shared" si="6"/>
        <v>木</v>
      </c>
      <c r="D76">
        <v>11</v>
      </c>
      <c r="E76" t="s">
        <v>287</v>
      </c>
      <c r="F76" s="62">
        <v>23</v>
      </c>
      <c r="G76" t="s">
        <v>288</v>
      </c>
      <c r="H76" t="s">
        <v>289</v>
      </c>
    </row>
    <row r="77" spans="1:14">
      <c r="A77" s="10" t="s">
        <v>290</v>
      </c>
      <c r="B77" s="63">
        <f>IF(C76="日",B76+1,B76)</f>
        <v>47080</v>
      </c>
      <c r="C77" s="64" t="str">
        <f t="shared" si="6"/>
        <v>木</v>
      </c>
      <c r="F77" s="62"/>
    </row>
    <row r="78" spans="1:14">
      <c r="A78" t="s">
        <v>310</v>
      </c>
      <c r="B78" s="44">
        <f t="shared" si="5"/>
        <v>47116</v>
      </c>
      <c r="C78" s="61" t="str">
        <f t="shared" si="6"/>
        <v>金</v>
      </c>
      <c r="D78">
        <v>12</v>
      </c>
      <c r="E78" t="s">
        <v>287</v>
      </c>
      <c r="F78" s="62">
        <v>29</v>
      </c>
      <c r="G78" t="s">
        <v>288</v>
      </c>
      <c r="H78" t="s">
        <v>289</v>
      </c>
    </row>
    <row r="79" spans="1:14">
      <c r="A79" t="s">
        <v>310</v>
      </c>
      <c r="B79" s="44">
        <f t="shared" si="5"/>
        <v>47117</v>
      </c>
      <c r="C79" s="61" t="str">
        <f t="shared" si="6"/>
        <v>土</v>
      </c>
      <c r="D79">
        <v>12</v>
      </c>
      <c r="E79" t="s">
        <v>287</v>
      </c>
      <c r="F79" s="62">
        <v>30</v>
      </c>
      <c r="G79" t="s">
        <v>288</v>
      </c>
      <c r="H79" t="s">
        <v>289</v>
      </c>
    </row>
    <row r="80" spans="1:14">
      <c r="A80" t="s">
        <v>310</v>
      </c>
      <c r="B80" s="44">
        <f t="shared" si="5"/>
        <v>47118</v>
      </c>
      <c r="C80" s="61" t="str">
        <f t="shared" si="6"/>
        <v>日</v>
      </c>
      <c r="D80">
        <v>12</v>
      </c>
      <c r="E80" t="s">
        <v>287</v>
      </c>
      <c r="F80" s="62">
        <v>31</v>
      </c>
      <c r="G80" t="s">
        <v>288</v>
      </c>
      <c r="H80" t="s">
        <v>289</v>
      </c>
    </row>
    <row r="81" spans="1:14">
      <c r="A81" t="s">
        <v>311</v>
      </c>
      <c r="B81" s="44">
        <f>DATE($K$2+3,D81,F81)</f>
        <v>47119</v>
      </c>
      <c r="C81" s="61" t="str">
        <f t="shared" si="6"/>
        <v>月</v>
      </c>
      <c r="D81">
        <v>1</v>
      </c>
      <c r="E81" t="s">
        <v>287</v>
      </c>
      <c r="F81" s="62">
        <v>1</v>
      </c>
      <c r="G81" t="s">
        <v>288</v>
      </c>
      <c r="H81" t="s">
        <v>289</v>
      </c>
    </row>
    <row r="82" spans="1:14">
      <c r="A82" t="s">
        <v>312</v>
      </c>
      <c r="B82" s="44">
        <f t="shared" ref="B82:B89" si="7">DATE($K$2+3,D82,F82)</f>
        <v>47120</v>
      </c>
      <c r="C82" s="61" t="str">
        <f t="shared" si="6"/>
        <v>火</v>
      </c>
      <c r="D82">
        <v>1</v>
      </c>
      <c r="E82" t="s">
        <v>287</v>
      </c>
      <c r="F82" s="62">
        <v>2</v>
      </c>
      <c r="G82" t="s">
        <v>288</v>
      </c>
      <c r="H82" t="s">
        <v>289</v>
      </c>
    </row>
    <row r="83" spans="1:14">
      <c r="A83" t="s">
        <v>312</v>
      </c>
      <c r="B83" s="44">
        <f t="shared" si="7"/>
        <v>47121</v>
      </c>
      <c r="C83" s="61" t="str">
        <f t="shared" si="6"/>
        <v>水</v>
      </c>
      <c r="D83">
        <v>1</v>
      </c>
      <c r="E83" t="s">
        <v>287</v>
      </c>
      <c r="F83" s="62">
        <v>3</v>
      </c>
      <c r="G83" t="s">
        <v>288</v>
      </c>
      <c r="H83" t="s">
        <v>289</v>
      </c>
    </row>
    <row r="84" spans="1:14">
      <c r="A84" t="s">
        <v>313</v>
      </c>
      <c r="B84" s="44">
        <f t="shared" si="7"/>
        <v>47126</v>
      </c>
      <c r="C84" s="61" t="str">
        <f t="shared" si="6"/>
        <v>月</v>
      </c>
      <c r="D84">
        <v>1</v>
      </c>
      <c r="E84" t="s">
        <v>287</v>
      </c>
      <c r="F84" s="62">
        <f>1+VLOOKUP(N84,$P$3:$R$9,$J84,FALSE)</f>
        <v>8</v>
      </c>
      <c r="G84" t="s">
        <v>288</v>
      </c>
      <c r="H84" s="65" t="s">
        <v>300</v>
      </c>
      <c r="I84" s="14" t="s">
        <v>301</v>
      </c>
      <c r="J84" s="23">
        <v>2</v>
      </c>
      <c r="K84" t="s">
        <v>302</v>
      </c>
      <c r="M84" s="44">
        <f>DATE($K$2+3,D84,1)</f>
        <v>47119</v>
      </c>
      <c r="N84" s="61" t="str">
        <f>TEXT(M84,"aaa")</f>
        <v>月</v>
      </c>
    </row>
    <row r="85" spans="1:14">
      <c r="A85" t="s">
        <v>314</v>
      </c>
      <c r="B85" s="44">
        <f t="shared" si="7"/>
        <v>47160</v>
      </c>
      <c r="C85" s="61" t="str">
        <f t="shared" si="6"/>
        <v>日</v>
      </c>
      <c r="D85">
        <v>2</v>
      </c>
      <c r="E85" t="s">
        <v>287</v>
      </c>
      <c r="F85" s="62">
        <v>11</v>
      </c>
      <c r="G85" t="s">
        <v>288</v>
      </c>
      <c r="H85" t="s">
        <v>289</v>
      </c>
    </row>
    <row r="86" spans="1:14">
      <c r="A86" s="10" t="s">
        <v>290</v>
      </c>
      <c r="B86" s="44">
        <f t="shared" si="7"/>
        <v>47087</v>
      </c>
      <c r="C86" s="64" t="str">
        <f t="shared" si="6"/>
        <v>木</v>
      </c>
      <c r="F86" s="62"/>
    </row>
    <row r="87" spans="1:14">
      <c r="A87" t="s">
        <v>315</v>
      </c>
      <c r="B87" s="44">
        <f t="shared" si="7"/>
        <v>47172</v>
      </c>
      <c r="C87" s="61" t="str">
        <f t="shared" si="6"/>
        <v>金</v>
      </c>
      <c r="D87">
        <v>2</v>
      </c>
      <c r="E87" t="s">
        <v>287</v>
      </c>
      <c r="F87" s="62">
        <v>23</v>
      </c>
      <c r="G87" t="s">
        <v>288</v>
      </c>
      <c r="H87" t="s">
        <v>289</v>
      </c>
    </row>
    <row r="88" spans="1:14">
      <c r="A88" s="10" t="s">
        <v>290</v>
      </c>
      <c r="B88" s="63">
        <f>IF(C87="日",B87+1,B87)</f>
        <v>47172</v>
      </c>
      <c r="C88" s="64" t="str">
        <f t="shared" si="6"/>
        <v>金</v>
      </c>
      <c r="F88" s="62"/>
    </row>
    <row r="89" spans="1:14">
      <c r="A89" t="s">
        <v>316</v>
      </c>
      <c r="B89" s="44">
        <f t="shared" si="7"/>
        <v>47197</v>
      </c>
      <c r="C89" s="61" t="str">
        <f>TEXT(B89,"aaa")</f>
        <v>火</v>
      </c>
      <c r="D89">
        <v>3</v>
      </c>
      <c r="E89" t="s">
        <v>287</v>
      </c>
      <c r="F89" s="66">
        <v>20</v>
      </c>
      <c r="G89" t="s">
        <v>288</v>
      </c>
      <c r="H89" s="65" t="s">
        <v>300</v>
      </c>
    </row>
    <row r="90" spans="1:14">
      <c r="B90" s="63">
        <f>IF(C89="日",B89+1,B89)</f>
        <v>47197</v>
      </c>
      <c r="C90" s="64" t="str">
        <f>TEXT(B90,"aaa")</f>
        <v>火</v>
      </c>
      <c r="F90" s="62"/>
    </row>
  </sheetData>
  <sheetProtection selectLockedCells="1"/>
  <phoneticPr fontId="2"/>
  <conditionalFormatting sqref="A4:C4 A8:C8 A11:C11 A14:C14 A17:C17 A19:C19 A28:C28 A30:C30">
    <cfRule type="expression" dxfId="24" priority="8">
      <formula>$B4=$B3</formula>
    </cfRule>
  </conditionalFormatting>
  <conditionalFormatting sqref="A33:C33 A37:C37 A40:C40 A43:C43 A46:C46 A48:C48 A57:C57 A59:C59">
    <cfRule type="expression" dxfId="23" priority="6">
      <formula>$B33=$B32</formula>
    </cfRule>
  </conditionalFormatting>
  <conditionalFormatting sqref="A62:C62 A66:C66 A69:C69 A72:C72 A75:C75 A77:C77 A86:C86 A88:C88">
    <cfRule type="expression" dxfId="22" priority="4">
      <formula>$B62=$B61</formula>
    </cfRule>
  </conditionalFormatting>
  <conditionalFormatting sqref="B90:C90">
    <cfRule type="expression" dxfId="21" priority="1">
      <formula>$B90=$B89</formula>
    </cfRule>
  </conditionalFormatting>
  <conditionalFormatting sqref="C1:C31">
    <cfRule type="cellIs" dxfId="20" priority="9" operator="equal">
      <formula>"日"</formula>
    </cfRule>
  </conditionalFormatting>
  <conditionalFormatting sqref="C32:C60">
    <cfRule type="cellIs" dxfId="19" priority="7" operator="equal">
      <formula>"日"</formula>
    </cfRule>
  </conditionalFormatting>
  <conditionalFormatting sqref="C61:C89">
    <cfRule type="cellIs" dxfId="18" priority="5" operator="equal">
      <formula>"日"</formula>
    </cfRule>
  </conditionalFormatting>
  <conditionalFormatting sqref="C90">
    <cfRule type="cellIs" dxfId="17" priority="2" operator="equal">
      <formula>"日"</formula>
    </cfRule>
  </conditionalFormatting>
  <dataValidations count="4">
    <dataValidation imeMode="disabled" allowBlank="1" showInputMessage="1" showErrorMessage="1" sqref="F9 F15 F12 F26 F38 F44 F41 F55 F67 F73 F70 F84" xr:uid="{00000000-0002-0000-1A00-000000000000}"/>
    <dataValidation type="whole" imeMode="disabled" operator="greaterThanOrEqual" allowBlank="1" showInputMessage="1" showErrorMessage="1" sqref="F1" xr:uid="{00000000-0002-0000-1A00-000001000000}">
      <formula1>1</formula1>
    </dataValidation>
    <dataValidation type="list" imeMode="disabled" allowBlank="1" showInputMessage="1" showErrorMessage="1" sqref="F13 F42 F71" xr:uid="{00000000-0002-0000-1A00-000002000000}">
      <formula1>"22,23,24"</formula1>
    </dataValidation>
    <dataValidation type="list" imeMode="disabled" allowBlank="1" showInputMessage="1" showErrorMessage="1" sqref="F31 F60 F89" xr:uid="{00000000-0002-0000-1A00-000003000000}">
      <formula1>"20,21"</formula1>
    </dataValidation>
  </dataValidation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9"/>
  <dimension ref="A1:H54"/>
  <sheetViews>
    <sheetView topLeftCell="A25" workbookViewId="0">
      <selection activeCell="F32" sqref="F32:F40"/>
    </sheetView>
  </sheetViews>
  <sheetFormatPr defaultRowHeight="13.5"/>
  <cols>
    <col min="1" max="1" width="25.375" bestFit="1" customWidth="1"/>
    <col min="2" max="2" width="19.25" bestFit="1" customWidth="1"/>
    <col min="4" max="4" width="31.125" bestFit="1" customWidth="1"/>
    <col min="5" max="5" width="21.375" bestFit="1" customWidth="1"/>
    <col min="6" max="6" width="12.375" bestFit="1" customWidth="1"/>
    <col min="8" max="8" width="31.75" bestFit="1" customWidth="1"/>
  </cols>
  <sheetData>
    <row r="1" spans="1:8">
      <c r="A1" t="s">
        <v>1</v>
      </c>
      <c r="B1" t="s">
        <v>41</v>
      </c>
      <c r="E1" t="s">
        <v>69</v>
      </c>
      <c r="F1" s="1" t="s">
        <v>409</v>
      </c>
    </row>
    <row r="2" spans="1:8">
      <c r="A2" t="s">
        <v>7</v>
      </c>
      <c r="B2" t="s">
        <v>44</v>
      </c>
    </row>
    <row r="3" spans="1:8">
      <c r="A3" t="s">
        <v>8</v>
      </c>
      <c r="B3" t="s">
        <v>43</v>
      </c>
      <c r="D3" t="s">
        <v>0</v>
      </c>
      <c r="E3" t="s">
        <v>7107</v>
      </c>
      <c r="F3" t="s">
        <v>70</v>
      </c>
      <c r="H3" t="s">
        <v>71</v>
      </c>
    </row>
    <row r="4" spans="1:8">
      <c r="A4" t="s">
        <v>9</v>
      </c>
      <c r="B4" t="s">
        <v>44</v>
      </c>
      <c r="D4" t="s">
        <v>45</v>
      </c>
      <c r="E4" t="s">
        <v>69</v>
      </c>
      <c r="F4" t="str">
        <f>F$1</f>
        <v>佐藤　樹一郎</v>
      </c>
      <c r="H4" t="str">
        <f>E4&amp;"　　"&amp;F4</f>
        <v>大分県知事　　佐藤　樹一郎</v>
      </c>
    </row>
    <row r="5" spans="1:8">
      <c r="A5" t="s">
        <v>10</v>
      </c>
      <c r="B5" t="s">
        <v>44</v>
      </c>
      <c r="D5" t="s">
        <v>56</v>
      </c>
      <c r="E5" t="s">
        <v>68</v>
      </c>
      <c r="F5" s="1" t="s">
        <v>18506</v>
      </c>
      <c r="H5" t="str">
        <f>E5&amp;"　　"&amp;F5</f>
        <v>豊後高田土木事務所長　　大西　俊一</v>
      </c>
    </row>
    <row r="6" spans="1:8">
      <c r="A6" t="s">
        <v>11</v>
      </c>
      <c r="B6" t="s">
        <v>44</v>
      </c>
      <c r="D6" t="s">
        <v>46</v>
      </c>
      <c r="E6" t="s">
        <v>57</v>
      </c>
      <c r="F6" s="1" t="s">
        <v>18507</v>
      </c>
      <c r="H6" t="str">
        <f t="shared" ref="H6:H21" si="0">E6&amp;"　　"&amp;F6</f>
        <v>国東土木事務所長　　山口　政義</v>
      </c>
    </row>
    <row r="7" spans="1:8">
      <c r="A7" t="s">
        <v>12</v>
      </c>
      <c r="B7" t="s">
        <v>42</v>
      </c>
      <c r="D7" t="s">
        <v>47</v>
      </c>
      <c r="E7" t="s">
        <v>58</v>
      </c>
      <c r="F7" s="1" t="s">
        <v>18508</v>
      </c>
      <c r="H7" t="str">
        <f t="shared" si="0"/>
        <v>別府土木事務所長　　森﨑　貴嗣</v>
      </c>
    </row>
    <row r="8" spans="1:8">
      <c r="A8" t="s">
        <v>13</v>
      </c>
      <c r="B8" t="s">
        <v>42</v>
      </c>
      <c r="D8" t="s">
        <v>48</v>
      </c>
      <c r="E8" t="s">
        <v>59</v>
      </c>
      <c r="F8" s="1" t="s">
        <v>18509</v>
      </c>
      <c r="H8" t="str">
        <f t="shared" si="0"/>
        <v>大分土木事務所長　　藤内　修一</v>
      </c>
    </row>
    <row r="9" spans="1:8">
      <c r="A9" t="s">
        <v>14</v>
      </c>
      <c r="B9" t="s">
        <v>42</v>
      </c>
      <c r="D9" t="s">
        <v>49</v>
      </c>
      <c r="E9" t="s">
        <v>60</v>
      </c>
      <c r="F9" s="1" t="s">
        <v>18510</v>
      </c>
      <c r="H9" t="str">
        <f t="shared" si="0"/>
        <v>臼杵土木事務所長　　	兒玉　康弘</v>
      </c>
    </row>
    <row r="10" spans="1:8">
      <c r="A10" t="s">
        <v>15</v>
      </c>
      <c r="B10" t="s">
        <v>42</v>
      </c>
      <c r="D10" t="s">
        <v>50</v>
      </c>
      <c r="E10" t="s">
        <v>61</v>
      </c>
      <c r="F10" s="1" t="s">
        <v>18511</v>
      </c>
      <c r="H10" t="str">
        <f t="shared" si="0"/>
        <v>佐伯土木事務所長　　高野　剛</v>
      </c>
    </row>
    <row r="11" spans="1:8">
      <c r="A11" t="s">
        <v>16</v>
      </c>
      <c r="B11" t="s">
        <v>42</v>
      </c>
      <c r="D11" t="s">
        <v>51</v>
      </c>
      <c r="E11" t="s">
        <v>62</v>
      </c>
      <c r="F11" s="1" t="s">
        <v>18512</v>
      </c>
      <c r="H11" t="str">
        <f t="shared" si="0"/>
        <v>豊後大野土木事務所長　　高村　聡</v>
      </c>
    </row>
    <row r="12" spans="1:8">
      <c r="A12" t="s">
        <v>17</v>
      </c>
      <c r="B12" t="s">
        <v>42</v>
      </c>
      <c r="D12" t="s">
        <v>52</v>
      </c>
      <c r="E12" t="s">
        <v>63</v>
      </c>
      <c r="F12" s="1" t="s">
        <v>18513</v>
      </c>
      <c r="H12" t="str">
        <f t="shared" si="0"/>
        <v>竹田土木事務所長　　百田　鉄志</v>
      </c>
    </row>
    <row r="13" spans="1:8">
      <c r="A13" t="s">
        <v>18</v>
      </c>
      <c r="B13" t="s">
        <v>42</v>
      </c>
      <c r="D13" t="s">
        <v>53</v>
      </c>
      <c r="E13" t="s">
        <v>64</v>
      </c>
      <c r="F13" s="1" t="s">
        <v>18514</v>
      </c>
      <c r="H13" t="str">
        <f t="shared" si="0"/>
        <v>玖珠土木事務所長　　奈良　崇史</v>
      </c>
    </row>
    <row r="14" spans="1:8">
      <c r="A14" t="s">
        <v>19</v>
      </c>
      <c r="B14" t="s">
        <v>42</v>
      </c>
      <c r="D14" t="s">
        <v>6</v>
      </c>
      <c r="E14" t="s">
        <v>65</v>
      </c>
      <c r="F14" s="1" t="s">
        <v>18515</v>
      </c>
      <c r="H14" t="str">
        <f t="shared" si="0"/>
        <v>日田土木事務所長　　松尾　寿一</v>
      </c>
    </row>
    <row r="15" spans="1:8">
      <c r="A15" t="s">
        <v>20</v>
      </c>
      <c r="B15" t="s">
        <v>42</v>
      </c>
      <c r="D15" t="s">
        <v>54</v>
      </c>
      <c r="E15" t="s">
        <v>66</v>
      </c>
      <c r="F15" s="1" t="s">
        <v>18516</v>
      </c>
      <c r="H15" t="str">
        <f t="shared" si="0"/>
        <v>中津土木事務所長　　北野　善隆</v>
      </c>
    </row>
    <row r="16" spans="1:8">
      <c r="A16" t="s">
        <v>21</v>
      </c>
      <c r="B16" t="s">
        <v>42</v>
      </c>
      <c r="D16" t="s">
        <v>55</v>
      </c>
      <c r="E16" t="s">
        <v>67</v>
      </c>
      <c r="F16" s="1" t="s">
        <v>18517</v>
      </c>
      <c r="H16" t="str">
        <f t="shared" si="0"/>
        <v>宇佐土木事務所長　　大久保　信昭</v>
      </c>
    </row>
    <row r="17" spans="1:8">
      <c r="A17" t="s">
        <v>22</v>
      </c>
      <c r="B17" t="s">
        <v>42</v>
      </c>
      <c r="D17" t="s">
        <v>7108</v>
      </c>
      <c r="E17" t="s">
        <v>69</v>
      </c>
      <c r="F17" t="str">
        <f t="shared" ref="F17:F31" si="1">F$1</f>
        <v>佐藤　樹一郎</v>
      </c>
      <c r="H17" t="str">
        <f t="shared" si="0"/>
        <v>大分県知事　　佐藤　樹一郎</v>
      </c>
    </row>
    <row r="18" spans="1:8">
      <c r="A18" t="s">
        <v>23</v>
      </c>
      <c r="B18" t="s">
        <v>42</v>
      </c>
      <c r="D18" t="s">
        <v>7109</v>
      </c>
      <c r="E18" t="s">
        <v>69</v>
      </c>
      <c r="F18" t="str">
        <f t="shared" si="1"/>
        <v>佐藤　樹一郎</v>
      </c>
      <c r="H18" t="str">
        <f t="shared" si="0"/>
        <v>大分県知事　　佐藤　樹一郎</v>
      </c>
    </row>
    <row r="19" spans="1:8">
      <c r="A19" t="s">
        <v>24</v>
      </c>
      <c r="B19" t="s">
        <v>42</v>
      </c>
      <c r="D19" t="s">
        <v>7110</v>
      </c>
      <c r="E19" t="s">
        <v>69</v>
      </c>
      <c r="F19" t="str">
        <f t="shared" si="1"/>
        <v>佐藤　樹一郎</v>
      </c>
      <c r="H19" t="str">
        <f t="shared" si="0"/>
        <v>大分県知事　　佐藤　樹一郎</v>
      </c>
    </row>
    <row r="20" spans="1:8">
      <c r="A20" t="s">
        <v>25</v>
      </c>
      <c r="B20" t="s">
        <v>42</v>
      </c>
      <c r="D20" t="s">
        <v>7111</v>
      </c>
      <c r="E20" t="s">
        <v>69</v>
      </c>
      <c r="F20" t="str">
        <f t="shared" si="1"/>
        <v>佐藤　樹一郎</v>
      </c>
      <c r="H20" t="str">
        <f t="shared" si="0"/>
        <v>大分県知事　　佐藤　樹一郎</v>
      </c>
    </row>
    <row r="21" spans="1:8">
      <c r="A21" t="s">
        <v>26</v>
      </c>
      <c r="B21" t="s">
        <v>42</v>
      </c>
      <c r="D21" t="s">
        <v>7112</v>
      </c>
      <c r="E21" t="s">
        <v>69</v>
      </c>
      <c r="F21" t="str">
        <f t="shared" si="1"/>
        <v>佐藤　樹一郎</v>
      </c>
      <c r="H21" t="str">
        <f t="shared" si="0"/>
        <v>大分県知事　　佐藤　樹一郎</v>
      </c>
    </row>
    <row r="22" spans="1:8">
      <c r="A22" t="s">
        <v>27</v>
      </c>
      <c r="B22" t="s">
        <v>42</v>
      </c>
      <c r="D22" t="s">
        <v>7113</v>
      </c>
      <c r="E22" t="s">
        <v>69</v>
      </c>
      <c r="F22" t="str">
        <f t="shared" si="1"/>
        <v>佐藤　樹一郎</v>
      </c>
      <c r="H22" t="str">
        <f t="shared" ref="H22:H30" si="2">E22&amp;"　　"&amp;F22</f>
        <v>大分県知事　　佐藤　樹一郎</v>
      </c>
    </row>
    <row r="23" spans="1:8">
      <c r="A23" t="s">
        <v>28</v>
      </c>
      <c r="B23" t="s">
        <v>42</v>
      </c>
      <c r="D23" t="s">
        <v>7114</v>
      </c>
      <c r="E23" t="s">
        <v>69</v>
      </c>
      <c r="F23" t="str">
        <f t="shared" si="1"/>
        <v>佐藤　樹一郎</v>
      </c>
      <c r="H23" t="str">
        <f t="shared" si="2"/>
        <v>大分県知事　　佐藤　樹一郎</v>
      </c>
    </row>
    <row r="24" spans="1:8">
      <c r="A24" t="s">
        <v>29</v>
      </c>
      <c r="B24" t="s">
        <v>42</v>
      </c>
      <c r="D24" t="s">
        <v>7115</v>
      </c>
      <c r="E24" t="s">
        <v>69</v>
      </c>
      <c r="F24" t="str">
        <f t="shared" si="1"/>
        <v>佐藤　樹一郎</v>
      </c>
      <c r="H24" t="str">
        <f t="shared" si="2"/>
        <v>大分県知事　　佐藤　樹一郎</v>
      </c>
    </row>
    <row r="25" spans="1:8">
      <c r="A25" t="s">
        <v>30</v>
      </c>
      <c r="B25" t="s">
        <v>42</v>
      </c>
      <c r="D25" t="s">
        <v>7116</v>
      </c>
      <c r="E25" t="s">
        <v>69</v>
      </c>
      <c r="F25" t="str">
        <f t="shared" si="1"/>
        <v>佐藤　樹一郎</v>
      </c>
      <c r="H25" t="str">
        <f t="shared" si="2"/>
        <v>大分県知事　　佐藤　樹一郎</v>
      </c>
    </row>
    <row r="26" spans="1:8">
      <c r="A26" t="s">
        <v>31</v>
      </c>
      <c r="B26" t="s">
        <v>42</v>
      </c>
      <c r="D26" t="s">
        <v>7117</v>
      </c>
      <c r="E26" t="s">
        <v>69</v>
      </c>
      <c r="F26" t="str">
        <f t="shared" si="1"/>
        <v>佐藤　樹一郎</v>
      </c>
      <c r="H26" t="str">
        <f t="shared" si="2"/>
        <v>大分県知事　　佐藤　樹一郎</v>
      </c>
    </row>
    <row r="27" spans="1:8">
      <c r="A27" t="s">
        <v>32</v>
      </c>
      <c r="B27" t="s">
        <v>42</v>
      </c>
      <c r="D27" t="s">
        <v>7118</v>
      </c>
      <c r="E27" t="s">
        <v>69</v>
      </c>
      <c r="F27" t="str">
        <f t="shared" si="1"/>
        <v>佐藤　樹一郎</v>
      </c>
      <c r="H27" t="str">
        <f t="shared" si="2"/>
        <v>大分県知事　　佐藤　樹一郎</v>
      </c>
    </row>
    <row r="28" spans="1:8">
      <c r="A28" t="s">
        <v>33</v>
      </c>
      <c r="B28" t="s">
        <v>42</v>
      </c>
      <c r="D28" t="s">
        <v>7119</v>
      </c>
      <c r="E28" t="s">
        <v>69</v>
      </c>
      <c r="F28" t="str">
        <f t="shared" si="1"/>
        <v>佐藤　樹一郎</v>
      </c>
      <c r="H28" t="str">
        <f t="shared" si="2"/>
        <v>大分県知事　　佐藤　樹一郎</v>
      </c>
    </row>
    <row r="29" spans="1:8">
      <c r="A29" t="s">
        <v>34</v>
      </c>
      <c r="B29" t="s">
        <v>42</v>
      </c>
      <c r="D29" t="s">
        <v>7120</v>
      </c>
      <c r="E29" t="s">
        <v>69</v>
      </c>
      <c r="F29" t="str">
        <f t="shared" si="1"/>
        <v>佐藤　樹一郎</v>
      </c>
      <c r="H29" t="str">
        <f t="shared" si="2"/>
        <v>大分県知事　　佐藤　樹一郎</v>
      </c>
    </row>
    <row r="30" spans="1:8">
      <c r="A30" t="s">
        <v>35</v>
      </c>
      <c r="B30" t="s">
        <v>42</v>
      </c>
      <c r="D30" t="s">
        <v>7121</v>
      </c>
      <c r="E30" t="s">
        <v>69</v>
      </c>
      <c r="F30" t="str">
        <f t="shared" si="1"/>
        <v>佐藤　樹一郎</v>
      </c>
      <c r="H30" t="str">
        <f t="shared" si="2"/>
        <v>大分県知事　　佐藤　樹一郎</v>
      </c>
    </row>
    <row r="31" spans="1:8">
      <c r="A31" t="s">
        <v>36</v>
      </c>
      <c r="B31" t="s">
        <v>42</v>
      </c>
      <c r="D31" t="s">
        <v>5</v>
      </c>
      <c r="E31" t="s">
        <v>69</v>
      </c>
      <c r="F31" t="str">
        <f t="shared" si="1"/>
        <v>佐藤　樹一郎</v>
      </c>
      <c r="H31" t="str">
        <f>E31&amp;"　　"&amp;F31</f>
        <v>大分県知事　　佐藤　樹一郎</v>
      </c>
    </row>
    <row r="32" spans="1:8">
      <c r="A32" t="s">
        <v>37</v>
      </c>
      <c r="B32" t="s">
        <v>42</v>
      </c>
      <c r="D32" s="18" t="s">
        <v>7122</v>
      </c>
      <c r="E32" s="18" t="s">
        <v>7207</v>
      </c>
      <c r="F32" s="384" t="s">
        <v>18518</v>
      </c>
      <c r="H32" t="str">
        <f t="shared" ref="H32:H54" si="3">E32&amp;"　　"&amp;F32</f>
        <v>大分県東部振興局長　　遠山　実</v>
      </c>
    </row>
    <row r="33" spans="1:8">
      <c r="A33" t="s">
        <v>38</v>
      </c>
      <c r="B33" t="s">
        <v>42</v>
      </c>
      <c r="D33" s="18" t="s">
        <v>7123</v>
      </c>
      <c r="E33" s="18" t="s">
        <v>7208</v>
      </c>
      <c r="F33" s="384" t="s">
        <v>18519</v>
      </c>
      <c r="H33" t="str">
        <f t="shared" si="3"/>
        <v>大分県東部振興局日出水利耕地事務所長　　	法野　裕二郎</v>
      </c>
    </row>
    <row r="34" spans="1:8">
      <c r="A34" t="s">
        <v>39</v>
      </c>
      <c r="B34" t="s">
        <v>42</v>
      </c>
      <c r="D34" s="18" t="s">
        <v>7124</v>
      </c>
      <c r="E34" s="18" t="s">
        <v>7209</v>
      </c>
      <c r="F34" s="384" t="s">
        <v>18520</v>
      </c>
      <c r="H34" t="str">
        <f t="shared" si="3"/>
        <v>大分県中部振興局長　　渡邉　仁</v>
      </c>
    </row>
    <row r="35" spans="1:8">
      <c r="A35" t="s">
        <v>40</v>
      </c>
      <c r="B35" t="s">
        <v>42</v>
      </c>
      <c r="D35" s="18" t="s">
        <v>7125</v>
      </c>
      <c r="E35" s="18" t="s">
        <v>7210</v>
      </c>
      <c r="F35" s="384" t="s">
        <v>18521</v>
      </c>
      <c r="H35" t="str">
        <f t="shared" si="3"/>
        <v>大分県南部振興局長　　工藤　伸仁</v>
      </c>
    </row>
    <row r="36" spans="1:8">
      <c r="D36" s="18" t="s">
        <v>7126</v>
      </c>
      <c r="E36" s="18" t="s">
        <v>7211</v>
      </c>
      <c r="F36" s="384" t="s">
        <v>18522</v>
      </c>
      <c r="H36" t="str">
        <f t="shared" si="3"/>
        <v>大分県豊肥振興局長　　山本　勝紀</v>
      </c>
    </row>
    <row r="37" spans="1:8">
      <c r="D37" s="18" t="s">
        <v>7130</v>
      </c>
      <c r="E37" s="18" t="s">
        <v>7212</v>
      </c>
      <c r="F37" s="384" t="s">
        <v>7131</v>
      </c>
      <c r="H37" t="str">
        <f t="shared" si="3"/>
        <v>大分県豊肥振興局豊後大野水利耕地事務所長　　末廣　理</v>
      </c>
    </row>
    <row r="38" spans="1:8">
      <c r="D38" s="18" t="s">
        <v>7127</v>
      </c>
      <c r="E38" s="18" t="s">
        <v>7213</v>
      </c>
      <c r="F38" s="384" t="s">
        <v>18523</v>
      </c>
      <c r="H38" t="str">
        <f t="shared" si="3"/>
        <v>大分県豊肥振興局大野川上流開発事業事務所長　　衛藤　博司</v>
      </c>
    </row>
    <row r="39" spans="1:8">
      <c r="D39" s="18" t="s">
        <v>7128</v>
      </c>
      <c r="E39" s="18" t="s">
        <v>7214</v>
      </c>
      <c r="F39" s="384" t="s">
        <v>7215</v>
      </c>
      <c r="H39" t="str">
        <f t="shared" si="3"/>
        <v>大分県西部振興局長　　髙木　政幸</v>
      </c>
    </row>
    <row r="40" spans="1:8">
      <c r="D40" s="18" t="s">
        <v>7129</v>
      </c>
      <c r="E40" s="18" t="s">
        <v>7216</v>
      </c>
      <c r="F40" s="384" t="s">
        <v>18524</v>
      </c>
      <c r="H40" t="str">
        <f t="shared" si="3"/>
        <v>大分県北部振興局長　　金子　成人</v>
      </c>
    </row>
    <row r="41" spans="1:8">
      <c r="D41" s="18" t="s">
        <v>7132</v>
      </c>
      <c r="E41" s="18" t="s">
        <v>7133</v>
      </c>
      <c r="F41" s="18" t="s">
        <v>7206</v>
      </c>
      <c r="H41" t="str">
        <f t="shared" si="3"/>
        <v>大分県知事　　佐藤　樹一郎</v>
      </c>
    </row>
    <row r="42" spans="1:8">
      <c r="D42" s="18" t="s">
        <v>7134</v>
      </c>
      <c r="E42" s="18" t="s">
        <v>7133</v>
      </c>
      <c r="F42" s="18" t="s">
        <v>7206</v>
      </c>
      <c r="H42" t="str">
        <f t="shared" si="3"/>
        <v>大分県知事　　佐藤　樹一郎</v>
      </c>
    </row>
    <row r="43" spans="1:8">
      <c r="D43" s="18" t="s">
        <v>7135</v>
      </c>
      <c r="E43" s="18" t="s">
        <v>7133</v>
      </c>
      <c r="F43" s="18" t="s">
        <v>7206</v>
      </c>
      <c r="H43" t="str">
        <f t="shared" si="3"/>
        <v>大分県知事　　佐藤　樹一郎</v>
      </c>
    </row>
    <row r="44" spans="1:8">
      <c r="D44" s="18" t="s">
        <v>7136</v>
      </c>
      <c r="E44" s="18" t="s">
        <v>7133</v>
      </c>
      <c r="F44" s="18" t="s">
        <v>7206</v>
      </c>
      <c r="H44" t="str">
        <f t="shared" si="3"/>
        <v>大分県知事　　佐藤　樹一郎</v>
      </c>
    </row>
    <row r="45" spans="1:8">
      <c r="D45" s="18" t="s">
        <v>7137</v>
      </c>
      <c r="E45" s="18" t="s">
        <v>7133</v>
      </c>
      <c r="F45" s="18" t="s">
        <v>7206</v>
      </c>
      <c r="H45" t="str">
        <f t="shared" si="3"/>
        <v>大分県知事　　佐藤　樹一郎</v>
      </c>
    </row>
    <row r="46" spans="1:8">
      <c r="D46" s="18" t="s">
        <v>7138</v>
      </c>
      <c r="E46" s="18" t="s">
        <v>7133</v>
      </c>
      <c r="F46" s="18" t="s">
        <v>7206</v>
      </c>
      <c r="H46" t="str">
        <f t="shared" si="3"/>
        <v>大分県知事　　佐藤　樹一郎</v>
      </c>
    </row>
    <row r="47" spans="1:8">
      <c r="D47" s="18" t="s">
        <v>7139</v>
      </c>
      <c r="E47" s="18" t="s">
        <v>7133</v>
      </c>
      <c r="F47" s="18" t="s">
        <v>7206</v>
      </c>
      <c r="H47" t="str">
        <f t="shared" si="3"/>
        <v>大分県知事　　佐藤　樹一郎</v>
      </c>
    </row>
    <row r="48" spans="1:8">
      <c r="D48" s="18" t="s">
        <v>7140</v>
      </c>
      <c r="E48" s="18" t="s">
        <v>7133</v>
      </c>
      <c r="F48" s="18" t="s">
        <v>7206</v>
      </c>
      <c r="H48" t="str">
        <f t="shared" si="3"/>
        <v>大分県知事　　佐藤　樹一郎</v>
      </c>
    </row>
    <row r="49" spans="4:8">
      <c r="D49" s="18" t="s">
        <v>7141</v>
      </c>
      <c r="E49" s="18" t="s">
        <v>7133</v>
      </c>
      <c r="F49" s="18" t="s">
        <v>7206</v>
      </c>
      <c r="H49" t="str">
        <f t="shared" si="3"/>
        <v>大分県知事　　佐藤　樹一郎</v>
      </c>
    </row>
    <row r="50" spans="4:8">
      <c r="D50" s="18" t="s">
        <v>7142</v>
      </c>
      <c r="E50" s="18" t="s">
        <v>7133</v>
      </c>
      <c r="F50" s="18" t="s">
        <v>7206</v>
      </c>
      <c r="H50" t="str">
        <f t="shared" si="3"/>
        <v>大分県知事　　佐藤　樹一郎</v>
      </c>
    </row>
    <row r="51" spans="4:8">
      <c r="D51" s="18" t="s">
        <v>7143</v>
      </c>
      <c r="E51" s="18" t="s">
        <v>7133</v>
      </c>
      <c r="F51" s="18" t="s">
        <v>7206</v>
      </c>
      <c r="H51" t="str">
        <f t="shared" si="3"/>
        <v>大分県知事　　佐藤　樹一郎</v>
      </c>
    </row>
    <row r="52" spans="4:8">
      <c r="D52" s="18" t="s">
        <v>7144</v>
      </c>
      <c r="E52" s="18" t="s">
        <v>7133</v>
      </c>
      <c r="F52" s="18" t="s">
        <v>7206</v>
      </c>
      <c r="H52" t="str">
        <f t="shared" si="3"/>
        <v>大分県知事　　佐藤　樹一郎</v>
      </c>
    </row>
    <row r="53" spans="4:8">
      <c r="D53" s="18" t="s">
        <v>7145</v>
      </c>
      <c r="E53" s="18" t="s">
        <v>7133</v>
      </c>
      <c r="F53" s="18" t="s">
        <v>7206</v>
      </c>
      <c r="H53" t="str">
        <f t="shared" si="3"/>
        <v>大分県知事　　佐藤　樹一郎</v>
      </c>
    </row>
    <row r="54" spans="4:8">
      <c r="D54" s="18" t="s">
        <v>7146</v>
      </c>
      <c r="E54" s="18" t="s">
        <v>7133</v>
      </c>
      <c r="F54" s="18" t="s">
        <v>7206</v>
      </c>
      <c r="H54" t="str">
        <f t="shared" si="3"/>
        <v>大分県知事　　佐藤　樹一郎</v>
      </c>
    </row>
  </sheetData>
  <phoneticPr fontId="2"/>
  <dataValidations count="1">
    <dataValidation imeMode="hiragana" allowBlank="1" showInputMessage="1" showErrorMessage="1" sqref="F1 F5:F16" xr:uid="{00000000-0002-0000-1B00-000000000000}"/>
  </dataValidation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Y3727"/>
  <sheetViews>
    <sheetView zoomScale="85" zoomScaleNormal="85" workbookViewId="0">
      <pane xSplit="3" ySplit="1" topLeftCell="D2" activePane="bottomRight" state="frozenSplit"/>
      <selection activeCell="G14" sqref="G14"/>
      <selection pane="topRight" activeCell="G14" sqref="G14"/>
      <selection pane="bottomLeft" activeCell="G14" sqref="G14"/>
      <selection pane="bottomRight" activeCell="H7" sqref="H7"/>
    </sheetView>
  </sheetViews>
  <sheetFormatPr defaultRowHeight="13.5"/>
  <cols>
    <col min="1" max="1" width="5.5" bestFit="1" customWidth="1"/>
    <col min="2" max="2" width="13" bestFit="1" customWidth="1"/>
    <col min="3" max="3" width="13.625" bestFit="1" customWidth="1"/>
    <col min="4" max="4" width="36.5" bestFit="1" customWidth="1"/>
    <col min="5" max="5" width="22.25" bestFit="1" customWidth="1"/>
    <col min="6" max="6" width="22" bestFit="1" customWidth="1"/>
    <col min="7" max="7" width="42.125" bestFit="1" customWidth="1"/>
    <col min="8" max="8" width="67" bestFit="1" customWidth="1"/>
    <col min="9" max="9" width="7.25" bestFit="1" customWidth="1"/>
    <col min="10" max="10" width="7.5" bestFit="1" customWidth="1"/>
    <col min="11" max="11" width="27.25" customWidth="1"/>
    <col min="12" max="18" width="19.625" customWidth="1"/>
    <col min="25" max="26" width="9" customWidth="1"/>
  </cols>
  <sheetData>
    <row r="1" spans="1:25" ht="21">
      <c r="A1" s="363" t="s">
        <v>1453</v>
      </c>
      <c r="B1" s="363" t="s">
        <v>1454</v>
      </c>
      <c r="C1" s="363" t="s">
        <v>1455</v>
      </c>
      <c r="D1" s="363" t="s">
        <v>1456</v>
      </c>
      <c r="E1" s="363" t="s">
        <v>7104</v>
      </c>
      <c r="F1" s="363" t="s">
        <v>1457</v>
      </c>
      <c r="G1" s="363" t="s">
        <v>1458</v>
      </c>
      <c r="H1" s="363" t="s">
        <v>1459</v>
      </c>
      <c r="I1" s="406" t="s">
        <v>18494</v>
      </c>
      <c r="J1" s="8">
        <f>COUNTA(A:A)</f>
        <v>3727</v>
      </c>
      <c r="K1" s="407" t="s">
        <v>18495</v>
      </c>
      <c r="L1" s="401" t="s">
        <v>7264</v>
      </c>
      <c r="M1" s="401" t="s">
        <v>7265</v>
      </c>
      <c r="N1" s="401" t="s">
        <v>7266</v>
      </c>
      <c r="O1" s="401" t="s">
        <v>7267</v>
      </c>
      <c r="P1" s="401" t="s">
        <v>7268</v>
      </c>
      <c r="Q1" s="401" t="s">
        <v>7269</v>
      </c>
      <c r="R1" s="401" t="s">
        <v>7270</v>
      </c>
      <c r="S1" s="401" t="s">
        <v>13878</v>
      </c>
      <c r="T1" s="401" t="s">
        <v>13879</v>
      </c>
      <c r="U1" s="401" t="s">
        <v>13880</v>
      </c>
      <c r="V1" s="401" t="s">
        <v>13881</v>
      </c>
      <c r="W1" s="401" t="s">
        <v>13882</v>
      </c>
      <c r="X1" s="401" t="s">
        <v>13883</v>
      </c>
      <c r="Y1" s="401" t="s">
        <v>13884</v>
      </c>
    </row>
    <row r="2" spans="1:25">
      <c r="A2" s="363">
        <f>IF(B2="","",1)</f>
        <v>1</v>
      </c>
      <c r="B2" s="363" t="str">
        <f t="shared" ref="B2:B65" si="0">LEFT(L2,2)</f>
        <v>00</v>
      </c>
      <c r="C2" s="405" t="str">
        <f t="shared" ref="C2:C65" si="1">IF(B2="","","第"&amp;RIGHT(L2,6)&amp;"号")</f>
        <v>第000429号</v>
      </c>
      <c r="D2" s="405" t="str">
        <f t="shared" ref="D2:D65" si="2">N2</f>
        <v>豊建設工業（株）</v>
      </c>
      <c r="E2" s="405" t="str">
        <f t="shared" ref="E2:E65" si="3">IF(V2="　",O2,"")</f>
        <v>代表取締役社長</v>
      </c>
      <c r="F2" s="405" t="str">
        <f t="shared" ref="F2:F65" si="4">IF(V2="　",P2,W2)</f>
        <v>梶原　雄一</v>
      </c>
      <c r="G2" s="405" t="str">
        <f t="shared" ref="G2:G65" si="5">IF(V2="　","主たる営業所",V2)</f>
        <v>主たる営業所</v>
      </c>
      <c r="H2" s="405" t="str">
        <f t="shared" ref="H2:H65" si="6">IF(V2="　",R2,Y2)</f>
        <v>中津市大字是則１３０６</v>
      </c>
      <c r="L2" s="402" t="s">
        <v>7271</v>
      </c>
      <c r="M2" s="402" t="s">
        <v>7272</v>
      </c>
      <c r="N2" s="402" t="s">
        <v>5069</v>
      </c>
      <c r="O2" s="402" t="s">
        <v>7083</v>
      </c>
      <c r="P2" s="402" t="s">
        <v>5070</v>
      </c>
      <c r="Q2" s="402" t="s">
        <v>7273</v>
      </c>
      <c r="R2" s="402" t="s">
        <v>5335</v>
      </c>
      <c r="S2" s="402" t="s">
        <v>13885</v>
      </c>
      <c r="T2" s="402" t="s">
        <v>13886</v>
      </c>
      <c r="U2" s="402"/>
      <c r="V2" s="402" t="s">
        <v>23024</v>
      </c>
      <c r="W2" s="402" t="s">
        <v>23024</v>
      </c>
      <c r="X2" s="402" t="s">
        <v>23024</v>
      </c>
      <c r="Y2" s="402" t="s">
        <v>23024</v>
      </c>
    </row>
    <row r="3" spans="1:25">
      <c r="A3" s="363">
        <f t="shared" ref="A3:A66" si="7">IF(B3="","",A2+1)</f>
        <v>2</v>
      </c>
      <c r="B3" s="363" t="str">
        <f t="shared" si="0"/>
        <v>00</v>
      </c>
      <c r="C3" s="405" t="str">
        <f t="shared" si="1"/>
        <v>第000849号</v>
      </c>
      <c r="D3" s="405" t="str">
        <f t="shared" si="2"/>
        <v>トキワ電気工事（株）</v>
      </c>
      <c r="E3" s="405" t="str">
        <f t="shared" si="3"/>
        <v>代表取締役社長</v>
      </c>
      <c r="F3" s="405" t="str">
        <f t="shared" si="4"/>
        <v>入江　英時</v>
      </c>
      <c r="G3" s="405" t="str">
        <f t="shared" si="5"/>
        <v>主たる営業所</v>
      </c>
      <c r="H3" s="405" t="str">
        <f t="shared" si="6"/>
        <v>中津市沖代町１－４－２８</v>
      </c>
      <c r="L3" s="403" t="s">
        <v>7274</v>
      </c>
      <c r="M3" s="403" t="s">
        <v>7275</v>
      </c>
      <c r="N3" s="403" t="s">
        <v>5071</v>
      </c>
      <c r="O3" s="403" t="s">
        <v>7083</v>
      </c>
      <c r="P3" s="403" t="s">
        <v>5072</v>
      </c>
      <c r="Q3" s="403" t="s">
        <v>7276</v>
      </c>
      <c r="R3" s="403" t="s">
        <v>18539</v>
      </c>
      <c r="S3" s="403" t="s">
        <v>13888</v>
      </c>
      <c r="T3" s="403" t="s">
        <v>13889</v>
      </c>
      <c r="U3" s="403"/>
      <c r="V3" s="403" t="s">
        <v>23024</v>
      </c>
      <c r="W3" s="403" t="s">
        <v>23024</v>
      </c>
      <c r="X3" s="403" t="s">
        <v>23024</v>
      </c>
      <c r="Y3" s="403" t="s">
        <v>23024</v>
      </c>
    </row>
    <row r="4" spans="1:25">
      <c r="A4" s="363">
        <f t="shared" si="7"/>
        <v>3</v>
      </c>
      <c r="B4" s="363" t="str">
        <f t="shared" si="0"/>
        <v>00</v>
      </c>
      <c r="C4" s="405" t="str">
        <f t="shared" si="1"/>
        <v>第001459号</v>
      </c>
      <c r="D4" s="405" t="str">
        <f t="shared" si="2"/>
        <v>（株）菅組</v>
      </c>
      <c r="E4" s="405" t="str">
        <f t="shared" si="3"/>
        <v>代表取締役</v>
      </c>
      <c r="F4" s="405" t="str">
        <f t="shared" si="4"/>
        <v>堤　俊之</v>
      </c>
      <c r="G4" s="405" t="str">
        <f t="shared" si="5"/>
        <v>主たる営業所</v>
      </c>
      <c r="H4" s="405" t="str">
        <f t="shared" si="6"/>
        <v>豊後高田市香々地４０８９</v>
      </c>
      <c r="L4" s="403" t="s">
        <v>7277</v>
      </c>
      <c r="M4" s="403" t="s">
        <v>7278</v>
      </c>
      <c r="N4" s="403" t="s">
        <v>5073</v>
      </c>
      <c r="O4" s="403" t="s">
        <v>7084</v>
      </c>
      <c r="P4" s="403" t="s">
        <v>5074</v>
      </c>
      <c r="Q4" s="403" t="s">
        <v>7279</v>
      </c>
      <c r="R4" s="403" t="s">
        <v>5336</v>
      </c>
      <c r="S4" s="403" t="s">
        <v>13890</v>
      </c>
      <c r="T4" s="403" t="s">
        <v>13891</v>
      </c>
      <c r="U4" s="403"/>
      <c r="V4" s="403" t="s">
        <v>23024</v>
      </c>
      <c r="W4" s="403" t="s">
        <v>23024</v>
      </c>
      <c r="X4" s="403" t="s">
        <v>23024</v>
      </c>
      <c r="Y4" s="403" t="s">
        <v>23024</v>
      </c>
    </row>
    <row r="5" spans="1:25">
      <c r="A5" s="363">
        <f t="shared" si="7"/>
        <v>4</v>
      </c>
      <c r="B5" s="363" t="str">
        <f t="shared" si="0"/>
        <v>00</v>
      </c>
      <c r="C5" s="405" t="str">
        <f t="shared" si="1"/>
        <v>第002036号</v>
      </c>
      <c r="D5" s="405" t="str">
        <f t="shared" si="2"/>
        <v>梅林建設（株）</v>
      </c>
      <c r="E5" s="405" t="str">
        <f t="shared" si="3"/>
        <v>代表取締役社長</v>
      </c>
      <c r="F5" s="405" t="str">
        <f t="shared" si="4"/>
        <v>梅林　伸伍</v>
      </c>
      <c r="G5" s="405" t="str">
        <f t="shared" si="5"/>
        <v>主たる営業所</v>
      </c>
      <c r="H5" s="405" t="str">
        <f t="shared" si="6"/>
        <v>大分市舞鶴町１－３－１８</v>
      </c>
      <c r="L5" s="403" t="s">
        <v>7280</v>
      </c>
      <c r="M5" s="403" t="s">
        <v>7281</v>
      </c>
      <c r="N5" s="403" t="s">
        <v>5075</v>
      </c>
      <c r="O5" s="403" t="s">
        <v>7083</v>
      </c>
      <c r="P5" s="403" t="s">
        <v>5206</v>
      </c>
      <c r="Q5" s="403" t="s">
        <v>7282</v>
      </c>
      <c r="R5" s="403" t="s">
        <v>18540</v>
      </c>
      <c r="S5" s="403" t="s">
        <v>13892</v>
      </c>
      <c r="T5" s="403" t="s">
        <v>13893</v>
      </c>
      <c r="U5" s="403"/>
      <c r="V5" s="403" t="s">
        <v>23024</v>
      </c>
      <c r="W5" s="403" t="s">
        <v>23024</v>
      </c>
      <c r="X5" s="403" t="s">
        <v>23024</v>
      </c>
      <c r="Y5" s="403" t="s">
        <v>23024</v>
      </c>
    </row>
    <row r="6" spans="1:25">
      <c r="A6" s="363">
        <f t="shared" si="7"/>
        <v>5</v>
      </c>
      <c r="B6" s="363" t="str">
        <f t="shared" si="0"/>
        <v>00</v>
      </c>
      <c r="C6" s="405" t="str">
        <f t="shared" si="1"/>
        <v>第003917号</v>
      </c>
      <c r="D6" s="405" t="str">
        <f t="shared" si="2"/>
        <v>朝日工業テクノス（株）</v>
      </c>
      <c r="E6" s="405" t="str">
        <f t="shared" si="3"/>
        <v>代表取締役社長</v>
      </c>
      <c r="F6" s="405" t="str">
        <f t="shared" si="4"/>
        <v>立花　大輔</v>
      </c>
      <c r="G6" s="405" t="str">
        <f t="shared" si="5"/>
        <v>主たる営業所</v>
      </c>
      <c r="H6" s="405" t="str">
        <f t="shared" si="6"/>
        <v>大分市豊海４－３－１９</v>
      </c>
      <c r="L6" s="403" t="s">
        <v>7283</v>
      </c>
      <c r="M6" s="403" t="s">
        <v>7284</v>
      </c>
      <c r="N6" s="403" t="s">
        <v>5076</v>
      </c>
      <c r="O6" s="403" t="s">
        <v>7083</v>
      </c>
      <c r="P6" s="403" t="s">
        <v>5207</v>
      </c>
      <c r="Q6" s="403" t="s">
        <v>7285</v>
      </c>
      <c r="R6" s="403" t="s">
        <v>18541</v>
      </c>
      <c r="S6" s="403" t="s">
        <v>13894</v>
      </c>
      <c r="T6" s="403" t="s">
        <v>13895</v>
      </c>
      <c r="U6" s="403"/>
      <c r="V6" s="403" t="s">
        <v>23024</v>
      </c>
      <c r="W6" s="403" t="s">
        <v>23024</v>
      </c>
      <c r="X6" s="403" t="s">
        <v>23024</v>
      </c>
      <c r="Y6" s="403" t="s">
        <v>23024</v>
      </c>
    </row>
    <row r="7" spans="1:25">
      <c r="A7" s="363">
        <f t="shared" si="7"/>
        <v>6</v>
      </c>
      <c r="B7" s="363" t="str">
        <f t="shared" si="0"/>
        <v>00</v>
      </c>
      <c r="C7" s="405" t="str">
        <f t="shared" si="1"/>
        <v>第004988号</v>
      </c>
      <c r="D7" s="405" t="str">
        <f t="shared" si="2"/>
        <v>（株）佐伯建設</v>
      </c>
      <c r="E7" s="405" t="str">
        <f t="shared" si="3"/>
        <v>代表取締役社長</v>
      </c>
      <c r="F7" s="405" t="str">
        <f t="shared" si="4"/>
        <v>川崎　栄一</v>
      </c>
      <c r="G7" s="405" t="str">
        <f t="shared" si="5"/>
        <v>主たる営業所</v>
      </c>
      <c r="H7" s="405" t="str">
        <f t="shared" si="6"/>
        <v>大分市中島西３－５－１</v>
      </c>
      <c r="L7" s="403" t="s">
        <v>7286</v>
      </c>
      <c r="M7" s="403" t="s">
        <v>7287</v>
      </c>
      <c r="N7" s="403" t="s">
        <v>5077</v>
      </c>
      <c r="O7" s="403" t="s">
        <v>7083</v>
      </c>
      <c r="P7" s="403" t="s">
        <v>5078</v>
      </c>
      <c r="Q7" s="403" t="s">
        <v>7288</v>
      </c>
      <c r="R7" s="403" t="s">
        <v>18542</v>
      </c>
      <c r="S7" s="403" t="s">
        <v>13896</v>
      </c>
      <c r="T7" s="403" t="s">
        <v>13897</v>
      </c>
      <c r="U7" s="403"/>
      <c r="V7" s="403" t="s">
        <v>23024</v>
      </c>
      <c r="W7" s="403" t="s">
        <v>23024</v>
      </c>
      <c r="X7" s="403" t="s">
        <v>23024</v>
      </c>
      <c r="Y7" s="403" t="s">
        <v>23024</v>
      </c>
    </row>
    <row r="8" spans="1:25">
      <c r="A8" s="363">
        <f t="shared" si="7"/>
        <v>7</v>
      </c>
      <c r="B8" s="363" t="str">
        <f t="shared" si="0"/>
        <v>00</v>
      </c>
      <c r="C8" s="405" t="str">
        <f t="shared" si="1"/>
        <v>第007221号</v>
      </c>
      <c r="D8" s="405" t="str">
        <f t="shared" si="2"/>
        <v>川原興業（株）</v>
      </c>
      <c r="E8" s="405" t="str">
        <f t="shared" si="3"/>
        <v>代表取締役</v>
      </c>
      <c r="F8" s="405" t="str">
        <f t="shared" si="4"/>
        <v>川原　崇廣</v>
      </c>
      <c r="G8" s="405" t="str">
        <f t="shared" si="5"/>
        <v>主たる営業所</v>
      </c>
      <c r="H8" s="405" t="str">
        <f t="shared" si="6"/>
        <v>日田市大字上野６１４</v>
      </c>
      <c r="L8" s="403" t="s">
        <v>7289</v>
      </c>
      <c r="M8" s="403" t="s">
        <v>7290</v>
      </c>
      <c r="N8" s="403" t="s">
        <v>5079</v>
      </c>
      <c r="O8" s="403" t="s">
        <v>7084</v>
      </c>
      <c r="P8" s="403" t="s">
        <v>5208</v>
      </c>
      <c r="Q8" s="403" t="s">
        <v>7291</v>
      </c>
      <c r="R8" s="403" t="s">
        <v>5337</v>
      </c>
      <c r="S8" s="403" t="s">
        <v>13898</v>
      </c>
      <c r="T8" s="403" t="s">
        <v>13899</v>
      </c>
      <c r="U8" s="403"/>
      <c r="V8" s="403" t="s">
        <v>23024</v>
      </c>
      <c r="W8" s="403" t="s">
        <v>23024</v>
      </c>
      <c r="X8" s="403" t="s">
        <v>23024</v>
      </c>
      <c r="Y8" s="403" t="s">
        <v>23024</v>
      </c>
    </row>
    <row r="9" spans="1:25">
      <c r="A9" s="363">
        <f t="shared" si="7"/>
        <v>8</v>
      </c>
      <c r="B9" s="363" t="str">
        <f t="shared" si="0"/>
        <v>00</v>
      </c>
      <c r="C9" s="405" t="str">
        <f t="shared" si="1"/>
        <v>第007853号</v>
      </c>
      <c r="D9" s="405" t="str">
        <f t="shared" si="2"/>
        <v>鬼塚電気工事（株）</v>
      </c>
      <c r="E9" s="405" t="str">
        <f t="shared" si="3"/>
        <v>代表取締役</v>
      </c>
      <c r="F9" s="405" t="str">
        <f t="shared" si="4"/>
        <v>尾野　文俊</v>
      </c>
      <c r="G9" s="405" t="str">
        <f t="shared" si="5"/>
        <v>主たる営業所</v>
      </c>
      <c r="H9" s="405" t="str">
        <f t="shared" si="6"/>
        <v>大分市大字津留１９７９－１</v>
      </c>
      <c r="L9" s="403" t="s">
        <v>7292</v>
      </c>
      <c r="M9" s="403" t="s">
        <v>7293</v>
      </c>
      <c r="N9" s="403" t="s">
        <v>5080</v>
      </c>
      <c r="O9" s="403" t="s">
        <v>7084</v>
      </c>
      <c r="P9" s="403" t="s">
        <v>5081</v>
      </c>
      <c r="Q9" s="403" t="s">
        <v>7294</v>
      </c>
      <c r="R9" s="403" t="s">
        <v>18543</v>
      </c>
      <c r="S9" s="403" t="s">
        <v>13900</v>
      </c>
      <c r="T9" s="403" t="s">
        <v>13901</v>
      </c>
      <c r="U9" s="403"/>
      <c r="V9" s="403" t="s">
        <v>23024</v>
      </c>
      <c r="W9" s="403" t="s">
        <v>23024</v>
      </c>
      <c r="X9" s="403" t="s">
        <v>23024</v>
      </c>
      <c r="Y9" s="403" t="s">
        <v>23024</v>
      </c>
    </row>
    <row r="10" spans="1:25">
      <c r="A10" s="363">
        <f t="shared" si="7"/>
        <v>9</v>
      </c>
      <c r="B10" s="363" t="str">
        <f t="shared" si="0"/>
        <v>00</v>
      </c>
      <c r="C10" s="405" t="str">
        <f t="shared" si="1"/>
        <v>第010503号</v>
      </c>
      <c r="D10" s="405" t="str">
        <f t="shared" si="2"/>
        <v>（株）大日</v>
      </c>
      <c r="E10" s="405" t="str">
        <f t="shared" si="3"/>
        <v>代表取締役社長</v>
      </c>
      <c r="F10" s="405" t="str">
        <f t="shared" si="4"/>
        <v>宇野　浩一</v>
      </c>
      <c r="G10" s="405" t="str">
        <f t="shared" si="5"/>
        <v>主たる営業所</v>
      </c>
      <c r="H10" s="405" t="str">
        <f t="shared" si="6"/>
        <v>日田市大字高瀬１２４８－１</v>
      </c>
      <c r="L10" s="403" t="s">
        <v>7295</v>
      </c>
      <c r="M10" s="403" t="s">
        <v>7296</v>
      </c>
      <c r="N10" s="403" t="s">
        <v>5082</v>
      </c>
      <c r="O10" s="403" t="s">
        <v>7083</v>
      </c>
      <c r="P10" s="403" t="s">
        <v>5083</v>
      </c>
      <c r="Q10" s="403" t="s">
        <v>7297</v>
      </c>
      <c r="R10" s="403" t="s">
        <v>18544</v>
      </c>
      <c r="S10" s="403" t="s">
        <v>13902</v>
      </c>
      <c r="T10" s="403" t="s">
        <v>13903</v>
      </c>
      <c r="U10" s="403"/>
      <c r="V10" s="403" t="s">
        <v>23024</v>
      </c>
      <c r="W10" s="403" t="s">
        <v>23024</v>
      </c>
      <c r="X10" s="403" t="s">
        <v>23024</v>
      </c>
      <c r="Y10" s="403" t="s">
        <v>23024</v>
      </c>
    </row>
    <row r="11" spans="1:25">
      <c r="A11" s="363">
        <f t="shared" si="7"/>
        <v>10</v>
      </c>
      <c r="B11" s="363" t="str">
        <f t="shared" si="0"/>
        <v>00</v>
      </c>
      <c r="C11" s="405" t="str">
        <f t="shared" si="1"/>
        <v>第014916号</v>
      </c>
      <c r="D11" s="405" t="str">
        <f t="shared" si="2"/>
        <v>大和ボーリング工業（株）</v>
      </c>
      <c r="E11" s="405" t="str">
        <f t="shared" si="3"/>
        <v>代表取締役</v>
      </c>
      <c r="F11" s="405" t="str">
        <f t="shared" si="4"/>
        <v>松藤　敏彦</v>
      </c>
      <c r="G11" s="405" t="str">
        <f t="shared" si="5"/>
        <v>主たる営業所</v>
      </c>
      <c r="H11" s="405" t="str">
        <f t="shared" si="6"/>
        <v>日田市中津江村栃野５３０１－２</v>
      </c>
      <c r="L11" s="403" t="s">
        <v>7298</v>
      </c>
      <c r="M11" s="403" t="s">
        <v>7299</v>
      </c>
      <c r="N11" s="403" t="s">
        <v>5084</v>
      </c>
      <c r="O11" s="403" t="s">
        <v>7084</v>
      </c>
      <c r="P11" s="403" t="s">
        <v>5085</v>
      </c>
      <c r="Q11" s="403" t="s">
        <v>7300</v>
      </c>
      <c r="R11" s="403" t="s">
        <v>18545</v>
      </c>
      <c r="S11" s="403" t="s">
        <v>13904</v>
      </c>
      <c r="T11" s="403" t="s">
        <v>13905</v>
      </c>
      <c r="U11" s="403"/>
      <c r="V11" s="403" t="s">
        <v>23024</v>
      </c>
      <c r="W11" s="403" t="s">
        <v>23024</v>
      </c>
      <c r="X11" s="403" t="s">
        <v>23024</v>
      </c>
      <c r="Y11" s="403" t="s">
        <v>23024</v>
      </c>
    </row>
    <row r="12" spans="1:25">
      <c r="A12" s="363">
        <f t="shared" si="7"/>
        <v>11</v>
      </c>
      <c r="B12" s="363" t="str">
        <f t="shared" si="0"/>
        <v>00</v>
      </c>
      <c r="C12" s="405" t="str">
        <f t="shared" si="1"/>
        <v>第017721号</v>
      </c>
      <c r="D12" s="405" t="str">
        <f t="shared" si="2"/>
        <v>（株）ティー・シージャパン</v>
      </c>
      <c r="E12" s="405" t="str">
        <f t="shared" si="3"/>
        <v>代表取締役</v>
      </c>
      <c r="F12" s="405" t="str">
        <f t="shared" si="4"/>
        <v>阿部　誠</v>
      </c>
      <c r="G12" s="405" t="str">
        <f t="shared" si="5"/>
        <v>主たる営業所</v>
      </c>
      <c r="H12" s="405" t="str">
        <f t="shared" si="6"/>
        <v>大分市大字海原字見休８０８</v>
      </c>
      <c r="L12" s="403" t="s">
        <v>7301</v>
      </c>
      <c r="M12" s="403" t="s">
        <v>7302</v>
      </c>
      <c r="N12" s="403" t="s">
        <v>5086</v>
      </c>
      <c r="O12" s="403" t="s">
        <v>7084</v>
      </c>
      <c r="P12" s="403" t="s">
        <v>5087</v>
      </c>
      <c r="Q12" s="403" t="s">
        <v>7303</v>
      </c>
      <c r="R12" s="403" t="s">
        <v>5338</v>
      </c>
      <c r="S12" s="403" t="s">
        <v>13906</v>
      </c>
      <c r="T12" s="403" t="s">
        <v>13907</v>
      </c>
      <c r="U12" s="403"/>
      <c r="V12" s="403" t="s">
        <v>23024</v>
      </c>
      <c r="W12" s="403" t="s">
        <v>23024</v>
      </c>
      <c r="X12" s="403" t="s">
        <v>23024</v>
      </c>
      <c r="Y12" s="403" t="s">
        <v>23024</v>
      </c>
    </row>
    <row r="13" spans="1:25">
      <c r="A13" s="363">
        <f t="shared" si="7"/>
        <v>12</v>
      </c>
      <c r="B13" s="363" t="str">
        <f t="shared" si="0"/>
        <v>00</v>
      </c>
      <c r="C13" s="405" t="str">
        <f t="shared" si="1"/>
        <v>第019011号</v>
      </c>
      <c r="D13" s="405" t="str">
        <f t="shared" si="2"/>
        <v>（株）ナガノ</v>
      </c>
      <c r="E13" s="405" t="str">
        <f t="shared" si="3"/>
        <v>代表取締役</v>
      </c>
      <c r="F13" s="405" t="str">
        <f t="shared" si="4"/>
        <v>長野　定生</v>
      </c>
      <c r="G13" s="405" t="str">
        <f t="shared" si="5"/>
        <v>主たる営業所</v>
      </c>
      <c r="H13" s="405" t="str">
        <f t="shared" si="6"/>
        <v>中津市中央町１－４－３６</v>
      </c>
      <c r="L13" s="403" t="s">
        <v>7304</v>
      </c>
      <c r="M13" s="403" t="s">
        <v>7305</v>
      </c>
      <c r="N13" s="403" t="s">
        <v>5088</v>
      </c>
      <c r="O13" s="403" t="s">
        <v>7084</v>
      </c>
      <c r="P13" s="403" t="s">
        <v>5089</v>
      </c>
      <c r="Q13" s="403" t="s">
        <v>7306</v>
      </c>
      <c r="R13" s="403" t="s">
        <v>18546</v>
      </c>
      <c r="S13" s="403" t="s">
        <v>13908</v>
      </c>
      <c r="T13" s="403" t="s">
        <v>13909</v>
      </c>
      <c r="U13" s="403"/>
      <c r="V13" s="403" t="s">
        <v>23024</v>
      </c>
      <c r="W13" s="403" t="s">
        <v>23024</v>
      </c>
      <c r="X13" s="403" t="s">
        <v>23024</v>
      </c>
      <c r="Y13" s="403" t="s">
        <v>23024</v>
      </c>
    </row>
    <row r="14" spans="1:25">
      <c r="A14" s="363">
        <f t="shared" si="7"/>
        <v>13</v>
      </c>
      <c r="B14" s="363" t="str">
        <f t="shared" si="0"/>
        <v>00</v>
      </c>
      <c r="C14" s="405" t="str">
        <f t="shared" si="1"/>
        <v>第019698号</v>
      </c>
      <c r="D14" s="405" t="str">
        <f t="shared" si="2"/>
        <v>ケント工業（株）</v>
      </c>
      <c r="E14" s="405" t="str">
        <f t="shared" si="3"/>
        <v>代表取締役</v>
      </c>
      <c r="F14" s="405" t="str">
        <f t="shared" si="4"/>
        <v>小島　清子</v>
      </c>
      <c r="G14" s="405" t="str">
        <f t="shared" si="5"/>
        <v>主たる営業所</v>
      </c>
      <c r="H14" s="405" t="str">
        <f t="shared" si="6"/>
        <v>大分市向原西２－６－２５</v>
      </c>
      <c r="L14" s="403" t="s">
        <v>7307</v>
      </c>
      <c r="M14" s="403" t="s">
        <v>7308</v>
      </c>
      <c r="N14" s="403" t="s">
        <v>5090</v>
      </c>
      <c r="O14" s="403" t="s">
        <v>7084</v>
      </c>
      <c r="P14" s="403" t="s">
        <v>5091</v>
      </c>
      <c r="Q14" s="403" t="s">
        <v>7309</v>
      </c>
      <c r="R14" s="403" t="s">
        <v>18547</v>
      </c>
      <c r="S14" s="403" t="s">
        <v>13910</v>
      </c>
      <c r="T14" s="403" t="s">
        <v>13911</v>
      </c>
      <c r="U14" s="403"/>
      <c r="V14" s="403" t="s">
        <v>23024</v>
      </c>
      <c r="W14" s="403" t="s">
        <v>23024</v>
      </c>
      <c r="X14" s="403" t="s">
        <v>23024</v>
      </c>
      <c r="Y14" s="403" t="s">
        <v>23024</v>
      </c>
    </row>
    <row r="15" spans="1:25">
      <c r="A15" s="363">
        <f t="shared" si="7"/>
        <v>14</v>
      </c>
      <c r="B15" s="363" t="str">
        <f t="shared" si="0"/>
        <v>00</v>
      </c>
      <c r="C15" s="405" t="str">
        <f t="shared" si="1"/>
        <v>第020458号</v>
      </c>
      <c r="D15" s="405" t="str">
        <f t="shared" si="2"/>
        <v>（株）水明</v>
      </c>
      <c r="E15" s="405" t="str">
        <f t="shared" si="3"/>
        <v>代表取締役</v>
      </c>
      <c r="F15" s="405" t="str">
        <f t="shared" si="4"/>
        <v>杉野　慎也</v>
      </c>
      <c r="G15" s="405" t="str">
        <f t="shared" si="5"/>
        <v>主たる営業所</v>
      </c>
      <c r="H15" s="405" t="str">
        <f t="shared" si="6"/>
        <v>日田市清岸寺町１０３３－１</v>
      </c>
      <c r="L15" s="403" t="s">
        <v>7310</v>
      </c>
      <c r="M15" s="403" t="s">
        <v>11188</v>
      </c>
      <c r="N15" s="403" t="s">
        <v>4444</v>
      </c>
      <c r="O15" s="403" t="s">
        <v>7084</v>
      </c>
      <c r="P15" s="403" t="s">
        <v>4445</v>
      </c>
      <c r="Q15" s="403" t="s">
        <v>7311</v>
      </c>
      <c r="R15" s="403" t="s">
        <v>18548</v>
      </c>
      <c r="S15" s="403" t="s">
        <v>13912</v>
      </c>
      <c r="T15" s="403" t="s">
        <v>13913</v>
      </c>
      <c r="U15" s="403"/>
      <c r="V15" s="403" t="s">
        <v>23024</v>
      </c>
      <c r="W15" s="403" t="s">
        <v>23024</v>
      </c>
      <c r="X15" s="403" t="s">
        <v>23024</v>
      </c>
      <c r="Y15" s="403" t="s">
        <v>23024</v>
      </c>
    </row>
    <row r="16" spans="1:25">
      <c r="A16" s="363">
        <f t="shared" si="7"/>
        <v>15</v>
      </c>
      <c r="B16" s="363" t="str">
        <f t="shared" si="0"/>
        <v>00</v>
      </c>
      <c r="C16" s="405" t="str">
        <f t="shared" si="1"/>
        <v>第020459号</v>
      </c>
      <c r="D16" s="405" t="str">
        <f t="shared" si="2"/>
        <v>（株）ながそえ</v>
      </c>
      <c r="E16" s="405" t="str">
        <f t="shared" si="3"/>
        <v>代表取締役</v>
      </c>
      <c r="F16" s="405" t="str">
        <f t="shared" si="4"/>
        <v>永添　豊治</v>
      </c>
      <c r="G16" s="405" t="str">
        <f t="shared" si="5"/>
        <v>主たる営業所</v>
      </c>
      <c r="H16" s="405" t="str">
        <f t="shared" si="6"/>
        <v>中津市沖代町２－２－１３</v>
      </c>
      <c r="L16" s="403" t="s">
        <v>7312</v>
      </c>
      <c r="M16" s="403" t="s">
        <v>7313</v>
      </c>
      <c r="N16" s="403" t="s">
        <v>5092</v>
      </c>
      <c r="O16" s="403" t="s">
        <v>7084</v>
      </c>
      <c r="P16" s="403" t="s">
        <v>5093</v>
      </c>
      <c r="Q16" s="403" t="s">
        <v>7276</v>
      </c>
      <c r="R16" s="403" t="s">
        <v>18549</v>
      </c>
      <c r="S16" s="403" t="s">
        <v>13914</v>
      </c>
      <c r="T16" s="403" t="s">
        <v>13915</v>
      </c>
      <c r="U16" s="403"/>
      <c r="V16" s="403" t="s">
        <v>23024</v>
      </c>
      <c r="W16" s="403" t="s">
        <v>23024</v>
      </c>
      <c r="X16" s="403" t="s">
        <v>23024</v>
      </c>
      <c r="Y16" s="403" t="s">
        <v>23024</v>
      </c>
    </row>
    <row r="17" spans="1:25">
      <c r="A17" s="363">
        <f t="shared" si="7"/>
        <v>16</v>
      </c>
      <c r="B17" s="363" t="str">
        <f t="shared" si="0"/>
        <v>00</v>
      </c>
      <c r="C17" s="405" t="str">
        <f t="shared" si="1"/>
        <v>第021903号</v>
      </c>
      <c r="D17" s="405" t="str">
        <f t="shared" si="2"/>
        <v>（株）アイビック</v>
      </c>
      <c r="E17" s="405" t="str">
        <f t="shared" si="3"/>
        <v>代表取締役</v>
      </c>
      <c r="F17" s="405" t="str">
        <f t="shared" si="4"/>
        <v>太田　真司</v>
      </c>
      <c r="G17" s="405" t="str">
        <f t="shared" si="5"/>
        <v>主たる営業所</v>
      </c>
      <c r="H17" s="405" t="str">
        <f t="shared" si="6"/>
        <v>大分市寺崎町２－３－６</v>
      </c>
      <c r="L17" s="403" t="s">
        <v>7314</v>
      </c>
      <c r="M17" s="403" t="s">
        <v>7315</v>
      </c>
      <c r="N17" s="403" t="s">
        <v>5094</v>
      </c>
      <c r="O17" s="403" t="s">
        <v>7084</v>
      </c>
      <c r="P17" s="403" t="s">
        <v>5095</v>
      </c>
      <c r="Q17" s="403" t="s">
        <v>7316</v>
      </c>
      <c r="R17" s="403" t="s">
        <v>18550</v>
      </c>
      <c r="S17" s="403" t="s">
        <v>13916</v>
      </c>
      <c r="T17" s="403" t="s">
        <v>13917</v>
      </c>
      <c r="U17" s="403"/>
      <c r="V17" s="403" t="s">
        <v>23024</v>
      </c>
      <c r="W17" s="403" t="s">
        <v>23024</v>
      </c>
      <c r="X17" s="403" t="s">
        <v>23024</v>
      </c>
      <c r="Y17" s="403" t="s">
        <v>23024</v>
      </c>
    </row>
    <row r="18" spans="1:25">
      <c r="A18" s="363">
        <f t="shared" si="7"/>
        <v>17</v>
      </c>
      <c r="B18" s="363" t="str">
        <f t="shared" si="0"/>
        <v>00</v>
      </c>
      <c r="C18" s="405" t="str">
        <f t="shared" si="1"/>
        <v>第022955号</v>
      </c>
      <c r="D18" s="405" t="str">
        <f t="shared" si="2"/>
        <v>豊南電工（株）</v>
      </c>
      <c r="E18" s="405" t="str">
        <f t="shared" si="3"/>
        <v>代表取締役</v>
      </c>
      <c r="F18" s="405" t="str">
        <f t="shared" si="4"/>
        <v>古家　哲生</v>
      </c>
      <c r="G18" s="405" t="str">
        <f t="shared" si="5"/>
        <v>主たる営業所</v>
      </c>
      <c r="H18" s="405" t="str">
        <f t="shared" si="6"/>
        <v>津久見市大字津久見１５７５－１</v>
      </c>
      <c r="L18" s="403" t="s">
        <v>7317</v>
      </c>
      <c r="M18" s="403" t="s">
        <v>7318</v>
      </c>
      <c r="N18" s="403" t="s">
        <v>5096</v>
      </c>
      <c r="O18" s="403" t="s">
        <v>7084</v>
      </c>
      <c r="P18" s="403" t="s">
        <v>5097</v>
      </c>
      <c r="Q18" s="403" t="s">
        <v>7319</v>
      </c>
      <c r="R18" s="403" t="s">
        <v>18551</v>
      </c>
      <c r="S18" s="403" t="s">
        <v>13918</v>
      </c>
      <c r="T18" s="403" t="s">
        <v>13919</v>
      </c>
      <c r="U18" s="403"/>
      <c r="V18" s="403" t="s">
        <v>23024</v>
      </c>
      <c r="W18" s="403" t="s">
        <v>23024</v>
      </c>
      <c r="X18" s="403" t="s">
        <v>23024</v>
      </c>
      <c r="Y18" s="403" t="s">
        <v>23024</v>
      </c>
    </row>
    <row r="19" spans="1:25">
      <c r="A19" s="363">
        <f t="shared" si="7"/>
        <v>18</v>
      </c>
      <c r="B19" s="363" t="str">
        <f t="shared" si="0"/>
        <v>00</v>
      </c>
      <c r="C19" s="405" t="str">
        <f t="shared" si="1"/>
        <v>第023154号</v>
      </c>
      <c r="D19" s="405" t="str">
        <f t="shared" si="2"/>
        <v>（株）サンオブサンエージェンシー</v>
      </c>
      <c r="E19" s="405" t="str">
        <f t="shared" si="3"/>
        <v>代表取締役</v>
      </c>
      <c r="F19" s="405" t="str">
        <f t="shared" si="4"/>
        <v>井上　龍三</v>
      </c>
      <c r="G19" s="405" t="str">
        <f t="shared" si="5"/>
        <v>主たる営業所</v>
      </c>
      <c r="H19" s="405" t="str">
        <f t="shared" si="6"/>
        <v>大分市高松１－２－２７　サンオブサンエージェンシービル</v>
      </c>
      <c r="L19" s="403" t="s">
        <v>7320</v>
      </c>
      <c r="M19" s="403" t="s">
        <v>7321</v>
      </c>
      <c r="N19" s="403" t="s">
        <v>5098</v>
      </c>
      <c r="O19" s="403" t="s">
        <v>7084</v>
      </c>
      <c r="P19" s="403" t="s">
        <v>5099</v>
      </c>
      <c r="Q19" s="403" t="s">
        <v>7322</v>
      </c>
      <c r="R19" s="403" t="s">
        <v>18552</v>
      </c>
      <c r="S19" s="403" t="s">
        <v>13920</v>
      </c>
      <c r="T19" s="403" t="s">
        <v>18553</v>
      </c>
      <c r="U19" s="403"/>
      <c r="V19" s="403" t="s">
        <v>23024</v>
      </c>
      <c r="W19" s="403" t="s">
        <v>23024</v>
      </c>
      <c r="X19" s="403" t="s">
        <v>23024</v>
      </c>
      <c r="Y19" s="403" t="s">
        <v>23024</v>
      </c>
    </row>
    <row r="20" spans="1:25">
      <c r="A20" s="363">
        <f t="shared" si="7"/>
        <v>19</v>
      </c>
      <c r="B20" s="363" t="str">
        <f t="shared" si="0"/>
        <v>00</v>
      </c>
      <c r="C20" s="405" t="str">
        <f t="shared" si="1"/>
        <v>第024183号</v>
      </c>
      <c r="D20" s="405" t="str">
        <f t="shared" si="2"/>
        <v>三信産業（株）</v>
      </c>
      <c r="E20" s="405" t="str">
        <f t="shared" si="3"/>
        <v>代表取締役</v>
      </c>
      <c r="F20" s="405" t="str">
        <f t="shared" si="4"/>
        <v>大野　真人</v>
      </c>
      <c r="G20" s="405" t="str">
        <f t="shared" si="5"/>
        <v>主たる営業所</v>
      </c>
      <c r="H20" s="405" t="str">
        <f t="shared" si="6"/>
        <v>大分市新貝６－７</v>
      </c>
      <c r="L20" s="403" t="s">
        <v>7323</v>
      </c>
      <c r="M20" s="403" t="s">
        <v>7324</v>
      </c>
      <c r="N20" s="403" t="s">
        <v>5100</v>
      </c>
      <c r="O20" s="403" t="s">
        <v>7084</v>
      </c>
      <c r="P20" s="403" t="s">
        <v>5101</v>
      </c>
      <c r="Q20" s="403" t="s">
        <v>7325</v>
      </c>
      <c r="R20" s="403" t="s">
        <v>18554</v>
      </c>
      <c r="S20" s="403" t="s">
        <v>13921</v>
      </c>
      <c r="T20" s="403" t="s">
        <v>13922</v>
      </c>
      <c r="U20" s="403"/>
      <c r="V20" s="403" t="s">
        <v>23024</v>
      </c>
      <c r="W20" s="403" t="s">
        <v>23024</v>
      </c>
      <c r="X20" s="403" t="s">
        <v>23024</v>
      </c>
      <c r="Y20" s="403" t="s">
        <v>23024</v>
      </c>
    </row>
    <row r="21" spans="1:25">
      <c r="A21" s="363">
        <f t="shared" si="7"/>
        <v>20</v>
      </c>
      <c r="B21" s="363" t="str">
        <f t="shared" si="0"/>
        <v>00</v>
      </c>
      <c r="C21" s="405" t="str">
        <f t="shared" si="1"/>
        <v>第024605号</v>
      </c>
      <c r="D21" s="405" t="str">
        <f t="shared" si="2"/>
        <v>（株）重松組</v>
      </c>
      <c r="E21" s="405" t="str">
        <f t="shared" si="3"/>
        <v>代表取締役</v>
      </c>
      <c r="F21" s="405" t="str">
        <f t="shared" si="4"/>
        <v>重松　達也</v>
      </c>
      <c r="G21" s="405" t="str">
        <f t="shared" si="5"/>
        <v>主たる営業所</v>
      </c>
      <c r="H21" s="405" t="str">
        <f t="shared" si="6"/>
        <v>竹田市荻町恵良原７６９－１</v>
      </c>
      <c r="L21" s="403" t="s">
        <v>7326</v>
      </c>
      <c r="M21" s="403" t="s">
        <v>7327</v>
      </c>
      <c r="N21" s="403" t="s">
        <v>5102</v>
      </c>
      <c r="O21" s="403" t="s">
        <v>7084</v>
      </c>
      <c r="P21" s="403" t="s">
        <v>5103</v>
      </c>
      <c r="Q21" s="403" t="s">
        <v>7328</v>
      </c>
      <c r="R21" s="403" t="s">
        <v>18555</v>
      </c>
      <c r="S21" s="403" t="s">
        <v>13923</v>
      </c>
      <c r="T21" s="403" t="s">
        <v>13924</v>
      </c>
      <c r="U21" s="403"/>
      <c r="V21" s="403" t="s">
        <v>23024</v>
      </c>
      <c r="W21" s="403" t="s">
        <v>23024</v>
      </c>
      <c r="X21" s="403" t="s">
        <v>23024</v>
      </c>
      <c r="Y21" s="403" t="s">
        <v>23024</v>
      </c>
    </row>
    <row r="22" spans="1:25">
      <c r="A22" s="363">
        <f t="shared" si="7"/>
        <v>21</v>
      </c>
      <c r="B22" s="363" t="str">
        <f t="shared" si="0"/>
        <v>00</v>
      </c>
      <c r="C22" s="405" t="str">
        <f t="shared" si="1"/>
        <v>第024625号</v>
      </c>
      <c r="D22" s="405" t="str">
        <f t="shared" si="2"/>
        <v>日本設備工業（株）</v>
      </c>
      <c r="E22" s="405" t="str">
        <f t="shared" si="3"/>
        <v>代表取締役</v>
      </c>
      <c r="F22" s="405" t="str">
        <f t="shared" si="4"/>
        <v>渡邉　忠</v>
      </c>
      <c r="G22" s="405" t="str">
        <f t="shared" si="5"/>
        <v>主たる営業所</v>
      </c>
      <c r="H22" s="405" t="str">
        <f t="shared" si="6"/>
        <v>大分市新貝４－４６</v>
      </c>
      <c r="L22" s="403" t="s">
        <v>7329</v>
      </c>
      <c r="M22" s="403" t="s">
        <v>7330</v>
      </c>
      <c r="N22" s="403" t="s">
        <v>5104</v>
      </c>
      <c r="O22" s="403" t="s">
        <v>7084</v>
      </c>
      <c r="P22" s="403" t="s">
        <v>4915</v>
      </c>
      <c r="Q22" s="403" t="s">
        <v>7325</v>
      </c>
      <c r="R22" s="403" t="s">
        <v>18556</v>
      </c>
      <c r="S22" s="403" t="s">
        <v>13925</v>
      </c>
      <c r="T22" s="403" t="s">
        <v>13926</v>
      </c>
      <c r="U22" s="403"/>
      <c r="V22" s="403" t="s">
        <v>23024</v>
      </c>
      <c r="W22" s="403" t="s">
        <v>23024</v>
      </c>
      <c r="X22" s="403" t="s">
        <v>23024</v>
      </c>
      <c r="Y22" s="403" t="s">
        <v>23024</v>
      </c>
    </row>
    <row r="23" spans="1:25">
      <c r="A23" s="363">
        <f t="shared" si="7"/>
        <v>22</v>
      </c>
      <c r="B23" s="363" t="str">
        <f t="shared" si="0"/>
        <v>00</v>
      </c>
      <c r="C23" s="405" t="str">
        <f t="shared" si="1"/>
        <v>第024730号</v>
      </c>
      <c r="D23" s="405" t="str">
        <f t="shared" si="2"/>
        <v>森田建設（株）</v>
      </c>
      <c r="E23" s="405" t="str">
        <f t="shared" si="3"/>
        <v>代表取締役社長</v>
      </c>
      <c r="F23" s="405" t="str">
        <f t="shared" si="4"/>
        <v>大山　繁久</v>
      </c>
      <c r="G23" s="405" t="str">
        <f t="shared" si="5"/>
        <v>主たる営業所</v>
      </c>
      <c r="H23" s="405" t="str">
        <f t="shared" si="6"/>
        <v>宇佐市大字長洲５５４－５</v>
      </c>
      <c r="L23" s="403" t="s">
        <v>7331</v>
      </c>
      <c r="M23" s="403" t="s">
        <v>7332</v>
      </c>
      <c r="N23" s="403" t="s">
        <v>5105</v>
      </c>
      <c r="O23" s="403" t="s">
        <v>7083</v>
      </c>
      <c r="P23" s="403" t="s">
        <v>5106</v>
      </c>
      <c r="Q23" s="403" t="s">
        <v>7333</v>
      </c>
      <c r="R23" s="403" t="s">
        <v>18557</v>
      </c>
      <c r="S23" s="403" t="s">
        <v>13927</v>
      </c>
      <c r="T23" s="403" t="s">
        <v>13928</v>
      </c>
      <c r="U23" s="403"/>
      <c r="V23" s="403" t="s">
        <v>23024</v>
      </c>
      <c r="W23" s="403" t="s">
        <v>23024</v>
      </c>
      <c r="X23" s="403" t="s">
        <v>23024</v>
      </c>
      <c r="Y23" s="403" t="s">
        <v>23024</v>
      </c>
    </row>
    <row r="24" spans="1:25">
      <c r="A24" s="363">
        <f t="shared" si="7"/>
        <v>23</v>
      </c>
      <c r="B24" s="363" t="str">
        <f t="shared" si="0"/>
        <v>00</v>
      </c>
      <c r="C24" s="405" t="str">
        <f t="shared" si="1"/>
        <v>第025328号</v>
      </c>
      <c r="D24" s="405" t="str">
        <f t="shared" si="2"/>
        <v>（株）ベツダイ</v>
      </c>
      <c r="E24" s="405" t="str">
        <f t="shared" si="3"/>
        <v>代表取締役</v>
      </c>
      <c r="F24" s="405" t="str">
        <f t="shared" si="4"/>
        <v>矢邉　弘</v>
      </c>
      <c r="G24" s="405" t="str">
        <f t="shared" si="5"/>
        <v>主たる営業所</v>
      </c>
      <c r="H24" s="405" t="str">
        <f t="shared" si="6"/>
        <v>大分市向原東２－２－３０</v>
      </c>
      <c r="L24" s="403" t="s">
        <v>7334</v>
      </c>
      <c r="M24" s="403" t="s">
        <v>7335</v>
      </c>
      <c r="N24" s="403" t="s">
        <v>5107</v>
      </c>
      <c r="O24" s="403" t="s">
        <v>7084</v>
      </c>
      <c r="P24" s="403" t="s">
        <v>5108</v>
      </c>
      <c r="Q24" s="403" t="s">
        <v>7336</v>
      </c>
      <c r="R24" s="403" t="s">
        <v>18558</v>
      </c>
      <c r="S24" s="403" t="s">
        <v>13929</v>
      </c>
      <c r="T24" s="403" t="s">
        <v>13930</v>
      </c>
      <c r="U24" s="403"/>
      <c r="V24" s="403" t="s">
        <v>23024</v>
      </c>
      <c r="W24" s="403" t="s">
        <v>23024</v>
      </c>
      <c r="X24" s="403" t="s">
        <v>23024</v>
      </c>
      <c r="Y24" s="403" t="s">
        <v>23024</v>
      </c>
    </row>
    <row r="25" spans="1:25">
      <c r="A25" s="363">
        <f t="shared" si="7"/>
        <v>24</v>
      </c>
      <c r="B25" s="363" t="str">
        <f t="shared" si="0"/>
        <v>00</v>
      </c>
      <c r="C25" s="405" t="str">
        <f t="shared" si="1"/>
        <v>第025406号</v>
      </c>
      <c r="D25" s="405" t="str">
        <f t="shared" si="2"/>
        <v>（株）大分サービス</v>
      </c>
      <c r="E25" s="405" t="str">
        <f t="shared" si="3"/>
        <v>代表取締役</v>
      </c>
      <c r="F25" s="405" t="str">
        <f t="shared" si="4"/>
        <v>志堂寺　修</v>
      </c>
      <c r="G25" s="405" t="str">
        <f t="shared" si="5"/>
        <v>主たる営業所</v>
      </c>
      <c r="H25" s="405" t="str">
        <f t="shared" si="6"/>
        <v>大分市西新地１－３２－１</v>
      </c>
      <c r="L25" s="403" t="s">
        <v>7337</v>
      </c>
      <c r="M25" s="403" t="s">
        <v>7338</v>
      </c>
      <c r="N25" s="403" t="s">
        <v>5109</v>
      </c>
      <c r="O25" s="403" t="s">
        <v>7084</v>
      </c>
      <c r="P25" s="403" t="s">
        <v>5110</v>
      </c>
      <c r="Q25" s="403" t="s">
        <v>7339</v>
      </c>
      <c r="R25" s="403" t="s">
        <v>18559</v>
      </c>
      <c r="S25" s="403" t="s">
        <v>13931</v>
      </c>
      <c r="T25" s="403" t="s">
        <v>13932</v>
      </c>
      <c r="U25" s="403"/>
      <c r="V25" s="403" t="s">
        <v>23024</v>
      </c>
      <c r="W25" s="403" t="s">
        <v>23024</v>
      </c>
      <c r="X25" s="403" t="s">
        <v>23024</v>
      </c>
      <c r="Y25" s="403" t="s">
        <v>23024</v>
      </c>
    </row>
    <row r="26" spans="1:25">
      <c r="A26" s="363">
        <f t="shared" si="7"/>
        <v>25</v>
      </c>
      <c r="B26" s="363" t="str">
        <f t="shared" si="0"/>
        <v>00</v>
      </c>
      <c r="C26" s="405" t="str">
        <f t="shared" si="1"/>
        <v>第026251号</v>
      </c>
      <c r="D26" s="405" t="str">
        <f t="shared" si="2"/>
        <v>（株）九州体育施設</v>
      </c>
      <c r="E26" s="405" t="str">
        <f t="shared" si="3"/>
        <v>代表取締役</v>
      </c>
      <c r="F26" s="405" t="str">
        <f t="shared" si="4"/>
        <v>頓宮　正敏</v>
      </c>
      <c r="G26" s="405" t="str">
        <f t="shared" si="5"/>
        <v>主たる営業所</v>
      </c>
      <c r="H26" s="405" t="str">
        <f t="shared" si="6"/>
        <v>日田市大字高瀬１００５－１</v>
      </c>
      <c r="L26" s="403" t="s">
        <v>7340</v>
      </c>
      <c r="M26" s="403" t="s">
        <v>7341</v>
      </c>
      <c r="N26" s="403" t="s">
        <v>5111</v>
      </c>
      <c r="O26" s="403" t="s">
        <v>7084</v>
      </c>
      <c r="P26" s="403" t="s">
        <v>5112</v>
      </c>
      <c r="Q26" s="403" t="s">
        <v>7342</v>
      </c>
      <c r="R26" s="403" t="s">
        <v>18560</v>
      </c>
      <c r="S26" s="403" t="s">
        <v>13933</v>
      </c>
      <c r="T26" s="403" t="s">
        <v>13934</v>
      </c>
      <c r="U26" s="403"/>
      <c r="V26" s="403" t="s">
        <v>23024</v>
      </c>
      <c r="W26" s="403" t="s">
        <v>23024</v>
      </c>
      <c r="X26" s="403" t="s">
        <v>23024</v>
      </c>
      <c r="Y26" s="403" t="s">
        <v>23024</v>
      </c>
    </row>
    <row r="27" spans="1:25">
      <c r="A27" s="363">
        <f t="shared" si="7"/>
        <v>26</v>
      </c>
      <c r="B27" s="363" t="str">
        <f t="shared" si="0"/>
        <v>00</v>
      </c>
      <c r="C27" s="405" t="str">
        <f t="shared" si="1"/>
        <v>第026254号</v>
      </c>
      <c r="D27" s="405" t="str">
        <f t="shared" si="2"/>
        <v>（株）高山組</v>
      </c>
      <c r="E27" s="405" t="str">
        <f t="shared" si="3"/>
        <v>代表取締役</v>
      </c>
      <c r="F27" s="405" t="str">
        <f t="shared" si="4"/>
        <v>高山　茂明</v>
      </c>
      <c r="G27" s="405" t="str">
        <f t="shared" si="5"/>
        <v>主たる営業所</v>
      </c>
      <c r="H27" s="405" t="str">
        <f t="shared" si="6"/>
        <v>竹田市大字拝田原６０８</v>
      </c>
      <c r="L27" s="403" t="s">
        <v>7343</v>
      </c>
      <c r="M27" s="403" t="s">
        <v>7344</v>
      </c>
      <c r="N27" s="403" t="s">
        <v>5113</v>
      </c>
      <c r="O27" s="403" t="s">
        <v>7084</v>
      </c>
      <c r="P27" s="403" t="s">
        <v>5114</v>
      </c>
      <c r="Q27" s="403" t="s">
        <v>7345</v>
      </c>
      <c r="R27" s="403" t="s">
        <v>5339</v>
      </c>
      <c r="S27" s="403" t="s">
        <v>13935</v>
      </c>
      <c r="T27" s="403" t="s">
        <v>13936</v>
      </c>
      <c r="U27" s="403"/>
      <c r="V27" s="403" t="s">
        <v>23024</v>
      </c>
      <c r="W27" s="403" t="s">
        <v>23024</v>
      </c>
      <c r="X27" s="403" t="s">
        <v>23024</v>
      </c>
      <c r="Y27" s="403" t="s">
        <v>23024</v>
      </c>
    </row>
    <row r="28" spans="1:25">
      <c r="A28" s="363">
        <f t="shared" si="7"/>
        <v>27</v>
      </c>
      <c r="B28" s="363" t="str">
        <f t="shared" si="0"/>
        <v>00</v>
      </c>
      <c r="C28" s="405" t="str">
        <f t="shared" si="1"/>
        <v>第027115号</v>
      </c>
      <c r="D28" s="405" t="str">
        <f t="shared" si="2"/>
        <v>（株）新家工業</v>
      </c>
      <c r="E28" s="405" t="str">
        <f t="shared" si="3"/>
        <v>代表取締役</v>
      </c>
      <c r="F28" s="405" t="str">
        <f t="shared" si="4"/>
        <v>新家　正久</v>
      </c>
      <c r="G28" s="405" t="str">
        <f t="shared" si="5"/>
        <v>主たる営業所</v>
      </c>
      <c r="H28" s="405" t="str">
        <f t="shared" si="6"/>
        <v>中津市字小祝６３８－３</v>
      </c>
      <c r="L28" s="403" t="s">
        <v>7346</v>
      </c>
      <c r="M28" s="403" t="s">
        <v>7347</v>
      </c>
      <c r="N28" s="403" t="s">
        <v>5115</v>
      </c>
      <c r="O28" s="403" t="s">
        <v>7084</v>
      </c>
      <c r="P28" s="403" t="s">
        <v>18561</v>
      </c>
      <c r="Q28" s="403" t="s">
        <v>7348</v>
      </c>
      <c r="R28" s="403" t="s">
        <v>18562</v>
      </c>
      <c r="S28" s="403" t="s">
        <v>13937</v>
      </c>
      <c r="T28" s="403" t="s">
        <v>13938</v>
      </c>
      <c r="U28" s="403"/>
      <c r="V28" s="403" t="s">
        <v>23024</v>
      </c>
      <c r="W28" s="403" t="s">
        <v>23024</v>
      </c>
      <c r="X28" s="403" t="s">
        <v>23024</v>
      </c>
      <c r="Y28" s="403" t="s">
        <v>23024</v>
      </c>
    </row>
    <row r="29" spans="1:25">
      <c r="A29" s="363">
        <f t="shared" si="7"/>
        <v>28</v>
      </c>
      <c r="B29" s="363" t="str">
        <f t="shared" si="0"/>
        <v>00</v>
      </c>
      <c r="C29" s="405" t="str">
        <f t="shared" si="1"/>
        <v>第027319号</v>
      </c>
      <c r="D29" s="405" t="str">
        <f t="shared" si="2"/>
        <v>（株）昇栄</v>
      </c>
      <c r="E29" s="405" t="str">
        <f t="shared" si="3"/>
        <v>代表取締役</v>
      </c>
      <c r="F29" s="405" t="str">
        <f t="shared" si="4"/>
        <v>南　力</v>
      </c>
      <c r="G29" s="405" t="str">
        <f t="shared" si="5"/>
        <v>主たる営業所</v>
      </c>
      <c r="H29" s="405" t="str">
        <f t="shared" si="6"/>
        <v>中津市大字大貞字中ノ林３８３</v>
      </c>
      <c r="L29" s="403" t="s">
        <v>7349</v>
      </c>
      <c r="M29" s="403" t="s">
        <v>7350</v>
      </c>
      <c r="N29" s="403" t="s">
        <v>5116</v>
      </c>
      <c r="O29" s="403" t="s">
        <v>7084</v>
      </c>
      <c r="P29" s="403" t="s">
        <v>3098</v>
      </c>
      <c r="Q29" s="403" t="s">
        <v>9475</v>
      </c>
      <c r="R29" s="403" t="s">
        <v>5340</v>
      </c>
      <c r="S29" s="403" t="s">
        <v>13939</v>
      </c>
      <c r="T29" s="403" t="s">
        <v>13940</v>
      </c>
      <c r="U29" s="403"/>
      <c r="V29" s="403" t="s">
        <v>23024</v>
      </c>
      <c r="W29" s="403" t="s">
        <v>23024</v>
      </c>
      <c r="X29" s="403" t="s">
        <v>23024</v>
      </c>
      <c r="Y29" s="403" t="s">
        <v>23024</v>
      </c>
    </row>
    <row r="30" spans="1:25">
      <c r="A30" s="363">
        <f t="shared" si="7"/>
        <v>29</v>
      </c>
      <c r="B30" s="363" t="str">
        <f t="shared" si="0"/>
        <v>00</v>
      </c>
      <c r="C30" s="405" t="str">
        <f t="shared" si="1"/>
        <v>第027446号</v>
      </c>
      <c r="D30" s="405" t="str">
        <f t="shared" si="2"/>
        <v>九工建設（株）</v>
      </c>
      <c r="E30" s="405" t="str">
        <f t="shared" si="3"/>
        <v>代表取締役</v>
      </c>
      <c r="F30" s="405" t="str">
        <f t="shared" si="4"/>
        <v>佐藤　敬輔</v>
      </c>
      <c r="G30" s="405" t="str">
        <f t="shared" si="5"/>
        <v>主たる営業所</v>
      </c>
      <c r="H30" s="405" t="str">
        <f t="shared" si="6"/>
        <v>大分市東大道２－５－４７</v>
      </c>
      <c r="L30" s="403" t="s">
        <v>7352</v>
      </c>
      <c r="M30" s="403" t="s">
        <v>7353</v>
      </c>
      <c r="N30" s="403" t="s">
        <v>5117</v>
      </c>
      <c r="O30" s="403" t="s">
        <v>7084</v>
      </c>
      <c r="P30" s="403" t="s">
        <v>5118</v>
      </c>
      <c r="Q30" s="403" t="s">
        <v>7354</v>
      </c>
      <c r="R30" s="403" t="s">
        <v>18563</v>
      </c>
      <c r="S30" s="403" t="s">
        <v>13941</v>
      </c>
      <c r="T30" s="403" t="s">
        <v>13942</v>
      </c>
      <c r="U30" s="403"/>
      <c r="V30" s="403" t="s">
        <v>23024</v>
      </c>
      <c r="W30" s="403" t="s">
        <v>23024</v>
      </c>
      <c r="X30" s="403" t="s">
        <v>23024</v>
      </c>
      <c r="Y30" s="403" t="s">
        <v>23024</v>
      </c>
    </row>
    <row r="31" spans="1:25">
      <c r="A31" s="363">
        <f t="shared" si="7"/>
        <v>30</v>
      </c>
      <c r="B31" s="363" t="str">
        <f t="shared" si="0"/>
        <v>00</v>
      </c>
      <c r="C31" s="405" t="str">
        <f t="shared" si="1"/>
        <v>第028392号</v>
      </c>
      <c r="D31" s="405" t="str">
        <f t="shared" si="2"/>
        <v>（株）誠建設</v>
      </c>
      <c r="E31" s="405" t="str">
        <f t="shared" si="3"/>
        <v>代表取締役</v>
      </c>
      <c r="F31" s="405" t="str">
        <f t="shared" si="4"/>
        <v>木村　誠</v>
      </c>
      <c r="G31" s="405" t="str">
        <f t="shared" si="5"/>
        <v>主たる営業所</v>
      </c>
      <c r="H31" s="405" t="str">
        <f t="shared" si="6"/>
        <v>大分市大字横尾２０６２－１</v>
      </c>
      <c r="L31" s="403" t="s">
        <v>7355</v>
      </c>
      <c r="M31" s="403" t="s">
        <v>7356</v>
      </c>
      <c r="N31" s="403" t="s">
        <v>5121</v>
      </c>
      <c r="O31" s="403" t="s">
        <v>7084</v>
      </c>
      <c r="P31" s="403" t="s">
        <v>2110</v>
      </c>
      <c r="Q31" s="403" t="s">
        <v>7357</v>
      </c>
      <c r="R31" s="403" t="s">
        <v>18564</v>
      </c>
      <c r="S31" s="403" t="s">
        <v>13943</v>
      </c>
      <c r="T31" s="403" t="s">
        <v>13944</v>
      </c>
      <c r="U31" s="403"/>
      <c r="V31" s="403" t="s">
        <v>23024</v>
      </c>
      <c r="W31" s="403" t="s">
        <v>23024</v>
      </c>
      <c r="X31" s="403" t="s">
        <v>23024</v>
      </c>
      <c r="Y31" s="403" t="s">
        <v>23024</v>
      </c>
    </row>
    <row r="32" spans="1:25">
      <c r="A32" s="363">
        <f t="shared" si="7"/>
        <v>31</v>
      </c>
      <c r="B32" s="363" t="str">
        <f t="shared" si="0"/>
        <v>00</v>
      </c>
      <c r="C32" s="405" t="str">
        <f t="shared" si="1"/>
        <v>第028417号</v>
      </c>
      <c r="D32" s="405" t="str">
        <f t="shared" si="2"/>
        <v>（株）プライム</v>
      </c>
      <c r="E32" s="405" t="str">
        <f t="shared" si="3"/>
        <v>代表取締役</v>
      </c>
      <c r="F32" s="405" t="str">
        <f t="shared" si="4"/>
        <v>田島　茂喜</v>
      </c>
      <c r="G32" s="405" t="str">
        <f t="shared" si="5"/>
        <v>主たる営業所</v>
      </c>
      <c r="H32" s="405" t="str">
        <f t="shared" si="6"/>
        <v>大分市羽田７７４－３</v>
      </c>
      <c r="L32" s="403" t="s">
        <v>18565</v>
      </c>
      <c r="M32" s="403" t="s">
        <v>18566</v>
      </c>
      <c r="N32" s="403" t="s">
        <v>18567</v>
      </c>
      <c r="O32" s="403" t="s">
        <v>7084</v>
      </c>
      <c r="P32" s="403" t="s">
        <v>18568</v>
      </c>
      <c r="Q32" s="403" t="s">
        <v>8289</v>
      </c>
      <c r="R32" s="403" t="s">
        <v>18569</v>
      </c>
      <c r="S32" s="403" t="s">
        <v>18570</v>
      </c>
      <c r="T32" s="403" t="s">
        <v>18571</v>
      </c>
      <c r="U32" s="403"/>
      <c r="V32" s="403" t="s">
        <v>23024</v>
      </c>
      <c r="W32" s="403" t="s">
        <v>23024</v>
      </c>
      <c r="X32" s="403" t="s">
        <v>23024</v>
      </c>
      <c r="Y32" s="403" t="s">
        <v>23024</v>
      </c>
    </row>
    <row r="33" spans="1:25">
      <c r="A33" s="363">
        <f t="shared" si="7"/>
        <v>32</v>
      </c>
      <c r="B33" s="363" t="str">
        <f t="shared" si="0"/>
        <v>00</v>
      </c>
      <c r="C33" s="405" t="str">
        <f t="shared" si="1"/>
        <v>第028574号</v>
      </c>
      <c r="D33" s="405" t="str">
        <f t="shared" si="2"/>
        <v>（株）臼杵鋼鈑工業所</v>
      </c>
      <c r="E33" s="405" t="str">
        <f t="shared" si="3"/>
        <v>代表取締役</v>
      </c>
      <c r="F33" s="405" t="str">
        <f t="shared" si="4"/>
        <v>加嶋　久嗣</v>
      </c>
      <c r="G33" s="405" t="str">
        <f t="shared" si="5"/>
        <v>主たる営業所</v>
      </c>
      <c r="H33" s="405" t="str">
        <f t="shared" si="6"/>
        <v>臼杵市大字野田字平ノ下２６６－１</v>
      </c>
      <c r="L33" s="403" t="s">
        <v>7358</v>
      </c>
      <c r="M33" s="403" t="s">
        <v>7359</v>
      </c>
      <c r="N33" s="403" t="s">
        <v>5122</v>
      </c>
      <c r="O33" s="403" t="s">
        <v>7084</v>
      </c>
      <c r="P33" s="403" t="s">
        <v>5123</v>
      </c>
      <c r="Q33" s="403" t="s">
        <v>7360</v>
      </c>
      <c r="R33" s="403" t="s">
        <v>18572</v>
      </c>
      <c r="S33" s="403" t="s">
        <v>13945</v>
      </c>
      <c r="T33" s="403" t="s">
        <v>13946</v>
      </c>
      <c r="U33" s="403"/>
      <c r="V33" s="403" t="s">
        <v>23024</v>
      </c>
      <c r="W33" s="403" t="s">
        <v>23024</v>
      </c>
      <c r="X33" s="403" t="s">
        <v>23024</v>
      </c>
      <c r="Y33" s="403" t="s">
        <v>23024</v>
      </c>
    </row>
    <row r="34" spans="1:25">
      <c r="A34" s="363">
        <f t="shared" si="7"/>
        <v>33</v>
      </c>
      <c r="B34" s="363" t="str">
        <f t="shared" si="0"/>
        <v>00</v>
      </c>
      <c r="C34" s="405" t="str">
        <f t="shared" si="1"/>
        <v>第029333号</v>
      </c>
      <c r="D34" s="405" t="str">
        <f t="shared" si="2"/>
        <v>（株）和田組</v>
      </c>
      <c r="E34" s="405" t="str">
        <f t="shared" si="3"/>
        <v>代表取締役</v>
      </c>
      <c r="F34" s="405" t="str">
        <f t="shared" si="4"/>
        <v>後藤　浩治</v>
      </c>
      <c r="G34" s="405" t="str">
        <f t="shared" si="5"/>
        <v>主たる営業所</v>
      </c>
      <c r="H34" s="405" t="str">
        <f t="shared" si="6"/>
        <v>別府市石垣東１０－３－４０</v>
      </c>
      <c r="L34" s="403" t="s">
        <v>7361</v>
      </c>
      <c r="M34" s="403" t="s">
        <v>7362</v>
      </c>
      <c r="N34" s="403" t="s">
        <v>1623</v>
      </c>
      <c r="O34" s="403" t="s">
        <v>7084</v>
      </c>
      <c r="P34" s="403" t="s">
        <v>5209</v>
      </c>
      <c r="Q34" s="403" t="s">
        <v>7363</v>
      </c>
      <c r="R34" s="403" t="s">
        <v>18573</v>
      </c>
      <c r="S34" s="403" t="s">
        <v>13947</v>
      </c>
      <c r="T34" s="403" t="s">
        <v>13948</v>
      </c>
      <c r="U34" s="403"/>
      <c r="V34" s="403" t="s">
        <v>23024</v>
      </c>
      <c r="W34" s="403" t="s">
        <v>23024</v>
      </c>
      <c r="X34" s="403" t="s">
        <v>23024</v>
      </c>
      <c r="Y34" s="403" t="s">
        <v>23024</v>
      </c>
    </row>
    <row r="35" spans="1:25">
      <c r="A35" s="363">
        <f t="shared" si="7"/>
        <v>34</v>
      </c>
      <c r="B35" s="363" t="str">
        <f t="shared" si="0"/>
        <v>00</v>
      </c>
      <c r="C35" s="405" t="str">
        <f t="shared" si="1"/>
        <v>第029831号</v>
      </c>
      <c r="D35" s="405" t="str">
        <f t="shared" si="2"/>
        <v>（株）ＡＲＤＡ</v>
      </c>
      <c r="E35" s="405" t="str">
        <f t="shared" si="3"/>
        <v>代表取締役</v>
      </c>
      <c r="F35" s="405" t="str">
        <f t="shared" si="4"/>
        <v>伊藤　等</v>
      </c>
      <c r="G35" s="405" t="str">
        <f t="shared" si="5"/>
        <v>主たる営業所</v>
      </c>
      <c r="H35" s="405" t="str">
        <f t="shared" si="6"/>
        <v>別府市亀川１６９９－１</v>
      </c>
      <c r="L35" s="403" t="s">
        <v>18574</v>
      </c>
      <c r="M35" s="403" t="s">
        <v>11441</v>
      </c>
      <c r="N35" s="403" t="s">
        <v>4667</v>
      </c>
      <c r="O35" s="403" t="s">
        <v>7084</v>
      </c>
      <c r="P35" s="403" t="s">
        <v>4668</v>
      </c>
      <c r="Q35" s="403" t="s">
        <v>9888</v>
      </c>
      <c r="R35" s="403" t="s">
        <v>18575</v>
      </c>
      <c r="S35" s="403" t="s">
        <v>17148</v>
      </c>
      <c r="T35" s="403" t="s">
        <v>17149</v>
      </c>
      <c r="U35" s="403"/>
      <c r="V35" s="403" t="s">
        <v>23024</v>
      </c>
      <c r="W35" s="403" t="s">
        <v>23024</v>
      </c>
      <c r="X35" s="403" t="s">
        <v>23024</v>
      </c>
      <c r="Y35" s="403" t="s">
        <v>23024</v>
      </c>
    </row>
    <row r="36" spans="1:25">
      <c r="A36" s="363">
        <f t="shared" si="7"/>
        <v>35</v>
      </c>
      <c r="B36" s="363" t="str">
        <f t="shared" si="0"/>
        <v>44</v>
      </c>
      <c r="C36" s="405" t="str">
        <f t="shared" si="1"/>
        <v>第000011号</v>
      </c>
      <c r="D36" s="405" t="str">
        <f t="shared" si="2"/>
        <v>（株）利根建設</v>
      </c>
      <c r="E36" s="405" t="str">
        <f t="shared" si="3"/>
        <v>代表取締役</v>
      </c>
      <c r="F36" s="405" t="str">
        <f t="shared" si="4"/>
        <v>利根　三喜生</v>
      </c>
      <c r="G36" s="405" t="str">
        <f t="shared" si="5"/>
        <v>主たる営業所</v>
      </c>
      <c r="H36" s="405" t="str">
        <f t="shared" si="6"/>
        <v>大分市古国府６－３－２５</v>
      </c>
      <c r="L36" s="403" t="s">
        <v>7364</v>
      </c>
      <c r="M36" s="403" t="s">
        <v>7365</v>
      </c>
      <c r="N36" s="403" t="s">
        <v>1460</v>
      </c>
      <c r="O36" s="403" t="s">
        <v>7084</v>
      </c>
      <c r="P36" s="403" t="s">
        <v>1461</v>
      </c>
      <c r="Q36" s="403" t="s">
        <v>7366</v>
      </c>
      <c r="R36" s="403" t="s">
        <v>18576</v>
      </c>
      <c r="S36" s="403" t="s">
        <v>13949</v>
      </c>
      <c r="T36" s="403" t="s">
        <v>13950</v>
      </c>
      <c r="U36" s="403"/>
      <c r="V36" s="403" t="s">
        <v>23024</v>
      </c>
      <c r="W36" s="403" t="s">
        <v>23024</v>
      </c>
      <c r="X36" s="403" t="s">
        <v>23024</v>
      </c>
      <c r="Y36" s="403" t="s">
        <v>23024</v>
      </c>
    </row>
    <row r="37" spans="1:25">
      <c r="A37" s="363">
        <f t="shared" si="7"/>
        <v>36</v>
      </c>
      <c r="B37" s="363" t="str">
        <f t="shared" si="0"/>
        <v>44</v>
      </c>
      <c r="C37" s="405" t="str">
        <f t="shared" si="1"/>
        <v>第000012号</v>
      </c>
      <c r="D37" s="405" t="str">
        <f t="shared" si="2"/>
        <v>江藤酸素（株）</v>
      </c>
      <c r="E37" s="405" t="str">
        <f t="shared" si="3"/>
        <v>代表取締役</v>
      </c>
      <c r="F37" s="405" t="str">
        <f t="shared" si="4"/>
        <v>江藤　佳史</v>
      </c>
      <c r="G37" s="405" t="str">
        <f t="shared" si="5"/>
        <v>主たる営業所</v>
      </c>
      <c r="H37" s="405" t="str">
        <f t="shared" si="6"/>
        <v>大分市乙津町１－１６</v>
      </c>
      <c r="L37" s="403" t="s">
        <v>7367</v>
      </c>
      <c r="M37" s="403" t="s">
        <v>7368</v>
      </c>
      <c r="N37" s="403" t="s">
        <v>1462</v>
      </c>
      <c r="O37" s="403" t="s">
        <v>7084</v>
      </c>
      <c r="P37" s="403" t="s">
        <v>18577</v>
      </c>
      <c r="Q37" s="403" t="s">
        <v>7369</v>
      </c>
      <c r="R37" s="403" t="s">
        <v>18578</v>
      </c>
      <c r="S37" s="403" t="s">
        <v>13951</v>
      </c>
      <c r="T37" s="403" t="s">
        <v>13952</v>
      </c>
      <c r="U37" s="403"/>
      <c r="V37" s="403" t="s">
        <v>23024</v>
      </c>
      <c r="W37" s="403" t="s">
        <v>23024</v>
      </c>
      <c r="X37" s="403" t="s">
        <v>23024</v>
      </c>
      <c r="Y37" s="403" t="s">
        <v>23024</v>
      </c>
    </row>
    <row r="38" spans="1:25">
      <c r="A38" s="363">
        <f t="shared" si="7"/>
        <v>37</v>
      </c>
      <c r="B38" s="363" t="str">
        <f t="shared" si="0"/>
        <v>44</v>
      </c>
      <c r="C38" s="405" t="str">
        <f t="shared" si="1"/>
        <v>第000013号</v>
      </c>
      <c r="D38" s="405" t="str">
        <f t="shared" si="2"/>
        <v>（株）竹内工務店</v>
      </c>
      <c r="E38" s="405" t="str">
        <f t="shared" si="3"/>
        <v>代表取締役</v>
      </c>
      <c r="F38" s="405" t="str">
        <f t="shared" si="4"/>
        <v>篠田　浩利</v>
      </c>
      <c r="G38" s="405" t="str">
        <f t="shared" si="5"/>
        <v>主たる営業所</v>
      </c>
      <c r="H38" s="405" t="str">
        <f t="shared" si="6"/>
        <v>大分市舞鶴町１－１２－１９</v>
      </c>
      <c r="L38" s="403" t="s">
        <v>7370</v>
      </c>
      <c r="M38" s="403" t="s">
        <v>7371</v>
      </c>
      <c r="N38" s="403" t="s">
        <v>1463</v>
      </c>
      <c r="O38" s="403" t="s">
        <v>7084</v>
      </c>
      <c r="P38" s="403" t="s">
        <v>1464</v>
      </c>
      <c r="Q38" s="403" t="s">
        <v>7282</v>
      </c>
      <c r="R38" s="403" t="s">
        <v>18579</v>
      </c>
      <c r="S38" s="403" t="s">
        <v>13953</v>
      </c>
      <c r="T38" s="403" t="s">
        <v>13954</v>
      </c>
      <c r="U38" s="403"/>
      <c r="V38" s="403" t="s">
        <v>23024</v>
      </c>
      <c r="W38" s="403" t="s">
        <v>23024</v>
      </c>
      <c r="X38" s="403" t="s">
        <v>23024</v>
      </c>
      <c r="Y38" s="403" t="s">
        <v>23024</v>
      </c>
    </row>
    <row r="39" spans="1:25">
      <c r="A39" s="363">
        <f t="shared" si="7"/>
        <v>38</v>
      </c>
      <c r="B39" s="363" t="str">
        <f t="shared" si="0"/>
        <v>44</v>
      </c>
      <c r="C39" s="405" t="str">
        <f t="shared" si="1"/>
        <v>第000023号</v>
      </c>
      <c r="D39" s="405" t="str">
        <f t="shared" si="2"/>
        <v>（株）田島産業</v>
      </c>
      <c r="E39" s="405" t="str">
        <f t="shared" si="3"/>
        <v>代表取締役</v>
      </c>
      <c r="F39" s="405" t="str">
        <f t="shared" si="4"/>
        <v>田島　義明</v>
      </c>
      <c r="G39" s="405" t="str">
        <f t="shared" si="5"/>
        <v>主たる営業所</v>
      </c>
      <c r="H39" s="405" t="str">
        <f t="shared" si="6"/>
        <v>大分市大字横田３１</v>
      </c>
      <c r="L39" s="403" t="s">
        <v>7372</v>
      </c>
      <c r="M39" s="403" t="s">
        <v>7373</v>
      </c>
      <c r="N39" s="403" t="s">
        <v>1465</v>
      </c>
      <c r="O39" s="403" t="s">
        <v>7084</v>
      </c>
      <c r="P39" s="403" t="s">
        <v>1466</v>
      </c>
      <c r="Q39" s="403" t="s">
        <v>7374</v>
      </c>
      <c r="R39" s="403" t="s">
        <v>5341</v>
      </c>
      <c r="S39" s="403" t="s">
        <v>13955</v>
      </c>
      <c r="T39" s="403" t="s">
        <v>13956</v>
      </c>
      <c r="U39" s="403"/>
      <c r="V39" s="403" t="s">
        <v>23024</v>
      </c>
      <c r="W39" s="403" t="s">
        <v>23024</v>
      </c>
      <c r="X39" s="403" t="s">
        <v>23024</v>
      </c>
      <c r="Y39" s="403" t="s">
        <v>23024</v>
      </c>
    </row>
    <row r="40" spans="1:25">
      <c r="A40" s="363">
        <f t="shared" si="7"/>
        <v>39</v>
      </c>
      <c r="B40" s="363" t="str">
        <f t="shared" si="0"/>
        <v>44</v>
      </c>
      <c r="C40" s="405" t="str">
        <f t="shared" si="1"/>
        <v>第000048号</v>
      </c>
      <c r="D40" s="405" t="str">
        <f t="shared" si="2"/>
        <v>（有）太田工務店</v>
      </c>
      <c r="E40" s="405" t="str">
        <f t="shared" si="3"/>
        <v>代表取締役</v>
      </c>
      <c r="F40" s="405" t="str">
        <f t="shared" si="4"/>
        <v>太田　英一</v>
      </c>
      <c r="G40" s="405" t="str">
        <f t="shared" si="5"/>
        <v>主たる営業所</v>
      </c>
      <c r="H40" s="405" t="str">
        <f t="shared" si="6"/>
        <v>由布市湯布院町川上３０５３－１１</v>
      </c>
      <c r="L40" s="403" t="s">
        <v>7375</v>
      </c>
      <c r="M40" s="403" t="s">
        <v>7376</v>
      </c>
      <c r="N40" s="403" t="s">
        <v>1467</v>
      </c>
      <c r="O40" s="403" t="s">
        <v>7084</v>
      </c>
      <c r="P40" s="403" t="s">
        <v>1468</v>
      </c>
      <c r="Q40" s="403" t="s">
        <v>7377</v>
      </c>
      <c r="R40" s="403" t="s">
        <v>18580</v>
      </c>
      <c r="S40" s="403" t="s">
        <v>13957</v>
      </c>
      <c r="T40" s="403" t="s">
        <v>13958</v>
      </c>
      <c r="U40" s="403"/>
      <c r="V40" s="403" t="s">
        <v>23024</v>
      </c>
      <c r="W40" s="403" t="s">
        <v>23024</v>
      </c>
      <c r="X40" s="403" t="s">
        <v>23024</v>
      </c>
      <c r="Y40" s="403" t="s">
        <v>23024</v>
      </c>
    </row>
    <row r="41" spans="1:25">
      <c r="A41" s="363">
        <f t="shared" si="7"/>
        <v>40</v>
      </c>
      <c r="B41" s="363" t="str">
        <f t="shared" si="0"/>
        <v>44</v>
      </c>
      <c r="C41" s="405" t="str">
        <f t="shared" si="1"/>
        <v>第000049号</v>
      </c>
      <c r="D41" s="405" t="str">
        <f t="shared" si="2"/>
        <v>大分塗装工業（有）</v>
      </c>
      <c r="E41" s="405" t="str">
        <f t="shared" si="3"/>
        <v>代表取締役</v>
      </c>
      <c r="F41" s="405" t="str">
        <f t="shared" si="4"/>
        <v>上野　達己</v>
      </c>
      <c r="G41" s="405" t="str">
        <f t="shared" si="5"/>
        <v>主たる営業所</v>
      </c>
      <c r="H41" s="405" t="str">
        <f t="shared" si="6"/>
        <v>大分市弁天２－６－３２</v>
      </c>
      <c r="L41" s="403" t="s">
        <v>7378</v>
      </c>
      <c r="M41" s="403" t="s">
        <v>7379</v>
      </c>
      <c r="N41" s="403" t="s">
        <v>1469</v>
      </c>
      <c r="O41" s="403" t="s">
        <v>7084</v>
      </c>
      <c r="P41" s="403" t="s">
        <v>1470</v>
      </c>
      <c r="Q41" s="403" t="s">
        <v>7380</v>
      </c>
      <c r="R41" s="403" t="s">
        <v>18581</v>
      </c>
      <c r="S41" s="403" t="s">
        <v>13959</v>
      </c>
      <c r="T41" s="403" t="s">
        <v>13960</v>
      </c>
      <c r="U41" s="403"/>
      <c r="V41" s="403" t="s">
        <v>23024</v>
      </c>
      <c r="W41" s="403" t="s">
        <v>23024</v>
      </c>
      <c r="X41" s="403" t="s">
        <v>23024</v>
      </c>
      <c r="Y41" s="403" t="s">
        <v>23024</v>
      </c>
    </row>
    <row r="42" spans="1:25">
      <c r="A42" s="363">
        <f t="shared" si="7"/>
        <v>41</v>
      </c>
      <c r="B42" s="363" t="str">
        <f t="shared" si="0"/>
        <v>44</v>
      </c>
      <c r="C42" s="405" t="str">
        <f t="shared" si="1"/>
        <v>第000050号</v>
      </c>
      <c r="D42" s="405" t="str">
        <f t="shared" si="2"/>
        <v>首藤設備工業（株）</v>
      </c>
      <c r="E42" s="405" t="str">
        <f t="shared" si="3"/>
        <v>代表取締役</v>
      </c>
      <c r="F42" s="405" t="str">
        <f t="shared" si="4"/>
        <v>大津留　豊</v>
      </c>
      <c r="G42" s="405" t="str">
        <f t="shared" si="5"/>
        <v>主たる営業所</v>
      </c>
      <c r="H42" s="405" t="str">
        <f t="shared" si="6"/>
        <v>大分市花津留１－１６－８</v>
      </c>
      <c r="L42" s="403" t="s">
        <v>7381</v>
      </c>
      <c r="M42" s="403" t="s">
        <v>7382</v>
      </c>
      <c r="N42" s="403" t="s">
        <v>1471</v>
      </c>
      <c r="O42" s="403" t="s">
        <v>7084</v>
      </c>
      <c r="P42" s="403" t="s">
        <v>1472</v>
      </c>
      <c r="Q42" s="403" t="s">
        <v>7383</v>
      </c>
      <c r="R42" s="403" t="s">
        <v>18582</v>
      </c>
      <c r="S42" s="403" t="s">
        <v>13961</v>
      </c>
      <c r="T42" s="403" t="s">
        <v>13962</v>
      </c>
      <c r="U42" s="403"/>
      <c r="V42" s="403" t="s">
        <v>23024</v>
      </c>
      <c r="W42" s="403" t="s">
        <v>23024</v>
      </c>
      <c r="X42" s="403" t="s">
        <v>23024</v>
      </c>
      <c r="Y42" s="403" t="s">
        <v>23024</v>
      </c>
    </row>
    <row r="43" spans="1:25">
      <c r="A43" s="363">
        <f t="shared" si="7"/>
        <v>42</v>
      </c>
      <c r="B43" s="363" t="str">
        <f t="shared" si="0"/>
        <v>44</v>
      </c>
      <c r="C43" s="405" t="str">
        <f t="shared" si="1"/>
        <v>第000060号</v>
      </c>
      <c r="D43" s="405" t="str">
        <f t="shared" si="2"/>
        <v>大野塗装工業（有）</v>
      </c>
      <c r="E43" s="405" t="str">
        <f t="shared" si="3"/>
        <v>代表取締役</v>
      </c>
      <c r="F43" s="405" t="str">
        <f t="shared" si="4"/>
        <v>大野　鉄雄</v>
      </c>
      <c r="G43" s="405" t="str">
        <f t="shared" si="5"/>
        <v>主たる営業所</v>
      </c>
      <c r="H43" s="405" t="str">
        <f t="shared" si="6"/>
        <v>大分市大字下郡字高畑１７３８－３</v>
      </c>
      <c r="L43" s="403" t="s">
        <v>7384</v>
      </c>
      <c r="M43" s="403" t="s">
        <v>7385</v>
      </c>
      <c r="N43" s="403" t="s">
        <v>1473</v>
      </c>
      <c r="O43" s="403" t="s">
        <v>7084</v>
      </c>
      <c r="P43" s="403" t="s">
        <v>1474</v>
      </c>
      <c r="Q43" s="403" t="s">
        <v>7386</v>
      </c>
      <c r="R43" s="403" t="s">
        <v>18583</v>
      </c>
      <c r="S43" s="403" t="s">
        <v>13963</v>
      </c>
      <c r="T43" s="403" t="s">
        <v>13964</v>
      </c>
      <c r="U43" s="403"/>
      <c r="V43" s="403" t="s">
        <v>23024</v>
      </c>
      <c r="W43" s="403" t="s">
        <v>23024</v>
      </c>
      <c r="X43" s="403" t="s">
        <v>23024</v>
      </c>
      <c r="Y43" s="403" t="s">
        <v>23024</v>
      </c>
    </row>
    <row r="44" spans="1:25">
      <c r="A44" s="363">
        <f t="shared" si="7"/>
        <v>43</v>
      </c>
      <c r="B44" s="363" t="str">
        <f t="shared" si="0"/>
        <v>44</v>
      </c>
      <c r="C44" s="405" t="str">
        <f t="shared" si="1"/>
        <v>第000089号</v>
      </c>
      <c r="D44" s="405" t="str">
        <f t="shared" si="2"/>
        <v>上田水道工業（株）</v>
      </c>
      <c r="E44" s="405" t="str">
        <f t="shared" si="3"/>
        <v>代表取締役</v>
      </c>
      <c r="F44" s="405" t="str">
        <f t="shared" si="4"/>
        <v>上田　旬一</v>
      </c>
      <c r="G44" s="405" t="str">
        <f t="shared" si="5"/>
        <v>主たる営業所</v>
      </c>
      <c r="H44" s="405" t="str">
        <f t="shared" si="6"/>
        <v>大分市上野町１０－１２</v>
      </c>
      <c r="L44" s="403" t="s">
        <v>7387</v>
      </c>
      <c r="M44" s="403" t="s">
        <v>7388</v>
      </c>
      <c r="N44" s="403" t="s">
        <v>1478</v>
      </c>
      <c r="O44" s="403" t="s">
        <v>7084</v>
      </c>
      <c r="P44" s="403" t="s">
        <v>1479</v>
      </c>
      <c r="Q44" s="403" t="s">
        <v>7389</v>
      </c>
      <c r="R44" s="403" t="s">
        <v>18584</v>
      </c>
      <c r="S44" s="403" t="s">
        <v>13965</v>
      </c>
      <c r="T44" s="403" t="s">
        <v>13966</v>
      </c>
      <c r="U44" s="403"/>
      <c r="V44" s="403" t="s">
        <v>23024</v>
      </c>
      <c r="W44" s="403" t="s">
        <v>23024</v>
      </c>
      <c r="X44" s="403" t="s">
        <v>23024</v>
      </c>
      <c r="Y44" s="403" t="s">
        <v>23024</v>
      </c>
    </row>
    <row r="45" spans="1:25">
      <c r="A45" s="363">
        <f t="shared" si="7"/>
        <v>44</v>
      </c>
      <c r="B45" s="363" t="str">
        <f t="shared" si="0"/>
        <v>44</v>
      </c>
      <c r="C45" s="405" t="str">
        <f t="shared" si="1"/>
        <v>第000095号</v>
      </c>
      <c r="D45" s="405" t="str">
        <f t="shared" si="2"/>
        <v>江藤設備（株）</v>
      </c>
      <c r="E45" s="405" t="str">
        <f t="shared" si="3"/>
        <v>代表取締役</v>
      </c>
      <c r="F45" s="405" t="str">
        <f t="shared" si="4"/>
        <v>織戸　裕樹</v>
      </c>
      <c r="G45" s="405" t="str">
        <f t="shared" si="5"/>
        <v>主たる営業所</v>
      </c>
      <c r="H45" s="405" t="str">
        <f t="shared" si="6"/>
        <v>大分市西新地１－８－３０</v>
      </c>
      <c r="L45" s="403" t="s">
        <v>7390</v>
      </c>
      <c r="M45" s="403" t="s">
        <v>7391</v>
      </c>
      <c r="N45" s="403" t="s">
        <v>1480</v>
      </c>
      <c r="O45" s="403" t="s">
        <v>7084</v>
      </c>
      <c r="P45" s="403" t="s">
        <v>5210</v>
      </c>
      <c r="Q45" s="403" t="s">
        <v>7339</v>
      </c>
      <c r="R45" s="403" t="s">
        <v>18585</v>
      </c>
      <c r="S45" s="403" t="s">
        <v>13967</v>
      </c>
      <c r="T45" s="403" t="s">
        <v>13968</v>
      </c>
      <c r="U45" s="403"/>
      <c r="V45" s="403" t="s">
        <v>23024</v>
      </c>
      <c r="W45" s="403" t="s">
        <v>23024</v>
      </c>
      <c r="X45" s="403" t="s">
        <v>23024</v>
      </c>
      <c r="Y45" s="403" t="s">
        <v>23024</v>
      </c>
    </row>
    <row r="46" spans="1:25">
      <c r="A46" s="363">
        <f t="shared" si="7"/>
        <v>45</v>
      </c>
      <c r="B46" s="363" t="str">
        <f t="shared" si="0"/>
        <v>44</v>
      </c>
      <c r="C46" s="405" t="str">
        <f t="shared" si="1"/>
        <v>第000097号</v>
      </c>
      <c r="D46" s="405" t="str">
        <f t="shared" si="2"/>
        <v>（株）白石建設</v>
      </c>
      <c r="E46" s="405" t="str">
        <f t="shared" si="3"/>
        <v>代表取締役</v>
      </c>
      <c r="F46" s="405" t="str">
        <f t="shared" si="4"/>
        <v>白石　秀樹</v>
      </c>
      <c r="G46" s="405" t="str">
        <f t="shared" si="5"/>
        <v>主たる営業所</v>
      </c>
      <c r="H46" s="405" t="str">
        <f t="shared" si="6"/>
        <v>大分市萩原４－１５－６</v>
      </c>
      <c r="L46" s="403" t="s">
        <v>7392</v>
      </c>
      <c r="M46" s="403" t="s">
        <v>7393</v>
      </c>
      <c r="N46" s="403" t="s">
        <v>1482</v>
      </c>
      <c r="O46" s="403" t="s">
        <v>7084</v>
      </c>
      <c r="P46" s="403" t="s">
        <v>1483</v>
      </c>
      <c r="Q46" s="403" t="s">
        <v>7394</v>
      </c>
      <c r="R46" s="403" t="s">
        <v>18586</v>
      </c>
      <c r="S46" s="403" t="s">
        <v>13969</v>
      </c>
      <c r="T46" s="403" t="s">
        <v>13970</v>
      </c>
      <c r="U46" s="403"/>
      <c r="V46" s="403" t="s">
        <v>23024</v>
      </c>
      <c r="W46" s="403" t="s">
        <v>23024</v>
      </c>
      <c r="X46" s="403" t="s">
        <v>23024</v>
      </c>
      <c r="Y46" s="403" t="s">
        <v>23024</v>
      </c>
    </row>
    <row r="47" spans="1:25">
      <c r="A47" s="363">
        <f t="shared" si="7"/>
        <v>46</v>
      </c>
      <c r="B47" s="363" t="str">
        <f t="shared" si="0"/>
        <v>44</v>
      </c>
      <c r="C47" s="405" t="str">
        <f t="shared" si="1"/>
        <v>第000100号</v>
      </c>
      <c r="D47" s="405" t="str">
        <f t="shared" si="2"/>
        <v>協和工業（株）</v>
      </c>
      <c r="E47" s="405" t="str">
        <f t="shared" si="3"/>
        <v>代表取締役</v>
      </c>
      <c r="F47" s="405" t="str">
        <f t="shared" si="4"/>
        <v>金子　諭</v>
      </c>
      <c r="G47" s="405" t="str">
        <f t="shared" si="5"/>
        <v>主たる営業所</v>
      </c>
      <c r="H47" s="405" t="str">
        <f t="shared" si="6"/>
        <v>大分市大州浜１－４－３４</v>
      </c>
      <c r="L47" s="403" t="s">
        <v>7395</v>
      </c>
      <c r="M47" s="403" t="s">
        <v>7396</v>
      </c>
      <c r="N47" s="403" t="s">
        <v>1484</v>
      </c>
      <c r="O47" s="403" t="s">
        <v>7084</v>
      </c>
      <c r="P47" s="403" t="s">
        <v>1485</v>
      </c>
      <c r="Q47" s="403" t="s">
        <v>7397</v>
      </c>
      <c r="R47" s="403" t="s">
        <v>18587</v>
      </c>
      <c r="S47" s="403" t="s">
        <v>13971</v>
      </c>
      <c r="T47" s="403" t="s">
        <v>13972</v>
      </c>
      <c r="U47" s="403"/>
      <c r="V47" s="403" t="s">
        <v>23024</v>
      </c>
      <c r="W47" s="403" t="s">
        <v>23024</v>
      </c>
      <c r="X47" s="403" t="s">
        <v>23024</v>
      </c>
      <c r="Y47" s="403" t="s">
        <v>23024</v>
      </c>
    </row>
    <row r="48" spans="1:25">
      <c r="A48" s="363">
        <f t="shared" si="7"/>
        <v>47</v>
      </c>
      <c r="B48" s="363" t="str">
        <f t="shared" si="0"/>
        <v>44</v>
      </c>
      <c r="C48" s="405" t="str">
        <f t="shared" si="1"/>
        <v>第000104号</v>
      </c>
      <c r="D48" s="405" t="str">
        <f t="shared" si="2"/>
        <v>大徳電業（株）</v>
      </c>
      <c r="E48" s="405" t="str">
        <f t="shared" si="3"/>
        <v>代表取締役</v>
      </c>
      <c r="F48" s="405" t="str">
        <f t="shared" si="4"/>
        <v>秋吉　素史</v>
      </c>
      <c r="G48" s="405" t="str">
        <f t="shared" si="5"/>
        <v>主たる営業所</v>
      </c>
      <c r="H48" s="405" t="str">
        <f t="shared" si="6"/>
        <v>大分市牧１－４－１３</v>
      </c>
      <c r="L48" s="403" t="s">
        <v>7398</v>
      </c>
      <c r="M48" s="403" t="s">
        <v>7399</v>
      </c>
      <c r="N48" s="403" t="s">
        <v>1486</v>
      </c>
      <c r="O48" s="403" t="s">
        <v>7084</v>
      </c>
      <c r="P48" s="403" t="s">
        <v>1487</v>
      </c>
      <c r="Q48" s="403" t="s">
        <v>7400</v>
      </c>
      <c r="R48" s="403" t="s">
        <v>18588</v>
      </c>
      <c r="S48" s="403" t="s">
        <v>13973</v>
      </c>
      <c r="T48" s="403" t="s">
        <v>13974</v>
      </c>
      <c r="U48" s="403"/>
      <c r="V48" s="403" t="s">
        <v>23024</v>
      </c>
      <c r="W48" s="403" t="s">
        <v>23024</v>
      </c>
      <c r="X48" s="403" t="s">
        <v>23024</v>
      </c>
      <c r="Y48" s="403" t="s">
        <v>23024</v>
      </c>
    </row>
    <row r="49" spans="1:25">
      <c r="A49" s="363">
        <f t="shared" si="7"/>
        <v>48</v>
      </c>
      <c r="B49" s="363" t="str">
        <f t="shared" si="0"/>
        <v>44</v>
      </c>
      <c r="C49" s="405" t="str">
        <f t="shared" si="1"/>
        <v>第000114号</v>
      </c>
      <c r="D49" s="405" t="str">
        <f t="shared" si="2"/>
        <v>（株）田島組</v>
      </c>
      <c r="E49" s="405" t="str">
        <f t="shared" si="3"/>
        <v>代表取締役</v>
      </c>
      <c r="F49" s="405" t="str">
        <f t="shared" si="4"/>
        <v>田島　栄輔</v>
      </c>
      <c r="G49" s="405" t="str">
        <f t="shared" si="5"/>
        <v>主たる営業所</v>
      </c>
      <c r="H49" s="405" t="str">
        <f t="shared" si="6"/>
        <v>大分市王子西町１３－３</v>
      </c>
      <c r="L49" s="403" t="s">
        <v>7401</v>
      </c>
      <c r="M49" s="403" t="s">
        <v>7402</v>
      </c>
      <c r="N49" s="403" t="s">
        <v>1488</v>
      </c>
      <c r="O49" s="403" t="s">
        <v>7084</v>
      </c>
      <c r="P49" s="403" t="s">
        <v>1489</v>
      </c>
      <c r="Q49" s="403" t="s">
        <v>7403</v>
      </c>
      <c r="R49" s="403" t="s">
        <v>18589</v>
      </c>
      <c r="S49" s="403" t="s">
        <v>13975</v>
      </c>
      <c r="T49" s="403" t="s">
        <v>13976</v>
      </c>
      <c r="U49" s="403"/>
      <c r="V49" s="403" t="s">
        <v>23024</v>
      </c>
      <c r="W49" s="403" t="s">
        <v>23024</v>
      </c>
      <c r="X49" s="403" t="s">
        <v>23024</v>
      </c>
      <c r="Y49" s="403" t="s">
        <v>23024</v>
      </c>
    </row>
    <row r="50" spans="1:25">
      <c r="A50" s="363">
        <f t="shared" si="7"/>
        <v>49</v>
      </c>
      <c r="B50" s="363" t="str">
        <f t="shared" si="0"/>
        <v>44</v>
      </c>
      <c r="C50" s="405" t="str">
        <f t="shared" si="1"/>
        <v>第000125号</v>
      </c>
      <c r="D50" s="405" t="str">
        <f t="shared" si="2"/>
        <v>（株）三宮工材</v>
      </c>
      <c r="E50" s="405" t="str">
        <f t="shared" si="3"/>
        <v>代表取締役</v>
      </c>
      <c r="F50" s="405" t="str">
        <f t="shared" si="4"/>
        <v>前田　知樹</v>
      </c>
      <c r="G50" s="405" t="str">
        <f t="shared" si="5"/>
        <v>主たる営業所</v>
      </c>
      <c r="H50" s="405" t="str">
        <f t="shared" si="6"/>
        <v>大分市弁天２－３－１</v>
      </c>
      <c r="L50" s="403" t="s">
        <v>7404</v>
      </c>
      <c r="M50" s="403" t="s">
        <v>7405</v>
      </c>
      <c r="N50" s="403" t="s">
        <v>1490</v>
      </c>
      <c r="O50" s="403" t="s">
        <v>7084</v>
      </c>
      <c r="P50" s="403" t="s">
        <v>1491</v>
      </c>
      <c r="Q50" s="403" t="s">
        <v>7380</v>
      </c>
      <c r="R50" s="403" t="s">
        <v>18590</v>
      </c>
      <c r="S50" s="403" t="s">
        <v>13977</v>
      </c>
      <c r="T50" s="403" t="s">
        <v>13978</v>
      </c>
      <c r="U50" s="403"/>
      <c r="V50" s="403" t="s">
        <v>23024</v>
      </c>
      <c r="W50" s="403" t="s">
        <v>23024</v>
      </c>
      <c r="X50" s="403" t="s">
        <v>23024</v>
      </c>
      <c r="Y50" s="403" t="s">
        <v>23024</v>
      </c>
    </row>
    <row r="51" spans="1:25">
      <c r="A51" s="363">
        <f t="shared" si="7"/>
        <v>50</v>
      </c>
      <c r="B51" s="363" t="str">
        <f t="shared" si="0"/>
        <v>44</v>
      </c>
      <c r="C51" s="405" t="str">
        <f t="shared" si="1"/>
        <v>第000126号</v>
      </c>
      <c r="D51" s="405" t="str">
        <f t="shared" si="2"/>
        <v>（株）秋吉組</v>
      </c>
      <c r="E51" s="405" t="str">
        <f t="shared" si="3"/>
        <v>代表取締役</v>
      </c>
      <c r="F51" s="405" t="str">
        <f t="shared" si="4"/>
        <v>秋吉　満宗</v>
      </c>
      <c r="G51" s="405" t="str">
        <f t="shared" si="5"/>
        <v>主たる営業所</v>
      </c>
      <c r="H51" s="405" t="str">
        <f t="shared" si="6"/>
        <v>由布市湯布院町川上１０２５－７</v>
      </c>
      <c r="L51" s="403" t="s">
        <v>7406</v>
      </c>
      <c r="M51" s="403" t="s">
        <v>7407</v>
      </c>
      <c r="N51" s="403" t="s">
        <v>1492</v>
      </c>
      <c r="O51" s="403" t="s">
        <v>7084</v>
      </c>
      <c r="P51" s="403" t="s">
        <v>1493</v>
      </c>
      <c r="Q51" s="403" t="s">
        <v>7377</v>
      </c>
      <c r="R51" s="403" t="s">
        <v>18591</v>
      </c>
      <c r="S51" s="403" t="s">
        <v>13979</v>
      </c>
      <c r="T51" s="403" t="s">
        <v>13980</v>
      </c>
      <c r="U51" s="403"/>
      <c r="V51" s="403" t="s">
        <v>23024</v>
      </c>
      <c r="W51" s="403" t="s">
        <v>23024</v>
      </c>
      <c r="X51" s="403" t="s">
        <v>23024</v>
      </c>
      <c r="Y51" s="403" t="s">
        <v>23024</v>
      </c>
    </row>
    <row r="52" spans="1:25">
      <c r="A52" s="363">
        <f t="shared" si="7"/>
        <v>51</v>
      </c>
      <c r="B52" s="363" t="str">
        <f t="shared" si="0"/>
        <v>44</v>
      </c>
      <c r="C52" s="405" t="str">
        <f t="shared" si="1"/>
        <v>第000135号</v>
      </c>
      <c r="D52" s="405" t="str">
        <f t="shared" si="2"/>
        <v>九州産業設備（株）</v>
      </c>
      <c r="E52" s="405" t="str">
        <f t="shared" si="3"/>
        <v>代表取締役</v>
      </c>
      <c r="F52" s="405" t="str">
        <f t="shared" si="4"/>
        <v>増田　佳明</v>
      </c>
      <c r="G52" s="405" t="str">
        <f t="shared" si="5"/>
        <v>主たる営業所</v>
      </c>
      <c r="H52" s="405" t="str">
        <f t="shared" si="6"/>
        <v>大分市城東町１－３９</v>
      </c>
      <c r="L52" s="403" t="s">
        <v>7408</v>
      </c>
      <c r="M52" s="403" t="s">
        <v>7409</v>
      </c>
      <c r="N52" s="403" t="s">
        <v>1494</v>
      </c>
      <c r="O52" s="403" t="s">
        <v>7084</v>
      </c>
      <c r="P52" s="403" t="s">
        <v>1495</v>
      </c>
      <c r="Q52" s="403" t="s">
        <v>7410</v>
      </c>
      <c r="R52" s="403" t="s">
        <v>18592</v>
      </c>
      <c r="S52" s="403" t="s">
        <v>13981</v>
      </c>
      <c r="T52" s="403" t="s">
        <v>13982</v>
      </c>
      <c r="U52" s="403"/>
      <c r="V52" s="403" t="s">
        <v>23024</v>
      </c>
      <c r="W52" s="403" t="s">
        <v>23024</v>
      </c>
      <c r="X52" s="403" t="s">
        <v>23024</v>
      </c>
      <c r="Y52" s="403" t="s">
        <v>23024</v>
      </c>
    </row>
    <row r="53" spans="1:25">
      <c r="A53" s="363">
        <f t="shared" si="7"/>
        <v>52</v>
      </c>
      <c r="B53" s="363" t="str">
        <f t="shared" si="0"/>
        <v>44</v>
      </c>
      <c r="C53" s="405" t="str">
        <f t="shared" si="1"/>
        <v>第000138号</v>
      </c>
      <c r="D53" s="405" t="str">
        <f t="shared" si="2"/>
        <v>角栄建設工業（株）</v>
      </c>
      <c r="E53" s="405" t="str">
        <f t="shared" si="3"/>
        <v>代表取締役</v>
      </c>
      <c r="F53" s="405" t="str">
        <f t="shared" si="4"/>
        <v>角　裕介</v>
      </c>
      <c r="G53" s="405" t="str">
        <f t="shared" si="5"/>
        <v>主たる営業所</v>
      </c>
      <c r="H53" s="405" t="str">
        <f t="shared" si="6"/>
        <v>大分市三佐１－１４－７</v>
      </c>
      <c r="L53" s="403" t="s">
        <v>7411</v>
      </c>
      <c r="M53" s="403" t="s">
        <v>7412</v>
      </c>
      <c r="N53" s="403" t="s">
        <v>1496</v>
      </c>
      <c r="O53" s="403" t="s">
        <v>7084</v>
      </c>
      <c r="P53" s="403" t="s">
        <v>1497</v>
      </c>
      <c r="Q53" s="403" t="s">
        <v>7413</v>
      </c>
      <c r="R53" s="403" t="s">
        <v>18593</v>
      </c>
      <c r="S53" s="403" t="s">
        <v>13983</v>
      </c>
      <c r="T53" s="403" t="s">
        <v>13984</v>
      </c>
      <c r="U53" s="403"/>
      <c r="V53" s="403" t="s">
        <v>23024</v>
      </c>
      <c r="W53" s="403" t="s">
        <v>23024</v>
      </c>
      <c r="X53" s="403" t="s">
        <v>23024</v>
      </c>
      <c r="Y53" s="403" t="s">
        <v>23024</v>
      </c>
    </row>
    <row r="54" spans="1:25">
      <c r="A54" s="363">
        <f t="shared" si="7"/>
        <v>53</v>
      </c>
      <c r="B54" s="363" t="str">
        <f t="shared" si="0"/>
        <v>44</v>
      </c>
      <c r="C54" s="405" t="str">
        <f t="shared" si="1"/>
        <v>第000144号</v>
      </c>
      <c r="D54" s="405" t="str">
        <f t="shared" si="2"/>
        <v>（有）志村電設</v>
      </c>
      <c r="E54" s="405" t="str">
        <f t="shared" si="3"/>
        <v>代表取締役</v>
      </c>
      <c r="F54" s="405" t="str">
        <f t="shared" si="4"/>
        <v>志村　一博</v>
      </c>
      <c r="G54" s="405" t="str">
        <f t="shared" si="5"/>
        <v>主たる営業所</v>
      </c>
      <c r="H54" s="405" t="str">
        <f t="shared" si="6"/>
        <v>国東市武蔵町糸原ミナト１８７８</v>
      </c>
      <c r="L54" s="403" t="s">
        <v>7414</v>
      </c>
      <c r="M54" s="403" t="s">
        <v>7415</v>
      </c>
      <c r="N54" s="403" t="s">
        <v>1498</v>
      </c>
      <c r="O54" s="403" t="s">
        <v>7084</v>
      </c>
      <c r="P54" s="403" t="s">
        <v>1499</v>
      </c>
      <c r="Q54" s="403" t="s">
        <v>7416</v>
      </c>
      <c r="R54" s="403" t="s">
        <v>5342</v>
      </c>
      <c r="S54" s="403" t="s">
        <v>13985</v>
      </c>
      <c r="T54" s="403" t="s">
        <v>13986</v>
      </c>
      <c r="U54" s="403"/>
      <c r="V54" s="403" t="s">
        <v>23024</v>
      </c>
      <c r="W54" s="403" t="s">
        <v>23024</v>
      </c>
      <c r="X54" s="403" t="s">
        <v>23024</v>
      </c>
      <c r="Y54" s="403" t="s">
        <v>23024</v>
      </c>
    </row>
    <row r="55" spans="1:25">
      <c r="A55" s="363">
        <f t="shared" si="7"/>
        <v>54</v>
      </c>
      <c r="B55" s="363" t="str">
        <f t="shared" si="0"/>
        <v>44</v>
      </c>
      <c r="C55" s="405" t="str">
        <f t="shared" si="1"/>
        <v>第000145号</v>
      </c>
      <c r="D55" s="405" t="str">
        <f t="shared" si="2"/>
        <v>（株）古宮工業</v>
      </c>
      <c r="E55" s="405" t="str">
        <f t="shared" si="3"/>
        <v>代表取締役</v>
      </c>
      <c r="F55" s="405" t="str">
        <f t="shared" si="4"/>
        <v>足立　好範</v>
      </c>
      <c r="G55" s="405" t="str">
        <f t="shared" si="5"/>
        <v>主たる営業所</v>
      </c>
      <c r="H55" s="405" t="str">
        <f t="shared" si="6"/>
        <v>大分市大字下郡３７０８－１９</v>
      </c>
      <c r="L55" s="403" t="s">
        <v>7417</v>
      </c>
      <c r="M55" s="403" t="s">
        <v>7418</v>
      </c>
      <c r="N55" s="403" t="s">
        <v>1500</v>
      </c>
      <c r="O55" s="403" t="s">
        <v>7084</v>
      </c>
      <c r="P55" s="403" t="s">
        <v>1501</v>
      </c>
      <c r="Q55" s="403" t="s">
        <v>7419</v>
      </c>
      <c r="R55" s="403" t="s">
        <v>18594</v>
      </c>
      <c r="S55" s="403" t="s">
        <v>13987</v>
      </c>
      <c r="T55" s="403" t="s">
        <v>13988</v>
      </c>
      <c r="U55" s="403"/>
      <c r="V55" s="403" t="s">
        <v>23024</v>
      </c>
      <c r="W55" s="403" t="s">
        <v>23024</v>
      </c>
      <c r="X55" s="403" t="s">
        <v>23024</v>
      </c>
      <c r="Y55" s="403" t="s">
        <v>23024</v>
      </c>
    </row>
    <row r="56" spans="1:25">
      <c r="A56" s="363">
        <f t="shared" si="7"/>
        <v>55</v>
      </c>
      <c r="B56" s="363" t="str">
        <f t="shared" si="0"/>
        <v>44</v>
      </c>
      <c r="C56" s="405" t="str">
        <f t="shared" si="1"/>
        <v>第000157号</v>
      </c>
      <c r="D56" s="405" t="str">
        <f t="shared" si="2"/>
        <v>（有）平山土木</v>
      </c>
      <c r="E56" s="405" t="str">
        <f t="shared" si="3"/>
        <v>代表取締役</v>
      </c>
      <c r="F56" s="405" t="str">
        <f t="shared" si="4"/>
        <v>平山　元士</v>
      </c>
      <c r="G56" s="405" t="str">
        <f t="shared" si="5"/>
        <v>主たる営業所</v>
      </c>
      <c r="H56" s="405" t="str">
        <f t="shared" si="6"/>
        <v>大分市大字上戸次３９７７－１</v>
      </c>
      <c r="L56" s="403" t="s">
        <v>7420</v>
      </c>
      <c r="M56" s="403" t="s">
        <v>7421</v>
      </c>
      <c r="N56" s="403" t="s">
        <v>1502</v>
      </c>
      <c r="O56" s="403" t="s">
        <v>7084</v>
      </c>
      <c r="P56" s="403" t="s">
        <v>1503</v>
      </c>
      <c r="Q56" s="403" t="s">
        <v>7422</v>
      </c>
      <c r="R56" s="403" t="s">
        <v>18595</v>
      </c>
      <c r="S56" s="403" t="s">
        <v>13989</v>
      </c>
      <c r="T56" s="403" t="s">
        <v>13990</v>
      </c>
      <c r="U56" s="403"/>
      <c r="V56" s="403" t="s">
        <v>23024</v>
      </c>
      <c r="W56" s="403" t="s">
        <v>23024</v>
      </c>
      <c r="X56" s="403" t="s">
        <v>23024</v>
      </c>
      <c r="Y56" s="403" t="s">
        <v>23024</v>
      </c>
    </row>
    <row r="57" spans="1:25">
      <c r="A57" s="363">
        <f t="shared" si="7"/>
        <v>56</v>
      </c>
      <c r="B57" s="363" t="str">
        <f t="shared" si="0"/>
        <v>44</v>
      </c>
      <c r="C57" s="405" t="str">
        <f t="shared" si="1"/>
        <v>第000166号</v>
      </c>
      <c r="D57" s="405" t="str">
        <f t="shared" si="2"/>
        <v>九州化工（株）</v>
      </c>
      <c r="E57" s="405" t="str">
        <f t="shared" si="3"/>
        <v>代表取締役</v>
      </c>
      <c r="F57" s="405" t="str">
        <f t="shared" si="4"/>
        <v>松山　正喜</v>
      </c>
      <c r="G57" s="405" t="str">
        <f t="shared" si="5"/>
        <v>主たる営業所</v>
      </c>
      <c r="H57" s="405" t="str">
        <f t="shared" si="6"/>
        <v>大分市乙津港町２－８－２８</v>
      </c>
      <c r="L57" s="403" t="s">
        <v>7423</v>
      </c>
      <c r="M57" s="403" t="s">
        <v>7424</v>
      </c>
      <c r="N57" s="403" t="s">
        <v>1504</v>
      </c>
      <c r="O57" s="403" t="s">
        <v>7084</v>
      </c>
      <c r="P57" s="403" t="s">
        <v>1505</v>
      </c>
      <c r="Q57" s="403" t="s">
        <v>7425</v>
      </c>
      <c r="R57" s="403" t="s">
        <v>18596</v>
      </c>
      <c r="S57" s="403" t="s">
        <v>13991</v>
      </c>
      <c r="T57" s="403" t="s">
        <v>13992</v>
      </c>
      <c r="U57" s="403"/>
      <c r="V57" s="403" t="s">
        <v>23024</v>
      </c>
      <c r="W57" s="403" t="s">
        <v>23024</v>
      </c>
      <c r="X57" s="403" t="s">
        <v>23024</v>
      </c>
      <c r="Y57" s="403" t="s">
        <v>23024</v>
      </c>
    </row>
    <row r="58" spans="1:25">
      <c r="A58" s="363">
        <f t="shared" si="7"/>
        <v>57</v>
      </c>
      <c r="B58" s="363" t="str">
        <f t="shared" si="0"/>
        <v>44</v>
      </c>
      <c r="C58" s="405" t="str">
        <f t="shared" si="1"/>
        <v>第000197号</v>
      </c>
      <c r="D58" s="405" t="str">
        <f t="shared" si="2"/>
        <v>（株）安部電業社</v>
      </c>
      <c r="E58" s="405" t="str">
        <f t="shared" si="3"/>
        <v>代表取締役</v>
      </c>
      <c r="F58" s="405" t="str">
        <f t="shared" si="4"/>
        <v>安部　太</v>
      </c>
      <c r="G58" s="405" t="str">
        <f t="shared" si="5"/>
        <v>主たる営業所</v>
      </c>
      <c r="H58" s="405" t="str">
        <f t="shared" si="6"/>
        <v>大分市花園２－４－４４</v>
      </c>
      <c r="L58" s="403" t="s">
        <v>7426</v>
      </c>
      <c r="M58" s="403" t="s">
        <v>7427</v>
      </c>
      <c r="N58" s="403" t="s">
        <v>1506</v>
      </c>
      <c r="O58" s="403" t="s">
        <v>7084</v>
      </c>
      <c r="P58" s="403" t="s">
        <v>1507</v>
      </c>
      <c r="Q58" s="403" t="s">
        <v>7428</v>
      </c>
      <c r="R58" s="403" t="s">
        <v>18597</v>
      </c>
      <c r="S58" s="403" t="s">
        <v>13993</v>
      </c>
      <c r="T58" s="403" t="s">
        <v>13994</v>
      </c>
      <c r="U58" s="403"/>
      <c r="V58" s="403" t="s">
        <v>23024</v>
      </c>
      <c r="W58" s="403" t="s">
        <v>23024</v>
      </c>
      <c r="X58" s="403" t="s">
        <v>23024</v>
      </c>
      <c r="Y58" s="403" t="s">
        <v>23024</v>
      </c>
    </row>
    <row r="59" spans="1:25">
      <c r="A59" s="363">
        <f t="shared" si="7"/>
        <v>58</v>
      </c>
      <c r="B59" s="363" t="str">
        <f t="shared" si="0"/>
        <v>44</v>
      </c>
      <c r="C59" s="405" t="str">
        <f t="shared" si="1"/>
        <v>第000198号</v>
      </c>
      <c r="D59" s="405" t="str">
        <f t="shared" si="2"/>
        <v>（株）池田組</v>
      </c>
      <c r="E59" s="405" t="str">
        <f t="shared" si="3"/>
        <v>代表取締役</v>
      </c>
      <c r="F59" s="405" t="str">
        <f t="shared" si="4"/>
        <v>池田　俊輔</v>
      </c>
      <c r="G59" s="405" t="str">
        <f t="shared" si="5"/>
        <v>主たる営業所</v>
      </c>
      <c r="H59" s="405" t="str">
        <f t="shared" si="6"/>
        <v>大分市新川町２－５－４１</v>
      </c>
      <c r="L59" s="403" t="s">
        <v>7429</v>
      </c>
      <c r="M59" s="403" t="s">
        <v>7430</v>
      </c>
      <c r="N59" s="403" t="s">
        <v>1508</v>
      </c>
      <c r="O59" s="403" t="s">
        <v>7084</v>
      </c>
      <c r="P59" s="403" t="s">
        <v>1509</v>
      </c>
      <c r="Q59" s="403" t="s">
        <v>7431</v>
      </c>
      <c r="R59" s="403" t="s">
        <v>18598</v>
      </c>
      <c r="S59" s="403" t="s">
        <v>13995</v>
      </c>
      <c r="T59" s="403" t="s">
        <v>13996</v>
      </c>
      <c r="U59" s="403"/>
      <c r="V59" s="403" t="s">
        <v>23024</v>
      </c>
      <c r="W59" s="403" t="s">
        <v>23024</v>
      </c>
      <c r="X59" s="403" t="s">
        <v>23024</v>
      </c>
      <c r="Y59" s="403" t="s">
        <v>23024</v>
      </c>
    </row>
    <row r="60" spans="1:25">
      <c r="A60" s="363">
        <f t="shared" si="7"/>
        <v>59</v>
      </c>
      <c r="B60" s="363" t="str">
        <f t="shared" si="0"/>
        <v>44</v>
      </c>
      <c r="C60" s="405" t="str">
        <f t="shared" si="1"/>
        <v>第000200号</v>
      </c>
      <c r="D60" s="405" t="str">
        <f t="shared" si="2"/>
        <v>（株）三光園</v>
      </c>
      <c r="E60" s="405" t="str">
        <f t="shared" si="3"/>
        <v>代表取締役</v>
      </c>
      <c r="F60" s="405" t="str">
        <f t="shared" si="4"/>
        <v>安部　博樹</v>
      </c>
      <c r="G60" s="405" t="str">
        <f t="shared" si="5"/>
        <v>主たる営業所</v>
      </c>
      <c r="H60" s="405" t="str">
        <f t="shared" si="6"/>
        <v>大分市大字下郡９９３－１</v>
      </c>
      <c r="L60" s="403" t="s">
        <v>7432</v>
      </c>
      <c r="M60" s="403" t="s">
        <v>7433</v>
      </c>
      <c r="N60" s="403" t="s">
        <v>1510</v>
      </c>
      <c r="O60" s="403" t="s">
        <v>7084</v>
      </c>
      <c r="P60" s="403" t="s">
        <v>1511</v>
      </c>
      <c r="Q60" s="403" t="s">
        <v>7419</v>
      </c>
      <c r="R60" s="403" t="s">
        <v>18599</v>
      </c>
      <c r="S60" s="403" t="s">
        <v>13997</v>
      </c>
      <c r="T60" s="403" t="s">
        <v>13998</v>
      </c>
      <c r="U60" s="403"/>
      <c r="V60" s="403" t="s">
        <v>23024</v>
      </c>
      <c r="W60" s="403" t="s">
        <v>23024</v>
      </c>
      <c r="X60" s="403" t="s">
        <v>23024</v>
      </c>
      <c r="Y60" s="403" t="s">
        <v>23024</v>
      </c>
    </row>
    <row r="61" spans="1:25">
      <c r="A61" s="363">
        <f t="shared" si="7"/>
        <v>60</v>
      </c>
      <c r="B61" s="363" t="str">
        <f t="shared" si="0"/>
        <v>44</v>
      </c>
      <c r="C61" s="405" t="str">
        <f t="shared" si="1"/>
        <v>第000213号</v>
      </c>
      <c r="D61" s="405" t="str">
        <f t="shared" si="2"/>
        <v>（株）三ヶ尻電業社</v>
      </c>
      <c r="E61" s="405" t="str">
        <f t="shared" si="3"/>
        <v>代表取締役</v>
      </c>
      <c r="F61" s="405" t="str">
        <f t="shared" si="4"/>
        <v>三ヶ尻　辰也</v>
      </c>
      <c r="G61" s="405" t="str">
        <f t="shared" si="5"/>
        <v>主たる営業所</v>
      </c>
      <c r="H61" s="405" t="str">
        <f t="shared" si="6"/>
        <v>大分市大字勢家１０９８－３５</v>
      </c>
      <c r="L61" s="403" t="s">
        <v>7434</v>
      </c>
      <c r="M61" s="403" t="s">
        <v>7435</v>
      </c>
      <c r="N61" s="403" t="s">
        <v>1512</v>
      </c>
      <c r="O61" s="403" t="s">
        <v>7084</v>
      </c>
      <c r="P61" s="403" t="s">
        <v>3810</v>
      </c>
      <c r="Q61" s="403" t="s">
        <v>7436</v>
      </c>
      <c r="R61" s="403" t="s">
        <v>18600</v>
      </c>
      <c r="S61" s="403" t="s">
        <v>13999</v>
      </c>
      <c r="T61" s="403" t="s">
        <v>14000</v>
      </c>
      <c r="U61" s="403"/>
      <c r="V61" s="403" t="s">
        <v>23024</v>
      </c>
      <c r="W61" s="403" t="s">
        <v>23024</v>
      </c>
      <c r="X61" s="403" t="s">
        <v>23024</v>
      </c>
      <c r="Y61" s="403" t="s">
        <v>23024</v>
      </c>
    </row>
    <row r="62" spans="1:25">
      <c r="A62" s="363">
        <f t="shared" si="7"/>
        <v>61</v>
      </c>
      <c r="B62" s="363" t="str">
        <f t="shared" si="0"/>
        <v>44</v>
      </c>
      <c r="C62" s="405" t="str">
        <f t="shared" si="1"/>
        <v>第000222号</v>
      </c>
      <c r="D62" s="405" t="str">
        <f t="shared" si="2"/>
        <v>（株）土谷電気</v>
      </c>
      <c r="E62" s="405" t="str">
        <f t="shared" si="3"/>
        <v>代表取締役</v>
      </c>
      <c r="F62" s="405" t="str">
        <f t="shared" si="4"/>
        <v>土谷　逸郎</v>
      </c>
      <c r="G62" s="405" t="str">
        <f t="shared" si="5"/>
        <v>主たる営業所</v>
      </c>
      <c r="H62" s="405" t="str">
        <f t="shared" si="6"/>
        <v>大分市顕徳町２－１－２６</v>
      </c>
      <c r="L62" s="403" t="s">
        <v>7437</v>
      </c>
      <c r="M62" s="403" t="s">
        <v>7438</v>
      </c>
      <c r="N62" s="403" t="s">
        <v>1513</v>
      </c>
      <c r="O62" s="403" t="s">
        <v>7084</v>
      </c>
      <c r="P62" s="403" t="s">
        <v>1514</v>
      </c>
      <c r="Q62" s="403" t="s">
        <v>7439</v>
      </c>
      <c r="R62" s="403" t="s">
        <v>18601</v>
      </c>
      <c r="S62" s="403" t="s">
        <v>14001</v>
      </c>
      <c r="T62" s="403" t="s">
        <v>14002</v>
      </c>
      <c r="U62" s="403"/>
      <c r="V62" s="403" t="s">
        <v>23024</v>
      </c>
      <c r="W62" s="403" t="s">
        <v>23024</v>
      </c>
      <c r="X62" s="403" t="s">
        <v>23024</v>
      </c>
      <c r="Y62" s="403" t="s">
        <v>23024</v>
      </c>
    </row>
    <row r="63" spans="1:25">
      <c r="A63" s="363">
        <f t="shared" si="7"/>
        <v>62</v>
      </c>
      <c r="B63" s="363" t="str">
        <f t="shared" si="0"/>
        <v>44</v>
      </c>
      <c r="C63" s="405" t="str">
        <f t="shared" si="1"/>
        <v>第000255号</v>
      </c>
      <c r="D63" s="405" t="str">
        <f t="shared" si="2"/>
        <v>（株）日本電工</v>
      </c>
      <c r="E63" s="405" t="str">
        <f t="shared" si="3"/>
        <v>代表取締役</v>
      </c>
      <c r="F63" s="405" t="str">
        <f t="shared" si="4"/>
        <v>岡田　司朗</v>
      </c>
      <c r="G63" s="405" t="str">
        <f t="shared" si="5"/>
        <v>主たる営業所</v>
      </c>
      <c r="H63" s="405" t="str">
        <f t="shared" si="6"/>
        <v>大分市大字三佐字八幡島２０３４</v>
      </c>
      <c r="L63" s="403" t="s">
        <v>7440</v>
      </c>
      <c r="M63" s="403" t="s">
        <v>7441</v>
      </c>
      <c r="N63" s="403" t="s">
        <v>1515</v>
      </c>
      <c r="O63" s="403" t="s">
        <v>7084</v>
      </c>
      <c r="P63" s="403" t="s">
        <v>1516</v>
      </c>
      <c r="Q63" s="403" t="s">
        <v>7413</v>
      </c>
      <c r="R63" s="403" t="s">
        <v>5343</v>
      </c>
      <c r="S63" s="403" t="s">
        <v>14003</v>
      </c>
      <c r="T63" s="403" t="s">
        <v>14004</v>
      </c>
      <c r="U63" s="403"/>
      <c r="V63" s="403" t="s">
        <v>23024</v>
      </c>
      <c r="W63" s="403" t="s">
        <v>23024</v>
      </c>
      <c r="X63" s="403" t="s">
        <v>23024</v>
      </c>
      <c r="Y63" s="403" t="s">
        <v>23024</v>
      </c>
    </row>
    <row r="64" spans="1:25">
      <c r="A64" s="363">
        <f t="shared" si="7"/>
        <v>63</v>
      </c>
      <c r="B64" s="363" t="str">
        <f t="shared" si="0"/>
        <v>44</v>
      </c>
      <c r="C64" s="405" t="str">
        <f t="shared" si="1"/>
        <v>第000274号</v>
      </c>
      <c r="D64" s="405" t="str">
        <f t="shared" si="2"/>
        <v>柳井電機工業（株）</v>
      </c>
      <c r="E64" s="405" t="str">
        <f t="shared" si="3"/>
        <v>代表取締役社長</v>
      </c>
      <c r="F64" s="405" t="str">
        <f t="shared" si="4"/>
        <v>柳井　智雄</v>
      </c>
      <c r="G64" s="405" t="str">
        <f t="shared" si="5"/>
        <v>主たる営業所</v>
      </c>
      <c r="H64" s="405" t="str">
        <f t="shared" si="6"/>
        <v>大分市弁天２－７－１</v>
      </c>
      <c r="L64" s="404" t="s">
        <v>7442</v>
      </c>
      <c r="M64" s="404" t="s">
        <v>7443</v>
      </c>
      <c r="N64" s="404" t="s">
        <v>1517</v>
      </c>
      <c r="O64" s="404" t="s">
        <v>7083</v>
      </c>
      <c r="P64" s="404" t="s">
        <v>1518</v>
      </c>
      <c r="Q64" s="404" t="s">
        <v>7380</v>
      </c>
      <c r="R64" s="404" t="s">
        <v>18602</v>
      </c>
      <c r="S64" s="404" t="s">
        <v>14005</v>
      </c>
      <c r="T64" s="404" t="s">
        <v>14006</v>
      </c>
      <c r="U64" s="404"/>
      <c r="V64" s="404" t="s">
        <v>23024</v>
      </c>
      <c r="W64" s="404" t="s">
        <v>23024</v>
      </c>
      <c r="X64" s="404" t="s">
        <v>23024</v>
      </c>
      <c r="Y64" s="404" t="s">
        <v>23024</v>
      </c>
    </row>
    <row r="65" spans="1:25">
      <c r="A65" s="363">
        <f t="shared" si="7"/>
        <v>64</v>
      </c>
      <c r="B65" s="363" t="str">
        <f t="shared" si="0"/>
        <v>44</v>
      </c>
      <c r="C65" s="405" t="str">
        <f t="shared" si="1"/>
        <v>第000287号</v>
      </c>
      <c r="D65" s="405" t="str">
        <f t="shared" si="2"/>
        <v>（株）ジョーナン</v>
      </c>
      <c r="E65" s="405" t="str">
        <f t="shared" si="3"/>
        <v>代表取締役</v>
      </c>
      <c r="F65" s="405" t="str">
        <f t="shared" si="4"/>
        <v>長澤　義生</v>
      </c>
      <c r="G65" s="405" t="str">
        <f t="shared" si="5"/>
        <v>主たる営業所</v>
      </c>
      <c r="H65" s="405" t="str">
        <f t="shared" si="6"/>
        <v>大分市大字永興１－４－１</v>
      </c>
      <c r="L65" s="402" t="s">
        <v>7444</v>
      </c>
      <c r="M65" s="402" t="s">
        <v>7445</v>
      </c>
      <c r="N65" s="402" t="s">
        <v>1519</v>
      </c>
      <c r="O65" s="402" t="s">
        <v>7084</v>
      </c>
      <c r="P65" s="402" t="s">
        <v>5211</v>
      </c>
      <c r="Q65" s="402" t="s">
        <v>7446</v>
      </c>
      <c r="R65" s="402" t="s">
        <v>18603</v>
      </c>
      <c r="S65" s="402" t="s">
        <v>14007</v>
      </c>
      <c r="T65" s="402" t="s">
        <v>14008</v>
      </c>
      <c r="U65" s="402"/>
      <c r="V65" s="402" t="s">
        <v>23024</v>
      </c>
      <c r="W65" s="402" t="s">
        <v>23024</v>
      </c>
      <c r="X65" s="402" t="s">
        <v>23024</v>
      </c>
      <c r="Y65" s="402" t="s">
        <v>23024</v>
      </c>
    </row>
    <row r="66" spans="1:25">
      <c r="A66" s="363">
        <f t="shared" si="7"/>
        <v>65</v>
      </c>
      <c r="B66" s="363" t="str">
        <f t="shared" ref="B66:B129" si="8">LEFT(L66,2)</f>
        <v>44</v>
      </c>
      <c r="C66" s="405" t="str">
        <f t="shared" ref="C66:C129" si="9">IF(B66="","","第"&amp;RIGHT(L66,6)&amp;"号")</f>
        <v>第000288号</v>
      </c>
      <c r="D66" s="405" t="str">
        <f t="shared" ref="D66:D129" si="10">N66</f>
        <v>平倉建設（株）</v>
      </c>
      <c r="E66" s="405" t="str">
        <f t="shared" ref="E66:E129" si="11">IF(V66="　",O66,"")</f>
        <v>代表取締役</v>
      </c>
      <c r="F66" s="405" t="str">
        <f t="shared" ref="F66:F129" si="12">IF(V66="　",P66,W66)</f>
        <v>平倉　啓貴</v>
      </c>
      <c r="G66" s="405" t="str">
        <f t="shared" ref="G66:G129" si="13">IF(V66="　","主たる営業所",V66)</f>
        <v>主たる営業所</v>
      </c>
      <c r="H66" s="405" t="str">
        <f t="shared" ref="H66:H129" si="14">IF(V66="　",R66,Y66)</f>
        <v>大分市中島中央３－１－１１</v>
      </c>
      <c r="L66" s="403" t="s">
        <v>7447</v>
      </c>
      <c r="M66" s="403" t="s">
        <v>7448</v>
      </c>
      <c r="N66" s="403" t="s">
        <v>1520</v>
      </c>
      <c r="O66" s="403" t="s">
        <v>7084</v>
      </c>
      <c r="P66" s="403" t="s">
        <v>1521</v>
      </c>
      <c r="Q66" s="403" t="s">
        <v>7449</v>
      </c>
      <c r="R66" s="403" t="s">
        <v>18604</v>
      </c>
      <c r="S66" s="403" t="s">
        <v>14009</v>
      </c>
      <c r="T66" s="403" t="s">
        <v>14010</v>
      </c>
      <c r="U66" s="403"/>
      <c r="V66" s="403" t="s">
        <v>23024</v>
      </c>
      <c r="W66" s="403" t="s">
        <v>23024</v>
      </c>
      <c r="X66" s="403" t="s">
        <v>23024</v>
      </c>
      <c r="Y66" s="403" t="s">
        <v>23024</v>
      </c>
    </row>
    <row r="67" spans="1:25">
      <c r="A67" s="363">
        <f t="shared" ref="A67:A130" si="15">IF(B67="","",A66+1)</f>
        <v>66</v>
      </c>
      <c r="B67" s="363" t="str">
        <f t="shared" si="8"/>
        <v>44</v>
      </c>
      <c r="C67" s="405" t="str">
        <f t="shared" si="9"/>
        <v>第000290号</v>
      </c>
      <c r="D67" s="405" t="str">
        <f t="shared" si="10"/>
        <v>阿部建設（株）</v>
      </c>
      <c r="E67" s="405" t="str">
        <f t="shared" si="11"/>
        <v>代表取締役</v>
      </c>
      <c r="F67" s="405" t="str">
        <f t="shared" si="12"/>
        <v>渋谷　恵治</v>
      </c>
      <c r="G67" s="405" t="str">
        <f t="shared" si="13"/>
        <v>主たる営業所</v>
      </c>
      <c r="H67" s="405" t="str">
        <f t="shared" si="14"/>
        <v>由布市湯布院町川南３５－４</v>
      </c>
      <c r="L67" s="403" t="s">
        <v>7450</v>
      </c>
      <c r="M67" s="403" t="s">
        <v>7451</v>
      </c>
      <c r="N67" s="403" t="s">
        <v>1522</v>
      </c>
      <c r="O67" s="403" t="s">
        <v>7084</v>
      </c>
      <c r="P67" s="403" t="s">
        <v>1523</v>
      </c>
      <c r="Q67" s="403" t="s">
        <v>7452</v>
      </c>
      <c r="R67" s="403" t="s">
        <v>18605</v>
      </c>
      <c r="S67" s="403" t="s">
        <v>14011</v>
      </c>
      <c r="T67" s="403" t="s">
        <v>14012</v>
      </c>
      <c r="U67" s="403"/>
      <c r="V67" s="403" t="s">
        <v>23024</v>
      </c>
      <c r="W67" s="403" t="s">
        <v>23024</v>
      </c>
      <c r="X67" s="403" t="s">
        <v>23024</v>
      </c>
      <c r="Y67" s="403" t="s">
        <v>23024</v>
      </c>
    </row>
    <row r="68" spans="1:25">
      <c r="A68" s="363">
        <f t="shared" si="15"/>
        <v>67</v>
      </c>
      <c r="B68" s="363" t="str">
        <f t="shared" si="8"/>
        <v>44</v>
      </c>
      <c r="C68" s="405" t="str">
        <f t="shared" si="9"/>
        <v>第000297号</v>
      </c>
      <c r="D68" s="405" t="str">
        <f t="shared" si="10"/>
        <v>（株）加藤組</v>
      </c>
      <c r="E68" s="405" t="str">
        <f t="shared" si="11"/>
        <v>代表取締役</v>
      </c>
      <c r="F68" s="405" t="str">
        <f t="shared" si="12"/>
        <v>加藤　龍司</v>
      </c>
      <c r="G68" s="405" t="str">
        <f t="shared" si="13"/>
        <v>主たる営業所</v>
      </c>
      <c r="H68" s="405" t="str">
        <f t="shared" si="14"/>
        <v>大分市上田町１－６－１</v>
      </c>
      <c r="L68" s="403" t="s">
        <v>7453</v>
      </c>
      <c r="M68" s="403" t="s">
        <v>7454</v>
      </c>
      <c r="N68" s="403" t="s">
        <v>1524</v>
      </c>
      <c r="O68" s="403" t="s">
        <v>7084</v>
      </c>
      <c r="P68" s="403" t="s">
        <v>1525</v>
      </c>
      <c r="Q68" s="403" t="s">
        <v>7455</v>
      </c>
      <c r="R68" s="403" t="s">
        <v>18606</v>
      </c>
      <c r="S68" s="403" t="s">
        <v>14013</v>
      </c>
      <c r="T68" s="403" t="s">
        <v>14014</v>
      </c>
      <c r="U68" s="403"/>
      <c r="V68" s="403" t="s">
        <v>23024</v>
      </c>
      <c r="W68" s="403" t="s">
        <v>23024</v>
      </c>
      <c r="X68" s="403" t="s">
        <v>23024</v>
      </c>
      <c r="Y68" s="403" t="s">
        <v>23024</v>
      </c>
    </row>
    <row r="69" spans="1:25">
      <c r="A69" s="363">
        <f t="shared" si="15"/>
        <v>68</v>
      </c>
      <c r="B69" s="363" t="str">
        <f t="shared" si="8"/>
        <v>44</v>
      </c>
      <c r="C69" s="405" t="str">
        <f t="shared" si="9"/>
        <v>第000317号</v>
      </c>
      <c r="D69" s="405" t="str">
        <f t="shared" si="10"/>
        <v>（株）大分電設</v>
      </c>
      <c r="E69" s="405" t="str">
        <f t="shared" si="11"/>
        <v>代表取締役</v>
      </c>
      <c r="F69" s="405" t="str">
        <f t="shared" si="12"/>
        <v>山田　恭史</v>
      </c>
      <c r="G69" s="405" t="str">
        <f t="shared" si="13"/>
        <v>主たる営業所</v>
      </c>
      <c r="H69" s="405" t="str">
        <f t="shared" si="14"/>
        <v>大分市向原沖１－１－３０</v>
      </c>
      <c r="L69" s="403" t="s">
        <v>7456</v>
      </c>
      <c r="M69" s="403" t="s">
        <v>7457</v>
      </c>
      <c r="N69" s="403" t="s">
        <v>1526</v>
      </c>
      <c r="O69" s="403" t="s">
        <v>7084</v>
      </c>
      <c r="P69" s="403" t="s">
        <v>1527</v>
      </c>
      <c r="Q69" s="403" t="s">
        <v>7458</v>
      </c>
      <c r="R69" s="403" t="s">
        <v>18607</v>
      </c>
      <c r="S69" s="403" t="s">
        <v>14015</v>
      </c>
      <c r="T69" s="403" t="s">
        <v>14016</v>
      </c>
      <c r="U69" s="403"/>
      <c r="V69" s="403" t="s">
        <v>23024</v>
      </c>
      <c r="W69" s="403" t="s">
        <v>23024</v>
      </c>
      <c r="X69" s="403" t="s">
        <v>23024</v>
      </c>
      <c r="Y69" s="403" t="s">
        <v>23024</v>
      </c>
    </row>
    <row r="70" spans="1:25">
      <c r="A70" s="363">
        <f t="shared" si="15"/>
        <v>69</v>
      </c>
      <c r="B70" s="363" t="str">
        <f t="shared" si="8"/>
        <v>44</v>
      </c>
      <c r="C70" s="405" t="str">
        <f t="shared" si="9"/>
        <v>第000321号</v>
      </c>
      <c r="D70" s="405" t="str">
        <f t="shared" si="10"/>
        <v>（株）藤建設</v>
      </c>
      <c r="E70" s="405" t="str">
        <f t="shared" si="11"/>
        <v>代表取締役</v>
      </c>
      <c r="F70" s="405" t="str">
        <f t="shared" si="12"/>
        <v>江藤　ひとみ</v>
      </c>
      <c r="G70" s="405" t="str">
        <f t="shared" si="13"/>
        <v>主たる営業所</v>
      </c>
      <c r="H70" s="405" t="str">
        <f t="shared" si="14"/>
        <v>大分市東浜１－７－２１</v>
      </c>
      <c r="L70" s="403" t="s">
        <v>7459</v>
      </c>
      <c r="M70" s="403" t="s">
        <v>7460</v>
      </c>
      <c r="N70" s="403" t="s">
        <v>1528</v>
      </c>
      <c r="O70" s="403" t="s">
        <v>7084</v>
      </c>
      <c r="P70" s="403" t="s">
        <v>5212</v>
      </c>
      <c r="Q70" s="403" t="s">
        <v>7461</v>
      </c>
      <c r="R70" s="403" t="s">
        <v>18608</v>
      </c>
      <c r="S70" s="403" t="s">
        <v>14017</v>
      </c>
      <c r="T70" s="403" t="s">
        <v>14018</v>
      </c>
      <c r="U70" s="403"/>
      <c r="V70" s="403" t="s">
        <v>23024</v>
      </c>
      <c r="W70" s="403" t="s">
        <v>23024</v>
      </c>
      <c r="X70" s="403" t="s">
        <v>23024</v>
      </c>
      <c r="Y70" s="403" t="s">
        <v>23024</v>
      </c>
    </row>
    <row r="71" spans="1:25">
      <c r="A71" s="363">
        <f t="shared" si="15"/>
        <v>70</v>
      </c>
      <c r="B71" s="363" t="str">
        <f t="shared" si="8"/>
        <v>44</v>
      </c>
      <c r="C71" s="405" t="str">
        <f t="shared" si="9"/>
        <v>第000325号</v>
      </c>
      <c r="D71" s="405" t="str">
        <f t="shared" si="10"/>
        <v>河野電気（株）</v>
      </c>
      <c r="E71" s="405" t="str">
        <f t="shared" si="11"/>
        <v>代表取締役社長</v>
      </c>
      <c r="F71" s="405" t="str">
        <f>IF(V71="　",P71,W71)</f>
        <v>南　公憲</v>
      </c>
      <c r="G71" s="405" t="str">
        <f t="shared" si="13"/>
        <v>主たる営業所</v>
      </c>
      <c r="H71" s="405" t="str">
        <f t="shared" si="14"/>
        <v>大分市田室町８－３３</v>
      </c>
      <c r="L71" s="403" t="s">
        <v>7462</v>
      </c>
      <c r="M71" s="403" t="s">
        <v>7463</v>
      </c>
      <c r="N71" s="403" t="s">
        <v>1529</v>
      </c>
      <c r="O71" s="403" t="s">
        <v>7083</v>
      </c>
      <c r="P71" s="403" t="s">
        <v>1530</v>
      </c>
      <c r="Q71" s="403" t="s">
        <v>7464</v>
      </c>
      <c r="R71" s="403" t="s">
        <v>18609</v>
      </c>
      <c r="S71" s="403" t="s">
        <v>14019</v>
      </c>
      <c r="T71" s="403" t="s">
        <v>14020</v>
      </c>
      <c r="U71" s="403"/>
      <c r="V71" s="403" t="s">
        <v>23024</v>
      </c>
      <c r="W71" s="403" t="s">
        <v>23024</v>
      </c>
      <c r="X71" s="403" t="s">
        <v>23024</v>
      </c>
      <c r="Y71" s="403" t="s">
        <v>23024</v>
      </c>
    </row>
    <row r="72" spans="1:25">
      <c r="A72" s="363">
        <f t="shared" si="15"/>
        <v>71</v>
      </c>
      <c r="B72" s="363" t="str">
        <f t="shared" si="8"/>
        <v>44</v>
      </c>
      <c r="C72" s="405" t="str">
        <f t="shared" si="9"/>
        <v>第000330号</v>
      </c>
      <c r="D72" s="405" t="str">
        <f t="shared" si="10"/>
        <v>佐藤土木（株）</v>
      </c>
      <c r="E72" s="405" t="str">
        <f t="shared" si="11"/>
        <v>代表取締役</v>
      </c>
      <c r="F72" s="405" t="str">
        <f t="shared" si="12"/>
        <v>平島　武士</v>
      </c>
      <c r="G72" s="405" t="str">
        <f t="shared" si="13"/>
        <v>主たる営業所</v>
      </c>
      <c r="H72" s="405" t="str">
        <f t="shared" si="14"/>
        <v>大分市牧１－１１－１５</v>
      </c>
      <c r="L72" s="403" t="s">
        <v>7465</v>
      </c>
      <c r="M72" s="403" t="s">
        <v>7466</v>
      </c>
      <c r="N72" s="403" t="s">
        <v>1531</v>
      </c>
      <c r="O72" s="403" t="s">
        <v>7084</v>
      </c>
      <c r="P72" s="403" t="s">
        <v>1532</v>
      </c>
      <c r="Q72" s="403" t="s">
        <v>7400</v>
      </c>
      <c r="R72" s="403" t="s">
        <v>18610</v>
      </c>
      <c r="S72" s="403" t="s">
        <v>14021</v>
      </c>
      <c r="T72" s="403" t="s">
        <v>14022</v>
      </c>
      <c r="U72" s="403"/>
      <c r="V72" s="403" t="s">
        <v>23024</v>
      </c>
      <c r="W72" s="403" t="s">
        <v>23024</v>
      </c>
      <c r="X72" s="403" t="s">
        <v>23024</v>
      </c>
      <c r="Y72" s="403" t="s">
        <v>23024</v>
      </c>
    </row>
    <row r="73" spans="1:25">
      <c r="A73" s="363">
        <f t="shared" si="15"/>
        <v>72</v>
      </c>
      <c r="B73" s="363" t="str">
        <f t="shared" si="8"/>
        <v>44</v>
      </c>
      <c r="C73" s="405" t="str">
        <f t="shared" si="9"/>
        <v>第000333号</v>
      </c>
      <c r="D73" s="405" t="str">
        <f t="shared" si="10"/>
        <v>（有）栄和建設</v>
      </c>
      <c r="E73" s="405" t="str">
        <f t="shared" si="11"/>
        <v>取締役</v>
      </c>
      <c r="F73" s="405" t="str">
        <f t="shared" si="12"/>
        <v>大塚　幸一郎</v>
      </c>
      <c r="G73" s="405" t="str">
        <f t="shared" si="13"/>
        <v>主たる営業所</v>
      </c>
      <c r="H73" s="405" t="str">
        <f t="shared" si="14"/>
        <v>大分市大字野津原８４３－３</v>
      </c>
      <c r="L73" s="403" t="s">
        <v>7467</v>
      </c>
      <c r="M73" s="403" t="s">
        <v>7468</v>
      </c>
      <c r="N73" s="403" t="s">
        <v>1533</v>
      </c>
      <c r="O73" s="403" t="s">
        <v>7085</v>
      </c>
      <c r="P73" s="403" t="s">
        <v>1534</v>
      </c>
      <c r="Q73" s="403" t="s">
        <v>7469</v>
      </c>
      <c r="R73" s="403" t="s">
        <v>18611</v>
      </c>
      <c r="S73" s="403" t="s">
        <v>14023</v>
      </c>
      <c r="T73" s="403" t="s">
        <v>14024</v>
      </c>
      <c r="U73" s="403"/>
      <c r="V73" s="403" t="s">
        <v>23024</v>
      </c>
      <c r="W73" s="403" t="s">
        <v>23024</v>
      </c>
      <c r="X73" s="403" t="s">
        <v>23024</v>
      </c>
      <c r="Y73" s="403" t="s">
        <v>23024</v>
      </c>
    </row>
    <row r="74" spans="1:25">
      <c r="A74" s="363">
        <f t="shared" si="15"/>
        <v>73</v>
      </c>
      <c r="B74" s="363" t="str">
        <f t="shared" si="8"/>
        <v>44</v>
      </c>
      <c r="C74" s="405" t="str">
        <f t="shared" si="9"/>
        <v>第000335号</v>
      </c>
      <c r="D74" s="405" t="str">
        <f t="shared" si="10"/>
        <v>（株）三道興安社</v>
      </c>
      <c r="E74" s="405" t="str">
        <f t="shared" si="11"/>
        <v>代表取締役</v>
      </c>
      <c r="F74" s="405" t="str">
        <f t="shared" si="12"/>
        <v>安達　哲也</v>
      </c>
      <c r="G74" s="405" t="str">
        <f t="shared" si="13"/>
        <v>主たる営業所</v>
      </c>
      <c r="H74" s="405" t="str">
        <f t="shared" si="14"/>
        <v>大分市大字丹生３０－６１</v>
      </c>
      <c r="L74" s="403" t="s">
        <v>7470</v>
      </c>
      <c r="M74" s="403" t="s">
        <v>7471</v>
      </c>
      <c r="N74" s="403" t="s">
        <v>1535</v>
      </c>
      <c r="O74" s="403" t="s">
        <v>7084</v>
      </c>
      <c r="P74" s="403" t="s">
        <v>1536</v>
      </c>
      <c r="Q74" s="403" t="s">
        <v>7472</v>
      </c>
      <c r="R74" s="403" t="s">
        <v>18612</v>
      </c>
      <c r="S74" s="403" t="s">
        <v>14025</v>
      </c>
      <c r="T74" s="403" t="s">
        <v>14026</v>
      </c>
      <c r="U74" s="403"/>
      <c r="V74" s="403" t="s">
        <v>23024</v>
      </c>
      <c r="W74" s="403" t="s">
        <v>23024</v>
      </c>
      <c r="X74" s="403" t="s">
        <v>23024</v>
      </c>
      <c r="Y74" s="403" t="s">
        <v>23024</v>
      </c>
    </row>
    <row r="75" spans="1:25">
      <c r="A75" s="363">
        <f t="shared" si="15"/>
        <v>74</v>
      </c>
      <c r="B75" s="363" t="str">
        <f t="shared" si="8"/>
        <v>44</v>
      </c>
      <c r="C75" s="405" t="str">
        <f t="shared" si="9"/>
        <v>第000348号</v>
      </c>
      <c r="D75" s="405" t="str">
        <f t="shared" si="10"/>
        <v>藤元工業（株）</v>
      </c>
      <c r="E75" s="405" t="str">
        <f t="shared" si="11"/>
        <v>代表取締役</v>
      </c>
      <c r="F75" s="405" t="str">
        <f t="shared" si="12"/>
        <v>三浦　陽一</v>
      </c>
      <c r="G75" s="405" t="str">
        <f t="shared" si="13"/>
        <v>主たる営業所</v>
      </c>
      <c r="H75" s="405" t="str">
        <f t="shared" si="14"/>
        <v>大分市大手町１－５－３３</v>
      </c>
      <c r="L75" s="403" t="s">
        <v>7473</v>
      </c>
      <c r="M75" s="403" t="s">
        <v>7474</v>
      </c>
      <c r="N75" s="403" t="s">
        <v>1537</v>
      </c>
      <c r="O75" s="403" t="s">
        <v>7084</v>
      </c>
      <c r="P75" s="403" t="s">
        <v>1538</v>
      </c>
      <c r="Q75" s="403" t="s">
        <v>7475</v>
      </c>
      <c r="R75" s="403" t="s">
        <v>18613</v>
      </c>
      <c r="S75" s="403" t="s">
        <v>14027</v>
      </c>
      <c r="T75" s="403" t="s">
        <v>14027</v>
      </c>
      <c r="U75" s="403"/>
      <c r="V75" s="403" t="s">
        <v>23024</v>
      </c>
      <c r="W75" s="403" t="s">
        <v>23024</v>
      </c>
      <c r="X75" s="403" t="s">
        <v>23024</v>
      </c>
      <c r="Y75" s="403" t="s">
        <v>23024</v>
      </c>
    </row>
    <row r="76" spans="1:25">
      <c r="A76" s="363">
        <f t="shared" si="15"/>
        <v>75</v>
      </c>
      <c r="B76" s="363" t="str">
        <f t="shared" si="8"/>
        <v>44</v>
      </c>
      <c r="C76" s="405" t="str">
        <f t="shared" si="9"/>
        <v>第000350号</v>
      </c>
      <c r="D76" s="405" t="str">
        <f t="shared" si="10"/>
        <v>（株）国実水道</v>
      </c>
      <c r="E76" s="405" t="str">
        <f t="shared" si="11"/>
        <v>代表取締役</v>
      </c>
      <c r="F76" s="405" t="str">
        <f t="shared" si="12"/>
        <v>國實　誠二</v>
      </c>
      <c r="G76" s="405" t="str">
        <f t="shared" si="13"/>
        <v>主たる営業所</v>
      </c>
      <c r="H76" s="405" t="str">
        <f t="shared" si="14"/>
        <v>大分市大字皆春１６４２－１</v>
      </c>
      <c r="L76" s="403" t="s">
        <v>7476</v>
      </c>
      <c r="M76" s="403" t="s">
        <v>7477</v>
      </c>
      <c r="N76" s="403" t="s">
        <v>1539</v>
      </c>
      <c r="O76" s="403" t="s">
        <v>7084</v>
      </c>
      <c r="P76" s="403" t="s">
        <v>1540</v>
      </c>
      <c r="Q76" s="403" t="s">
        <v>7478</v>
      </c>
      <c r="R76" s="403" t="s">
        <v>18614</v>
      </c>
      <c r="S76" s="403" t="s">
        <v>14028</v>
      </c>
      <c r="T76" s="403" t="s">
        <v>14029</v>
      </c>
      <c r="U76" s="403"/>
      <c r="V76" s="403" t="s">
        <v>23024</v>
      </c>
      <c r="W76" s="403" t="s">
        <v>23024</v>
      </c>
      <c r="X76" s="403" t="s">
        <v>23024</v>
      </c>
      <c r="Y76" s="403" t="s">
        <v>23024</v>
      </c>
    </row>
    <row r="77" spans="1:25">
      <c r="A77" s="363">
        <f t="shared" si="15"/>
        <v>76</v>
      </c>
      <c r="B77" s="363" t="str">
        <f t="shared" si="8"/>
        <v>44</v>
      </c>
      <c r="C77" s="405" t="str">
        <f t="shared" si="9"/>
        <v>第000371号</v>
      </c>
      <c r="D77" s="405" t="str">
        <f t="shared" si="10"/>
        <v>（株）山下組</v>
      </c>
      <c r="E77" s="405" t="str">
        <f t="shared" si="11"/>
        <v>代表取締役</v>
      </c>
      <c r="F77" s="405" t="str">
        <f t="shared" si="12"/>
        <v>山下　久雄</v>
      </c>
      <c r="G77" s="405" t="str">
        <f t="shared" si="13"/>
        <v>主たる営業所</v>
      </c>
      <c r="H77" s="405" t="str">
        <f t="shared" si="14"/>
        <v>由布市庄内町東長宝４２５</v>
      </c>
      <c r="L77" s="403" t="s">
        <v>7479</v>
      </c>
      <c r="M77" s="403" t="s">
        <v>7480</v>
      </c>
      <c r="N77" s="403" t="s">
        <v>1541</v>
      </c>
      <c r="O77" s="403" t="s">
        <v>7084</v>
      </c>
      <c r="P77" s="403" t="s">
        <v>1542</v>
      </c>
      <c r="Q77" s="403" t="s">
        <v>7481</v>
      </c>
      <c r="R77" s="403" t="s">
        <v>5344</v>
      </c>
      <c r="S77" s="403" t="s">
        <v>14030</v>
      </c>
      <c r="T77" s="403" t="s">
        <v>14031</v>
      </c>
      <c r="U77" s="403"/>
      <c r="V77" s="403" t="s">
        <v>23024</v>
      </c>
      <c r="W77" s="403" t="s">
        <v>23024</v>
      </c>
      <c r="X77" s="403" t="s">
        <v>23024</v>
      </c>
      <c r="Y77" s="403" t="s">
        <v>23024</v>
      </c>
    </row>
    <row r="78" spans="1:25">
      <c r="A78" s="363">
        <f t="shared" si="15"/>
        <v>77</v>
      </c>
      <c r="B78" s="363" t="str">
        <f t="shared" si="8"/>
        <v>44</v>
      </c>
      <c r="C78" s="405" t="str">
        <f t="shared" si="9"/>
        <v>第000373号</v>
      </c>
      <c r="D78" s="405" t="str">
        <f t="shared" si="10"/>
        <v>（株）セイト</v>
      </c>
      <c r="E78" s="405" t="str">
        <f t="shared" si="11"/>
        <v>代表取締役</v>
      </c>
      <c r="F78" s="405" t="str">
        <f t="shared" si="12"/>
        <v>後藤　誠二</v>
      </c>
      <c r="G78" s="405" t="str">
        <f t="shared" si="13"/>
        <v>主たる営業所</v>
      </c>
      <c r="H78" s="405" t="str">
        <f t="shared" si="14"/>
        <v>大分市大字鶴崎１７６１－１</v>
      </c>
      <c r="L78" s="403" t="s">
        <v>7482</v>
      </c>
      <c r="M78" s="403" t="s">
        <v>7483</v>
      </c>
      <c r="N78" s="403" t="s">
        <v>1543</v>
      </c>
      <c r="O78" s="403" t="s">
        <v>7084</v>
      </c>
      <c r="P78" s="403" t="s">
        <v>1544</v>
      </c>
      <c r="Q78" s="403" t="s">
        <v>7484</v>
      </c>
      <c r="R78" s="403" t="s">
        <v>18615</v>
      </c>
      <c r="S78" s="403" t="s">
        <v>14032</v>
      </c>
      <c r="T78" s="403" t="s">
        <v>14033</v>
      </c>
      <c r="U78" s="403"/>
      <c r="V78" s="403" t="s">
        <v>23024</v>
      </c>
      <c r="W78" s="403" t="s">
        <v>23024</v>
      </c>
      <c r="X78" s="403" t="s">
        <v>23024</v>
      </c>
      <c r="Y78" s="403" t="s">
        <v>23024</v>
      </c>
    </row>
    <row r="79" spans="1:25">
      <c r="A79" s="363">
        <f t="shared" si="15"/>
        <v>78</v>
      </c>
      <c r="B79" s="363" t="str">
        <f t="shared" si="8"/>
        <v>44</v>
      </c>
      <c r="C79" s="405" t="str">
        <f t="shared" si="9"/>
        <v>第000385号</v>
      </c>
      <c r="D79" s="405" t="str">
        <f t="shared" si="10"/>
        <v>後藤総合工業（株）</v>
      </c>
      <c r="E79" s="405" t="str">
        <f t="shared" si="11"/>
        <v>代表取締役</v>
      </c>
      <c r="F79" s="405" t="str">
        <f t="shared" si="12"/>
        <v>後藤　敬三</v>
      </c>
      <c r="G79" s="405" t="str">
        <f t="shared" si="13"/>
        <v>主たる営業所</v>
      </c>
      <c r="H79" s="405" t="str">
        <f t="shared" si="14"/>
        <v>大分市大字竹中２７３０</v>
      </c>
      <c r="L79" s="403" t="s">
        <v>7485</v>
      </c>
      <c r="M79" s="403" t="s">
        <v>7486</v>
      </c>
      <c r="N79" s="403" t="s">
        <v>1545</v>
      </c>
      <c r="O79" s="403" t="s">
        <v>7084</v>
      </c>
      <c r="P79" s="403" t="s">
        <v>1546</v>
      </c>
      <c r="Q79" s="403" t="s">
        <v>7487</v>
      </c>
      <c r="R79" s="403" t="s">
        <v>5345</v>
      </c>
      <c r="S79" s="403" t="s">
        <v>14034</v>
      </c>
      <c r="T79" s="403" t="s">
        <v>14035</v>
      </c>
      <c r="U79" s="403"/>
      <c r="V79" s="403" t="s">
        <v>23024</v>
      </c>
      <c r="W79" s="403" t="s">
        <v>23024</v>
      </c>
      <c r="X79" s="403" t="s">
        <v>23024</v>
      </c>
      <c r="Y79" s="403" t="s">
        <v>23024</v>
      </c>
    </row>
    <row r="80" spans="1:25">
      <c r="A80" s="363">
        <f t="shared" si="15"/>
        <v>79</v>
      </c>
      <c r="B80" s="363" t="str">
        <f t="shared" si="8"/>
        <v>44</v>
      </c>
      <c r="C80" s="405" t="str">
        <f t="shared" si="9"/>
        <v>第000386号</v>
      </c>
      <c r="D80" s="405" t="str">
        <f t="shared" si="10"/>
        <v>堤建設工業（株）</v>
      </c>
      <c r="E80" s="405" t="str">
        <f t="shared" si="11"/>
        <v>代表取締役</v>
      </c>
      <c r="F80" s="405" t="str">
        <f t="shared" si="12"/>
        <v>堤　伊佐子</v>
      </c>
      <c r="G80" s="405" t="str">
        <f t="shared" si="13"/>
        <v>主たる営業所</v>
      </c>
      <c r="H80" s="405" t="str">
        <f t="shared" si="14"/>
        <v>大分市西新地１－１－４９</v>
      </c>
      <c r="L80" s="403" t="s">
        <v>7488</v>
      </c>
      <c r="M80" s="403" t="s">
        <v>7489</v>
      </c>
      <c r="N80" s="403" t="s">
        <v>1547</v>
      </c>
      <c r="O80" s="403" t="s">
        <v>7084</v>
      </c>
      <c r="P80" s="403" t="s">
        <v>1548</v>
      </c>
      <c r="Q80" s="403" t="s">
        <v>7339</v>
      </c>
      <c r="R80" s="403" t="s">
        <v>18616</v>
      </c>
      <c r="S80" s="403" t="s">
        <v>14036</v>
      </c>
      <c r="T80" s="403" t="s">
        <v>14037</v>
      </c>
      <c r="U80" s="403"/>
      <c r="V80" s="403" t="s">
        <v>23024</v>
      </c>
      <c r="W80" s="403" t="s">
        <v>23024</v>
      </c>
      <c r="X80" s="403" t="s">
        <v>23024</v>
      </c>
      <c r="Y80" s="403" t="s">
        <v>23024</v>
      </c>
    </row>
    <row r="81" spans="1:25">
      <c r="A81" s="363">
        <f t="shared" si="15"/>
        <v>80</v>
      </c>
      <c r="B81" s="363" t="str">
        <f t="shared" si="8"/>
        <v>44</v>
      </c>
      <c r="C81" s="405" t="str">
        <f t="shared" si="9"/>
        <v>第000392号</v>
      </c>
      <c r="D81" s="405" t="str">
        <f t="shared" si="10"/>
        <v>（有）大分樹脂防水</v>
      </c>
      <c r="E81" s="405" t="str">
        <f t="shared" si="11"/>
        <v>代表取締役</v>
      </c>
      <c r="F81" s="405" t="str">
        <f t="shared" si="12"/>
        <v>岩尾　裕純</v>
      </c>
      <c r="G81" s="405" t="str">
        <f t="shared" si="13"/>
        <v>主たる営業所</v>
      </c>
      <c r="H81" s="405" t="str">
        <f t="shared" si="14"/>
        <v>大分市大字三芳４１１－７</v>
      </c>
      <c r="L81" s="403" t="s">
        <v>7490</v>
      </c>
      <c r="M81" s="403" t="s">
        <v>7491</v>
      </c>
      <c r="N81" s="403" t="s">
        <v>1549</v>
      </c>
      <c r="O81" s="403" t="s">
        <v>7084</v>
      </c>
      <c r="P81" s="403" t="s">
        <v>5213</v>
      </c>
      <c r="Q81" s="403" t="s">
        <v>7492</v>
      </c>
      <c r="R81" s="403" t="s">
        <v>18617</v>
      </c>
      <c r="S81" s="403" t="s">
        <v>14038</v>
      </c>
      <c r="T81" s="403" t="s">
        <v>14039</v>
      </c>
      <c r="U81" s="403"/>
      <c r="V81" s="403" t="s">
        <v>23024</v>
      </c>
      <c r="W81" s="403" t="s">
        <v>23024</v>
      </c>
      <c r="X81" s="403" t="s">
        <v>23024</v>
      </c>
      <c r="Y81" s="403" t="s">
        <v>23024</v>
      </c>
    </row>
    <row r="82" spans="1:25">
      <c r="A82" s="363">
        <f t="shared" si="15"/>
        <v>81</v>
      </c>
      <c r="B82" s="363" t="str">
        <f t="shared" si="8"/>
        <v>44</v>
      </c>
      <c r="C82" s="405" t="str">
        <f t="shared" si="9"/>
        <v>第000396号</v>
      </c>
      <c r="D82" s="405" t="str">
        <f t="shared" si="10"/>
        <v>西産工業（株）</v>
      </c>
      <c r="E82" s="405" t="str">
        <f t="shared" si="11"/>
        <v>代表取締役</v>
      </c>
      <c r="F82" s="405" t="str">
        <f t="shared" si="12"/>
        <v>西　幸一</v>
      </c>
      <c r="G82" s="405" t="str">
        <f t="shared" si="13"/>
        <v>主たる営業所</v>
      </c>
      <c r="H82" s="405" t="str">
        <f t="shared" si="14"/>
        <v>大分市西大道２－２－２７</v>
      </c>
      <c r="L82" s="403" t="s">
        <v>7493</v>
      </c>
      <c r="M82" s="403" t="s">
        <v>7494</v>
      </c>
      <c r="N82" s="403" t="s">
        <v>1550</v>
      </c>
      <c r="O82" s="403" t="s">
        <v>7084</v>
      </c>
      <c r="P82" s="403" t="s">
        <v>1551</v>
      </c>
      <c r="Q82" s="403" t="s">
        <v>7495</v>
      </c>
      <c r="R82" s="403" t="s">
        <v>18618</v>
      </c>
      <c r="S82" s="403" t="s">
        <v>14040</v>
      </c>
      <c r="T82" s="403" t="s">
        <v>14041</v>
      </c>
      <c r="U82" s="403"/>
      <c r="V82" s="403" t="s">
        <v>23024</v>
      </c>
      <c r="W82" s="403" t="s">
        <v>23024</v>
      </c>
      <c r="X82" s="403" t="s">
        <v>23024</v>
      </c>
      <c r="Y82" s="403" t="s">
        <v>23024</v>
      </c>
    </row>
    <row r="83" spans="1:25">
      <c r="A83" s="363">
        <f t="shared" si="15"/>
        <v>82</v>
      </c>
      <c r="B83" s="363" t="str">
        <f t="shared" si="8"/>
        <v>44</v>
      </c>
      <c r="C83" s="405" t="str">
        <f t="shared" si="9"/>
        <v>第000404号</v>
      </c>
      <c r="D83" s="405" t="str">
        <f t="shared" si="10"/>
        <v>小名川土木（有）</v>
      </c>
      <c r="E83" s="405" t="str">
        <f t="shared" si="11"/>
        <v>代表取締役</v>
      </c>
      <c r="F83" s="405" t="str">
        <f t="shared" si="12"/>
        <v>小名川　浩明</v>
      </c>
      <c r="G83" s="405" t="str">
        <f t="shared" si="13"/>
        <v>主たる営業所</v>
      </c>
      <c r="H83" s="405" t="str">
        <f t="shared" si="14"/>
        <v>大分市大字松岡字上木ノ下３７０４－３</v>
      </c>
      <c r="L83" s="403" t="s">
        <v>7496</v>
      </c>
      <c r="M83" s="403" t="s">
        <v>7497</v>
      </c>
      <c r="N83" s="403" t="s">
        <v>1552</v>
      </c>
      <c r="O83" s="403" t="s">
        <v>7084</v>
      </c>
      <c r="P83" s="403" t="s">
        <v>1553</v>
      </c>
      <c r="Q83" s="403" t="s">
        <v>7498</v>
      </c>
      <c r="R83" s="403" t="s">
        <v>18619</v>
      </c>
      <c r="S83" s="403" t="s">
        <v>14042</v>
      </c>
      <c r="T83" s="403" t="s">
        <v>14043</v>
      </c>
      <c r="U83" s="403"/>
      <c r="V83" s="403" t="s">
        <v>23024</v>
      </c>
      <c r="W83" s="403" t="s">
        <v>23024</v>
      </c>
      <c r="X83" s="403" t="s">
        <v>23024</v>
      </c>
      <c r="Y83" s="403" t="s">
        <v>23024</v>
      </c>
    </row>
    <row r="84" spans="1:25">
      <c r="A84" s="363">
        <f t="shared" si="15"/>
        <v>83</v>
      </c>
      <c r="B84" s="363" t="str">
        <f t="shared" si="8"/>
        <v>44</v>
      </c>
      <c r="C84" s="405" t="str">
        <f t="shared" si="9"/>
        <v>第000419号</v>
      </c>
      <c r="D84" s="405" t="str">
        <f t="shared" si="10"/>
        <v>（有）総和建設</v>
      </c>
      <c r="E84" s="405" t="str">
        <f t="shared" si="11"/>
        <v>代表取締役</v>
      </c>
      <c r="F84" s="405" t="str">
        <f t="shared" si="12"/>
        <v>今井　章裕</v>
      </c>
      <c r="G84" s="405" t="str">
        <f t="shared" si="13"/>
        <v>主たる営業所</v>
      </c>
      <c r="H84" s="405" t="str">
        <f t="shared" si="14"/>
        <v>大分市大字一木１０９５</v>
      </c>
      <c r="L84" s="403" t="s">
        <v>7499</v>
      </c>
      <c r="M84" s="403" t="s">
        <v>7500</v>
      </c>
      <c r="N84" s="403" t="s">
        <v>1554</v>
      </c>
      <c r="O84" s="403" t="s">
        <v>7084</v>
      </c>
      <c r="P84" s="403" t="s">
        <v>1555</v>
      </c>
      <c r="Q84" s="403" t="s">
        <v>7501</v>
      </c>
      <c r="R84" s="403" t="s">
        <v>5346</v>
      </c>
      <c r="S84" s="403" t="s">
        <v>14044</v>
      </c>
      <c r="T84" s="403" t="s">
        <v>14045</v>
      </c>
      <c r="U84" s="403"/>
      <c r="V84" s="403" t="s">
        <v>23024</v>
      </c>
      <c r="W84" s="403" t="s">
        <v>23024</v>
      </c>
      <c r="X84" s="403" t="s">
        <v>23024</v>
      </c>
      <c r="Y84" s="403" t="s">
        <v>23024</v>
      </c>
    </row>
    <row r="85" spans="1:25">
      <c r="A85" s="363">
        <f t="shared" si="15"/>
        <v>84</v>
      </c>
      <c r="B85" s="363" t="str">
        <f t="shared" si="8"/>
        <v>44</v>
      </c>
      <c r="C85" s="405" t="str">
        <f t="shared" si="9"/>
        <v>第000425号</v>
      </c>
      <c r="D85" s="405" t="str">
        <f t="shared" si="10"/>
        <v>豊國建設（株）</v>
      </c>
      <c r="E85" s="405" t="str">
        <f t="shared" si="11"/>
        <v>代表取締役</v>
      </c>
      <c r="F85" s="405" t="str">
        <f t="shared" si="12"/>
        <v>池邉　紘一郎</v>
      </c>
      <c r="G85" s="405" t="str">
        <f t="shared" si="13"/>
        <v>主たる営業所</v>
      </c>
      <c r="H85" s="405" t="str">
        <f t="shared" si="14"/>
        <v>大分市城崎町１－３－２８</v>
      </c>
      <c r="L85" s="403" t="s">
        <v>7502</v>
      </c>
      <c r="M85" s="403" t="s">
        <v>7503</v>
      </c>
      <c r="N85" s="403" t="s">
        <v>1556</v>
      </c>
      <c r="O85" s="403" t="s">
        <v>7084</v>
      </c>
      <c r="P85" s="403" t="s">
        <v>1557</v>
      </c>
      <c r="Q85" s="403" t="s">
        <v>7504</v>
      </c>
      <c r="R85" s="403" t="s">
        <v>18620</v>
      </c>
      <c r="S85" s="403" t="s">
        <v>14046</v>
      </c>
      <c r="T85" s="403" t="s">
        <v>14047</v>
      </c>
      <c r="U85" s="403"/>
      <c r="V85" s="403" t="s">
        <v>23024</v>
      </c>
      <c r="W85" s="403" t="s">
        <v>23024</v>
      </c>
      <c r="X85" s="403" t="s">
        <v>23024</v>
      </c>
      <c r="Y85" s="403" t="s">
        <v>23024</v>
      </c>
    </row>
    <row r="86" spans="1:25">
      <c r="A86" s="363">
        <f t="shared" si="15"/>
        <v>85</v>
      </c>
      <c r="B86" s="363" t="str">
        <f t="shared" si="8"/>
        <v>44</v>
      </c>
      <c r="C86" s="405" t="str">
        <f t="shared" si="9"/>
        <v>第000427号</v>
      </c>
      <c r="D86" s="405" t="str">
        <f t="shared" si="10"/>
        <v>（有）三共塗装店</v>
      </c>
      <c r="E86" s="405" t="str">
        <f t="shared" si="11"/>
        <v>代表取締役</v>
      </c>
      <c r="F86" s="405" t="str">
        <f t="shared" si="12"/>
        <v>三重野　浩</v>
      </c>
      <c r="G86" s="405" t="str">
        <f t="shared" si="13"/>
        <v>主たる営業所</v>
      </c>
      <c r="H86" s="405" t="str">
        <f t="shared" si="14"/>
        <v>大分市王子北町１－２９</v>
      </c>
      <c r="L86" s="403" t="s">
        <v>7505</v>
      </c>
      <c r="M86" s="403" t="s">
        <v>7506</v>
      </c>
      <c r="N86" s="403" t="s">
        <v>1558</v>
      </c>
      <c r="O86" s="403" t="s">
        <v>7084</v>
      </c>
      <c r="P86" s="403" t="s">
        <v>1559</v>
      </c>
      <c r="Q86" s="403" t="s">
        <v>7507</v>
      </c>
      <c r="R86" s="403" t="s">
        <v>18621</v>
      </c>
      <c r="S86" s="403" t="s">
        <v>14048</v>
      </c>
      <c r="T86" s="403" t="s">
        <v>14049</v>
      </c>
      <c r="U86" s="403"/>
      <c r="V86" s="403" t="s">
        <v>23024</v>
      </c>
      <c r="W86" s="403" t="s">
        <v>23024</v>
      </c>
      <c r="X86" s="403" t="s">
        <v>23024</v>
      </c>
      <c r="Y86" s="403" t="s">
        <v>23024</v>
      </c>
    </row>
    <row r="87" spans="1:25">
      <c r="A87" s="363">
        <f t="shared" si="15"/>
        <v>86</v>
      </c>
      <c r="B87" s="363" t="str">
        <f t="shared" si="8"/>
        <v>44</v>
      </c>
      <c r="C87" s="405" t="str">
        <f t="shared" si="9"/>
        <v>第000430号</v>
      </c>
      <c r="D87" s="405" t="str">
        <f t="shared" si="10"/>
        <v>太陽電設（株）</v>
      </c>
      <c r="E87" s="405" t="str">
        <f t="shared" si="11"/>
        <v>代表取締役</v>
      </c>
      <c r="F87" s="405" t="str">
        <f t="shared" si="12"/>
        <v>佐藤　正彦</v>
      </c>
      <c r="G87" s="405" t="str">
        <f t="shared" si="13"/>
        <v>主たる営業所</v>
      </c>
      <c r="H87" s="405" t="str">
        <f t="shared" si="14"/>
        <v>大分市金池南２－１６－１７</v>
      </c>
      <c r="L87" s="403" t="s">
        <v>7508</v>
      </c>
      <c r="M87" s="403" t="s">
        <v>7509</v>
      </c>
      <c r="N87" s="403" t="s">
        <v>1560</v>
      </c>
      <c r="O87" s="403" t="s">
        <v>7084</v>
      </c>
      <c r="P87" s="403" t="s">
        <v>1561</v>
      </c>
      <c r="Q87" s="403" t="s">
        <v>7510</v>
      </c>
      <c r="R87" s="403" t="s">
        <v>18622</v>
      </c>
      <c r="S87" s="403" t="s">
        <v>14050</v>
      </c>
      <c r="T87" s="403" t="s">
        <v>14051</v>
      </c>
      <c r="U87" s="403"/>
      <c r="V87" s="403" t="s">
        <v>23024</v>
      </c>
      <c r="W87" s="403" t="s">
        <v>23024</v>
      </c>
      <c r="X87" s="403" t="s">
        <v>23024</v>
      </c>
      <c r="Y87" s="403" t="s">
        <v>23024</v>
      </c>
    </row>
    <row r="88" spans="1:25">
      <c r="A88" s="363">
        <f t="shared" si="15"/>
        <v>87</v>
      </c>
      <c r="B88" s="363" t="str">
        <f t="shared" si="8"/>
        <v>44</v>
      </c>
      <c r="C88" s="405" t="str">
        <f t="shared" si="9"/>
        <v>第000439号</v>
      </c>
      <c r="D88" s="405" t="str">
        <f t="shared" si="10"/>
        <v>由布土木（有）</v>
      </c>
      <c r="E88" s="405" t="str">
        <f t="shared" si="11"/>
        <v>代表取締役</v>
      </c>
      <c r="F88" s="405" t="str">
        <f t="shared" si="12"/>
        <v>首藤　暢晃</v>
      </c>
      <c r="G88" s="405" t="str">
        <f t="shared" si="13"/>
        <v>主たる営業所</v>
      </c>
      <c r="H88" s="405" t="str">
        <f t="shared" si="14"/>
        <v>由布市湯布院町川南８６８</v>
      </c>
      <c r="L88" s="403" t="s">
        <v>7511</v>
      </c>
      <c r="M88" s="403" t="s">
        <v>7512</v>
      </c>
      <c r="N88" s="403" t="s">
        <v>1562</v>
      </c>
      <c r="O88" s="403" t="s">
        <v>7084</v>
      </c>
      <c r="P88" s="403" t="s">
        <v>1563</v>
      </c>
      <c r="Q88" s="403" t="s">
        <v>7452</v>
      </c>
      <c r="R88" s="403" t="s">
        <v>5347</v>
      </c>
      <c r="S88" s="403" t="s">
        <v>14052</v>
      </c>
      <c r="T88" s="403" t="s">
        <v>14053</v>
      </c>
      <c r="U88" s="403"/>
      <c r="V88" s="403" t="s">
        <v>23024</v>
      </c>
      <c r="W88" s="403" t="s">
        <v>23024</v>
      </c>
      <c r="X88" s="403" t="s">
        <v>23024</v>
      </c>
      <c r="Y88" s="403" t="s">
        <v>23024</v>
      </c>
    </row>
    <row r="89" spans="1:25">
      <c r="A89" s="363">
        <f t="shared" si="15"/>
        <v>88</v>
      </c>
      <c r="B89" s="363" t="str">
        <f t="shared" si="8"/>
        <v>44</v>
      </c>
      <c r="C89" s="405" t="str">
        <f t="shared" si="9"/>
        <v>第000451号</v>
      </c>
      <c r="D89" s="405" t="str">
        <f t="shared" si="10"/>
        <v>（有）藤由水道</v>
      </c>
      <c r="E89" s="405" t="str">
        <f t="shared" si="11"/>
        <v>代表取締役</v>
      </c>
      <c r="F89" s="405" t="str">
        <f t="shared" si="12"/>
        <v>藤由　一成</v>
      </c>
      <c r="G89" s="405" t="str">
        <f t="shared" si="13"/>
        <v>主たる営業所</v>
      </c>
      <c r="H89" s="405" t="str">
        <f t="shared" si="14"/>
        <v>大分市徳島１－５－１８</v>
      </c>
      <c r="L89" s="403" t="s">
        <v>7513</v>
      </c>
      <c r="M89" s="403" t="s">
        <v>7514</v>
      </c>
      <c r="N89" s="403" t="s">
        <v>1564</v>
      </c>
      <c r="O89" s="403" t="s">
        <v>7084</v>
      </c>
      <c r="P89" s="403" t="s">
        <v>5214</v>
      </c>
      <c r="Q89" s="403" t="s">
        <v>7515</v>
      </c>
      <c r="R89" s="403" t="s">
        <v>18623</v>
      </c>
      <c r="S89" s="403" t="s">
        <v>14054</v>
      </c>
      <c r="T89" s="403" t="s">
        <v>14055</v>
      </c>
      <c r="U89" s="403"/>
      <c r="V89" s="403" t="s">
        <v>23024</v>
      </c>
      <c r="W89" s="403" t="s">
        <v>23024</v>
      </c>
      <c r="X89" s="403" t="s">
        <v>23024</v>
      </c>
      <c r="Y89" s="403" t="s">
        <v>23024</v>
      </c>
    </row>
    <row r="90" spans="1:25">
      <c r="A90" s="363">
        <f t="shared" si="15"/>
        <v>89</v>
      </c>
      <c r="B90" s="363" t="str">
        <f t="shared" si="8"/>
        <v>44</v>
      </c>
      <c r="C90" s="405" t="str">
        <f t="shared" si="9"/>
        <v>第000470号</v>
      </c>
      <c r="D90" s="405" t="str">
        <f t="shared" si="10"/>
        <v>（有）加藤水道</v>
      </c>
      <c r="E90" s="405" t="str">
        <f t="shared" si="11"/>
        <v>取締役</v>
      </c>
      <c r="F90" s="405" t="str">
        <f t="shared" si="12"/>
        <v>古城　賢治</v>
      </c>
      <c r="G90" s="405" t="str">
        <f t="shared" si="13"/>
        <v>主たる営業所</v>
      </c>
      <c r="H90" s="405" t="str">
        <f t="shared" si="14"/>
        <v>由布市湯布院町川上２３９３</v>
      </c>
      <c r="L90" s="403" t="s">
        <v>7516</v>
      </c>
      <c r="M90" s="403" t="s">
        <v>7517</v>
      </c>
      <c r="N90" s="403" t="s">
        <v>1566</v>
      </c>
      <c r="O90" s="403" t="s">
        <v>7085</v>
      </c>
      <c r="P90" s="403" t="s">
        <v>1567</v>
      </c>
      <c r="Q90" s="403" t="s">
        <v>7377</v>
      </c>
      <c r="R90" s="403" t="s">
        <v>5348</v>
      </c>
      <c r="S90" s="403" t="s">
        <v>14056</v>
      </c>
      <c r="T90" s="403" t="s">
        <v>14057</v>
      </c>
      <c r="U90" s="403"/>
      <c r="V90" s="403" t="s">
        <v>23024</v>
      </c>
      <c r="W90" s="403" t="s">
        <v>23024</v>
      </c>
      <c r="X90" s="403" t="s">
        <v>23024</v>
      </c>
      <c r="Y90" s="403" t="s">
        <v>23024</v>
      </c>
    </row>
    <row r="91" spans="1:25">
      <c r="A91" s="363">
        <f t="shared" si="15"/>
        <v>90</v>
      </c>
      <c r="B91" s="363" t="str">
        <f t="shared" si="8"/>
        <v>44</v>
      </c>
      <c r="C91" s="405" t="str">
        <f t="shared" si="9"/>
        <v>第000495号</v>
      </c>
      <c r="D91" s="405" t="str">
        <f t="shared" si="10"/>
        <v>（有）首藤建設</v>
      </c>
      <c r="E91" s="405" t="str">
        <f t="shared" si="11"/>
        <v>代表取締役</v>
      </c>
      <c r="F91" s="405" t="str">
        <f t="shared" si="12"/>
        <v>首藤　政博</v>
      </c>
      <c r="G91" s="405" t="str">
        <f t="shared" si="13"/>
        <v>主たる営業所</v>
      </c>
      <c r="H91" s="405" t="str">
        <f t="shared" si="14"/>
        <v>由布市挾間町向原３３５－１</v>
      </c>
      <c r="L91" s="403" t="s">
        <v>7518</v>
      </c>
      <c r="M91" s="403" t="s">
        <v>7519</v>
      </c>
      <c r="N91" s="403" t="s">
        <v>1568</v>
      </c>
      <c r="O91" s="403" t="s">
        <v>7084</v>
      </c>
      <c r="P91" s="403" t="s">
        <v>1569</v>
      </c>
      <c r="Q91" s="403" t="s">
        <v>7520</v>
      </c>
      <c r="R91" s="403" t="s">
        <v>18624</v>
      </c>
      <c r="S91" s="403" t="s">
        <v>14058</v>
      </c>
      <c r="T91" s="403" t="s">
        <v>14059</v>
      </c>
      <c r="U91" s="403"/>
      <c r="V91" s="403" t="s">
        <v>23024</v>
      </c>
      <c r="W91" s="403" t="s">
        <v>23024</v>
      </c>
      <c r="X91" s="403" t="s">
        <v>23024</v>
      </c>
      <c r="Y91" s="403" t="s">
        <v>23024</v>
      </c>
    </row>
    <row r="92" spans="1:25">
      <c r="A92" s="363">
        <f t="shared" si="15"/>
        <v>91</v>
      </c>
      <c r="B92" s="363" t="str">
        <f t="shared" si="8"/>
        <v>44</v>
      </c>
      <c r="C92" s="405" t="str">
        <f t="shared" si="9"/>
        <v>第000526号</v>
      </c>
      <c r="D92" s="405" t="str">
        <f t="shared" si="10"/>
        <v>（有）信栄設備</v>
      </c>
      <c r="E92" s="405" t="str">
        <f t="shared" si="11"/>
        <v>代表取締役</v>
      </c>
      <c r="F92" s="405" t="str">
        <f t="shared" si="12"/>
        <v>佐々木　博人</v>
      </c>
      <c r="G92" s="405" t="str">
        <f t="shared" si="13"/>
        <v>主たる営業所</v>
      </c>
      <c r="H92" s="405" t="str">
        <f t="shared" si="14"/>
        <v>大分市大字丹川７４－３</v>
      </c>
      <c r="L92" s="403" t="s">
        <v>7521</v>
      </c>
      <c r="M92" s="403" t="s">
        <v>7522</v>
      </c>
      <c r="N92" s="403" t="s">
        <v>1570</v>
      </c>
      <c r="O92" s="403" t="s">
        <v>7084</v>
      </c>
      <c r="P92" s="403" t="s">
        <v>5215</v>
      </c>
      <c r="Q92" s="403" t="s">
        <v>7523</v>
      </c>
      <c r="R92" s="403" t="s">
        <v>18625</v>
      </c>
      <c r="S92" s="403" t="s">
        <v>14060</v>
      </c>
      <c r="T92" s="403" t="s">
        <v>14061</v>
      </c>
      <c r="U92" s="403"/>
      <c r="V92" s="403" t="s">
        <v>23024</v>
      </c>
      <c r="W92" s="403" t="s">
        <v>23024</v>
      </c>
      <c r="X92" s="403" t="s">
        <v>23024</v>
      </c>
      <c r="Y92" s="403" t="s">
        <v>23024</v>
      </c>
    </row>
    <row r="93" spans="1:25">
      <c r="A93" s="363">
        <f t="shared" si="15"/>
        <v>92</v>
      </c>
      <c r="B93" s="363" t="str">
        <f t="shared" si="8"/>
        <v>44</v>
      </c>
      <c r="C93" s="405" t="str">
        <f t="shared" si="9"/>
        <v>第000535号</v>
      </c>
      <c r="D93" s="405" t="str">
        <f t="shared" si="10"/>
        <v>鬼塚産業（株）</v>
      </c>
      <c r="E93" s="405" t="str">
        <f t="shared" si="11"/>
        <v>代表取締役</v>
      </c>
      <c r="F93" s="405" t="str">
        <f t="shared" si="12"/>
        <v>鶴原　達美</v>
      </c>
      <c r="G93" s="405" t="str">
        <f t="shared" si="13"/>
        <v>主たる営業所</v>
      </c>
      <c r="H93" s="405" t="str">
        <f t="shared" si="14"/>
        <v>大分市大字津留１９７９－１</v>
      </c>
      <c r="L93" s="403" t="s">
        <v>7524</v>
      </c>
      <c r="M93" s="403" t="s">
        <v>7525</v>
      </c>
      <c r="N93" s="403" t="s">
        <v>1571</v>
      </c>
      <c r="O93" s="403" t="s">
        <v>7084</v>
      </c>
      <c r="P93" s="403" t="s">
        <v>1572</v>
      </c>
      <c r="Q93" s="403" t="s">
        <v>7294</v>
      </c>
      <c r="R93" s="403" t="s">
        <v>18543</v>
      </c>
      <c r="S93" s="403" t="s">
        <v>14062</v>
      </c>
      <c r="T93" s="403" t="s">
        <v>14063</v>
      </c>
      <c r="U93" s="403"/>
      <c r="V93" s="403" t="s">
        <v>23024</v>
      </c>
      <c r="W93" s="403" t="s">
        <v>23024</v>
      </c>
      <c r="X93" s="403" t="s">
        <v>23024</v>
      </c>
      <c r="Y93" s="403" t="s">
        <v>23024</v>
      </c>
    </row>
    <row r="94" spans="1:25">
      <c r="A94" s="363">
        <f t="shared" si="15"/>
        <v>93</v>
      </c>
      <c r="B94" s="363" t="str">
        <f t="shared" si="8"/>
        <v>44</v>
      </c>
      <c r="C94" s="405" t="str">
        <f t="shared" si="9"/>
        <v>第000536号</v>
      </c>
      <c r="D94" s="405" t="str">
        <f t="shared" si="10"/>
        <v>大分興業（株）</v>
      </c>
      <c r="E94" s="405" t="str">
        <f t="shared" si="11"/>
        <v>代表取締役</v>
      </c>
      <c r="F94" s="405" t="str">
        <f t="shared" si="12"/>
        <v>古手川　哲</v>
      </c>
      <c r="G94" s="405" t="str">
        <f t="shared" si="13"/>
        <v>主たる営業所</v>
      </c>
      <c r="H94" s="405" t="str">
        <f t="shared" si="14"/>
        <v>大分市青崎１－２－３６</v>
      </c>
      <c r="L94" s="403" t="s">
        <v>7526</v>
      </c>
      <c r="M94" s="403" t="s">
        <v>7527</v>
      </c>
      <c r="N94" s="403" t="s">
        <v>1573</v>
      </c>
      <c r="O94" s="403" t="s">
        <v>7084</v>
      </c>
      <c r="P94" s="403" t="s">
        <v>1574</v>
      </c>
      <c r="Q94" s="403" t="s">
        <v>7528</v>
      </c>
      <c r="R94" s="403" t="s">
        <v>18626</v>
      </c>
      <c r="S94" s="403" t="s">
        <v>14064</v>
      </c>
      <c r="T94" s="403" t="s">
        <v>14065</v>
      </c>
      <c r="U94" s="403"/>
      <c r="V94" s="403" t="s">
        <v>23024</v>
      </c>
      <c r="W94" s="403" t="s">
        <v>23024</v>
      </c>
      <c r="X94" s="403" t="s">
        <v>23024</v>
      </c>
      <c r="Y94" s="403" t="s">
        <v>23024</v>
      </c>
    </row>
    <row r="95" spans="1:25">
      <c r="A95" s="363">
        <f t="shared" si="15"/>
        <v>94</v>
      </c>
      <c r="B95" s="363" t="str">
        <f t="shared" si="8"/>
        <v>44</v>
      </c>
      <c r="C95" s="405" t="str">
        <f t="shared" si="9"/>
        <v>第000549号</v>
      </c>
      <c r="D95" s="405" t="str">
        <f t="shared" si="10"/>
        <v>（株）小出建設</v>
      </c>
      <c r="E95" s="405" t="str">
        <f t="shared" si="11"/>
        <v>代表取締役</v>
      </c>
      <c r="F95" s="405" t="str">
        <f t="shared" si="12"/>
        <v>岩尾　大介</v>
      </c>
      <c r="G95" s="405" t="str">
        <f t="shared" si="13"/>
        <v>主たる営業所</v>
      </c>
      <c r="H95" s="405" t="str">
        <f t="shared" si="14"/>
        <v>大分市大字中戸次５８７９－２</v>
      </c>
      <c r="L95" s="403" t="s">
        <v>7529</v>
      </c>
      <c r="M95" s="403" t="s">
        <v>7530</v>
      </c>
      <c r="N95" s="403" t="s">
        <v>1575</v>
      </c>
      <c r="O95" s="403" t="s">
        <v>7084</v>
      </c>
      <c r="P95" s="403" t="s">
        <v>1576</v>
      </c>
      <c r="Q95" s="403" t="s">
        <v>7531</v>
      </c>
      <c r="R95" s="403" t="s">
        <v>18627</v>
      </c>
      <c r="S95" s="403" t="s">
        <v>14066</v>
      </c>
      <c r="T95" s="403" t="s">
        <v>14067</v>
      </c>
      <c r="U95" s="403"/>
      <c r="V95" s="403" t="s">
        <v>23024</v>
      </c>
      <c r="W95" s="403" t="s">
        <v>23024</v>
      </c>
      <c r="X95" s="403" t="s">
        <v>23024</v>
      </c>
      <c r="Y95" s="403" t="s">
        <v>23024</v>
      </c>
    </row>
    <row r="96" spans="1:25">
      <c r="A96" s="363">
        <f t="shared" si="15"/>
        <v>95</v>
      </c>
      <c r="B96" s="363" t="str">
        <f t="shared" si="8"/>
        <v>44</v>
      </c>
      <c r="C96" s="405" t="str">
        <f t="shared" si="9"/>
        <v>第000561号</v>
      </c>
      <c r="D96" s="405" t="str">
        <f t="shared" si="10"/>
        <v>藤原塗装（株）</v>
      </c>
      <c r="E96" s="405" t="str">
        <f t="shared" si="11"/>
        <v>代表取締役</v>
      </c>
      <c r="F96" s="405" t="str">
        <f t="shared" si="12"/>
        <v>藤原　忠和</v>
      </c>
      <c r="G96" s="405" t="str">
        <f t="shared" si="13"/>
        <v>主たる営業所</v>
      </c>
      <c r="H96" s="405" t="str">
        <f t="shared" si="14"/>
        <v>大分市中春日町４１</v>
      </c>
      <c r="L96" s="403" t="s">
        <v>7532</v>
      </c>
      <c r="M96" s="403" t="s">
        <v>7533</v>
      </c>
      <c r="N96" s="403" t="s">
        <v>1577</v>
      </c>
      <c r="O96" s="403" t="s">
        <v>7084</v>
      </c>
      <c r="P96" s="403" t="s">
        <v>1578</v>
      </c>
      <c r="Q96" s="403" t="s">
        <v>7534</v>
      </c>
      <c r="R96" s="403" t="s">
        <v>5349</v>
      </c>
      <c r="S96" s="403" t="s">
        <v>14068</v>
      </c>
      <c r="T96" s="403" t="s">
        <v>14069</v>
      </c>
      <c r="U96" s="403"/>
      <c r="V96" s="403" t="s">
        <v>23024</v>
      </c>
      <c r="W96" s="403" t="s">
        <v>23024</v>
      </c>
      <c r="X96" s="403" t="s">
        <v>23024</v>
      </c>
      <c r="Y96" s="403" t="s">
        <v>23024</v>
      </c>
    </row>
    <row r="97" spans="1:25">
      <c r="A97" s="363">
        <f t="shared" si="15"/>
        <v>96</v>
      </c>
      <c r="B97" s="363" t="str">
        <f t="shared" si="8"/>
        <v>44</v>
      </c>
      <c r="C97" s="405" t="str">
        <f t="shared" si="9"/>
        <v>第000592号</v>
      </c>
      <c r="D97" s="405" t="str">
        <f t="shared" si="10"/>
        <v>林建設（株）</v>
      </c>
      <c r="E97" s="405" t="str">
        <f t="shared" si="11"/>
        <v>代表取締役</v>
      </c>
      <c r="F97" s="405" t="str">
        <f t="shared" si="12"/>
        <v>篠田　裕一</v>
      </c>
      <c r="G97" s="405" t="str">
        <f t="shared" si="13"/>
        <v>主たる営業所</v>
      </c>
      <c r="H97" s="405" t="str">
        <f t="shared" si="14"/>
        <v>大分市城東町２－５</v>
      </c>
      <c r="L97" s="403" t="s">
        <v>7535</v>
      </c>
      <c r="M97" s="403" t="s">
        <v>7536</v>
      </c>
      <c r="N97" s="403" t="s">
        <v>1579</v>
      </c>
      <c r="O97" s="403" t="s">
        <v>7084</v>
      </c>
      <c r="P97" s="403" t="s">
        <v>1580</v>
      </c>
      <c r="Q97" s="403" t="s">
        <v>7410</v>
      </c>
      <c r="R97" s="403" t="s">
        <v>18628</v>
      </c>
      <c r="S97" s="403" t="s">
        <v>14070</v>
      </c>
      <c r="T97" s="403" t="s">
        <v>14071</v>
      </c>
      <c r="U97" s="403"/>
      <c r="V97" s="403" t="s">
        <v>23024</v>
      </c>
      <c r="W97" s="403" t="s">
        <v>23024</v>
      </c>
      <c r="X97" s="403" t="s">
        <v>23024</v>
      </c>
      <c r="Y97" s="403" t="s">
        <v>23024</v>
      </c>
    </row>
    <row r="98" spans="1:25">
      <c r="A98" s="363">
        <f t="shared" si="15"/>
        <v>97</v>
      </c>
      <c r="B98" s="363" t="str">
        <f t="shared" si="8"/>
        <v>44</v>
      </c>
      <c r="C98" s="405" t="str">
        <f t="shared" si="9"/>
        <v>第000596号</v>
      </c>
      <c r="D98" s="405" t="str">
        <f t="shared" si="10"/>
        <v>（株）九環緑地建設</v>
      </c>
      <c r="E98" s="405" t="str">
        <f t="shared" si="11"/>
        <v>代表取締役</v>
      </c>
      <c r="F98" s="405" t="str">
        <f t="shared" si="12"/>
        <v>伊藤　暢靖</v>
      </c>
      <c r="G98" s="405" t="str">
        <f t="shared" si="13"/>
        <v>主たる営業所</v>
      </c>
      <c r="H98" s="405" t="str">
        <f t="shared" si="14"/>
        <v>大分市下郡南３－２－３４</v>
      </c>
      <c r="L98" s="403" t="s">
        <v>7537</v>
      </c>
      <c r="M98" s="403" t="s">
        <v>7538</v>
      </c>
      <c r="N98" s="403" t="s">
        <v>1581</v>
      </c>
      <c r="O98" s="403" t="s">
        <v>7084</v>
      </c>
      <c r="P98" s="403" t="s">
        <v>1582</v>
      </c>
      <c r="Q98" s="403" t="s">
        <v>7539</v>
      </c>
      <c r="R98" s="403" t="s">
        <v>18629</v>
      </c>
      <c r="S98" s="403" t="s">
        <v>14072</v>
      </c>
      <c r="T98" s="403" t="s">
        <v>14073</v>
      </c>
      <c r="U98" s="403"/>
      <c r="V98" s="403" t="s">
        <v>23024</v>
      </c>
      <c r="W98" s="403" t="s">
        <v>23024</v>
      </c>
      <c r="X98" s="403" t="s">
        <v>23024</v>
      </c>
      <c r="Y98" s="403" t="s">
        <v>23024</v>
      </c>
    </row>
    <row r="99" spans="1:25">
      <c r="A99" s="363">
        <f t="shared" si="15"/>
        <v>98</v>
      </c>
      <c r="B99" s="363" t="str">
        <f t="shared" si="8"/>
        <v>44</v>
      </c>
      <c r="C99" s="405" t="str">
        <f t="shared" si="9"/>
        <v>第000600号</v>
      </c>
      <c r="D99" s="405" t="str">
        <f t="shared" si="10"/>
        <v>柴田建設（株）</v>
      </c>
      <c r="E99" s="405" t="str">
        <f t="shared" si="11"/>
        <v>代表取締役</v>
      </c>
      <c r="F99" s="405" t="str">
        <f t="shared" si="12"/>
        <v>柴田　康輔</v>
      </c>
      <c r="G99" s="405" t="str">
        <f t="shared" si="13"/>
        <v>主たる営業所</v>
      </c>
      <c r="H99" s="405" t="str">
        <f t="shared" si="14"/>
        <v>大分市大字中判田１７１２－４</v>
      </c>
      <c r="L99" s="403" t="s">
        <v>7540</v>
      </c>
      <c r="M99" s="403" t="s">
        <v>7541</v>
      </c>
      <c r="N99" s="403" t="s">
        <v>1583</v>
      </c>
      <c r="O99" s="403" t="s">
        <v>7084</v>
      </c>
      <c r="P99" s="403" t="s">
        <v>1584</v>
      </c>
      <c r="Q99" s="403" t="s">
        <v>7542</v>
      </c>
      <c r="R99" s="403" t="s">
        <v>18630</v>
      </c>
      <c r="S99" s="403" t="s">
        <v>14074</v>
      </c>
      <c r="T99" s="403" t="s">
        <v>14075</v>
      </c>
      <c r="U99" s="403"/>
      <c r="V99" s="403" t="s">
        <v>23024</v>
      </c>
      <c r="W99" s="403" t="s">
        <v>23024</v>
      </c>
      <c r="X99" s="403" t="s">
        <v>23024</v>
      </c>
      <c r="Y99" s="403" t="s">
        <v>23024</v>
      </c>
    </row>
    <row r="100" spans="1:25">
      <c r="A100" s="363">
        <f t="shared" si="15"/>
        <v>99</v>
      </c>
      <c r="B100" s="363" t="str">
        <f t="shared" si="8"/>
        <v>44</v>
      </c>
      <c r="C100" s="405" t="str">
        <f t="shared" si="9"/>
        <v>第000604号</v>
      </c>
      <c r="D100" s="405" t="str">
        <f t="shared" si="10"/>
        <v>（有）フクダ工業</v>
      </c>
      <c r="E100" s="405" t="str">
        <f t="shared" si="11"/>
        <v>代表取締役</v>
      </c>
      <c r="F100" s="405" t="str">
        <f t="shared" si="12"/>
        <v>福田　敦史</v>
      </c>
      <c r="G100" s="405" t="str">
        <f t="shared" si="13"/>
        <v>主たる営業所</v>
      </c>
      <c r="H100" s="405" t="str">
        <f t="shared" si="14"/>
        <v>大分市住吉町２－４－１１</v>
      </c>
      <c r="L100" s="403" t="s">
        <v>7543</v>
      </c>
      <c r="M100" s="403" t="s">
        <v>7544</v>
      </c>
      <c r="N100" s="403" t="s">
        <v>1585</v>
      </c>
      <c r="O100" s="403" t="s">
        <v>7084</v>
      </c>
      <c r="P100" s="403" t="s">
        <v>1586</v>
      </c>
      <c r="Q100" s="403" t="s">
        <v>7545</v>
      </c>
      <c r="R100" s="403" t="s">
        <v>18631</v>
      </c>
      <c r="S100" s="403" t="s">
        <v>14076</v>
      </c>
      <c r="T100" s="403" t="s">
        <v>14077</v>
      </c>
      <c r="U100" s="403"/>
      <c r="V100" s="403" t="s">
        <v>23024</v>
      </c>
      <c r="W100" s="403" t="s">
        <v>23024</v>
      </c>
      <c r="X100" s="403" t="s">
        <v>23024</v>
      </c>
      <c r="Y100" s="403" t="s">
        <v>23024</v>
      </c>
    </row>
    <row r="101" spans="1:25">
      <c r="A101" s="363">
        <f t="shared" si="15"/>
        <v>100</v>
      </c>
      <c r="B101" s="363" t="str">
        <f t="shared" si="8"/>
        <v>44</v>
      </c>
      <c r="C101" s="405" t="str">
        <f t="shared" si="9"/>
        <v>第000608号</v>
      </c>
      <c r="D101" s="405" t="str">
        <f t="shared" si="10"/>
        <v>（株）角田建設</v>
      </c>
      <c r="E101" s="405" t="str">
        <f t="shared" si="11"/>
        <v>代表取締役</v>
      </c>
      <c r="F101" s="405" t="str">
        <f t="shared" si="12"/>
        <v>角田　裕樹</v>
      </c>
      <c r="G101" s="405" t="str">
        <f t="shared" si="13"/>
        <v>主たる営業所</v>
      </c>
      <c r="H101" s="405" t="str">
        <f t="shared" si="14"/>
        <v>由布市庄内町柿原２７０</v>
      </c>
      <c r="L101" s="403" t="s">
        <v>7546</v>
      </c>
      <c r="M101" s="403" t="s">
        <v>7547</v>
      </c>
      <c r="N101" s="403" t="s">
        <v>1587</v>
      </c>
      <c r="O101" s="403" t="s">
        <v>7084</v>
      </c>
      <c r="P101" s="403" t="s">
        <v>1588</v>
      </c>
      <c r="Q101" s="403" t="s">
        <v>7548</v>
      </c>
      <c r="R101" s="403" t="s">
        <v>5350</v>
      </c>
      <c r="S101" s="403" t="s">
        <v>14078</v>
      </c>
      <c r="T101" s="403" t="s">
        <v>14079</v>
      </c>
      <c r="U101" s="403"/>
      <c r="V101" s="403" t="s">
        <v>23024</v>
      </c>
      <c r="W101" s="403" t="s">
        <v>23024</v>
      </c>
      <c r="X101" s="403" t="s">
        <v>23024</v>
      </c>
      <c r="Y101" s="403" t="s">
        <v>23024</v>
      </c>
    </row>
    <row r="102" spans="1:25">
      <c r="A102" s="363">
        <f t="shared" si="15"/>
        <v>101</v>
      </c>
      <c r="B102" s="363" t="str">
        <f t="shared" si="8"/>
        <v>44</v>
      </c>
      <c r="C102" s="405" t="str">
        <f t="shared" si="9"/>
        <v>第000611号</v>
      </c>
      <c r="D102" s="405" t="str">
        <f t="shared" si="10"/>
        <v>幸建設（株）</v>
      </c>
      <c r="E102" s="405" t="str">
        <f t="shared" si="11"/>
        <v>代表取締役</v>
      </c>
      <c r="F102" s="405" t="str">
        <f t="shared" si="12"/>
        <v>幸　光雄</v>
      </c>
      <c r="G102" s="405" t="str">
        <f t="shared" si="13"/>
        <v>主たる営業所</v>
      </c>
      <c r="H102" s="405" t="str">
        <f t="shared" si="14"/>
        <v>大分市花園２－１４０７ー１</v>
      </c>
      <c r="L102" s="403" t="s">
        <v>7549</v>
      </c>
      <c r="M102" s="403" t="s">
        <v>7550</v>
      </c>
      <c r="N102" s="403" t="s">
        <v>1589</v>
      </c>
      <c r="O102" s="403" t="s">
        <v>7084</v>
      </c>
      <c r="P102" s="403" t="s">
        <v>1590</v>
      </c>
      <c r="Q102" s="403" t="s">
        <v>7428</v>
      </c>
      <c r="R102" s="403" t="s">
        <v>18632</v>
      </c>
      <c r="S102" s="403" t="s">
        <v>14080</v>
      </c>
      <c r="T102" s="403" t="s">
        <v>14081</v>
      </c>
      <c r="U102" s="403"/>
      <c r="V102" s="403" t="s">
        <v>23024</v>
      </c>
      <c r="W102" s="403" t="s">
        <v>23024</v>
      </c>
      <c r="X102" s="403" t="s">
        <v>23024</v>
      </c>
      <c r="Y102" s="403" t="s">
        <v>23024</v>
      </c>
    </row>
    <row r="103" spans="1:25">
      <c r="A103" s="363">
        <f t="shared" si="15"/>
        <v>102</v>
      </c>
      <c r="B103" s="363" t="str">
        <f t="shared" si="8"/>
        <v>44</v>
      </c>
      <c r="C103" s="405" t="str">
        <f t="shared" si="9"/>
        <v>第000627号</v>
      </c>
      <c r="D103" s="405" t="str">
        <f t="shared" si="10"/>
        <v>（株）松村硝子店</v>
      </c>
      <c r="E103" s="405" t="str">
        <f t="shared" si="11"/>
        <v>代表取締役</v>
      </c>
      <c r="F103" s="405" t="str">
        <f t="shared" si="12"/>
        <v>松村　幸司</v>
      </c>
      <c r="G103" s="405" t="str">
        <f t="shared" si="13"/>
        <v>主たる営業所</v>
      </c>
      <c r="H103" s="405" t="str">
        <f t="shared" si="14"/>
        <v>大分市豊海５－４－１６</v>
      </c>
      <c r="L103" s="403" t="s">
        <v>7551</v>
      </c>
      <c r="M103" s="403" t="s">
        <v>7552</v>
      </c>
      <c r="N103" s="403" t="s">
        <v>1591</v>
      </c>
      <c r="O103" s="403" t="s">
        <v>7084</v>
      </c>
      <c r="P103" s="403" t="s">
        <v>1592</v>
      </c>
      <c r="Q103" s="403" t="s">
        <v>7285</v>
      </c>
      <c r="R103" s="403" t="s">
        <v>18633</v>
      </c>
      <c r="S103" s="403" t="s">
        <v>14082</v>
      </c>
      <c r="T103" s="403" t="s">
        <v>14083</v>
      </c>
      <c r="U103" s="403"/>
      <c r="V103" s="403" t="s">
        <v>23024</v>
      </c>
      <c r="W103" s="403" t="s">
        <v>23024</v>
      </c>
      <c r="X103" s="403" t="s">
        <v>23024</v>
      </c>
      <c r="Y103" s="403" t="s">
        <v>23024</v>
      </c>
    </row>
    <row r="104" spans="1:25">
      <c r="A104" s="363">
        <f t="shared" si="15"/>
        <v>103</v>
      </c>
      <c r="B104" s="363" t="str">
        <f t="shared" si="8"/>
        <v>44</v>
      </c>
      <c r="C104" s="405" t="str">
        <f t="shared" si="9"/>
        <v>第000629号</v>
      </c>
      <c r="D104" s="405" t="str">
        <f t="shared" si="10"/>
        <v>山忠商店（株）</v>
      </c>
      <c r="E104" s="405" t="str">
        <f t="shared" si="11"/>
        <v>代表取締役</v>
      </c>
      <c r="F104" s="405" t="str">
        <f t="shared" si="12"/>
        <v>中島　巌</v>
      </c>
      <c r="G104" s="405" t="str">
        <f t="shared" si="13"/>
        <v>主たる営業所</v>
      </c>
      <c r="H104" s="405" t="str">
        <f t="shared" si="14"/>
        <v>大分市大字皆春１５２０－１</v>
      </c>
      <c r="L104" s="403" t="s">
        <v>7553</v>
      </c>
      <c r="M104" s="403" t="s">
        <v>7554</v>
      </c>
      <c r="N104" s="403" t="s">
        <v>1593</v>
      </c>
      <c r="O104" s="403" t="s">
        <v>7084</v>
      </c>
      <c r="P104" s="403" t="s">
        <v>18634</v>
      </c>
      <c r="Q104" s="403" t="s">
        <v>7478</v>
      </c>
      <c r="R104" s="403" t="s">
        <v>18635</v>
      </c>
      <c r="S104" s="403" t="s">
        <v>14084</v>
      </c>
      <c r="T104" s="403" t="s">
        <v>14085</v>
      </c>
      <c r="U104" s="403"/>
      <c r="V104" s="403" t="s">
        <v>23024</v>
      </c>
      <c r="W104" s="403" t="s">
        <v>23024</v>
      </c>
      <c r="X104" s="403" t="s">
        <v>23024</v>
      </c>
      <c r="Y104" s="403" t="s">
        <v>23024</v>
      </c>
    </row>
    <row r="105" spans="1:25">
      <c r="A105" s="363">
        <f t="shared" si="15"/>
        <v>104</v>
      </c>
      <c r="B105" s="363" t="str">
        <f t="shared" si="8"/>
        <v>44</v>
      </c>
      <c r="C105" s="405" t="str">
        <f t="shared" si="9"/>
        <v>第000647号</v>
      </c>
      <c r="D105" s="405" t="str">
        <f t="shared" si="10"/>
        <v>（有）幸野組</v>
      </c>
      <c r="E105" s="405" t="str">
        <f t="shared" si="11"/>
        <v>代表取締役</v>
      </c>
      <c r="F105" s="405" t="str">
        <f t="shared" si="12"/>
        <v>幸野　譲二</v>
      </c>
      <c r="G105" s="405" t="str">
        <f t="shared" si="13"/>
        <v>主たる営業所</v>
      </c>
      <c r="H105" s="405" t="str">
        <f t="shared" si="14"/>
        <v>由布市湯布院町下湯平１６５３</v>
      </c>
      <c r="L105" s="403" t="s">
        <v>7555</v>
      </c>
      <c r="M105" s="403" t="s">
        <v>7556</v>
      </c>
      <c r="N105" s="403" t="s">
        <v>1594</v>
      </c>
      <c r="O105" s="403" t="s">
        <v>7084</v>
      </c>
      <c r="P105" s="403" t="s">
        <v>18636</v>
      </c>
      <c r="Q105" s="403" t="s">
        <v>7557</v>
      </c>
      <c r="R105" s="403" t="s">
        <v>5351</v>
      </c>
      <c r="S105" s="403" t="s">
        <v>14086</v>
      </c>
      <c r="T105" s="403" t="s">
        <v>14087</v>
      </c>
      <c r="U105" s="403"/>
      <c r="V105" s="403" t="s">
        <v>23024</v>
      </c>
      <c r="W105" s="403" t="s">
        <v>23024</v>
      </c>
      <c r="X105" s="403" t="s">
        <v>23024</v>
      </c>
      <c r="Y105" s="403" t="s">
        <v>23024</v>
      </c>
    </row>
    <row r="106" spans="1:25">
      <c r="A106" s="363">
        <f t="shared" si="15"/>
        <v>105</v>
      </c>
      <c r="B106" s="363" t="str">
        <f t="shared" si="8"/>
        <v>44</v>
      </c>
      <c r="C106" s="405" t="str">
        <f t="shared" si="9"/>
        <v>第000652号</v>
      </c>
      <c r="D106" s="405" t="str">
        <f t="shared" si="10"/>
        <v>（株）めの建設</v>
      </c>
      <c r="E106" s="405" t="str">
        <f t="shared" si="11"/>
        <v>代表取締役</v>
      </c>
      <c r="F106" s="405" t="str">
        <f t="shared" si="12"/>
        <v>田崎　剛</v>
      </c>
      <c r="G106" s="405" t="str">
        <f t="shared" si="13"/>
        <v>主たる営業所</v>
      </c>
      <c r="H106" s="405" t="str">
        <f t="shared" si="14"/>
        <v>大分市下郡南２－４－２０</v>
      </c>
      <c r="L106" s="403" t="s">
        <v>7558</v>
      </c>
      <c r="M106" s="403" t="s">
        <v>7559</v>
      </c>
      <c r="N106" s="403" t="s">
        <v>1595</v>
      </c>
      <c r="O106" s="403" t="s">
        <v>7084</v>
      </c>
      <c r="P106" s="403" t="s">
        <v>1596</v>
      </c>
      <c r="Q106" s="403" t="s">
        <v>7539</v>
      </c>
      <c r="R106" s="403" t="s">
        <v>18637</v>
      </c>
      <c r="S106" s="403" t="s">
        <v>14088</v>
      </c>
      <c r="T106" s="403" t="s">
        <v>14089</v>
      </c>
      <c r="U106" s="403"/>
      <c r="V106" s="403" t="s">
        <v>23024</v>
      </c>
      <c r="W106" s="403" t="s">
        <v>23024</v>
      </c>
      <c r="X106" s="403" t="s">
        <v>23024</v>
      </c>
      <c r="Y106" s="403" t="s">
        <v>23024</v>
      </c>
    </row>
    <row r="107" spans="1:25">
      <c r="A107" s="363">
        <f t="shared" si="15"/>
        <v>106</v>
      </c>
      <c r="B107" s="363" t="str">
        <f t="shared" si="8"/>
        <v>44</v>
      </c>
      <c r="C107" s="405" t="str">
        <f t="shared" si="9"/>
        <v>第000662号</v>
      </c>
      <c r="D107" s="405" t="str">
        <f t="shared" si="10"/>
        <v>（有）興梠建設</v>
      </c>
      <c r="E107" s="405" t="str">
        <f t="shared" si="11"/>
        <v>取締役</v>
      </c>
      <c r="F107" s="405" t="str">
        <f t="shared" si="12"/>
        <v>藤岡　信幸</v>
      </c>
      <c r="G107" s="405" t="str">
        <f t="shared" si="13"/>
        <v>主たる営業所</v>
      </c>
      <c r="H107" s="405" t="str">
        <f t="shared" si="14"/>
        <v>由布市湯布院町川北２１６８－１</v>
      </c>
      <c r="L107" s="403" t="s">
        <v>7560</v>
      </c>
      <c r="M107" s="403" t="s">
        <v>7561</v>
      </c>
      <c r="N107" s="403" t="s">
        <v>1597</v>
      </c>
      <c r="O107" s="403" t="s">
        <v>7085</v>
      </c>
      <c r="P107" s="403" t="s">
        <v>1598</v>
      </c>
      <c r="Q107" s="403" t="s">
        <v>7562</v>
      </c>
      <c r="R107" s="403" t="s">
        <v>18638</v>
      </c>
      <c r="S107" s="403" t="s">
        <v>14090</v>
      </c>
      <c r="T107" s="403" t="s">
        <v>14091</v>
      </c>
      <c r="U107" s="403"/>
      <c r="V107" s="403" t="s">
        <v>23024</v>
      </c>
      <c r="W107" s="403" t="s">
        <v>23024</v>
      </c>
      <c r="X107" s="403" t="s">
        <v>23024</v>
      </c>
      <c r="Y107" s="403" t="s">
        <v>23024</v>
      </c>
    </row>
    <row r="108" spans="1:25">
      <c r="A108" s="363">
        <f t="shared" si="15"/>
        <v>107</v>
      </c>
      <c r="B108" s="363" t="str">
        <f t="shared" si="8"/>
        <v>44</v>
      </c>
      <c r="C108" s="405" t="str">
        <f t="shared" si="9"/>
        <v>第000663号</v>
      </c>
      <c r="D108" s="405" t="str">
        <f t="shared" si="10"/>
        <v>（有）清水装飾工業</v>
      </c>
      <c r="E108" s="405" t="str">
        <f t="shared" si="11"/>
        <v>代表取締役</v>
      </c>
      <c r="F108" s="405" t="str">
        <f t="shared" si="12"/>
        <v>河野　昭和</v>
      </c>
      <c r="G108" s="405" t="str">
        <f t="shared" si="13"/>
        <v>主たる営業所</v>
      </c>
      <c r="H108" s="405" t="str">
        <f t="shared" si="14"/>
        <v>大分市大字下宗方１１４０－１</v>
      </c>
      <c r="L108" s="403" t="s">
        <v>7563</v>
      </c>
      <c r="M108" s="403" t="s">
        <v>7564</v>
      </c>
      <c r="N108" s="403" t="s">
        <v>1599</v>
      </c>
      <c r="O108" s="403" t="s">
        <v>7084</v>
      </c>
      <c r="P108" s="403" t="s">
        <v>1600</v>
      </c>
      <c r="Q108" s="403" t="s">
        <v>7565</v>
      </c>
      <c r="R108" s="403" t="s">
        <v>18639</v>
      </c>
      <c r="S108" s="403" t="s">
        <v>14092</v>
      </c>
      <c r="T108" s="403" t="s">
        <v>14093</v>
      </c>
      <c r="U108" s="403"/>
      <c r="V108" s="403" t="s">
        <v>23024</v>
      </c>
      <c r="W108" s="403" t="s">
        <v>23024</v>
      </c>
      <c r="X108" s="403" t="s">
        <v>23024</v>
      </c>
      <c r="Y108" s="403" t="s">
        <v>23024</v>
      </c>
    </row>
    <row r="109" spans="1:25">
      <c r="A109" s="363">
        <f t="shared" si="15"/>
        <v>108</v>
      </c>
      <c r="B109" s="363" t="str">
        <f t="shared" si="8"/>
        <v>44</v>
      </c>
      <c r="C109" s="405" t="str">
        <f t="shared" si="9"/>
        <v>第000673号</v>
      </c>
      <c r="D109" s="405" t="str">
        <f t="shared" si="10"/>
        <v>（有）ハザマ設備</v>
      </c>
      <c r="E109" s="405" t="str">
        <f t="shared" si="11"/>
        <v>代表取締役</v>
      </c>
      <c r="F109" s="405" t="str">
        <f t="shared" si="12"/>
        <v>狹間　政良</v>
      </c>
      <c r="G109" s="405" t="str">
        <f t="shared" si="13"/>
        <v>主たる営業所</v>
      </c>
      <c r="H109" s="405" t="str">
        <f t="shared" si="14"/>
        <v>大分市大字南２９７</v>
      </c>
      <c r="L109" s="403" t="s">
        <v>7566</v>
      </c>
      <c r="M109" s="403" t="s">
        <v>7567</v>
      </c>
      <c r="N109" s="403" t="s">
        <v>1601</v>
      </c>
      <c r="O109" s="403" t="s">
        <v>7084</v>
      </c>
      <c r="P109" s="403" t="s">
        <v>1602</v>
      </c>
      <c r="Q109" s="403" t="s">
        <v>7568</v>
      </c>
      <c r="R109" s="403" t="s">
        <v>5352</v>
      </c>
      <c r="S109" s="403" t="s">
        <v>14094</v>
      </c>
      <c r="T109" s="403" t="s">
        <v>14095</v>
      </c>
      <c r="U109" s="403"/>
      <c r="V109" s="403" t="s">
        <v>23024</v>
      </c>
      <c r="W109" s="403" t="s">
        <v>23024</v>
      </c>
      <c r="X109" s="403" t="s">
        <v>23024</v>
      </c>
      <c r="Y109" s="403" t="s">
        <v>23024</v>
      </c>
    </row>
    <row r="110" spans="1:25">
      <c r="A110" s="363">
        <f t="shared" si="15"/>
        <v>109</v>
      </c>
      <c r="B110" s="363" t="str">
        <f t="shared" si="8"/>
        <v>44</v>
      </c>
      <c r="C110" s="405" t="str">
        <f t="shared" si="9"/>
        <v>第000696号</v>
      </c>
      <c r="D110" s="405" t="str">
        <f t="shared" si="10"/>
        <v>（有）山田建設</v>
      </c>
      <c r="E110" s="405" t="str">
        <f t="shared" si="11"/>
        <v>代表取締役</v>
      </c>
      <c r="F110" s="405" t="str">
        <f t="shared" si="12"/>
        <v>斎藤　文生</v>
      </c>
      <c r="G110" s="405" t="str">
        <f t="shared" si="13"/>
        <v>主たる営業所</v>
      </c>
      <c r="H110" s="405" t="str">
        <f t="shared" si="14"/>
        <v>大分市坂ノ市南４－６－３２</v>
      </c>
      <c r="L110" s="403" t="s">
        <v>7569</v>
      </c>
      <c r="M110" s="403" t="s">
        <v>7570</v>
      </c>
      <c r="N110" s="403" t="s">
        <v>1603</v>
      </c>
      <c r="O110" s="403" t="s">
        <v>7084</v>
      </c>
      <c r="P110" s="403" t="s">
        <v>1604</v>
      </c>
      <c r="Q110" s="403" t="s">
        <v>7571</v>
      </c>
      <c r="R110" s="403" t="s">
        <v>18640</v>
      </c>
      <c r="S110" s="403" t="s">
        <v>14096</v>
      </c>
      <c r="T110" s="403" t="s">
        <v>14097</v>
      </c>
      <c r="U110" s="403"/>
      <c r="V110" s="403" t="s">
        <v>23024</v>
      </c>
      <c r="W110" s="403" t="s">
        <v>23024</v>
      </c>
      <c r="X110" s="403" t="s">
        <v>23024</v>
      </c>
      <c r="Y110" s="403" t="s">
        <v>23024</v>
      </c>
    </row>
    <row r="111" spans="1:25">
      <c r="A111" s="363">
        <f t="shared" si="15"/>
        <v>110</v>
      </c>
      <c r="B111" s="363" t="str">
        <f t="shared" si="8"/>
        <v>44</v>
      </c>
      <c r="C111" s="405" t="str">
        <f t="shared" si="9"/>
        <v>第000744号</v>
      </c>
      <c r="D111" s="405" t="str">
        <f t="shared" si="10"/>
        <v>三浦建設工業（株）</v>
      </c>
      <c r="E111" s="405" t="str">
        <f t="shared" si="11"/>
        <v>代表取締役</v>
      </c>
      <c r="F111" s="405" t="str">
        <f t="shared" si="12"/>
        <v>三浦　智之</v>
      </c>
      <c r="G111" s="405" t="str">
        <f t="shared" si="13"/>
        <v>主たる営業所</v>
      </c>
      <c r="H111" s="405" t="str">
        <f t="shared" si="14"/>
        <v>臼杵市大字前田１７０２－３１</v>
      </c>
      <c r="L111" s="403" t="s">
        <v>7572</v>
      </c>
      <c r="M111" s="403" t="s">
        <v>7573</v>
      </c>
      <c r="N111" s="403" t="s">
        <v>1605</v>
      </c>
      <c r="O111" s="403" t="s">
        <v>7084</v>
      </c>
      <c r="P111" s="403" t="s">
        <v>1606</v>
      </c>
      <c r="Q111" s="403" t="s">
        <v>7574</v>
      </c>
      <c r="R111" s="403" t="s">
        <v>18641</v>
      </c>
      <c r="S111" s="403" t="s">
        <v>14098</v>
      </c>
      <c r="T111" s="403" t="s">
        <v>14098</v>
      </c>
      <c r="U111" s="403"/>
      <c r="V111" s="403" t="s">
        <v>23024</v>
      </c>
      <c r="W111" s="403" t="s">
        <v>23024</v>
      </c>
      <c r="X111" s="403" t="s">
        <v>23024</v>
      </c>
      <c r="Y111" s="403" t="s">
        <v>23024</v>
      </c>
    </row>
    <row r="112" spans="1:25">
      <c r="A112" s="363">
        <f t="shared" si="15"/>
        <v>111</v>
      </c>
      <c r="B112" s="363" t="str">
        <f t="shared" si="8"/>
        <v>44</v>
      </c>
      <c r="C112" s="405" t="str">
        <f t="shared" si="9"/>
        <v>第000750号</v>
      </c>
      <c r="D112" s="405" t="str">
        <f t="shared" si="10"/>
        <v>親和電工（株）</v>
      </c>
      <c r="E112" s="405" t="str">
        <f t="shared" si="11"/>
        <v>代表取締役</v>
      </c>
      <c r="F112" s="405" t="str">
        <f t="shared" si="12"/>
        <v>渡邊　謙介</v>
      </c>
      <c r="G112" s="405" t="str">
        <f t="shared" si="13"/>
        <v>主たる営業所</v>
      </c>
      <c r="H112" s="405" t="str">
        <f t="shared" si="14"/>
        <v>大分市大字下郡１７１６－１０</v>
      </c>
      <c r="L112" s="403" t="s">
        <v>7575</v>
      </c>
      <c r="M112" s="403" t="s">
        <v>7576</v>
      </c>
      <c r="N112" s="403" t="s">
        <v>1607</v>
      </c>
      <c r="O112" s="403" t="s">
        <v>7084</v>
      </c>
      <c r="P112" s="403" t="s">
        <v>1608</v>
      </c>
      <c r="Q112" s="403" t="s">
        <v>7386</v>
      </c>
      <c r="R112" s="403" t="s">
        <v>18642</v>
      </c>
      <c r="S112" s="403" t="s">
        <v>14099</v>
      </c>
      <c r="T112" s="403" t="s">
        <v>14100</v>
      </c>
      <c r="U112" s="403"/>
      <c r="V112" s="403" t="s">
        <v>23024</v>
      </c>
      <c r="W112" s="403" t="s">
        <v>23024</v>
      </c>
      <c r="X112" s="403" t="s">
        <v>23024</v>
      </c>
      <c r="Y112" s="403" t="s">
        <v>23024</v>
      </c>
    </row>
    <row r="113" spans="1:25">
      <c r="A113" s="363">
        <f t="shared" si="15"/>
        <v>112</v>
      </c>
      <c r="B113" s="363" t="str">
        <f t="shared" si="8"/>
        <v>44</v>
      </c>
      <c r="C113" s="405" t="str">
        <f t="shared" si="9"/>
        <v>第000765号</v>
      </c>
      <c r="D113" s="405" t="str">
        <f t="shared" si="10"/>
        <v>（株）甲斐建設工業</v>
      </c>
      <c r="E113" s="405" t="str">
        <f t="shared" si="11"/>
        <v>代表取締役</v>
      </c>
      <c r="F113" s="405" t="str">
        <f t="shared" si="12"/>
        <v>甲斐　靖人</v>
      </c>
      <c r="G113" s="405" t="str">
        <f t="shared" si="13"/>
        <v>主たる営業所</v>
      </c>
      <c r="H113" s="405" t="str">
        <f t="shared" si="14"/>
        <v>大分市大字細２０５－２</v>
      </c>
      <c r="L113" s="403" t="s">
        <v>7577</v>
      </c>
      <c r="M113" s="403" t="s">
        <v>7578</v>
      </c>
      <c r="N113" s="403" t="s">
        <v>1609</v>
      </c>
      <c r="O113" s="403" t="s">
        <v>7084</v>
      </c>
      <c r="P113" s="403" t="s">
        <v>1610</v>
      </c>
      <c r="Q113" s="403" t="s">
        <v>7579</v>
      </c>
      <c r="R113" s="403" t="s">
        <v>18643</v>
      </c>
      <c r="S113" s="403" t="s">
        <v>14101</v>
      </c>
      <c r="T113" s="403" t="s">
        <v>14102</v>
      </c>
      <c r="U113" s="403"/>
      <c r="V113" s="403" t="s">
        <v>23024</v>
      </c>
      <c r="W113" s="403" t="s">
        <v>23024</v>
      </c>
      <c r="X113" s="403" t="s">
        <v>23024</v>
      </c>
      <c r="Y113" s="403" t="s">
        <v>23024</v>
      </c>
    </row>
    <row r="114" spans="1:25">
      <c r="A114" s="363">
        <f t="shared" si="15"/>
        <v>113</v>
      </c>
      <c r="B114" s="363" t="str">
        <f t="shared" si="8"/>
        <v>44</v>
      </c>
      <c r="C114" s="405" t="str">
        <f t="shared" si="9"/>
        <v>第000800号</v>
      </c>
      <c r="D114" s="405" t="str">
        <f t="shared" si="10"/>
        <v>（株）但馬設備工業</v>
      </c>
      <c r="E114" s="405" t="str">
        <f t="shared" si="11"/>
        <v>代表取締役</v>
      </c>
      <c r="F114" s="405" t="str">
        <f t="shared" si="12"/>
        <v>早川　泰生</v>
      </c>
      <c r="G114" s="405" t="str">
        <f t="shared" si="13"/>
        <v>主たる営業所</v>
      </c>
      <c r="H114" s="405" t="str">
        <f t="shared" si="14"/>
        <v>大分市原新町９－９</v>
      </c>
      <c r="L114" s="403" t="s">
        <v>7580</v>
      </c>
      <c r="M114" s="403" t="s">
        <v>7581</v>
      </c>
      <c r="N114" s="403" t="s">
        <v>1611</v>
      </c>
      <c r="O114" s="403" t="s">
        <v>7084</v>
      </c>
      <c r="P114" s="403" t="s">
        <v>1612</v>
      </c>
      <c r="Q114" s="403" t="s">
        <v>7582</v>
      </c>
      <c r="R114" s="403" t="s">
        <v>18644</v>
      </c>
      <c r="S114" s="403" t="s">
        <v>14103</v>
      </c>
      <c r="T114" s="403" t="s">
        <v>14104</v>
      </c>
      <c r="U114" s="403"/>
      <c r="V114" s="403" t="s">
        <v>23024</v>
      </c>
      <c r="W114" s="403" t="s">
        <v>23024</v>
      </c>
      <c r="X114" s="403" t="s">
        <v>23024</v>
      </c>
      <c r="Y114" s="403" t="s">
        <v>23024</v>
      </c>
    </row>
    <row r="115" spans="1:25">
      <c r="A115" s="363">
        <f t="shared" si="15"/>
        <v>114</v>
      </c>
      <c r="B115" s="363" t="str">
        <f t="shared" si="8"/>
        <v>44</v>
      </c>
      <c r="C115" s="405" t="str">
        <f t="shared" si="9"/>
        <v>第000805号</v>
      </c>
      <c r="D115" s="405" t="str">
        <f t="shared" si="10"/>
        <v>（有）陽光建設</v>
      </c>
      <c r="E115" s="405" t="str">
        <f t="shared" si="11"/>
        <v>代表取締役</v>
      </c>
      <c r="F115" s="405" t="str">
        <f t="shared" si="12"/>
        <v>生永　伸一郎</v>
      </c>
      <c r="G115" s="405" t="str">
        <f t="shared" si="13"/>
        <v>主たる営業所</v>
      </c>
      <c r="H115" s="405" t="str">
        <f t="shared" si="14"/>
        <v>別府市原町１０－１</v>
      </c>
      <c r="L115" s="403" t="s">
        <v>7583</v>
      </c>
      <c r="M115" s="403" t="s">
        <v>7584</v>
      </c>
      <c r="N115" s="403" t="s">
        <v>1613</v>
      </c>
      <c r="O115" s="403" t="s">
        <v>7084</v>
      </c>
      <c r="P115" s="403" t="s">
        <v>1614</v>
      </c>
      <c r="Q115" s="403" t="s">
        <v>7585</v>
      </c>
      <c r="R115" s="403" t="s">
        <v>18645</v>
      </c>
      <c r="S115" s="403" t="s">
        <v>18646</v>
      </c>
      <c r="T115" s="403" t="s">
        <v>14105</v>
      </c>
      <c r="U115" s="403"/>
      <c r="V115" s="403" t="s">
        <v>23024</v>
      </c>
      <c r="W115" s="403" t="s">
        <v>23024</v>
      </c>
      <c r="X115" s="403" t="s">
        <v>23024</v>
      </c>
      <c r="Y115" s="403" t="s">
        <v>23024</v>
      </c>
    </row>
    <row r="116" spans="1:25">
      <c r="A116" s="363">
        <f t="shared" si="15"/>
        <v>115</v>
      </c>
      <c r="B116" s="363" t="str">
        <f t="shared" si="8"/>
        <v>44</v>
      </c>
      <c r="C116" s="405" t="str">
        <f t="shared" si="9"/>
        <v>第000807号</v>
      </c>
      <c r="D116" s="405" t="str">
        <f t="shared" si="10"/>
        <v>交永電気工事（株）</v>
      </c>
      <c r="E116" s="405" t="str">
        <f t="shared" si="11"/>
        <v>代表取締役</v>
      </c>
      <c r="F116" s="405" t="str">
        <f t="shared" si="12"/>
        <v>亀井　康雄</v>
      </c>
      <c r="G116" s="405" t="str">
        <f t="shared" si="13"/>
        <v>主たる営業所</v>
      </c>
      <c r="H116" s="405" t="str">
        <f t="shared" si="14"/>
        <v>別府市石垣東２－１０－１６</v>
      </c>
      <c r="L116" s="403" t="s">
        <v>7586</v>
      </c>
      <c r="M116" s="403" t="s">
        <v>7587</v>
      </c>
      <c r="N116" s="403" t="s">
        <v>1615</v>
      </c>
      <c r="O116" s="403" t="s">
        <v>7084</v>
      </c>
      <c r="P116" s="403" t="s">
        <v>1616</v>
      </c>
      <c r="Q116" s="403" t="s">
        <v>7363</v>
      </c>
      <c r="R116" s="403" t="s">
        <v>18647</v>
      </c>
      <c r="S116" s="403" t="s">
        <v>14106</v>
      </c>
      <c r="T116" s="403" t="s">
        <v>14107</v>
      </c>
      <c r="U116" s="403"/>
      <c r="V116" s="403" t="s">
        <v>23024</v>
      </c>
      <c r="W116" s="403" t="s">
        <v>23024</v>
      </c>
      <c r="X116" s="403" t="s">
        <v>23024</v>
      </c>
      <c r="Y116" s="403" t="s">
        <v>23024</v>
      </c>
    </row>
    <row r="117" spans="1:25">
      <c r="A117" s="363">
        <f t="shared" si="15"/>
        <v>116</v>
      </c>
      <c r="B117" s="363" t="str">
        <f t="shared" si="8"/>
        <v>44</v>
      </c>
      <c r="C117" s="405" t="str">
        <f t="shared" si="9"/>
        <v>第000808号</v>
      </c>
      <c r="D117" s="405" t="str">
        <f t="shared" si="10"/>
        <v>（株）浅野建設</v>
      </c>
      <c r="E117" s="405" t="str">
        <f t="shared" si="11"/>
        <v>代表取締役社長</v>
      </c>
      <c r="F117" s="405" t="str">
        <f t="shared" si="12"/>
        <v>浅野　健治</v>
      </c>
      <c r="G117" s="405" t="str">
        <f t="shared" si="13"/>
        <v>主たる営業所</v>
      </c>
      <c r="H117" s="405" t="str">
        <f t="shared" si="14"/>
        <v>速見郡日出町大字川崎５２３</v>
      </c>
      <c r="L117" s="403" t="s">
        <v>7588</v>
      </c>
      <c r="M117" s="403" t="s">
        <v>7589</v>
      </c>
      <c r="N117" s="403" t="s">
        <v>1617</v>
      </c>
      <c r="O117" s="403" t="s">
        <v>7083</v>
      </c>
      <c r="P117" s="403" t="s">
        <v>1618</v>
      </c>
      <c r="Q117" s="403" t="s">
        <v>7590</v>
      </c>
      <c r="R117" s="403" t="s">
        <v>5353</v>
      </c>
      <c r="S117" s="403" t="s">
        <v>14108</v>
      </c>
      <c r="T117" s="403" t="s">
        <v>14109</v>
      </c>
      <c r="U117" s="403"/>
      <c r="V117" s="403" t="s">
        <v>23024</v>
      </c>
      <c r="W117" s="403" t="s">
        <v>23024</v>
      </c>
      <c r="X117" s="403" t="s">
        <v>23024</v>
      </c>
      <c r="Y117" s="403" t="s">
        <v>23024</v>
      </c>
    </row>
    <row r="118" spans="1:25">
      <c r="A118" s="363">
        <f t="shared" si="15"/>
        <v>117</v>
      </c>
      <c r="B118" s="363" t="str">
        <f t="shared" si="8"/>
        <v>44</v>
      </c>
      <c r="C118" s="405" t="str">
        <f t="shared" si="9"/>
        <v>第000829号</v>
      </c>
      <c r="D118" s="405" t="str">
        <f t="shared" si="10"/>
        <v>（株）杵築建設</v>
      </c>
      <c r="E118" s="405" t="str">
        <f t="shared" si="11"/>
        <v>代表取締役</v>
      </c>
      <c r="F118" s="405" t="str">
        <f t="shared" si="12"/>
        <v>麻植　義雄</v>
      </c>
      <c r="G118" s="405" t="str">
        <f t="shared" si="13"/>
        <v>主たる営業所</v>
      </c>
      <c r="H118" s="405" t="str">
        <f t="shared" si="14"/>
        <v>杵築市大字南杵築２４６５－１</v>
      </c>
      <c r="L118" s="403" t="s">
        <v>7591</v>
      </c>
      <c r="M118" s="403" t="s">
        <v>7592</v>
      </c>
      <c r="N118" s="403" t="s">
        <v>1619</v>
      </c>
      <c r="O118" s="403" t="s">
        <v>7084</v>
      </c>
      <c r="P118" s="403" t="s">
        <v>1620</v>
      </c>
      <c r="Q118" s="403" t="s">
        <v>7593</v>
      </c>
      <c r="R118" s="403" t="s">
        <v>18648</v>
      </c>
      <c r="S118" s="403" t="s">
        <v>14110</v>
      </c>
      <c r="T118" s="403" t="s">
        <v>14111</v>
      </c>
      <c r="U118" s="403"/>
      <c r="V118" s="403" t="s">
        <v>23024</v>
      </c>
      <c r="W118" s="403" t="s">
        <v>23024</v>
      </c>
      <c r="X118" s="403" t="s">
        <v>23024</v>
      </c>
      <c r="Y118" s="403" t="s">
        <v>23024</v>
      </c>
    </row>
    <row r="119" spans="1:25">
      <c r="A119" s="363">
        <f t="shared" si="15"/>
        <v>118</v>
      </c>
      <c r="B119" s="363" t="str">
        <f t="shared" si="8"/>
        <v>44</v>
      </c>
      <c r="C119" s="405" t="str">
        <f t="shared" si="9"/>
        <v>第000835号</v>
      </c>
      <c r="D119" s="405" t="str">
        <f t="shared" si="10"/>
        <v>大晃通信建設（株）</v>
      </c>
      <c r="E119" s="405" t="str">
        <f t="shared" si="11"/>
        <v>代表取締役</v>
      </c>
      <c r="F119" s="405" t="str">
        <f t="shared" si="12"/>
        <v>池田　宏一</v>
      </c>
      <c r="G119" s="405" t="str">
        <f t="shared" si="13"/>
        <v>主たる営業所</v>
      </c>
      <c r="H119" s="405" t="str">
        <f t="shared" si="14"/>
        <v>宇佐市大字辛島１４－１</v>
      </c>
      <c r="L119" s="403" t="s">
        <v>7594</v>
      </c>
      <c r="M119" s="403" t="s">
        <v>7595</v>
      </c>
      <c r="N119" s="403" t="s">
        <v>1621</v>
      </c>
      <c r="O119" s="403" t="s">
        <v>7084</v>
      </c>
      <c r="P119" s="403" t="s">
        <v>1622</v>
      </c>
      <c r="Q119" s="403" t="s">
        <v>7596</v>
      </c>
      <c r="R119" s="403" t="s">
        <v>18649</v>
      </c>
      <c r="S119" s="403" t="s">
        <v>14112</v>
      </c>
      <c r="T119" s="403" t="s">
        <v>14113</v>
      </c>
      <c r="U119" s="403"/>
      <c r="V119" s="403" t="s">
        <v>23024</v>
      </c>
      <c r="W119" s="403" t="s">
        <v>23024</v>
      </c>
      <c r="X119" s="403" t="s">
        <v>23024</v>
      </c>
      <c r="Y119" s="403" t="s">
        <v>23024</v>
      </c>
    </row>
    <row r="120" spans="1:25">
      <c r="A120" s="363">
        <f t="shared" si="15"/>
        <v>119</v>
      </c>
      <c r="B120" s="363" t="str">
        <f t="shared" si="8"/>
        <v>44</v>
      </c>
      <c r="C120" s="405" t="str">
        <f t="shared" si="9"/>
        <v>第000850号</v>
      </c>
      <c r="D120" s="405" t="str">
        <f t="shared" si="10"/>
        <v>（株）幸建設</v>
      </c>
      <c r="E120" s="405" t="str">
        <f t="shared" si="11"/>
        <v>代表取締役</v>
      </c>
      <c r="F120" s="405" t="str">
        <f t="shared" si="12"/>
        <v>幸　孝文</v>
      </c>
      <c r="G120" s="405" t="str">
        <f t="shared" si="13"/>
        <v>主たる営業所</v>
      </c>
      <c r="H120" s="405" t="str">
        <f t="shared" si="14"/>
        <v>別府市石垣東１－９－３１</v>
      </c>
      <c r="L120" s="403" t="s">
        <v>7597</v>
      </c>
      <c r="M120" s="403" t="s">
        <v>7550</v>
      </c>
      <c r="N120" s="403" t="s">
        <v>1624</v>
      </c>
      <c r="O120" s="403" t="s">
        <v>7084</v>
      </c>
      <c r="P120" s="403" t="s">
        <v>1625</v>
      </c>
      <c r="Q120" s="403" t="s">
        <v>7363</v>
      </c>
      <c r="R120" s="403" t="s">
        <v>18650</v>
      </c>
      <c r="S120" s="403" t="s">
        <v>14114</v>
      </c>
      <c r="T120" s="403" t="s">
        <v>14115</v>
      </c>
      <c r="U120" s="403"/>
      <c r="V120" s="403" t="s">
        <v>23024</v>
      </c>
      <c r="W120" s="403" t="s">
        <v>23024</v>
      </c>
      <c r="X120" s="403" t="s">
        <v>23024</v>
      </c>
      <c r="Y120" s="403" t="s">
        <v>23024</v>
      </c>
    </row>
    <row r="121" spans="1:25">
      <c r="A121" s="363">
        <f t="shared" si="15"/>
        <v>120</v>
      </c>
      <c r="B121" s="363" t="str">
        <f t="shared" si="8"/>
        <v>44</v>
      </c>
      <c r="C121" s="405" t="str">
        <f t="shared" si="9"/>
        <v>第000861号</v>
      </c>
      <c r="D121" s="405" t="str">
        <f t="shared" si="10"/>
        <v>（株）後藤工務店</v>
      </c>
      <c r="E121" s="405" t="str">
        <f t="shared" si="11"/>
        <v>代表取締役</v>
      </c>
      <c r="F121" s="405" t="str">
        <f t="shared" si="12"/>
        <v>江藤　淳</v>
      </c>
      <c r="G121" s="405" t="str">
        <f t="shared" si="13"/>
        <v>主たる営業所</v>
      </c>
      <c r="H121" s="405" t="str">
        <f t="shared" si="14"/>
        <v>別府市光町７－２６</v>
      </c>
      <c r="L121" s="403" t="s">
        <v>7598</v>
      </c>
      <c r="M121" s="403" t="s">
        <v>7599</v>
      </c>
      <c r="N121" s="403" t="s">
        <v>1626</v>
      </c>
      <c r="O121" s="403" t="s">
        <v>7084</v>
      </c>
      <c r="P121" s="403" t="s">
        <v>1627</v>
      </c>
      <c r="Q121" s="403" t="s">
        <v>7600</v>
      </c>
      <c r="R121" s="403" t="s">
        <v>18651</v>
      </c>
      <c r="S121" s="403" t="s">
        <v>14116</v>
      </c>
      <c r="T121" s="403" t="s">
        <v>14117</v>
      </c>
      <c r="U121" s="403"/>
      <c r="V121" s="403" t="s">
        <v>23024</v>
      </c>
      <c r="W121" s="403" t="s">
        <v>23024</v>
      </c>
      <c r="X121" s="403" t="s">
        <v>23024</v>
      </c>
      <c r="Y121" s="403" t="s">
        <v>23024</v>
      </c>
    </row>
    <row r="122" spans="1:25">
      <c r="A122" s="363">
        <f t="shared" si="15"/>
        <v>121</v>
      </c>
      <c r="B122" s="363" t="str">
        <f t="shared" si="8"/>
        <v>44</v>
      </c>
      <c r="C122" s="405" t="str">
        <f t="shared" si="9"/>
        <v>第000863号</v>
      </c>
      <c r="D122" s="405" t="str">
        <f t="shared" si="10"/>
        <v>江藤工業（有）</v>
      </c>
      <c r="E122" s="405" t="str">
        <f t="shared" si="11"/>
        <v>代表取締役</v>
      </c>
      <c r="F122" s="405" t="str">
        <f t="shared" si="12"/>
        <v>江藤　千年</v>
      </c>
      <c r="G122" s="405" t="str">
        <f t="shared" si="13"/>
        <v>主たる営業所</v>
      </c>
      <c r="H122" s="405" t="str">
        <f t="shared" si="14"/>
        <v>杵築市大字南杵築４５８</v>
      </c>
      <c r="L122" s="403" t="s">
        <v>7601</v>
      </c>
      <c r="M122" s="403" t="s">
        <v>7602</v>
      </c>
      <c r="N122" s="403" t="s">
        <v>1628</v>
      </c>
      <c r="O122" s="403" t="s">
        <v>7084</v>
      </c>
      <c r="P122" s="403" t="s">
        <v>1629</v>
      </c>
      <c r="Q122" s="403" t="s">
        <v>7593</v>
      </c>
      <c r="R122" s="403" t="s">
        <v>5354</v>
      </c>
      <c r="S122" s="403" t="s">
        <v>14118</v>
      </c>
      <c r="T122" s="403" t="s">
        <v>14119</v>
      </c>
      <c r="U122" s="403"/>
      <c r="V122" s="403" t="s">
        <v>23024</v>
      </c>
      <c r="W122" s="403" t="s">
        <v>23024</v>
      </c>
      <c r="X122" s="403" t="s">
        <v>23024</v>
      </c>
      <c r="Y122" s="403" t="s">
        <v>23024</v>
      </c>
    </row>
    <row r="123" spans="1:25">
      <c r="A123" s="363">
        <f t="shared" si="15"/>
        <v>122</v>
      </c>
      <c r="B123" s="363" t="str">
        <f t="shared" si="8"/>
        <v>44</v>
      </c>
      <c r="C123" s="405" t="str">
        <f t="shared" si="9"/>
        <v>第000878号</v>
      </c>
      <c r="D123" s="405" t="str">
        <f t="shared" si="10"/>
        <v>（株）浦松建設</v>
      </c>
      <c r="E123" s="405" t="str">
        <f t="shared" si="11"/>
        <v>代表取締役</v>
      </c>
      <c r="F123" s="405" t="str">
        <f t="shared" si="12"/>
        <v>平野　英太郎</v>
      </c>
      <c r="G123" s="405" t="str">
        <f t="shared" si="13"/>
        <v>主たる営業所</v>
      </c>
      <c r="H123" s="405" t="str">
        <f t="shared" si="14"/>
        <v>別府市大字鶴見４１４２－８</v>
      </c>
      <c r="L123" s="403" t="s">
        <v>7603</v>
      </c>
      <c r="M123" s="403" t="s">
        <v>7604</v>
      </c>
      <c r="N123" s="403" t="s">
        <v>1630</v>
      </c>
      <c r="O123" s="403" t="s">
        <v>7084</v>
      </c>
      <c r="P123" s="403" t="s">
        <v>1631</v>
      </c>
      <c r="Q123" s="403" t="s">
        <v>7605</v>
      </c>
      <c r="R123" s="403" t="s">
        <v>18652</v>
      </c>
      <c r="S123" s="403" t="s">
        <v>14120</v>
      </c>
      <c r="T123" s="403" t="s">
        <v>14121</v>
      </c>
      <c r="U123" s="403"/>
      <c r="V123" s="403" t="s">
        <v>23024</v>
      </c>
      <c r="W123" s="403" t="s">
        <v>23024</v>
      </c>
      <c r="X123" s="403" t="s">
        <v>23024</v>
      </c>
      <c r="Y123" s="403" t="s">
        <v>23024</v>
      </c>
    </row>
    <row r="124" spans="1:25">
      <c r="A124" s="363">
        <f t="shared" si="15"/>
        <v>123</v>
      </c>
      <c r="B124" s="363" t="str">
        <f t="shared" si="8"/>
        <v>44</v>
      </c>
      <c r="C124" s="405" t="str">
        <f t="shared" si="9"/>
        <v>第000887号</v>
      </c>
      <c r="D124" s="405" t="str">
        <f t="shared" si="10"/>
        <v>日豊工業（株）</v>
      </c>
      <c r="E124" s="405" t="str">
        <f t="shared" si="11"/>
        <v>代表取締役</v>
      </c>
      <c r="F124" s="405" t="str">
        <f t="shared" si="12"/>
        <v>石丸　裕巳</v>
      </c>
      <c r="G124" s="405" t="str">
        <f t="shared" si="13"/>
        <v>主たる営業所</v>
      </c>
      <c r="H124" s="405" t="str">
        <f t="shared" si="14"/>
        <v>速見郡日出町大字真那井３１６５－２</v>
      </c>
      <c r="L124" s="403" t="s">
        <v>7606</v>
      </c>
      <c r="M124" s="403" t="s">
        <v>7607</v>
      </c>
      <c r="N124" s="403" t="s">
        <v>1632</v>
      </c>
      <c r="O124" s="403" t="s">
        <v>7084</v>
      </c>
      <c r="P124" s="403" t="s">
        <v>1633</v>
      </c>
      <c r="Q124" s="403" t="s">
        <v>7608</v>
      </c>
      <c r="R124" s="403" t="s">
        <v>18653</v>
      </c>
      <c r="S124" s="403" t="s">
        <v>14122</v>
      </c>
      <c r="T124" s="403" t="s">
        <v>14123</v>
      </c>
      <c r="U124" s="403"/>
      <c r="V124" s="403" t="s">
        <v>23024</v>
      </c>
      <c r="W124" s="403" t="s">
        <v>23024</v>
      </c>
      <c r="X124" s="403" t="s">
        <v>23024</v>
      </c>
      <c r="Y124" s="403" t="s">
        <v>23024</v>
      </c>
    </row>
    <row r="125" spans="1:25">
      <c r="A125" s="363">
        <f t="shared" si="15"/>
        <v>124</v>
      </c>
      <c r="B125" s="363" t="str">
        <f t="shared" si="8"/>
        <v>44</v>
      </c>
      <c r="C125" s="405" t="str">
        <f t="shared" si="9"/>
        <v>第000893号</v>
      </c>
      <c r="D125" s="405" t="str">
        <f t="shared" si="10"/>
        <v>三光建設工業（株）</v>
      </c>
      <c r="E125" s="405" t="str">
        <f t="shared" si="11"/>
        <v>代表取締役</v>
      </c>
      <c r="F125" s="405" t="str">
        <f t="shared" si="12"/>
        <v>北村　秀敏</v>
      </c>
      <c r="G125" s="405" t="str">
        <f t="shared" si="13"/>
        <v>主たる営業所</v>
      </c>
      <c r="H125" s="405" t="str">
        <f t="shared" si="14"/>
        <v>別府市末広町４－５</v>
      </c>
      <c r="L125" s="403" t="s">
        <v>7609</v>
      </c>
      <c r="M125" s="403" t="s">
        <v>7610</v>
      </c>
      <c r="N125" s="403" t="s">
        <v>1634</v>
      </c>
      <c r="O125" s="403" t="s">
        <v>7084</v>
      </c>
      <c r="P125" s="403" t="s">
        <v>1635</v>
      </c>
      <c r="Q125" s="403" t="s">
        <v>7611</v>
      </c>
      <c r="R125" s="403" t="s">
        <v>18654</v>
      </c>
      <c r="S125" s="403" t="s">
        <v>14124</v>
      </c>
      <c r="T125" s="403" t="s">
        <v>14125</v>
      </c>
      <c r="U125" s="403"/>
      <c r="V125" s="403" t="s">
        <v>23024</v>
      </c>
      <c r="W125" s="403" t="s">
        <v>23024</v>
      </c>
      <c r="X125" s="403" t="s">
        <v>23024</v>
      </c>
      <c r="Y125" s="403" t="s">
        <v>23024</v>
      </c>
    </row>
    <row r="126" spans="1:25">
      <c r="A126" s="363">
        <f t="shared" si="15"/>
        <v>125</v>
      </c>
      <c r="B126" s="363" t="str">
        <f t="shared" si="8"/>
        <v>44</v>
      </c>
      <c r="C126" s="405" t="str">
        <f t="shared" si="9"/>
        <v>第000896号</v>
      </c>
      <c r="D126" s="405" t="str">
        <f t="shared" si="10"/>
        <v>（株）山本電業社</v>
      </c>
      <c r="E126" s="405" t="str">
        <f t="shared" si="11"/>
        <v>代表取締役</v>
      </c>
      <c r="F126" s="405" t="str">
        <f t="shared" si="12"/>
        <v>山本　和男</v>
      </c>
      <c r="G126" s="405" t="str">
        <f t="shared" si="13"/>
        <v>主たる営業所</v>
      </c>
      <c r="H126" s="405" t="str">
        <f t="shared" si="14"/>
        <v>別府市末広町７－１７</v>
      </c>
      <c r="L126" s="403" t="s">
        <v>7612</v>
      </c>
      <c r="M126" s="403" t="s">
        <v>7613</v>
      </c>
      <c r="N126" s="403" t="s">
        <v>1636</v>
      </c>
      <c r="O126" s="403" t="s">
        <v>7084</v>
      </c>
      <c r="P126" s="403" t="s">
        <v>1637</v>
      </c>
      <c r="Q126" s="403" t="s">
        <v>7611</v>
      </c>
      <c r="R126" s="403" t="s">
        <v>18655</v>
      </c>
      <c r="S126" s="403" t="s">
        <v>14126</v>
      </c>
      <c r="T126" s="403" t="s">
        <v>14127</v>
      </c>
      <c r="U126" s="403"/>
      <c r="V126" s="403" t="s">
        <v>23024</v>
      </c>
      <c r="W126" s="403" t="s">
        <v>23024</v>
      </c>
      <c r="X126" s="403" t="s">
        <v>23024</v>
      </c>
      <c r="Y126" s="403" t="s">
        <v>23024</v>
      </c>
    </row>
    <row r="127" spans="1:25">
      <c r="A127" s="363">
        <f t="shared" si="15"/>
        <v>126</v>
      </c>
      <c r="B127" s="363" t="str">
        <f t="shared" si="8"/>
        <v>44</v>
      </c>
      <c r="C127" s="405" t="str">
        <f t="shared" si="9"/>
        <v>第000927号</v>
      </c>
      <c r="D127" s="405" t="str">
        <f t="shared" si="10"/>
        <v>（株）國本組</v>
      </c>
      <c r="E127" s="405" t="str">
        <f t="shared" si="11"/>
        <v>代表取締役</v>
      </c>
      <c r="F127" s="405" t="str">
        <f t="shared" si="12"/>
        <v>大庭　美香</v>
      </c>
      <c r="G127" s="405" t="str">
        <f t="shared" si="13"/>
        <v>主たる営業所</v>
      </c>
      <c r="H127" s="405" t="str">
        <f t="shared" si="14"/>
        <v>別府市大字北石垣７１５</v>
      </c>
      <c r="L127" s="404" t="s">
        <v>7614</v>
      </c>
      <c r="M127" s="404" t="s">
        <v>7615</v>
      </c>
      <c r="N127" s="404" t="s">
        <v>1638</v>
      </c>
      <c r="O127" s="404" t="s">
        <v>7084</v>
      </c>
      <c r="P127" s="404" t="s">
        <v>1639</v>
      </c>
      <c r="Q127" s="404" t="s">
        <v>7616</v>
      </c>
      <c r="R127" s="404" t="s">
        <v>5355</v>
      </c>
      <c r="S127" s="404" t="s">
        <v>14128</v>
      </c>
      <c r="T127" s="404" t="s">
        <v>14129</v>
      </c>
      <c r="U127" s="404"/>
      <c r="V127" s="404" t="s">
        <v>23024</v>
      </c>
      <c r="W127" s="404" t="s">
        <v>23024</v>
      </c>
      <c r="X127" s="404" t="s">
        <v>23024</v>
      </c>
      <c r="Y127" s="404" t="s">
        <v>23024</v>
      </c>
    </row>
    <row r="128" spans="1:25">
      <c r="A128" s="363">
        <f t="shared" si="15"/>
        <v>127</v>
      </c>
      <c r="B128" s="363" t="str">
        <f t="shared" si="8"/>
        <v>44</v>
      </c>
      <c r="C128" s="405" t="str">
        <f t="shared" si="9"/>
        <v>第000928号</v>
      </c>
      <c r="D128" s="405" t="str">
        <f t="shared" si="10"/>
        <v>（株）佐野土木建設</v>
      </c>
      <c r="E128" s="405" t="str">
        <f t="shared" si="11"/>
        <v>代表取締役</v>
      </c>
      <c r="F128" s="405" t="str">
        <f t="shared" si="12"/>
        <v>佐野　聡</v>
      </c>
      <c r="G128" s="405" t="str">
        <f t="shared" si="13"/>
        <v>主たる営業所</v>
      </c>
      <c r="H128" s="405" t="str">
        <f t="shared" si="14"/>
        <v>速見郡日出町大字藤原２６３７－１</v>
      </c>
      <c r="L128" s="402" t="s">
        <v>7617</v>
      </c>
      <c r="M128" s="402" t="s">
        <v>7618</v>
      </c>
      <c r="N128" s="402" t="s">
        <v>1640</v>
      </c>
      <c r="O128" s="402" t="s">
        <v>7084</v>
      </c>
      <c r="P128" s="402" t="s">
        <v>1641</v>
      </c>
      <c r="Q128" s="402" t="s">
        <v>7619</v>
      </c>
      <c r="R128" s="402" t="s">
        <v>18656</v>
      </c>
      <c r="S128" s="402" t="s">
        <v>14130</v>
      </c>
      <c r="T128" s="402" t="s">
        <v>14131</v>
      </c>
      <c r="U128" s="402"/>
      <c r="V128" s="402" t="s">
        <v>23024</v>
      </c>
      <c r="W128" s="402" t="s">
        <v>23024</v>
      </c>
      <c r="X128" s="402" t="s">
        <v>23024</v>
      </c>
      <c r="Y128" s="402" t="s">
        <v>23024</v>
      </c>
    </row>
    <row r="129" spans="1:25">
      <c r="A129" s="363">
        <f t="shared" si="15"/>
        <v>128</v>
      </c>
      <c r="B129" s="363" t="str">
        <f t="shared" si="8"/>
        <v>44</v>
      </c>
      <c r="C129" s="405" t="str">
        <f t="shared" si="9"/>
        <v>第000930号</v>
      </c>
      <c r="D129" s="405" t="str">
        <f t="shared" si="10"/>
        <v>（株）安部組</v>
      </c>
      <c r="E129" s="405" t="str">
        <f t="shared" si="11"/>
        <v>代表取締役社長</v>
      </c>
      <c r="F129" s="405" t="str">
        <f t="shared" si="12"/>
        <v>安部　勉</v>
      </c>
      <c r="G129" s="405" t="str">
        <f t="shared" si="13"/>
        <v>主たる営業所</v>
      </c>
      <c r="H129" s="405" t="str">
        <f t="shared" si="14"/>
        <v>別府市京町４－１９</v>
      </c>
      <c r="L129" s="403" t="s">
        <v>7620</v>
      </c>
      <c r="M129" s="403" t="s">
        <v>7621</v>
      </c>
      <c r="N129" s="403" t="s">
        <v>1642</v>
      </c>
      <c r="O129" s="403" t="s">
        <v>7083</v>
      </c>
      <c r="P129" s="403" t="s">
        <v>1643</v>
      </c>
      <c r="Q129" s="403" t="s">
        <v>7622</v>
      </c>
      <c r="R129" s="403" t="s">
        <v>18657</v>
      </c>
      <c r="S129" s="403" t="s">
        <v>14132</v>
      </c>
      <c r="T129" s="403" t="s">
        <v>14133</v>
      </c>
      <c r="U129" s="403"/>
      <c r="V129" s="403" t="s">
        <v>23024</v>
      </c>
      <c r="W129" s="403" t="s">
        <v>23024</v>
      </c>
      <c r="X129" s="403" t="s">
        <v>23024</v>
      </c>
      <c r="Y129" s="403" t="s">
        <v>23024</v>
      </c>
    </row>
    <row r="130" spans="1:25">
      <c r="A130" s="363">
        <f t="shared" si="15"/>
        <v>129</v>
      </c>
      <c r="B130" s="363" t="str">
        <f t="shared" ref="B130:B193" si="16">LEFT(L130,2)</f>
        <v>44</v>
      </c>
      <c r="C130" s="405" t="str">
        <f t="shared" ref="C130:C193" si="17">IF(B130="","","第"&amp;RIGHT(L130,6)&amp;"号")</f>
        <v>第000945号</v>
      </c>
      <c r="D130" s="405" t="str">
        <f t="shared" ref="D130:D193" si="18">N130</f>
        <v>（有）尾崎塗装店</v>
      </c>
      <c r="E130" s="405" t="str">
        <f t="shared" ref="E130:E193" si="19">IF(V130="　",O130,"")</f>
        <v>代表取締役</v>
      </c>
      <c r="F130" s="405" t="str">
        <f t="shared" ref="F130:F193" si="20">IF(V130="　",P130,W130)</f>
        <v>尾崎　陽一</v>
      </c>
      <c r="G130" s="405" t="str">
        <f t="shared" ref="G130:G193" si="21">IF(V130="　","主たる営業所",V130)</f>
        <v>主たる営業所</v>
      </c>
      <c r="H130" s="405" t="str">
        <f t="shared" ref="H130:H193" si="22">IF(V130="　",R130,Y130)</f>
        <v>別府市小倉町６６－３９</v>
      </c>
      <c r="L130" s="403" t="s">
        <v>7623</v>
      </c>
      <c r="M130" s="403" t="s">
        <v>7624</v>
      </c>
      <c r="N130" s="403" t="s">
        <v>1644</v>
      </c>
      <c r="O130" s="403" t="s">
        <v>7084</v>
      </c>
      <c r="P130" s="403" t="s">
        <v>5296</v>
      </c>
      <c r="Q130" s="403" t="s">
        <v>7625</v>
      </c>
      <c r="R130" s="403" t="s">
        <v>18658</v>
      </c>
      <c r="S130" s="403" t="s">
        <v>14134</v>
      </c>
      <c r="T130" s="403" t="s">
        <v>14135</v>
      </c>
      <c r="U130" s="403"/>
      <c r="V130" s="403" t="s">
        <v>23024</v>
      </c>
      <c r="W130" s="403" t="s">
        <v>23024</v>
      </c>
      <c r="X130" s="403" t="s">
        <v>23024</v>
      </c>
      <c r="Y130" s="403" t="s">
        <v>23024</v>
      </c>
    </row>
    <row r="131" spans="1:25">
      <c r="A131" s="363">
        <f t="shared" ref="A131:A194" si="23">IF(B131="","",A130+1)</f>
        <v>130</v>
      </c>
      <c r="B131" s="363" t="str">
        <f t="shared" si="16"/>
        <v>44</v>
      </c>
      <c r="C131" s="405" t="str">
        <f t="shared" si="17"/>
        <v>第000951号</v>
      </c>
      <c r="D131" s="405" t="str">
        <f t="shared" si="18"/>
        <v>（有）岩尾商事</v>
      </c>
      <c r="E131" s="405" t="str">
        <f t="shared" si="19"/>
        <v>代表取締役</v>
      </c>
      <c r="F131" s="405" t="str">
        <f t="shared" si="20"/>
        <v>岩尾　秀明</v>
      </c>
      <c r="G131" s="405" t="str">
        <f t="shared" si="21"/>
        <v>主たる営業所</v>
      </c>
      <c r="H131" s="405" t="str">
        <f t="shared" si="22"/>
        <v>速見郡日出町２９８１－１</v>
      </c>
      <c r="L131" s="403" t="s">
        <v>7626</v>
      </c>
      <c r="M131" s="403" t="s">
        <v>7627</v>
      </c>
      <c r="N131" s="403" t="s">
        <v>1645</v>
      </c>
      <c r="O131" s="403" t="s">
        <v>7084</v>
      </c>
      <c r="P131" s="403" t="s">
        <v>1646</v>
      </c>
      <c r="Q131" s="403" t="s">
        <v>7628</v>
      </c>
      <c r="R131" s="403" t="s">
        <v>18659</v>
      </c>
      <c r="S131" s="403" t="s">
        <v>14136</v>
      </c>
      <c r="T131" s="403" t="s">
        <v>14137</v>
      </c>
      <c r="U131" s="403"/>
      <c r="V131" s="403" t="s">
        <v>23024</v>
      </c>
      <c r="W131" s="403" t="s">
        <v>23024</v>
      </c>
      <c r="X131" s="403" t="s">
        <v>23024</v>
      </c>
      <c r="Y131" s="403" t="s">
        <v>23024</v>
      </c>
    </row>
    <row r="132" spans="1:25">
      <c r="A132" s="363">
        <f t="shared" si="23"/>
        <v>131</v>
      </c>
      <c r="B132" s="363" t="str">
        <f t="shared" si="16"/>
        <v>44</v>
      </c>
      <c r="C132" s="405" t="str">
        <f t="shared" si="17"/>
        <v>第000980号</v>
      </c>
      <c r="D132" s="405" t="str">
        <f t="shared" si="18"/>
        <v>（株）阿南組</v>
      </c>
      <c r="E132" s="405" t="str">
        <f t="shared" si="19"/>
        <v>代表取締役</v>
      </c>
      <c r="F132" s="405" t="str">
        <f t="shared" si="20"/>
        <v>阿南　善幸</v>
      </c>
      <c r="G132" s="405" t="str">
        <f t="shared" si="21"/>
        <v>主たる営業所</v>
      </c>
      <c r="H132" s="405" t="str">
        <f t="shared" si="22"/>
        <v>杵築市大字大内５９６０－１</v>
      </c>
      <c r="L132" s="403" t="s">
        <v>7629</v>
      </c>
      <c r="M132" s="403" t="s">
        <v>7630</v>
      </c>
      <c r="N132" s="403" t="s">
        <v>1647</v>
      </c>
      <c r="O132" s="403" t="s">
        <v>7084</v>
      </c>
      <c r="P132" s="403" t="s">
        <v>1648</v>
      </c>
      <c r="Q132" s="403" t="s">
        <v>7631</v>
      </c>
      <c r="R132" s="403" t="s">
        <v>18660</v>
      </c>
      <c r="S132" s="403" t="s">
        <v>14138</v>
      </c>
      <c r="T132" s="403" t="s">
        <v>14139</v>
      </c>
      <c r="U132" s="403"/>
      <c r="V132" s="403" t="s">
        <v>23024</v>
      </c>
      <c r="W132" s="403" t="s">
        <v>23024</v>
      </c>
      <c r="X132" s="403" t="s">
        <v>23024</v>
      </c>
      <c r="Y132" s="403" t="s">
        <v>23024</v>
      </c>
    </row>
    <row r="133" spans="1:25">
      <c r="A133" s="363">
        <f t="shared" si="23"/>
        <v>132</v>
      </c>
      <c r="B133" s="363" t="str">
        <f t="shared" si="16"/>
        <v>44</v>
      </c>
      <c r="C133" s="405" t="str">
        <f t="shared" si="17"/>
        <v>第000983号</v>
      </c>
      <c r="D133" s="405" t="str">
        <f t="shared" si="18"/>
        <v>（株）イシダ</v>
      </c>
      <c r="E133" s="405" t="str">
        <f t="shared" si="19"/>
        <v>代表取締役</v>
      </c>
      <c r="F133" s="405" t="str">
        <f t="shared" si="20"/>
        <v>石田　啓三</v>
      </c>
      <c r="G133" s="405" t="str">
        <f t="shared" si="21"/>
        <v>主たる営業所</v>
      </c>
      <c r="H133" s="405" t="str">
        <f t="shared" si="22"/>
        <v>別府市竹の内町２２－３６</v>
      </c>
      <c r="L133" s="403" t="s">
        <v>7632</v>
      </c>
      <c r="M133" s="403" t="s">
        <v>7633</v>
      </c>
      <c r="N133" s="403" t="s">
        <v>1649</v>
      </c>
      <c r="O133" s="403" t="s">
        <v>7084</v>
      </c>
      <c r="P133" s="403" t="s">
        <v>1650</v>
      </c>
      <c r="Q133" s="403" t="s">
        <v>7634</v>
      </c>
      <c r="R133" s="403" t="s">
        <v>18661</v>
      </c>
      <c r="S133" s="403" t="s">
        <v>14140</v>
      </c>
      <c r="T133" s="403" t="s">
        <v>14141</v>
      </c>
      <c r="U133" s="403"/>
      <c r="V133" s="403" t="s">
        <v>23024</v>
      </c>
      <c r="W133" s="403" t="s">
        <v>23024</v>
      </c>
      <c r="X133" s="403" t="s">
        <v>23024</v>
      </c>
      <c r="Y133" s="403" t="s">
        <v>23024</v>
      </c>
    </row>
    <row r="134" spans="1:25">
      <c r="A134" s="363">
        <f t="shared" si="23"/>
        <v>133</v>
      </c>
      <c r="B134" s="363" t="str">
        <f t="shared" si="16"/>
        <v>44</v>
      </c>
      <c r="C134" s="405" t="str">
        <f t="shared" si="17"/>
        <v>第000990号</v>
      </c>
      <c r="D134" s="405" t="str">
        <f t="shared" si="18"/>
        <v>（株）城山建設</v>
      </c>
      <c r="E134" s="405" t="str">
        <f t="shared" si="19"/>
        <v>代表取締役</v>
      </c>
      <c r="F134" s="405" t="str">
        <f t="shared" si="20"/>
        <v>浅野　誠三郎</v>
      </c>
      <c r="G134" s="405" t="str">
        <f t="shared" si="21"/>
        <v>主たる営業所</v>
      </c>
      <c r="H134" s="405" t="str">
        <f t="shared" si="22"/>
        <v>杵築市大字杵築６８－１</v>
      </c>
      <c r="L134" s="403" t="s">
        <v>7635</v>
      </c>
      <c r="M134" s="403" t="s">
        <v>7636</v>
      </c>
      <c r="N134" s="403" t="s">
        <v>1651</v>
      </c>
      <c r="O134" s="403" t="s">
        <v>7084</v>
      </c>
      <c r="P134" s="403" t="s">
        <v>1652</v>
      </c>
      <c r="Q134" s="403" t="s">
        <v>7637</v>
      </c>
      <c r="R134" s="403" t="s">
        <v>18662</v>
      </c>
      <c r="S134" s="403" t="s">
        <v>14142</v>
      </c>
      <c r="T134" s="403" t="s">
        <v>14143</v>
      </c>
      <c r="U134" s="403"/>
      <c r="V134" s="403" t="s">
        <v>23024</v>
      </c>
      <c r="W134" s="403" t="s">
        <v>23024</v>
      </c>
      <c r="X134" s="403" t="s">
        <v>23024</v>
      </c>
      <c r="Y134" s="403" t="s">
        <v>23024</v>
      </c>
    </row>
    <row r="135" spans="1:25">
      <c r="A135" s="363">
        <f t="shared" si="23"/>
        <v>134</v>
      </c>
      <c r="B135" s="363" t="str">
        <f t="shared" si="16"/>
        <v>44</v>
      </c>
      <c r="C135" s="405" t="str">
        <f t="shared" si="17"/>
        <v>第000991号</v>
      </c>
      <c r="D135" s="405" t="str">
        <f t="shared" si="18"/>
        <v>（株）芦刈塗装</v>
      </c>
      <c r="E135" s="405" t="str">
        <f t="shared" si="19"/>
        <v>代表取締役</v>
      </c>
      <c r="F135" s="405" t="str">
        <f t="shared" si="20"/>
        <v>芦刈　直</v>
      </c>
      <c r="G135" s="405" t="str">
        <f t="shared" si="21"/>
        <v>主たる営業所</v>
      </c>
      <c r="H135" s="405" t="str">
        <f t="shared" si="22"/>
        <v>別府市亀川東町２７－４４</v>
      </c>
      <c r="L135" s="403" t="s">
        <v>7638</v>
      </c>
      <c r="M135" s="403" t="s">
        <v>7639</v>
      </c>
      <c r="N135" s="403" t="s">
        <v>1653</v>
      </c>
      <c r="O135" s="403" t="s">
        <v>7084</v>
      </c>
      <c r="P135" s="403" t="s">
        <v>1654</v>
      </c>
      <c r="Q135" s="403" t="s">
        <v>7640</v>
      </c>
      <c r="R135" s="403" t="s">
        <v>18663</v>
      </c>
      <c r="S135" s="403" t="s">
        <v>14144</v>
      </c>
      <c r="T135" s="403" t="s">
        <v>14145</v>
      </c>
      <c r="U135" s="403"/>
      <c r="V135" s="403" t="s">
        <v>23024</v>
      </c>
      <c r="W135" s="403" t="s">
        <v>23024</v>
      </c>
      <c r="X135" s="403" t="s">
        <v>23024</v>
      </c>
      <c r="Y135" s="403" t="s">
        <v>23024</v>
      </c>
    </row>
    <row r="136" spans="1:25">
      <c r="A136" s="363">
        <f t="shared" si="23"/>
        <v>135</v>
      </c>
      <c r="B136" s="363" t="str">
        <f t="shared" si="16"/>
        <v>44</v>
      </c>
      <c r="C136" s="405" t="str">
        <f t="shared" si="17"/>
        <v>第001011号</v>
      </c>
      <c r="D136" s="405" t="str">
        <f t="shared" si="18"/>
        <v>首藤重機建設（有）</v>
      </c>
      <c r="E136" s="405" t="str">
        <f t="shared" si="19"/>
        <v>代表取締役</v>
      </c>
      <c r="F136" s="405" t="str">
        <f t="shared" si="20"/>
        <v>首藤　誠</v>
      </c>
      <c r="G136" s="405" t="str">
        <f t="shared" si="21"/>
        <v>主たる営業所</v>
      </c>
      <c r="H136" s="405" t="str">
        <f t="shared" si="22"/>
        <v>別府市富士見町７－１５</v>
      </c>
      <c r="L136" s="403" t="s">
        <v>7641</v>
      </c>
      <c r="M136" s="403" t="s">
        <v>7642</v>
      </c>
      <c r="N136" s="403" t="s">
        <v>1655</v>
      </c>
      <c r="O136" s="403" t="s">
        <v>7084</v>
      </c>
      <c r="P136" s="403" t="s">
        <v>1656</v>
      </c>
      <c r="Q136" s="403" t="s">
        <v>7643</v>
      </c>
      <c r="R136" s="403" t="s">
        <v>18664</v>
      </c>
      <c r="S136" s="403" t="s">
        <v>14146</v>
      </c>
      <c r="T136" s="403" t="s">
        <v>14147</v>
      </c>
      <c r="U136" s="403"/>
      <c r="V136" s="403" t="s">
        <v>23024</v>
      </c>
      <c r="W136" s="403" t="s">
        <v>23024</v>
      </c>
      <c r="X136" s="403" t="s">
        <v>23024</v>
      </c>
      <c r="Y136" s="403" t="s">
        <v>23024</v>
      </c>
    </row>
    <row r="137" spans="1:25">
      <c r="A137" s="363">
        <f t="shared" si="23"/>
        <v>136</v>
      </c>
      <c r="B137" s="363" t="str">
        <f t="shared" si="16"/>
        <v>44</v>
      </c>
      <c r="C137" s="405" t="str">
        <f t="shared" si="17"/>
        <v>第001023号</v>
      </c>
      <c r="D137" s="405" t="str">
        <f t="shared" si="18"/>
        <v>（有）常藤建設</v>
      </c>
      <c r="E137" s="405" t="str">
        <f t="shared" si="19"/>
        <v>代表取締役</v>
      </c>
      <c r="F137" s="405" t="str">
        <f t="shared" si="20"/>
        <v>伊藤　和子</v>
      </c>
      <c r="G137" s="405" t="str">
        <f t="shared" si="21"/>
        <v>主たる営業所</v>
      </c>
      <c r="H137" s="405" t="str">
        <f t="shared" si="22"/>
        <v>別府市東荘園９－１－５３</v>
      </c>
      <c r="L137" s="403" t="s">
        <v>7644</v>
      </c>
      <c r="M137" s="403" t="s">
        <v>7645</v>
      </c>
      <c r="N137" s="403" t="s">
        <v>1657</v>
      </c>
      <c r="O137" s="403" t="s">
        <v>7084</v>
      </c>
      <c r="P137" s="403" t="s">
        <v>1658</v>
      </c>
      <c r="Q137" s="403" t="s">
        <v>7646</v>
      </c>
      <c r="R137" s="403" t="s">
        <v>18665</v>
      </c>
      <c r="S137" s="403" t="s">
        <v>14148</v>
      </c>
      <c r="T137" s="403" t="s">
        <v>14148</v>
      </c>
      <c r="U137" s="403"/>
      <c r="V137" s="403" t="s">
        <v>23024</v>
      </c>
      <c r="W137" s="403" t="s">
        <v>23024</v>
      </c>
      <c r="X137" s="403" t="s">
        <v>23024</v>
      </c>
      <c r="Y137" s="403" t="s">
        <v>23024</v>
      </c>
    </row>
    <row r="138" spans="1:25">
      <c r="A138" s="363">
        <f t="shared" si="23"/>
        <v>137</v>
      </c>
      <c r="B138" s="363" t="str">
        <f t="shared" si="16"/>
        <v>44</v>
      </c>
      <c r="C138" s="405" t="str">
        <f t="shared" si="17"/>
        <v>第001036号</v>
      </c>
      <c r="D138" s="405" t="str">
        <f t="shared" si="18"/>
        <v>別鉄サッシ工業（株）</v>
      </c>
      <c r="E138" s="405" t="str">
        <f t="shared" si="19"/>
        <v>代表取締役</v>
      </c>
      <c r="F138" s="405" t="str">
        <f t="shared" si="20"/>
        <v>篠原　大介</v>
      </c>
      <c r="G138" s="405" t="str">
        <f t="shared" si="21"/>
        <v>主たる営業所</v>
      </c>
      <c r="H138" s="405" t="str">
        <f t="shared" si="22"/>
        <v>速見郡日出町藤原５２８８－６</v>
      </c>
      <c r="L138" s="403" t="s">
        <v>7647</v>
      </c>
      <c r="M138" s="403" t="s">
        <v>7648</v>
      </c>
      <c r="N138" s="403" t="s">
        <v>1659</v>
      </c>
      <c r="O138" s="403" t="s">
        <v>7084</v>
      </c>
      <c r="P138" s="403" t="s">
        <v>5216</v>
      </c>
      <c r="Q138" s="403" t="s">
        <v>7619</v>
      </c>
      <c r="R138" s="403" t="s">
        <v>18666</v>
      </c>
      <c r="S138" s="403" t="s">
        <v>14149</v>
      </c>
      <c r="T138" s="403" t="s">
        <v>14150</v>
      </c>
      <c r="U138" s="403"/>
      <c r="V138" s="403" t="s">
        <v>23024</v>
      </c>
      <c r="W138" s="403" t="s">
        <v>23024</v>
      </c>
      <c r="X138" s="403" t="s">
        <v>23024</v>
      </c>
      <c r="Y138" s="403" t="s">
        <v>23024</v>
      </c>
    </row>
    <row r="139" spans="1:25">
      <c r="A139" s="363">
        <f t="shared" si="23"/>
        <v>138</v>
      </c>
      <c r="B139" s="363" t="str">
        <f t="shared" si="16"/>
        <v>44</v>
      </c>
      <c r="C139" s="405" t="str">
        <f t="shared" si="17"/>
        <v>第001102号</v>
      </c>
      <c r="D139" s="405" t="str">
        <f t="shared" si="18"/>
        <v>（株）真玉建設</v>
      </c>
      <c r="E139" s="405" t="str">
        <f t="shared" si="19"/>
        <v>代表取締役</v>
      </c>
      <c r="F139" s="405" t="str">
        <f t="shared" si="20"/>
        <v>菅　康雄</v>
      </c>
      <c r="G139" s="405" t="str">
        <f t="shared" si="21"/>
        <v>主たる営業所</v>
      </c>
      <c r="H139" s="405" t="str">
        <f t="shared" si="22"/>
        <v>豊後高田市中真玉２１３０－１１</v>
      </c>
      <c r="L139" s="403" t="s">
        <v>7649</v>
      </c>
      <c r="M139" s="403" t="s">
        <v>7650</v>
      </c>
      <c r="N139" s="403" t="s">
        <v>1660</v>
      </c>
      <c r="O139" s="403" t="s">
        <v>7084</v>
      </c>
      <c r="P139" s="403" t="s">
        <v>1661</v>
      </c>
      <c r="Q139" s="403" t="s">
        <v>7651</v>
      </c>
      <c r="R139" s="403" t="s">
        <v>18667</v>
      </c>
      <c r="S139" s="403" t="s">
        <v>14151</v>
      </c>
      <c r="T139" s="403" t="s">
        <v>14152</v>
      </c>
      <c r="U139" s="403"/>
      <c r="V139" s="403" t="s">
        <v>23024</v>
      </c>
      <c r="W139" s="403" t="s">
        <v>23024</v>
      </c>
      <c r="X139" s="403" t="s">
        <v>23024</v>
      </c>
      <c r="Y139" s="403" t="s">
        <v>23024</v>
      </c>
    </row>
    <row r="140" spans="1:25">
      <c r="A140" s="363">
        <f t="shared" si="23"/>
        <v>139</v>
      </c>
      <c r="B140" s="363" t="str">
        <f t="shared" si="16"/>
        <v>44</v>
      </c>
      <c r="C140" s="405" t="str">
        <f t="shared" si="17"/>
        <v>第001113号</v>
      </c>
      <c r="D140" s="405" t="str">
        <f t="shared" si="18"/>
        <v>（有）三明工務店</v>
      </c>
      <c r="E140" s="405" t="str">
        <f t="shared" si="19"/>
        <v>代表取締役</v>
      </c>
      <c r="F140" s="405" t="str">
        <f t="shared" si="20"/>
        <v>三明　則吉</v>
      </c>
      <c r="G140" s="405" t="str">
        <f t="shared" si="21"/>
        <v>主たる営業所</v>
      </c>
      <c r="H140" s="405" t="str">
        <f t="shared" si="22"/>
        <v>豊後高田市界７９－１</v>
      </c>
      <c r="L140" s="403" t="s">
        <v>7652</v>
      </c>
      <c r="M140" s="403" t="s">
        <v>7653</v>
      </c>
      <c r="N140" s="403" t="s">
        <v>1662</v>
      </c>
      <c r="O140" s="403" t="s">
        <v>7084</v>
      </c>
      <c r="P140" s="403" t="s">
        <v>1663</v>
      </c>
      <c r="Q140" s="403" t="s">
        <v>7654</v>
      </c>
      <c r="R140" s="403" t="s">
        <v>18668</v>
      </c>
      <c r="S140" s="403" t="s">
        <v>14153</v>
      </c>
      <c r="T140" s="403" t="s">
        <v>14154</v>
      </c>
      <c r="U140" s="403"/>
      <c r="V140" s="403" t="s">
        <v>23024</v>
      </c>
      <c r="W140" s="403" t="s">
        <v>23024</v>
      </c>
      <c r="X140" s="403" t="s">
        <v>23024</v>
      </c>
      <c r="Y140" s="403" t="s">
        <v>23024</v>
      </c>
    </row>
    <row r="141" spans="1:25">
      <c r="A141" s="363">
        <f t="shared" si="23"/>
        <v>140</v>
      </c>
      <c r="B141" s="363" t="str">
        <f t="shared" si="16"/>
        <v>44</v>
      </c>
      <c r="C141" s="405" t="str">
        <f t="shared" si="17"/>
        <v>第001114号</v>
      </c>
      <c r="D141" s="405" t="str">
        <f t="shared" si="18"/>
        <v>大分綜合建設（株）</v>
      </c>
      <c r="E141" s="405" t="str">
        <f t="shared" si="19"/>
        <v>代表取締役</v>
      </c>
      <c r="F141" s="405" t="str">
        <f t="shared" si="20"/>
        <v>小拂　勝則</v>
      </c>
      <c r="G141" s="405" t="str">
        <f t="shared" si="21"/>
        <v>主たる営業所</v>
      </c>
      <c r="H141" s="405" t="str">
        <f t="shared" si="22"/>
        <v>豊後高田市美和１７３７－１</v>
      </c>
      <c r="L141" s="403" t="s">
        <v>7655</v>
      </c>
      <c r="M141" s="403" t="s">
        <v>7656</v>
      </c>
      <c r="N141" s="403" t="s">
        <v>1664</v>
      </c>
      <c r="O141" s="403" t="s">
        <v>7084</v>
      </c>
      <c r="P141" s="403" t="s">
        <v>1665</v>
      </c>
      <c r="Q141" s="403" t="s">
        <v>7657</v>
      </c>
      <c r="R141" s="403" t="s">
        <v>18669</v>
      </c>
      <c r="S141" s="403" t="s">
        <v>14155</v>
      </c>
      <c r="T141" s="403" t="s">
        <v>14156</v>
      </c>
      <c r="U141" s="403"/>
      <c r="V141" s="403" t="s">
        <v>23024</v>
      </c>
      <c r="W141" s="403" t="s">
        <v>23024</v>
      </c>
      <c r="X141" s="403" t="s">
        <v>23024</v>
      </c>
      <c r="Y141" s="403" t="s">
        <v>23024</v>
      </c>
    </row>
    <row r="142" spans="1:25">
      <c r="A142" s="363">
        <f t="shared" si="23"/>
        <v>141</v>
      </c>
      <c r="B142" s="363" t="str">
        <f t="shared" si="16"/>
        <v>44</v>
      </c>
      <c r="C142" s="405" t="str">
        <f t="shared" si="17"/>
        <v>第001122号</v>
      </c>
      <c r="D142" s="405" t="str">
        <f t="shared" si="18"/>
        <v>山田興産（株）</v>
      </c>
      <c r="E142" s="405" t="str">
        <f t="shared" si="19"/>
        <v>代表取締役</v>
      </c>
      <c r="F142" s="405" t="str">
        <f t="shared" si="20"/>
        <v>植木　隆英</v>
      </c>
      <c r="G142" s="405" t="str">
        <f t="shared" si="21"/>
        <v>主たる営業所</v>
      </c>
      <c r="H142" s="405" t="str">
        <f t="shared" si="22"/>
        <v>豊後高田市臼野３５６９－１</v>
      </c>
      <c r="L142" s="403" t="s">
        <v>7658</v>
      </c>
      <c r="M142" s="403" t="s">
        <v>7659</v>
      </c>
      <c r="N142" s="403" t="s">
        <v>1666</v>
      </c>
      <c r="O142" s="403" t="s">
        <v>7084</v>
      </c>
      <c r="P142" s="403" t="s">
        <v>1667</v>
      </c>
      <c r="Q142" s="403" t="s">
        <v>7660</v>
      </c>
      <c r="R142" s="403" t="s">
        <v>18670</v>
      </c>
      <c r="S142" s="403" t="s">
        <v>14157</v>
      </c>
      <c r="T142" s="403" t="s">
        <v>14158</v>
      </c>
      <c r="U142" s="403"/>
      <c r="V142" s="403" t="s">
        <v>23024</v>
      </c>
      <c r="W142" s="403" t="s">
        <v>23024</v>
      </c>
      <c r="X142" s="403" t="s">
        <v>23024</v>
      </c>
      <c r="Y142" s="403" t="s">
        <v>23024</v>
      </c>
    </row>
    <row r="143" spans="1:25">
      <c r="A143" s="363">
        <f t="shared" si="23"/>
        <v>142</v>
      </c>
      <c r="B143" s="363" t="str">
        <f t="shared" si="16"/>
        <v>44</v>
      </c>
      <c r="C143" s="405" t="str">
        <f t="shared" si="17"/>
        <v>第001125号</v>
      </c>
      <c r="D143" s="405" t="str">
        <f t="shared" si="18"/>
        <v>（有）次郎丸建設</v>
      </c>
      <c r="E143" s="405" t="str">
        <f t="shared" si="19"/>
        <v>代表取締役</v>
      </c>
      <c r="F143" s="405" t="str">
        <f t="shared" si="20"/>
        <v>次郎丸　信一</v>
      </c>
      <c r="G143" s="405" t="str">
        <f t="shared" si="21"/>
        <v>主たる営業所</v>
      </c>
      <c r="H143" s="405" t="str">
        <f t="shared" si="22"/>
        <v>豊後高田市来縄２４４４－１</v>
      </c>
      <c r="L143" s="403" t="s">
        <v>7661</v>
      </c>
      <c r="M143" s="403" t="s">
        <v>7662</v>
      </c>
      <c r="N143" s="403" t="s">
        <v>1668</v>
      </c>
      <c r="O143" s="403" t="s">
        <v>7084</v>
      </c>
      <c r="P143" s="403" t="s">
        <v>1669</v>
      </c>
      <c r="Q143" s="403" t="s">
        <v>7663</v>
      </c>
      <c r="R143" s="403" t="s">
        <v>18671</v>
      </c>
      <c r="S143" s="403" t="s">
        <v>14159</v>
      </c>
      <c r="T143" s="403" t="s">
        <v>18672</v>
      </c>
      <c r="U143" s="403"/>
      <c r="V143" s="403" t="s">
        <v>23024</v>
      </c>
      <c r="W143" s="403" t="s">
        <v>23024</v>
      </c>
      <c r="X143" s="403" t="s">
        <v>23024</v>
      </c>
      <c r="Y143" s="403" t="s">
        <v>23024</v>
      </c>
    </row>
    <row r="144" spans="1:25">
      <c r="A144" s="363">
        <f t="shared" si="23"/>
        <v>143</v>
      </c>
      <c r="B144" s="363" t="str">
        <f t="shared" si="16"/>
        <v>44</v>
      </c>
      <c r="C144" s="405" t="str">
        <f t="shared" si="17"/>
        <v>第001132号</v>
      </c>
      <c r="D144" s="405" t="str">
        <f t="shared" si="18"/>
        <v>（株）ユーロード</v>
      </c>
      <c r="E144" s="405" t="str">
        <f t="shared" si="19"/>
        <v>代表取締役</v>
      </c>
      <c r="F144" s="405" t="str">
        <f t="shared" si="20"/>
        <v>佐々木　侑子</v>
      </c>
      <c r="G144" s="405" t="str">
        <f t="shared" si="21"/>
        <v>主たる営業所</v>
      </c>
      <c r="H144" s="405" t="str">
        <f t="shared" si="22"/>
        <v>杵築市山香町大字小武４２０－１</v>
      </c>
      <c r="L144" s="403" t="s">
        <v>7664</v>
      </c>
      <c r="M144" s="403" t="s">
        <v>7665</v>
      </c>
      <c r="N144" s="403" t="s">
        <v>1670</v>
      </c>
      <c r="O144" s="403" t="s">
        <v>7084</v>
      </c>
      <c r="P144" s="403" t="s">
        <v>1671</v>
      </c>
      <c r="Q144" s="403" t="s">
        <v>7666</v>
      </c>
      <c r="R144" s="403" t="s">
        <v>18673</v>
      </c>
      <c r="S144" s="403" t="s">
        <v>14160</v>
      </c>
      <c r="T144" s="403" t="s">
        <v>14161</v>
      </c>
      <c r="U144" s="403"/>
      <c r="V144" s="403" t="s">
        <v>23024</v>
      </c>
      <c r="W144" s="403" t="s">
        <v>23024</v>
      </c>
      <c r="X144" s="403" t="s">
        <v>23024</v>
      </c>
      <c r="Y144" s="403" t="s">
        <v>23024</v>
      </c>
    </row>
    <row r="145" spans="1:25">
      <c r="A145" s="363">
        <f t="shared" si="23"/>
        <v>144</v>
      </c>
      <c r="B145" s="363" t="str">
        <f t="shared" si="16"/>
        <v>44</v>
      </c>
      <c r="C145" s="405" t="str">
        <f t="shared" si="17"/>
        <v>第001135号</v>
      </c>
      <c r="D145" s="405" t="str">
        <f t="shared" si="18"/>
        <v>高田建設（株）</v>
      </c>
      <c r="E145" s="405" t="str">
        <f t="shared" si="19"/>
        <v>代表取締役</v>
      </c>
      <c r="F145" s="405" t="str">
        <f t="shared" si="20"/>
        <v>井上　正美</v>
      </c>
      <c r="G145" s="405" t="str">
        <f t="shared" si="21"/>
        <v>主たる営業所</v>
      </c>
      <c r="H145" s="405" t="str">
        <f t="shared" si="22"/>
        <v>豊後高田市高田２１０６－１</v>
      </c>
      <c r="L145" s="403" t="s">
        <v>7667</v>
      </c>
      <c r="M145" s="403" t="s">
        <v>7668</v>
      </c>
      <c r="N145" s="403" t="s">
        <v>1672</v>
      </c>
      <c r="O145" s="403" t="s">
        <v>7084</v>
      </c>
      <c r="P145" s="403" t="s">
        <v>1673</v>
      </c>
      <c r="Q145" s="403" t="s">
        <v>7669</v>
      </c>
      <c r="R145" s="403" t="s">
        <v>18674</v>
      </c>
      <c r="S145" s="403" t="s">
        <v>14162</v>
      </c>
      <c r="T145" s="403" t="s">
        <v>14163</v>
      </c>
      <c r="U145" s="403"/>
      <c r="V145" s="403" t="s">
        <v>23024</v>
      </c>
      <c r="W145" s="403" t="s">
        <v>23024</v>
      </c>
      <c r="X145" s="403" t="s">
        <v>23024</v>
      </c>
      <c r="Y145" s="403" t="s">
        <v>23024</v>
      </c>
    </row>
    <row r="146" spans="1:25">
      <c r="A146" s="363">
        <f t="shared" si="23"/>
        <v>145</v>
      </c>
      <c r="B146" s="363" t="str">
        <f t="shared" si="16"/>
        <v>44</v>
      </c>
      <c r="C146" s="405" t="str">
        <f t="shared" si="17"/>
        <v>第001144号</v>
      </c>
      <c r="D146" s="405" t="str">
        <f t="shared" si="18"/>
        <v>（有）中村設備サービス</v>
      </c>
      <c r="E146" s="405" t="str">
        <f t="shared" si="19"/>
        <v>代表取締役</v>
      </c>
      <c r="F146" s="405" t="str">
        <f t="shared" si="20"/>
        <v>中村　彰宏</v>
      </c>
      <c r="G146" s="405" t="str">
        <f t="shared" si="21"/>
        <v>主たる営業所</v>
      </c>
      <c r="H146" s="405" t="str">
        <f t="shared" si="22"/>
        <v>豊後高田市新地１６７３－２</v>
      </c>
      <c r="L146" s="403" t="s">
        <v>7670</v>
      </c>
      <c r="M146" s="403" t="s">
        <v>7671</v>
      </c>
      <c r="N146" s="403" t="s">
        <v>1674</v>
      </c>
      <c r="O146" s="403" t="s">
        <v>7084</v>
      </c>
      <c r="P146" s="403" t="s">
        <v>1675</v>
      </c>
      <c r="Q146" s="403" t="s">
        <v>7672</v>
      </c>
      <c r="R146" s="403" t="s">
        <v>18675</v>
      </c>
      <c r="S146" s="403" t="s">
        <v>14164</v>
      </c>
      <c r="T146" s="403" t="s">
        <v>14165</v>
      </c>
      <c r="U146" s="403"/>
      <c r="V146" s="403" t="s">
        <v>23024</v>
      </c>
      <c r="W146" s="403" t="s">
        <v>23024</v>
      </c>
      <c r="X146" s="403" t="s">
        <v>23024</v>
      </c>
      <c r="Y146" s="403" t="s">
        <v>23024</v>
      </c>
    </row>
    <row r="147" spans="1:25">
      <c r="A147" s="363">
        <f t="shared" si="23"/>
        <v>146</v>
      </c>
      <c r="B147" s="363" t="str">
        <f t="shared" si="16"/>
        <v>44</v>
      </c>
      <c r="C147" s="405" t="str">
        <f t="shared" si="17"/>
        <v>第001155号</v>
      </c>
      <c r="D147" s="405" t="str">
        <f t="shared" si="18"/>
        <v>佐々木建設（株）</v>
      </c>
      <c r="E147" s="405" t="str">
        <f t="shared" si="19"/>
        <v>代表取締役</v>
      </c>
      <c r="F147" s="405" t="str">
        <f t="shared" si="20"/>
        <v>佐々木　康介</v>
      </c>
      <c r="G147" s="405" t="str">
        <f t="shared" si="21"/>
        <v>主たる営業所</v>
      </c>
      <c r="H147" s="405" t="str">
        <f t="shared" si="22"/>
        <v>豊後高田市来縄２８７０</v>
      </c>
      <c r="L147" s="403" t="s">
        <v>7673</v>
      </c>
      <c r="M147" s="403" t="s">
        <v>7674</v>
      </c>
      <c r="N147" s="403" t="s">
        <v>1676</v>
      </c>
      <c r="O147" s="403" t="s">
        <v>7084</v>
      </c>
      <c r="P147" s="403" t="s">
        <v>1677</v>
      </c>
      <c r="Q147" s="403" t="s">
        <v>7663</v>
      </c>
      <c r="R147" s="403" t="s">
        <v>5356</v>
      </c>
      <c r="S147" s="403" t="s">
        <v>14166</v>
      </c>
      <c r="T147" s="403" t="s">
        <v>14167</v>
      </c>
      <c r="U147" s="403"/>
      <c r="V147" s="403" t="s">
        <v>23024</v>
      </c>
      <c r="W147" s="403" t="s">
        <v>23024</v>
      </c>
      <c r="X147" s="403" t="s">
        <v>23024</v>
      </c>
      <c r="Y147" s="403" t="s">
        <v>23024</v>
      </c>
    </row>
    <row r="148" spans="1:25">
      <c r="A148" s="363">
        <f t="shared" si="23"/>
        <v>147</v>
      </c>
      <c r="B148" s="363" t="str">
        <f t="shared" si="16"/>
        <v>44</v>
      </c>
      <c r="C148" s="405" t="str">
        <f t="shared" si="17"/>
        <v>第001159号</v>
      </c>
      <c r="D148" s="405" t="str">
        <f t="shared" si="18"/>
        <v>（有）桂建設</v>
      </c>
      <c r="E148" s="405" t="str">
        <f t="shared" si="19"/>
        <v>代表取締役</v>
      </c>
      <c r="F148" s="405" t="str">
        <f t="shared" si="20"/>
        <v>小拂　聡美</v>
      </c>
      <c r="G148" s="405" t="str">
        <f t="shared" si="21"/>
        <v>主たる営業所</v>
      </c>
      <c r="H148" s="405" t="str">
        <f t="shared" si="22"/>
        <v>豊後高田市美和１７３９</v>
      </c>
      <c r="L148" s="403" t="s">
        <v>7675</v>
      </c>
      <c r="M148" s="403" t="s">
        <v>7676</v>
      </c>
      <c r="N148" s="403" t="s">
        <v>1678</v>
      </c>
      <c r="O148" s="403" t="s">
        <v>7084</v>
      </c>
      <c r="P148" s="403" t="s">
        <v>1679</v>
      </c>
      <c r="Q148" s="403" t="s">
        <v>7657</v>
      </c>
      <c r="R148" s="403" t="s">
        <v>5357</v>
      </c>
      <c r="S148" s="403" t="s">
        <v>14168</v>
      </c>
      <c r="T148" s="403" t="s">
        <v>14168</v>
      </c>
      <c r="U148" s="403"/>
      <c r="V148" s="403" t="s">
        <v>23024</v>
      </c>
      <c r="W148" s="403" t="s">
        <v>23024</v>
      </c>
      <c r="X148" s="403" t="s">
        <v>23024</v>
      </c>
      <c r="Y148" s="403" t="s">
        <v>23024</v>
      </c>
    </row>
    <row r="149" spans="1:25">
      <c r="A149" s="363">
        <f t="shared" si="23"/>
        <v>148</v>
      </c>
      <c r="B149" s="363" t="str">
        <f t="shared" si="16"/>
        <v>44</v>
      </c>
      <c r="C149" s="405" t="str">
        <f t="shared" si="17"/>
        <v>第001175号</v>
      </c>
      <c r="D149" s="405" t="str">
        <f t="shared" si="18"/>
        <v>（株）南設備工業</v>
      </c>
      <c r="E149" s="405" t="str">
        <f t="shared" si="19"/>
        <v>代表取締役</v>
      </c>
      <c r="F149" s="405" t="str">
        <f t="shared" si="20"/>
        <v>南浴　功治</v>
      </c>
      <c r="G149" s="405" t="str">
        <f t="shared" si="21"/>
        <v>主たる営業所</v>
      </c>
      <c r="H149" s="405" t="str">
        <f t="shared" si="22"/>
        <v>豊後高田市見目７４７－１</v>
      </c>
      <c r="L149" s="403" t="s">
        <v>7677</v>
      </c>
      <c r="M149" s="403" t="s">
        <v>7678</v>
      </c>
      <c r="N149" s="403" t="s">
        <v>1680</v>
      </c>
      <c r="O149" s="403" t="s">
        <v>7084</v>
      </c>
      <c r="P149" s="403" t="s">
        <v>18676</v>
      </c>
      <c r="Q149" s="403" t="s">
        <v>7679</v>
      </c>
      <c r="R149" s="403" t="s">
        <v>18677</v>
      </c>
      <c r="S149" s="403" t="s">
        <v>14169</v>
      </c>
      <c r="T149" s="403" t="s">
        <v>14170</v>
      </c>
      <c r="U149" s="403"/>
      <c r="V149" s="403" t="s">
        <v>23024</v>
      </c>
      <c r="W149" s="403" t="s">
        <v>23024</v>
      </c>
      <c r="X149" s="403" t="s">
        <v>23024</v>
      </c>
      <c r="Y149" s="403" t="s">
        <v>23024</v>
      </c>
    </row>
    <row r="150" spans="1:25">
      <c r="A150" s="363">
        <f t="shared" si="23"/>
        <v>149</v>
      </c>
      <c r="B150" s="363" t="str">
        <f t="shared" si="16"/>
        <v>44</v>
      </c>
      <c r="C150" s="405" t="str">
        <f t="shared" si="17"/>
        <v>第001176号</v>
      </c>
      <c r="D150" s="405" t="str">
        <f t="shared" si="18"/>
        <v>（有）平野建材店</v>
      </c>
      <c r="E150" s="405" t="str">
        <f t="shared" si="19"/>
        <v>代表取締役</v>
      </c>
      <c r="F150" s="405" t="str">
        <f t="shared" si="20"/>
        <v>平野　幸正</v>
      </c>
      <c r="G150" s="405" t="str">
        <f t="shared" si="21"/>
        <v>主たる営業所</v>
      </c>
      <c r="H150" s="405" t="str">
        <f t="shared" si="22"/>
        <v>豊後高田市高田２９２１－２</v>
      </c>
      <c r="L150" s="403" t="s">
        <v>7680</v>
      </c>
      <c r="M150" s="403" t="s">
        <v>7681</v>
      </c>
      <c r="N150" s="403" t="s">
        <v>1681</v>
      </c>
      <c r="O150" s="403" t="s">
        <v>7084</v>
      </c>
      <c r="P150" s="403" t="s">
        <v>1682</v>
      </c>
      <c r="Q150" s="403" t="s">
        <v>7669</v>
      </c>
      <c r="R150" s="403" t="s">
        <v>18678</v>
      </c>
      <c r="S150" s="403" t="s">
        <v>14171</v>
      </c>
      <c r="T150" s="403" t="s">
        <v>14172</v>
      </c>
      <c r="U150" s="403"/>
      <c r="V150" s="403" t="s">
        <v>23024</v>
      </c>
      <c r="W150" s="403" t="s">
        <v>23024</v>
      </c>
      <c r="X150" s="403" t="s">
        <v>23024</v>
      </c>
      <c r="Y150" s="403" t="s">
        <v>23024</v>
      </c>
    </row>
    <row r="151" spans="1:25">
      <c r="A151" s="363">
        <f t="shared" si="23"/>
        <v>150</v>
      </c>
      <c r="B151" s="363" t="str">
        <f t="shared" si="16"/>
        <v>44</v>
      </c>
      <c r="C151" s="405" t="str">
        <f t="shared" si="17"/>
        <v>第001178号</v>
      </c>
      <c r="D151" s="405" t="str">
        <f t="shared" si="18"/>
        <v>サトカ建設工業（株）</v>
      </c>
      <c r="E151" s="405" t="str">
        <f t="shared" si="19"/>
        <v>代表取締役</v>
      </c>
      <c r="F151" s="405" t="str">
        <f t="shared" si="20"/>
        <v>後藤　和憲</v>
      </c>
      <c r="G151" s="405" t="str">
        <f t="shared" si="21"/>
        <v>主たる営業所</v>
      </c>
      <c r="H151" s="405" t="str">
        <f t="shared" si="22"/>
        <v>豊後高田市呉崎３１７９</v>
      </c>
      <c r="L151" s="403" t="s">
        <v>7682</v>
      </c>
      <c r="M151" s="403" t="s">
        <v>7683</v>
      </c>
      <c r="N151" s="403" t="s">
        <v>1683</v>
      </c>
      <c r="O151" s="403" t="s">
        <v>7084</v>
      </c>
      <c r="P151" s="403" t="s">
        <v>1684</v>
      </c>
      <c r="Q151" s="403" t="s">
        <v>7684</v>
      </c>
      <c r="R151" s="403" t="s">
        <v>5358</v>
      </c>
      <c r="S151" s="403" t="s">
        <v>14173</v>
      </c>
      <c r="T151" s="403" t="s">
        <v>14174</v>
      </c>
      <c r="U151" s="403"/>
      <c r="V151" s="403" t="s">
        <v>23024</v>
      </c>
      <c r="W151" s="403" t="s">
        <v>23024</v>
      </c>
      <c r="X151" s="403" t="s">
        <v>23024</v>
      </c>
      <c r="Y151" s="403" t="s">
        <v>23024</v>
      </c>
    </row>
    <row r="152" spans="1:25">
      <c r="A152" s="363">
        <f t="shared" si="23"/>
        <v>151</v>
      </c>
      <c r="B152" s="363" t="str">
        <f t="shared" si="16"/>
        <v>44</v>
      </c>
      <c r="C152" s="405" t="str">
        <f t="shared" si="17"/>
        <v>第001180号</v>
      </c>
      <c r="D152" s="405" t="str">
        <f t="shared" si="18"/>
        <v>（有）岩永工務店</v>
      </c>
      <c r="E152" s="405" t="str">
        <f t="shared" si="19"/>
        <v>代表取締役</v>
      </c>
      <c r="F152" s="405" t="str">
        <f t="shared" si="20"/>
        <v>下村　竜也</v>
      </c>
      <c r="G152" s="405" t="str">
        <f t="shared" si="21"/>
        <v>主たる営業所</v>
      </c>
      <c r="H152" s="405" t="str">
        <f t="shared" si="22"/>
        <v>豊後高田市玉津１５５０－６</v>
      </c>
      <c r="L152" s="403" t="s">
        <v>7685</v>
      </c>
      <c r="M152" s="403" t="s">
        <v>7686</v>
      </c>
      <c r="N152" s="403" t="s">
        <v>1685</v>
      </c>
      <c r="O152" s="403" t="s">
        <v>7084</v>
      </c>
      <c r="P152" s="403" t="s">
        <v>1686</v>
      </c>
      <c r="Q152" s="403" t="s">
        <v>7687</v>
      </c>
      <c r="R152" s="403" t="s">
        <v>18679</v>
      </c>
      <c r="S152" s="403" t="s">
        <v>14175</v>
      </c>
      <c r="T152" s="403" t="s">
        <v>14176</v>
      </c>
      <c r="U152" s="403"/>
      <c r="V152" s="403" t="s">
        <v>23024</v>
      </c>
      <c r="W152" s="403" t="s">
        <v>23024</v>
      </c>
      <c r="X152" s="403" t="s">
        <v>23024</v>
      </c>
      <c r="Y152" s="403" t="s">
        <v>23024</v>
      </c>
    </row>
    <row r="153" spans="1:25">
      <c r="A153" s="363">
        <f t="shared" si="23"/>
        <v>152</v>
      </c>
      <c r="B153" s="363" t="str">
        <f t="shared" si="16"/>
        <v>44</v>
      </c>
      <c r="C153" s="405" t="str">
        <f t="shared" si="17"/>
        <v>第001187号</v>
      </c>
      <c r="D153" s="405" t="str">
        <f t="shared" si="18"/>
        <v>（株）双子</v>
      </c>
      <c r="E153" s="405" t="str">
        <f t="shared" si="19"/>
        <v>代表取締役</v>
      </c>
      <c r="F153" s="405" t="str">
        <f t="shared" si="20"/>
        <v>堂園　剛志</v>
      </c>
      <c r="G153" s="405" t="str">
        <f t="shared" si="21"/>
        <v>主たる営業所</v>
      </c>
      <c r="H153" s="405" t="str">
        <f t="shared" si="22"/>
        <v>豊後高田市新地１０８８－１</v>
      </c>
      <c r="L153" s="403" t="s">
        <v>7688</v>
      </c>
      <c r="M153" s="403" t="s">
        <v>7689</v>
      </c>
      <c r="N153" s="403" t="s">
        <v>1687</v>
      </c>
      <c r="O153" s="403" t="s">
        <v>7084</v>
      </c>
      <c r="P153" s="403" t="s">
        <v>1688</v>
      </c>
      <c r="Q153" s="403" t="s">
        <v>7672</v>
      </c>
      <c r="R153" s="403" t="s">
        <v>18680</v>
      </c>
      <c r="S153" s="403" t="s">
        <v>14177</v>
      </c>
      <c r="T153" s="403" t="s">
        <v>14178</v>
      </c>
      <c r="U153" s="403"/>
      <c r="V153" s="403" t="s">
        <v>23024</v>
      </c>
      <c r="W153" s="403" t="s">
        <v>23024</v>
      </c>
      <c r="X153" s="403" t="s">
        <v>23024</v>
      </c>
      <c r="Y153" s="403" t="s">
        <v>23024</v>
      </c>
    </row>
    <row r="154" spans="1:25">
      <c r="A154" s="363">
        <f t="shared" si="23"/>
        <v>153</v>
      </c>
      <c r="B154" s="363" t="str">
        <f t="shared" si="16"/>
        <v>44</v>
      </c>
      <c r="C154" s="405" t="str">
        <f t="shared" si="17"/>
        <v>第001188号</v>
      </c>
      <c r="D154" s="405" t="str">
        <f t="shared" si="18"/>
        <v>（有）坂本建設</v>
      </c>
      <c r="E154" s="405" t="str">
        <f t="shared" si="19"/>
        <v>代表取締役</v>
      </c>
      <c r="F154" s="405" t="str">
        <f t="shared" si="20"/>
        <v>坂本　修一</v>
      </c>
      <c r="G154" s="405" t="str">
        <f t="shared" si="21"/>
        <v>主たる営業所</v>
      </c>
      <c r="H154" s="405" t="str">
        <f t="shared" si="22"/>
        <v>豊後高田市見目２３３</v>
      </c>
      <c r="L154" s="403" t="s">
        <v>7690</v>
      </c>
      <c r="M154" s="403" t="s">
        <v>7691</v>
      </c>
      <c r="N154" s="403" t="s">
        <v>1689</v>
      </c>
      <c r="O154" s="403" t="s">
        <v>7084</v>
      </c>
      <c r="P154" s="403" t="s">
        <v>1690</v>
      </c>
      <c r="Q154" s="403" t="s">
        <v>7679</v>
      </c>
      <c r="R154" s="403" t="s">
        <v>5359</v>
      </c>
      <c r="S154" s="403" t="s">
        <v>14179</v>
      </c>
      <c r="T154" s="403" t="s">
        <v>14180</v>
      </c>
      <c r="U154" s="403"/>
      <c r="V154" s="403" t="s">
        <v>23024</v>
      </c>
      <c r="W154" s="403" t="s">
        <v>23024</v>
      </c>
      <c r="X154" s="403" t="s">
        <v>23024</v>
      </c>
      <c r="Y154" s="403" t="s">
        <v>23024</v>
      </c>
    </row>
    <row r="155" spans="1:25">
      <c r="A155" s="363">
        <f t="shared" si="23"/>
        <v>154</v>
      </c>
      <c r="B155" s="363" t="str">
        <f t="shared" si="16"/>
        <v>44</v>
      </c>
      <c r="C155" s="405" t="str">
        <f t="shared" si="17"/>
        <v>第001196号</v>
      </c>
      <c r="D155" s="405" t="str">
        <f t="shared" si="18"/>
        <v>奥田建設（株）</v>
      </c>
      <c r="E155" s="405" t="str">
        <f t="shared" si="19"/>
        <v>代表取締役</v>
      </c>
      <c r="F155" s="405" t="str">
        <f t="shared" si="20"/>
        <v>徳丸　新吾</v>
      </c>
      <c r="G155" s="405" t="str">
        <f t="shared" si="21"/>
        <v>主たる営業所</v>
      </c>
      <c r="H155" s="405" t="str">
        <f t="shared" si="22"/>
        <v>豊後高田市払田１１０</v>
      </c>
      <c r="L155" s="403" t="s">
        <v>7692</v>
      </c>
      <c r="M155" s="403" t="s">
        <v>7693</v>
      </c>
      <c r="N155" s="403" t="s">
        <v>1691</v>
      </c>
      <c r="O155" s="403" t="s">
        <v>7084</v>
      </c>
      <c r="P155" s="403" t="s">
        <v>1692</v>
      </c>
      <c r="Q155" s="403" t="s">
        <v>7694</v>
      </c>
      <c r="R155" s="403" t="s">
        <v>5360</v>
      </c>
      <c r="S155" s="403" t="s">
        <v>14181</v>
      </c>
      <c r="T155" s="403" t="s">
        <v>14182</v>
      </c>
      <c r="U155" s="403"/>
      <c r="V155" s="403" t="s">
        <v>23024</v>
      </c>
      <c r="W155" s="403" t="s">
        <v>23024</v>
      </c>
      <c r="X155" s="403" t="s">
        <v>23024</v>
      </c>
      <c r="Y155" s="403" t="s">
        <v>23024</v>
      </c>
    </row>
    <row r="156" spans="1:25">
      <c r="A156" s="363">
        <f t="shared" si="23"/>
        <v>155</v>
      </c>
      <c r="B156" s="363" t="str">
        <f t="shared" si="16"/>
        <v>44</v>
      </c>
      <c r="C156" s="405" t="str">
        <f t="shared" si="17"/>
        <v>第001206号</v>
      </c>
      <c r="D156" s="405" t="str">
        <f t="shared" si="18"/>
        <v>麻田建設（有）</v>
      </c>
      <c r="E156" s="405" t="str">
        <f t="shared" si="19"/>
        <v>代表取締役</v>
      </c>
      <c r="F156" s="405" t="str">
        <f t="shared" si="20"/>
        <v>元永　弘行</v>
      </c>
      <c r="G156" s="405" t="str">
        <f t="shared" si="21"/>
        <v>主たる営業所</v>
      </c>
      <c r="H156" s="405" t="str">
        <f t="shared" si="22"/>
        <v>国東市武蔵町麻田２０８５－２</v>
      </c>
      <c r="L156" s="403" t="s">
        <v>7695</v>
      </c>
      <c r="M156" s="403" t="s">
        <v>7696</v>
      </c>
      <c r="N156" s="403" t="s">
        <v>1693</v>
      </c>
      <c r="O156" s="403" t="s">
        <v>7084</v>
      </c>
      <c r="P156" s="403" t="s">
        <v>5217</v>
      </c>
      <c r="Q156" s="403" t="s">
        <v>7697</v>
      </c>
      <c r="R156" s="403" t="s">
        <v>18681</v>
      </c>
      <c r="S156" s="403" t="s">
        <v>14183</v>
      </c>
      <c r="T156" s="403" t="s">
        <v>14184</v>
      </c>
      <c r="U156" s="403"/>
      <c r="V156" s="403" t="s">
        <v>23024</v>
      </c>
      <c r="W156" s="403" t="s">
        <v>23024</v>
      </c>
      <c r="X156" s="403" t="s">
        <v>23024</v>
      </c>
      <c r="Y156" s="403" t="s">
        <v>23024</v>
      </c>
    </row>
    <row r="157" spans="1:25">
      <c r="A157" s="363">
        <f t="shared" si="23"/>
        <v>156</v>
      </c>
      <c r="B157" s="363" t="str">
        <f t="shared" si="16"/>
        <v>44</v>
      </c>
      <c r="C157" s="405" t="str">
        <f t="shared" si="17"/>
        <v>第001213号</v>
      </c>
      <c r="D157" s="405" t="str">
        <f t="shared" si="18"/>
        <v>山口水道工業（株）</v>
      </c>
      <c r="E157" s="405" t="str">
        <f t="shared" si="19"/>
        <v>代表取締役</v>
      </c>
      <c r="F157" s="405" t="str">
        <f t="shared" si="20"/>
        <v>中園　清</v>
      </c>
      <c r="G157" s="405" t="str">
        <f t="shared" si="21"/>
        <v>主たる営業所</v>
      </c>
      <c r="H157" s="405" t="str">
        <f t="shared" si="22"/>
        <v>国東市国東町田深６６６－１</v>
      </c>
      <c r="L157" s="403" t="s">
        <v>7698</v>
      </c>
      <c r="M157" s="403" t="s">
        <v>7699</v>
      </c>
      <c r="N157" s="403" t="s">
        <v>1694</v>
      </c>
      <c r="O157" s="403" t="s">
        <v>7084</v>
      </c>
      <c r="P157" s="403" t="s">
        <v>1695</v>
      </c>
      <c r="Q157" s="403" t="s">
        <v>7700</v>
      </c>
      <c r="R157" s="403" t="s">
        <v>18682</v>
      </c>
      <c r="S157" s="403" t="s">
        <v>14185</v>
      </c>
      <c r="T157" s="403" t="s">
        <v>14186</v>
      </c>
      <c r="U157" s="403"/>
      <c r="V157" s="403" t="s">
        <v>23024</v>
      </c>
      <c r="W157" s="403" t="s">
        <v>23024</v>
      </c>
      <c r="X157" s="403" t="s">
        <v>23024</v>
      </c>
      <c r="Y157" s="403" t="s">
        <v>23024</v>
      </c>
    </row>
    <row r="158" spans="1:25">
      <c r="A158" s="363">
        <f t="shared" si="23"/>
        <v>157</v>
      </c>
      <c r="B158" s="363" t="str">
        <f t="shared" si="16"/>
        <v>44</v>
      </c>
      <c r="C158" s="405" t="str">
        <f t="shared" si="17"/>
        <v>第001217号</v>
      </c>
      <c r="D158" s="405" t="str">
        <f t="shared" si="18"/>
        <v>杵築電気工事（株）</v>
      </c>
      <c r="E158" s="405" t="str">
        <f t="shared" si="19"/>
        <v>代表取締役</v>
      </c>
      <c r="F158" s="405" t="str">
        <f t="shared" si="20"/>
        <v>八坂　忠昭</v>
      </c>
      <c r="G158" s="405" t="str">
        <f t="shared" si="21"/>
        <v>主たる営業所</v>
      </c>
      <c r="H158" s="405" t="str">
        <f t="shared" si="22"/>
        <v>国東市安岐町大字西本１０５９－１</v>
      </c>
      <c r="L158" s="403" t="s">
        <v>7701</v>
      </c>
      <c r="M158" s="403" t="s">
        <v>7702</v>
      </c>
      <c r="N158" s="403" t="s">
        <v>1696</v>
      </c>
      <c r="O158" s="403" t="s">
        <v>7084</v>
      </c>
      <c r="P158" s="403" t="s">
        <v>1697</v>
      </c>
      <c r="Q158" s="403" t="s">
        <v>7703</v>
      </c>
      <c r="R158" s="403" t="s">
        <v>18683</v>
      </c>
      <c r="S158" s="403" t="s">
        <v>14187</v>
      </c>
      <c r="T158" s="403" t="s">
        <v>14188</v>
      </c>
      <c r="U158" s="403"/>
      <c r="V158" s="403" t="s">
        <v>23024</v>
      </c>
      <c r="W158" s="403" t="s">
        <v>23024</v>
      </c>
      <c r="X158" s="403" t="s">
        <v>23024</v>
      </c>
      <c r="Y158" s="403" t="s">
        <v>23024</v>
      </c>
    </row>
    <row r="159" spans="1:25">
      <c r="A159" s="363">
        <f t="shared" si="23"/>
        <v>158</v>
      </c>
      <c r="B159" s="363" t="str">
        <f t="shared" si="16"/>
        <v>44</v>
      </c>
      <c r="C159" s="405" t="str">
        <f t="shared" si="17"/>
        <v>第001220号</v>
      </c>
      <c r="D159" s="405" t="str">
        <f t="shared" si="18"/>
        <v>（有）姫島建設</v>
      </c>
      <c r="E159" s="405" t="str">
        <f t="shared" si="19"/>
        <v>取締役</v>
      </c>
      <c r="F159" s="405" t="str">
        <f t="shared" si="20"/>
        <v>三浦　洋照</v>
      </c>
      <c r="G159" s="405" t="str">
        <f t="shared" si="21"/>
        <v>主たる営業所</v>
      </c>
      <c r="H159" s="405" t="str">
        <f t="shared" si="22"/>
        <v>東国東郡姫島村２</v>
      </c>
      <c r="L159" s="403" t="s">
        <v>7704</v>
      </c>
      <c r="M159" s="403" t="s">
        <v>7705</v>
      </c>
      <c r="N159" s="403" t="s">
        <v>1698</v>
      </c>
      <c r="O159" s="403" t="s">
        <v>7085</v>
      </c>
      <c r="P159" s="403" t="s">
        <v>5218</v>
      </c>
      <c r="Q159" s="403" t="s">
        <v>7706</v>
      </c>
      <c r="R159" s="403" t="s">
        <v>5361</v>
      </c>
      <c r="S159" s="403" t="s">
        <v>14189</v>
      </c>
      <c r="T159" s="403" t="s">
        <v>14190</v>
      </c>
      <c r="U159" s="403"/>
      <c r="V159" s="403" t="s">
        <v>23024</v>
      </c>
      <c r="W159" s="403" t="s">
        <v>23024</v>
      </c>
      <c r="X159" s="403" t="s">
        <v>23024</v>
      </c>
      <c r="Y159" s="403" t="s">
        <v>23024</v>
      </c>
    </row>
    <row r="160" spans="1:25">
      <c r="A160" s="363">
        <f t="shared" si="23"/>
        <v>159</v>
      </c>
      <c r="B160" s="363" t="str">
        <f t="shared" si="16"/>
        <v>44</v>
      </c>
      <c r="C160" s="405" t="str">
        <f t="shared" si="17"/>
        <v>第001223号</v>
      </c>
      <c r="D160" s="405" t="str">
        <f t="shared" si="18"/>
        <v>（株）ダイプロ・Ｈｏｍｅ</v>
      </c>
      <c r="E160" s="405" t="str">
        <f t="shared" si="19"/>
        <v>代表取締役</v>
      </c>
      <c r="F160" s="405" t="str">
        <f t="shared" si="20"/>
        <v>山田　耕司</v>
      </c>
      <c r="G160" s="405" t="str">
        <f t="shared" si="21"/>
        <v>主たる営業所</v>
      </c>
      <c r="H160" s="405" t="str">
        <f t="shared" si="22"/>
        <v>国東市国東町富来浦１６２５－１</v>
      </c>
      <c r="L160" s="403" t="s">
        <v>7707</v>
      </c>
      <c r="M160" s="403" t="s">
        <v>7708</v>
      </c>
      <c r="N160" s="403" t="s">
        <v>5198</v>
      </c>
      <c r="O160" s="403" t="s">
        <v>7084</v>
      </c>
      <c r="P160" s="403" t="s">
        <v>1699</v>
      </c>
      <c r="Q160" s="403" t="s">
        <v>7709</v>
      </c>
      <c r="R160" s="403" t="s">
        <v>18684</v>
      </c>
      <c r="S160" s="403" t="s">
        <v>14191</v>
      </c>
      <c r="T160" s="403" t="s">
        <v>14192</v>
      </c>
      <c r="U160" s="403"/>
      <c r="V160" s="403" t="s">
        <v>23024</v>
      </c>
      <c r="W160" s="403" t="s">
        <v>23024</v>
      </c>
      <c r="X160" s="403" t="s">
        <v>23024</v>
      </c>
      <c r="Y160" s="403" t="s">
        <v>23024</v>
      </c>
    </row>
    <row r="161" spans="1:25">
      <c r="A161" s="363">
        <f t="shared" si="23"/>
        <v>160</v>
      </c>
      <c r="B161" s="363" t="str">
        <f t="shared" si="16"/>
        <v>44</v>
      </c>
      <c r="C161" s="405" t="str">
        <f t="shared" si="17"/>
        <v>第001226号</v>
      </c>
      <c r="D161" s="405" t="str">
        <f t="shared" si="18"/>
        <v>（株）秋田建設工業</v>
      </c>
      <c r="E161" s="405" t="str">
        <f t="shared" si="19"/>
        <v>代表取締役</v>
      </c>
      <c r="F161" s="405" t="str">
        <f t="shared" si="20"/>
        <v>秋田　裕範</v>
      </c>
      <c r="G161" s="405" t="str">
        <f t="shared" si="21"/>
        <v>主たる営業所</v>
      </c>
      <c r="H161" s="405" t="str">
        <f t="shared" si="22"/>
        <v>国東市国見町野田３１０３－１</v>
      </c>
      <c r="L161" s="403" t="s">
        <v>7710</v>
      </c>
      <c r="M161" s="403" t="s">
        <v>7711</v>
      </c>
      <c r="N161" s="403" t="s">
        <v>1700</v>
      </c>
      <c r="O161" s="403" t="s">
        <v>7084</v>
      </c>
      <c r="P161" s="403" t="s">
        <v>18685</v>
      </c>
      <c r="Q161" s="403" t="s">
        <v>7712</v>
      </c>
      <c r="R161" s="403" t="s">
        <v>18686</v>
      </c>
      <c r="S161" s="403" t="s">
        <v>14193</v>
      </c>
      <c r="T161" s="403" t="s">
        <v>14194</v>
      </c>
      <c r="U161" s="403"/>
      <c r="V161" s="403" t="s">
        <v>23024</v>
      </c>
      <c r="W161" s="403" t="s">
        <v>23024</v>
      </c>
      <c r="X161" s="403" t="s">
        <v>23024</v>
      </c>
      <c r="Y161" s="403" t="s">
        <v>23024</v>
      </c>
    </row>
    <row r="162" spans="1:25">
      <c r="A162" s="363">
        <f t="shared" si="23"/>
        <v>161</v>
      </c>
      <c r="B162" s="363" t="str">
        <f t="shared" si="16"/>
        <v>44</v>
      </c>
      <c r="C162" s="405" t="str">
        <f t="shared" si="17"/>
        <v>第001235号</v>
      </c>
      <c r="D162" s="405" t="str">
        <f t="shared" si="18"/>
        <v>タキグチ商事（株）</v>
      </c>
      <c r="E162" s="405" t="str">
        <f t="shared" si="19"/>
        <v>代表取締役</v>
      </c>
      <c r="F162" s="405" t="str">
        <f t="shared" si="20"/>
        <v>帯刀　晃司</v>
      </c>
      <c r="G162" s="405" t="str">
        <f t="shared" si="21"/>
        <v>主たる営業所</v>
      </c>
      <c r="H162" s="405" t="str">
        <f t="shared" si="22"/>
        <v>国東市武蔵町古市３１０－１</v>
      </c>
      <c r="L162" s="403" t="s">
        <v>7713</v>
      </c>
      <c r="M162" s="403" t="s">
        <v>7714</v>
      </c>
      <c r="N162" s="403" t="s">
        <v>1701</v>
      </c>
      <c r="O162" s="403" t="s">
        <v>7084</v>
      </c>
      <c r="P162" s="403" t="s">
        <v>1702</v>
      </c>
      <c r="Q162" s="403" t="s">
        <v>7715</v>
      </c>
      <c r="R162" s="403" t="s">
        <v>18687</v>
      </c>
      <c r="S162" s="403" t="s">
        <v>14195</v>
      </c>
      <c r="T162" s="403" t="s">
        <v>14196</v>
      </c>
      <c r="U162" s="403"/>
      <c r="V162" s="403" t="s">
        <v>23024</v>
      </c>
      <c r="W162" s="403" t="s">
        <v>23024</v>
      </c>
      <c r="X162" s="403" t="s">
        <v>23024</v>
      </c>
      <c r="Y162" s="403" t="s">
        <v>23024</v>
      </c>
    </row>
    <row r="163" spans="1:25">
      <c r="A163" s="363">
        <f t="shared" si="23"/>
        <v>162</v>
      </c>
      <c r="B163" s="363" t="str">
        <f t="shared" si="16"/>
        <v>44</v>
      </c>
      <c r="C163" s="405" t="str">
        <f t="shared" si="17"/>
        <v>第001238号</v>
      </c>
      <c r="D163" s="405" t="str">
        <f t="shared" si="18"/>
        <v>（株）伊東組</v>
      </c>
      <c r="E163" s="405" t="str">
        <f t="shared" si="19"/>
        <v>代表取締役</v>
      </c>
      <c r="F163" s="405" t="str">
        <f t="shared" si="20"/>
        <v>小俣　直樹</v>
      </c>
      <c r="G163" s="405" t="str">
        <f t="shared" si="21"/>
        <v>主たる営業所</v>
      </c>
      <c r="H163" s="405" t="str">
        <f t="shared" si="22"/>
        <v>国東市安岐町朝来２７４９－３</v>
      </c>
      <c r="L163" s="403" t="s">
        <v>7716</v>
      </c>
      <c r="M163" s="403" t="s">
        <v>7717</v>
      </c>
      <c r="N163" s="403" t="s">
        <v>1703</v>
      </c>
      <c r="O163" s="403" t="s">
        <v>7084</v>
      </c>
      <c r="P163" s="403" t="s">
        <v>1704</v>
      </c>
      <c r="Q163" s="403" t="s">
        <v>7718</v>
      </c>
      <c r="R163" s="403" t="s">
        <v>18688</v>
      </c>
      <c r="S163" s="403" t="s">
        <v>14197</v>
      </c>
      <c r="T163" s="403" t="s">
        <v>14198</v>
      </c>
      <c r="U163" s="403"/>
      <c r="V163" s="403" t="s">
        <v>23024</v>
      </c>
      <c r="W163" s="403" t="s">
        <v>23024</v>
      </c>
      <c r="X163" s="403" t="s">
        <v>23024</v>
      </c>
      <c r="Y163" s="403" t="s">
        <v>23024</v>
      </c>
    </row>
    <row r="164" spans="1:25">
      <c r="A164" s="363">
        <f t="shared" si="23"/>
        <v>163</v>
      </c>
      <c r="B164" s="363" t="str">
        <f t="shared" si="16"/>
        <v>44</v>
      </c>
      <c r="C164" s="405" t="str">
        <f t="shared" si="17"/>
        <v>第001242号</v>
      </c>
      <c r="D164" s="405" t="str">
        <f t="shared" si="18"/>
        <v>豊栄建設（株）</v>
      </c>
      <c r="E164" s="405" t="str">
        <f t="shared" si="19"/>
        <v>代表取締役</v>
      </c>
      <c r="F164" s="405" t="str">
        <f t="shared" si="20"/>
        <v>猪俣　雅敏</v>
      </c>
      <c r="G164" s="405" t="str">
        <f t="shared" si="21"/>
        <v>主たる営業所</v>
      </c>
      <c r="H164" s="405" t="str">
        <f t="shared" si="22"/>
        <v>国東市国東町浜５１３９－１</v>
      </c>
      <c r="L164" s="403" t="s">
        <v>7719</v>
      </c>
      <c r="M164" s="403" t="s">
        <v>7720</v>
      </c>
      <c r="N164" s="403" t="s">
        <v>1705</v>
      </c>
      <c r="O164" s="403" t="s">
        <v>7084</v>
      </c>
      <c r="P164" s="403" t="s">
        <v>1706</v>
      </c>
      <c r="Q164" s="403" t="s">
        <v>7721</v>
      </c>
      <c r="R164" s="403" t="s">
        <v>18689</v>
      </c>
      <c r="S164" s="403" t="s">
        <v>14199</v>
      </c>
      <c r="T164" s="403" t="s">
        <v>14200</v>
      </c>
      <c r="U164" s="403"/>
      <c r="V164" s="403" t="s">
        <v>23024</v>
      </c>
      <c r="W164" s="403" t="s">
        <v>23024</v>
      </c>
      <c r="X164" s="403" t="s">
        <v>23024</v>
      </c>
      <c r="Y164" s="403" t="s">
        <v>23024</v>
      </c>
    </row>
    <row r="165" spans="1:25">
      <c r="A165" s="363">
        <f t="shared" si="23"/>
        <v>164</v>
      </c>
      <c r="B165" s="363" t="str">
        <f t="shared" si="16"/>
        <v>44</v>
      </c>
      <c r="C165" s="405" t="str">
        <f t="shared" si="17"/>
        <v>第001246号</v>
      </c>
      <c r="D165" s="405" t="str">
        <f t="shared" si="18"/>
        <v>宮迫建設（株）</v>
      </c>
      <c r="E165" s="405" t="str">
        <f t="shared" si="19"/>
        <v>代表取締役</v>
      </c>
      <c r="F165" s="405" t="str">
        <f t="shared" si="20"/>
        <v>今富　ゆかり</v>
      </c>
      <c r="G165" s="405" t="str">
        <f t="shared" si="21"/>
        <v>主たる営業所</v>
      </c>
      <c r="H165" s="405" t="str">
        <f t="shared" si="22"/>
        <v>国東市武蔵町糸原２５３５</v>
      </c>
      <c r="L165" s="403" t="s">
        <v>7722</v>
      </c>
      <c r="M165" s="403" t="s">
        <v>7723</v>
      </c>
      <c r="N165" s="403" t="s">
        <v>1707</v>
      </c>
      <c r="O165" s="403" t="s">
        <v>7084</v>
      </c>
      <c r="P165" s="403" t="s">
        <v>1708</v>
      </c>
      <c r="Q165" s="403" t="s">
        <v>7416</v>
      </c>
      <c r="R165" s="403" t="s">
        <v>5362</v>
      </c>
      <c r="S165" s="403" t="s">
        <v>14201</v>
      </c>
      <c r="T165" s="403" t="s">
        <v>14202</v>
      </c>
      <c r="U165" s="403"/>
      <c r="V165" s="403" t="s">
        <v>23024</v>
      </c>
      <c r="W165" s="403" t="s">
        <v>23024</v>
      </c>
      <c r="X165" s="403" t="s">
        <v>23024</v>
      </c>
      <c r="Y165" s="403" t="s">
        <v>23024</v>
      </c>
    </row>
    <row r="166" spans="1:25">
      <c r="A166" s="363">
        <f t="shared" si="23"/>
        <v>165</v>
      </c>
      <c r="B166" s="363" t="str">
        <f t="shared" si="16"/>
        <v>44</v>
      </c>
      <c r="C166" s="405" t="str">
        <f t="shared" si="17"/>
        <v>第001261号</v>
      </c>
      <c r="D166" s="405" t="str">
        <f t="shared" si="18"/>
        <v>（株）財前組</v>
      </c>
      <c r="E166" s="405" t="str">
        <f t="shared" si="19"/>
        <v>代表取締役</v>
      </c>
      <c r="F166" s="405" t="str">
        <f t="shared" si="20"/>
        <v>嶋田　和洋</v>
      </c>
      <c r="G166" s="405" t="str">
        <f t="shared" si="21"/>
        <v>主たる営業所</v>
      </c>
      <c r="H166" s="405" t="str">
        <f t="shared" si="22"/>
        <v>国東市国東町小原１８１１－１</v>
      </c>
      <c r="L166" s="403" t="s">
        <v>7724</v>
      </c>
      <c r="M166" s="403" t="s">
        <v>7725</v>
      </c>
      <c r="N166" s="403" t="s">
        <v>1709</v>
      </c>
      <c r="O166" s="403" t="s">
        <v>7084</v>
      </c>
      <c r="P166" s="403" t="s">
        <v>1710</v>
      </c>
      <c r="Q166" s="403" t="s">
        <v>7726</v>
      </c>
      <c r="R166" s="403" t="s">
        <v>18690</v>
      </c>
      <c r="S166" s="403" t="s">
        <v>14203</v>
      </c>
      <c r="T166" s="403" t="s">
        <v>14204</v>
      </c>
      <c r="U166" s="403"/>
      <c r="V166" s="403" t="s">
        <v>23024</v>
      </c>
      <c r="W166" s="403" t="s">
        <v>23024</v>
      </c>
      <c r="X166" s="403" t="s">
        <v>23024</v>
      </c>
      <c r="Y166" s="403" t="s">
        <v>23024</v>
      </c>
    </row>
    <row r="167" spans="1:25">
      <c r="A167" s="363">
        <f t="shared" si="23"/>
        <v>166</v>
      </c>
      <c r="B167" s="363" t="str">
        <f t="shared" si="16"/>
        <v>44</v>
      </c>
      <c r="C167" s="405" t="str">
        <f t="shared" si="17"/>
        <v>第001264号</v>
      </c>
      <c r="D167" s="405" t="str">
        <f t="shared" si="18"/>
        <v>（株）野田産業</v>
      </c>
      <c r="E167" s="405" t="str">
        <f t="shared" si="19"/>
        <v>代表取締役</v>
      </c>
      <c r="F167" s="405" t="str">
        <f t="shared" si="20"/>
        <v>野田　忠博</v>
      </c>
      <c r="G167" s="405" t="str">
        <f t="shared" si="21"/>
        <v>主たる営業所</v>
      </c>
      <c r="H167" s="405" t="str">
        <f t="shared" si="22"/>
        <v>国東市安岐町塩屋２９１－３</v>
      </c>
      <c r="L167" s="403" t="s">
        <v>7727</v>
      </c>
      <c r="M167" s="403" t="s">
        <v>7728</v>
      </c>
      <c r="N167" s="403" t="s">
        <v>1711</v>
      </c>
      <c r="O167" s="403" t="s">
        <v>7084</v>
      </c>
      <c r="P167" s="403" t="s">
        <v>1712</v>
      </c>
      <c r="Q167" s="403" t="s">
        <v>7729</v>
      </c>
      <c r="R167" s="403" t="s">
        <v>18691</v>
      </c>
      <c r="S167" s="403" t="s">
        <v>14205</v>
      </c>
      <c r="T167" s="403" t="s">
        <v>14206</v>
      </c>
      <c r="U167" s="403"/>
      <c r="V167" s="403" t="s">
        <v>23024</v>
      </c>
      <c r="W167" s="403" t="s">
        <v>23024</v>
      </c>
      <c r="X167" s="403" t="s">
        <v>23024</v>
      </c>
      <c r="Y167" s="403" t="s">
        <v>23024</v>
      </c>
    </row>
    <row r="168" spans="1:25">
      <c r="A168" s="363">
        <f t="shared" si="23"/>
        <v>167</v>
      </c>
      <c r="B168" s="363" t="str">
        <f t="shared" si="16"/>
        <v>44</v>
      </c>
      <c r="C168" s="405" t="str">
        <f t="shared" si="17"/>
        <v>第001268号</v>
      </c>
      <c r="D168" s="405" t="str">
        <f t="shared" si="18"/>
        <v>（株）三浦建設</v>
      </c>
      <c r="E168" s="405" t="str">
        <f t="shared" si="19"/>
        <v>代表取締役</v>
      </c>
      <c r="F168" s="405" t="str">
        <f t="shared" si="20"/>
        <v>佐藤　宗朝</v>
      </c>
      <c r="G168" s="405" t="str">
        <f t="shared" si="21"/>
        <v>主たる営業所</v>
      </c>
      <c r="H168" s="405" t="str">
        <f t="shared" si="22"/>
        <v>国東市国東町鶴川１６２６－１</v>
      </c>
      <c r="L168" s="403" t="s">
        <v>7730</v>
      </c>
      <c r="M168" s="403" t="s">
        <v>7731</v>
      </c>
      <c r="N168" s="403" t="s">
        <v>1713</v>
      </c>
      <c r="O168" s="403" t="s">
        <v>7084</v>
      </c>
      <c r="P168" s="403" t="s">
        <v>1714</v>
      </c>
      <c r="Q168" s="403" t="s">
        <v>7732</v>
      </c>
      <c r="R168" s="403" t="s">
        <v>18692</v>
      </c>
      <c r="S168" s="403" t="s">
        <v>14207</v>
      </c>
      <c r="T168" s="403" t="s">
        <v>14208</v>
      </c>
      <c r="U168" s="403"/>
      <c r="V168" s="403" t="s">
        <v>23024</v>
      </c>
      <c r="W168" s="403" t="s">
        <v>23024</v>
      </c>
      <c r="X168" s="403" t="s">
        <v>23024</v>
      </c>
      <c r="Y168" s="403" t="s">
        <v>23024</v>
      </c>
    </row>
    <row r="169" spans="1:25">
      <c r="A169" s="363">
        <f t="shared" si="23"/>
        <v>168</v>
      </c>
      <c r="B169" s="363" t="str">
        <f t="shared" si="16"/>
        <v>44</v>
      </c>
      <c r="C169" s="405" t="str">
        <f t="shared" si="17"/>
        <v>第001272号</v>
      </c>
      <c r="D169" s="405" t="str">
        <f t="shared" si="18"/>
        <v>（株）別所商事</v>
      </c>
      <c r="E169" s="405" t="str">
        <f t="shared" si="19"/>
        <v>代表取締役</v>
      </c>
      <c r="F169" s="405" t="str">
        <f t="shared" si="20"/>
        <v>吉田　嘉子</v>
      </c>
      <c r="G169" s="405" t="str">
        <f t="shared" si="21"/>
        <v>主たる営業所</v>
      </c>
      <c r="H169" s="405" t="str">
        <f t="shared" si="22"/>
        <v>国東市安岐町下原２４８０</v>
      </c>
      <c r="L169" s="403" t="s">
        <v>7733</v>
      </c>
      <c r="M169" s="403" t="s">
        <v>7734</v>
      </c>
      <c r="N169" s="403" t="s">
        <v>1715</v>
      </c>
      <c r="O169" s="403" t="s">
        <v>7084</v>
      </c>
      <c r="P169" s="403" t="s">
        <v>1716</v>
      </c>
      <c r="Q169" s="403" t="s">
        <v>7735</v>
      </c>
      <c r="R169" s="403" t="s">
        <v>5363</v>
      </c>
      <c r="S169" s="403" t="s">
        <v>14209</v>
      </c>
      <c r="T169" s="403" t="s">
        <v>14210</v>
      </c>
      <c r="U169" s="403"/>
      <c r="V169" s="403" t="s">
        <v>23024</v>
      </c>
      <c r="W169" s="403" t="s">
        <v>23024</v>
      </c>
      <c r="X169" s="403" t="s">
        <v>23024</v>
      </c>
      <c r="Y169" s="403" t="s">
        <v>23024</v>
      </c>
    </row>
    <row r="170" spans="1:25">
      <c r="A170" s="363">
        <f t="shared" si="23"/>
        <v>169</v>
      </c>
      <c r="B170" s="363" t="str">
        <f t="shared" si="16"/>
        <v>44</v>
      </c>
      <c r="C170" s="405" t="str">
        <f t="shared" si="17"/>
        <v>第001305号</v>
      </c>
      <c r="D170" s="405" t="str">
        <f t="shared" si="18"/>
        <v>（株）甲斐建設</v>
      </c>
      <c r="E170" s="405" t="str">
        <f t="shared" si="19"/>
        <v>代表取締役</v>
      </c>
      <c r="F170" s="405" t="str">
        <f t="shared" si="20"/>
        <v>甲斐　友和</v>
      </c>
      <c r="G170" s="405" t="str">
        <f t="shared" si="21"/>
        <v>主たる営業所</v>
      </c>
      <c r="H170" s="405" t="str">
        <f t="shared" si="22"/>
        <v>津久見市大字四浦５４５１</v>
      </c>
      <c r="L170" s="403" t="s">
        <v>7736</v>
      </c>
      <c r="M170" s="403" t="s">
        <v>7737</v>
      </c>
      <c r="N170" s="403" t="s">
        <v>1717</v>
      </c>
      <c r="O170" s="403" t="s">
        <v>7084</v>
      </c>
      <c r="P170" s="403" t="s">
        <v>1718</v>
      </c>
      <c r="Q170" s="403" t="s">
        <v>7738</v>
      </c>
      <c r="R170" s="403" t="s">
        <v>5364</v>
      </c>
      <c r="S170" s="403" t="s">
        <v>14211</v>
      </c>
      <c r="T170" s="403" t="s">
        <v>14212</v>
      </c>
      <c r="U170" s="403"/>
      <c r="V170" s="403" t="s">
        <v>23024</v>
      </c>
      <c r="W170" s="403" t="s">
        <v>23024</v>
      </c>
      <c r="X170" s="403" t="s">
        <v>23024</v>
      </c>
      <c r="Y170" s="403" t="s">
        <v>23024</v>
      </c>
    </row>
    <row r="171" spans="1:25">
      <c r="A171" s="363">
        <f t="shared" si="23"/>
        <v>170</v>
      </c>
      <c r="B171" s="363" t="str">
        <f t="shared" si="16"/>
        <v>44</v>
      </c>
      <c r="C171" s="405" t="str">
        <f t="shared" si="17"/>
        <v>第001306号</v>
      </c>
      <c r="D171" s="405" t="str">
        <f t="shared" si="18"/>
        <v>（株）佐々木工務店</v>
      </c>
      <c r="E171" s="405" t="str">
        <f t="shared" si="19"/>
        <v>代表取締役</v>
      </c>
      <c r="F171" s="405" t="str">
        <f t="shared" si="20"/>
        <v>佐藤　匡利</v>
      </c>
      <c r="G171" s="405" t="str">
        <f t="shared" si="21"/>
        <v>主たる営業所</v>
      </c>
      <c r="H171" s="405" t="str">
        <f t="shared" si="22"/>
        <v>臼杵市大字市浜字中通り６５１－２</v>
      </c>
      <c r="L171" s="403" t="s">
        <v>7739</v>
      </c>
      <c r="M171" s="403" t="s">
        <v>7740</v>
      </c>
      <c r="N171" s="403" t="s">
        <v>1719</v>
      </c>
      <c r="O171" s="403" t="s">
        <v>7084</v>
      </c>
      <c r="P171" s="403" t="s">
        <v>1720</v>
      </c>
      <c r="Q171" s="403" t="s">
        <v>7741</v>
      </c>
      <c r="R171" s="403" t="s">
        <v>18693</v>
      </c>
      <c r="S171" s="403" t="s">
        <v>14213</v>
      </c>
      <c r="T171" s="403" t="s">
        <v>14214</v>
      </c>
      <c r="U171" s="403"/>
      <c r="V171" s="403" t="s">
        <v>23024</v>
      </c>
      <c r="W171" s="403" t="s">
        <v>23024</v>
      </c>
      <c r="X171" s="403" t="s">
        <v>23024</v>
      </c>
      <c r="Y171" s="403" t="s">
        <v>23024</v>
      </c>
    </row>
    <row r="172" spans="1:25">
      <c r="A172" s="363">
        <f t="shared" si="23"/>
        <v>171</v>
      </c>
      <c r="B172" s="363" t="str">
        <f t="shared" si="16"/>
        <v>44</v>
      </c>
      <c r="C172" s="405" t="str">
        <f t="shared" si="17"/>
        <v>第001315号</v>
      </c>
      <c r="D172" s="405" t="str">
        <f t="shared" si="18"/>
        <v>大豊建設（株）</v>
      </c>
      <c r="E172" s="405" t="str">
        <f t="shared" si="19"/>
        <v>代表取締役</v>
      </c>
      <c r="F172" s="405" t="str">
        <f t="shared" si="20"/>
        <v>川邉　豊</v>
      </c>
      <c r="G172" s="405" t="str">
        <f t="shared" si="21"/>
        <v>主たる営業所</v>
      </c>
      <c r="H172" s="405" t="str">
        <f t="shared" si="22"/>
        <v>臼杵市大字板知屋５３</v>
      </c>
      <c r="L172" s="403" t="s">
        <v>7742</v>
      </c>
      <c r="M172" s="403" t="s">
        <v>7743</v>
      </c>
      <c r="N172" s="403" t="s">
        <v>1721</v>
      </c>
      <c r="O172" s="403" t="s">
        <v>7084</v>
      </c>
      <c r="P172" s="403" t="s">
        <v>1722</v>
      </c>
      <c r="Q172" s="403" t="s">
        <v>7744</v>
      </c>
      <c r="R172" s="403" t="s">
        <v>5365</v>
      </c>
      <c r="S172" s="403" t="s">
        <v>14215</v>
      </c>
      <c r="T172" s="403" t="s">
        <v>14216</v>
      </c>
      <c r="U172" s="403"/>
      <c r="V172" s="403" t="s">
        <v>23024</v>
      </c>
      <c r="W172" s="403" t="s">
        <v>23024</v>
      </c>
      <c r="X172" s="403" t="s">
        <v>23024</v>
      </c>
      <c r="Y172" s="403" t="s">
        <v>23024</v>
      </c>
    </row>
    <row r="173" spans="1:25">
      <c r="A173" s="363">
        <f t="shared" si="23"/>
        <v>172</v>
      </c>
      <c r="B173" s="363" t="str">
        <f t="shared" si="16"/>
        <v>44</v>
      </c>
      <c r="C173" s="405" t="str">
        <f t="shared" si="17"/>
        <v>第001317号</v>
      </c>
      <c r="D173" s="405" t="str">
        <f t="shared" si="18"/>
        <v>（有）塚本建設</v>
      </c>
      <c r="E173" s="405" t="str">
        <f t="shared" si="19"/>
        <v>代表取締役</v>
      </c>
      <c r="F173" s="405" t="str">
        <f t="shared" si="20"/>
        <v>塚本　清貴</v>
      </c>
      <c r="G173" s="405" t="str">
        <f t="shared" si="21"/>
        <v>主たる営業所</v>
      </c>
      <c r="H173" s="405" t="str">
        <f t="shared" si="22"/>
        <v>津久見市志手町２－７</v>
      </c>
      <c r="L173" s="403" t="s">
        <v>7745</v>
      </c>
      <c r="M173" s="403" t="s">
        <v>7746</v>
      </c>
      <c r="N173" s="403" t="s">
        <v>1723</v>
      </c>
      <c r="O173" s="403" t="s">
        <v>7084</v>
      </c>
      <c r="P173" s="403" t="s">
        <v>1724</v>
      </c>
      <c r="Q173" s="403" t="s">
        <v>7747</v>
      </c>
      <c r="R173" s="403" t="s">
        <v>18694</v>
      </c>
      <c r="S173" s="403" t="s">
        <v>14217</v>
      </c>
      <c r="T173" s="403" t="s">
        <v>14218</v>
      </c>
      <c r="U173" s="403"/>
      <c r="V173" s="403" t="s">
        <v>23024</v>
      </c>
      <c r="W173" s="403" t="s">
        <v>23024</v>
      </c>
      <c r="X173" s="403" t="s">
        <v>23024</v>
      </c>
      <c r="Y173" s="403" t="s">
        <v>23024</v>
      </c>
    </row>
    <row r="174" spans="1:25">
      <c r="A174" s="363">
        <f t="shared" si="23"/>
        <v>173</v>
      </c>
      <c r="B174" s="363" t="str">
        <f t="shared" si="16"/>
        <v>44</v>
      </c>
      <c r="C174" s="405" t="str">
        <f t="shared" si="17"/>
        <v>第001318号</v>
      </c>
      <c r="D174" s="405" t="str">
        <f t="shared" si="18"/>
        <v>（株）セキ土建</v>
      </c>
      <c r="E174" s="405" t="str">
        <f t="shared" si="19"/>
        <v>代表取締役</v>
      </c>
      <c r="F174" s="405" t="str">
        <f t="shared" si="20"/>
        <v>嵯峨　彰仁</v>
      </c>
      <c r="G174" s="405" t="str">
        <f t="shared" si="21"/>
        <v>主たる営業所</v>
      </c>
      <c r="H174" s="405" t="str">
        <f t="shared" si="22"/>
        <v>大分市大字佐賀関４－３３４１－４</v>
      </c>
      <c r="L174" s="403" t="s">
        <v>7748</v>
      </c>
      <c r="M174" s="403" t="s">
        <v>7749</v>
      </c>
      <c r="N174" s="403" t="s">
        <v>1725</v>
      </c>
      <c r="O174" s="403" t="s">
        <v>7084</v>
      </c>
      <c r="P174" s="403" t="s">
        <v>18695</v>
      </c>
      <c r="Q174" s="403" t="s">
        <v>7750</v>
      </c>
      <c r="R174" s="403" t="s">
        <v>18696</v>
      </c>
      <c r="S174" s="403" t="s">
        <v>14219</v>
      </c>
      <c r="T174" s="403" t="s">
        <v>14220</v>
      </c>
      <c r="U174" s="403"/>
      <c r="V174" s="403" t="s">
        <v>23024</v>
      </c>
      <c r="W174" s="403" t="s">
        <v>23024</v>
      </c>
      <c r="X174" s="403" t="s">
        <v>23024</v>
      </c>
      <c r="Y174" s="403" t="s">
        <v>23024</v>
      </c>
    </row>
    <row r="175" spans="1:25">
      <c r="A175" s="363">
        <f t="shared" si="23"/>
        <v>174</v>
      </c>
      <c r="B175" s="363" t="str">
        <f t="shared" si="16"/>
        <v>44</v>
      </c>
      <c r="C175" s="405" t="str">
        <f t="shared" si="17"/>
        <v>第001320号</v>
      </c>
      <c r="D175" s="405" t="str">
        <f t="shared" si="18"/>
        <v>（株）後藤設備鉄工</v>
      </c>
      <c r="E175" s="405" t="str">
        <f t="shared" si="19"/>
        <v>代表取締役</v>
      </c>
      <c r="F175" s="405" t="str">
        <f t="shared" si="20"/>
        <v>後藤　忠生</v>
      </c>
      <c r="G175" s="405" t="str">
        <f t="shared" si="21"/>
        <v>主たる営業所</v>
      </c>
      <c r="H175" s="405" t="str">
        <f t="shared" si="22"/>
        <v>津久見市地蔵町５－１６</v>
      </c>
      <c r="L175" s="403" t="s">
        <v>7751</v>
      </c>
      <c r="M175" s="403" t="s">
        <v>7752</v>
      </c>
      <c r="N175" s="403" t="s">
        <v>1726</v>
      </c>
      <c r="O175" s="403" t="s">
        <v>7084</v>
      </c>
      <c r="P175" s="403" t="s">
        <v>1727</v>
      </c>
      <c r="Q175" s="403" t="s">
        <v>7753</v>
      </c>
      <c r="R175" s="403" t="s">
        <v>18697</v>
      </c>
      <c r="S175" s="403" t="s">
        <v>14221</v>
      </c>
      <c r="T175" s="403" t="s">
        <v>14222</v>
      </c>
      <c r="U175" s="403"/>
      <c r="V175" s="403" t="s">
        <v>23024</v>
      </c>
      <c r="W175" s="403" t="s">
        <v>23024</v>
      </c>
      <c r="X175" s="403" t="s">
        <v>23024</v>
      </c>
      <c r="Y175" s="403" t="s">
        <v>23024</v>
      </c>
    </row>
    <row r="176" spans="1:25">
      <c r="A176" s="363">
        <f t="shared" si="23"/>
        <v>175</v>
      </c>
      <c r="B176" s="363" t="str">
        <f t="shared" si="16"/>
        <v>44</v>
      </c>
      <c r="C176" s="405" t="str">
        <f t="shared" si="17"/>
        <v>第001322号</v>
      </c>
      <c r="D176" s="405" t="str">
        <f t="shared" si="18"/>
        <v>三浦国土建設（株）</v>
      </c>
      <c r="E176" s="405" t="str">
        <f t="shared" si="19"/>
        <v>代表取締役</v>
      </c>
      <c r="F176" s="405" t="str">
        <f t="shared" si="20"/>
        <v>三浦　宏之</v>
      </c>
      <c r="G176" s="405" t="str">
        <f t="shared" si="21"/>
        <v>主たる営業所</v>
      </c>
      <c r="H176" s="405" t="str">
        <f t="shared" si="22"/>
        <v>大分市大字津守６０－１</v>
      </c>
      <c r="L176" s="403" t="s">
        <v>7754</v>
      </c>
      <c r="M176" s="403" t="s">
        <v>7755</v>
      </c>
      <c r="N176" s="403" t="s">
        <v>1728</v>
      </c>
      <c r="O176" s="403" t="s">
        <v>7084</v>
      </c>
      <c r="P176" s="403" t="s">
        <v>1729</v>
      </c>
      <c r="Q176" s="403" t="s">
        <v>7756</v>
      </c>
      <c r="R176" s="403" t="s">
        <v>18698</v>
      </c>
      <c r="S176" s="403" t="s">
        <v>14223</v>
      </c>
      <c r="T176" s="403" t="s">
        <v>14224</v>
      </c>
      <c r="U176" s="403"/>
      <c r="V176" s="403" t="s">
        <v>23024</v>
      </c>
      <c r="W176" s="403" t="s">
        <v>23024</v>
      </c>
      <c r="X176" s="403" t="s">
        <v>23024</v>
      </c>
      <c r="Y176" s="403" t="s">
        <v>23024</v>
      </c>
    </row>
    <row r="177" spans="1:25">
      <c r="A177" s="363">
        <f t="shared" si="23"/>
        <v>176</v>
      </c>
      <c r="B177" s="363" t="str">
        <f t="shared" si="16"/>
        <v>44</v>
      </c>
      <c r="C177" s="405" t="str">
        <f t="shared" si="17"/>
        <v>第001340号</v>
      </c>
      <c r="D177" s="405" t="str">
        <f t="shared" si="18"/>
        <v>旭産業（株）</v>
      </c>
      <c r="E177" s="405" t="str">
        <f t="shared" si="19"/>
        <v>代表取締役</v>
      </c>
      <c r="F177" s="405" t="str">
        <f t="shared" si="20"/>
        <v>田中　章夫</v>
      </c>
      <c r="G177" s="405" t="str">
        <f t="shared" si="21"/>
        <v>主たる営業所</v>
      </c>
      <c r="H177" s="405" t="str">
        <f t="shared" si="22"/>
        <v>臼杵市大字市浜１１３７－１</v>
      </c>
      <c r="L177" s="403" t="s">
        <v>7758</v>
      </c>
      <c r="M177" s="403" t="s">
        <v>7759</v>
      </c>
      <c r="N177" s="403" t="s">
        <v>1730</v>
      </c>
      <c r="O177" s="403" t="s">
        <v>7084</v>
      </c>
      <c r="P177" s="403" t="s">
        <v>1731</v>
      </c>
      <c r="Q177" s="403" t="s">
        <v>7741</v>
      </c>
      <c r="R177" s="403" t="s">
        <v>18699</v>
      </c>
      <c r="S177" s="403" t="s">
        <v>14225</v>
      </c>
      <c r="T177" s="403" t="s">
        <v>14226</v>
      </c>
      <c r="U177" s="403"/>
      <c r="V177" s="403" t="s">
        <v>23024</v>
      </c>
      <c r="W177" s="403" t="s">
        <v>23024</v>
      </c>
      <c r="X177" s="403" t="s">
        <v>23024</v>
      </c>
      <c r="Y177" s="403" t="s">
        <v>23024</v>
      </c>
    </row>
    <row r="178" spans="1:25">
      <c r="A178" s="363">
        <f t="shared" si="23"/>
        <v>177</v>
      </c>
      <c r="B178" s="363" t="str">
        <f t="shared" si="16"/>
        <v>44</v>
      </c>
      <c r="C178" s="405" t="str">
        <f t="shared" si="17"/>
        <v>第001343号</v>
      </c>
      <c r="D178" s="405" t="str">
        <f t="shared" si="18"/>
        <v>新興プラント建設（株）</v>
      </c>
      <c r="E178" s="405" t="str">
        <f t="shared" si="19"/>
        <v>代表取締役</v>
      </c>
      <c r="F178" s="405" t="str">
        <f t="shared" si="20"/>
        <v>山口　有一</v>
      </c>
      <c r="G178" s="405" t="str">
        <f t="shared" si="21"/>
        <v>主たる営業所</v>
      </c>
      <c r="H178" s="405" t="str">
        <f t="shared" si="22"/>
        <v>大分市大字佐賀関３０６８</v>
      </c>
      <c r="L178" s="403" t="s">
        <v>7760</v>
      </c>
      <c r="M178" s="403" t="s">
        <v>18700</v>
      </c>
      <c r="N178" s="403" t="s">
        <v>18701</v>
      </c>
      <c r="O178" s="403" t="s">
        <v>7084</v>
      </c>
      <c r="P178" s="403" t="s">
        <v>4314</v>
      </c>
      <c r="Q178" s="403" t="s">
        <v>7750</v>
      </c>
      <c r="R178" s="403" t="s">
        <v>5366</v>
      </c>
      <c r="S178" s="403" t="s">
        <v>14227</v>
      </c>
      <c r="T178" s="403" t="s">
        <v>14228</v>
      </c>
      <c r="U178" s="403"/>
      <c r="V178" s="403" t="s">
        <v>23024</v>
      </c>
      <c r="W178" s="403" t="s">
        <v>23024</v>
      </c>
      <c r="X178" s="403" t="s">
        <v>23024</v>
      </c>
      <c r="Y178" s="403" t="s">
        <v>23024</v>
      </c>
    </row>
    <row r="179" spans="1:25">
      <c r="A179" s="363">
        <f t="shared" si="23"/>
        <v>178</v>
      </c>
      <c r="B179" s="363" t="str">
        <f t="shared" si="16"/>
        <v>44</v>
      </c>
      <c r="C179" s="405" t="str">
        <f t="shared" si="17"/>
        <v>第001348号</v>
      </c>
      <c r="D179" s="405" t="str">
        <f t="shared" si="18"/>
        <v>（有）河野組</v>
      </c>
      <c r="E179" s="405" t="str">
        <f t="shared" si="19"/>
        <v>代表取締役</v>
      </c>
      <c r="F179" s="405" t="str">
        <f t="shared" si="20"/>
        <v>河野　博英</v>
      </c>
      <c r="G179" s="405" t="str">
        <f t="shared" si="21"/>
        <v>主たる営業所</v>
      </c>
      <c r="H179" s="405" t="str">
        <f t="shared" si="22"/>
        <v>臼杵市大字海添２５６０－１</v>
      </c>
      <c r="L179" s="403" t="s">
        <v>7761</v>
      </c>
      <c r="M179" s="403" t="s">
        <v>7762</v>
      </c>
      <c r="N179" s="403" t="s">
        <v>1732</v>
      </c>
      <c r="O179" s="403" t="s">
        <v>7084</v>
      </c>
      <c r="P179" s="403" t="s">
        <v>1733</v>
      </c>
      <c r="Q179" s="403" t="s">
        <v>7763</v>
      </c>
      <c r="R179" s="403" t="s">
        <v>18702</v>
      </c>
      <c r="S179" s="403" t="s">
        <v>14229</v>
      </c>
      <c r="T179" s="403" t="s">
        <v>14230</v>
      </c>
      <c r="U179" s="403"/>
      <c r="V179" s="403" t="s">
        <v>23024</v>
      </c>
      <c r="W179" s="403" t="s">
        <v>23024</v>
      </c>
      <c r="X179" s="403" t="s">
        <v>23024</v>
      </c>
      <c r="Y179" s="403" t="s">
        <v>23024</v>
      </c>
    </row>
    <row r="180" spans="1:25">
      <c r="A180" s="363">
        <f t="shared" si="23"/>
        <v>179</v>
      </c>
      <c r="B180" s="363" t="str">
        <f t="shared" si="16"/>
        <v>44</v>
      </c>
      <c r="C180" s="405" t="str">
        <f t="shared" si="17"/>
        <v>第001350号</v>
      </c>
      <c r="D180" s="405" t="str">
        <f t="shared" si="18"/>
        <v>安部建設（株）</v>
      </c>
      <c r="E180" s="405" t="str">
        <f t="shared" si="19"/>
        <v>代表取締役</v>
      </c>
      <c r="F180" s="405" t="str">
        <f t="shared" si="20"/>
        <v>安部　良</v>
      </c>
      <c r="G180" s="405" t="str">
        <f t="shared" si="21"/>
        <v>主たる営業所</v>
      </c>
      <c r="H180" s="405" t="str">
        <f t="shared" si="22"/>
        <v>津久見市文京町１２－１８</v>
      </c>
      <c r="L180" s="403" t="s">
        <v>7764</v>
      </c>
      <c r="M180" s="403" t="s">
        <v>7451</v>
      </c>
      <c r="N180" s="403" t="s">
        <v>1734</v>
      </c>
      <c r="O180" s="403" t="s">
        <v>7084</v>
      </c>
      <c r="P180" s="403" t="s">
        <v>1735</v>
      </c>
      <c r="Q180" s="403" t="s">
        <v>7765</v>
      </c>
      <c r="R180" s="403" t="s">
        <v>18703</v>
      </c>
      <c r="S180" s="403" t="s">
        <v>14231</v>
      </c>
      <c r="T180" s="403" t="s">
        <v>14232</v>
      </c>
      <c r="U180" s="403"/>
      <c r="V180" s="403" t="s">
        <v>23024</v>
      </c>
      <c r="W180" s="403" t="s">
        <v>23024</v>
      </c>
      <c r="X180" s="403" t="s">
        <v>23024</v>
      </c>
      <c r="Y180" s="403" t="s">
        <v>23024</v>
      </c>
    </row>
    <row r="181" spans="1:25">
      <c r="A181" s="363">
        <f t="shared" si="23"/>
        <v>180</v>
      </c>
      <c r="B181" s="363" t="str">
        <f t="shared" si="16"/>
        <v>44</v>
      </c>
      <c r="C181" s="405" t="str">
        <f t="shared" si="17"/>
        <v>第001355号</v>
      </c>
      <c r="D181" s="405" t="str">
        <f t="shared" si="18"/>
        <v>臼豊土建（株）</v>
      </c>
      <c r="E181" s="405" t="str">
        <f t="shared" si="19"/>
        <v>代表取締役</v>
      </c>
      <c r="F181" s="405" t="str">
        <f t="shared" si="20"/>
        <v>川野　浩之</v>
      </c>
      <c r="G181" s="405" t="str">
        <f t="shared" si="21"/>
        <v>主たる営業所</v>
      </c>
      <c r="H181" s="405" t="str">
        <f t="shared" si="22"/>
        <v>臼杵市大字江無田１９４－１</v>
      </c>
      <c r="L181" s="403" t="s">
        <v>7766</v>
      </c>
      <c r="M181" s="403" t="s">
        <v>7767</v>
      </c>
      <c r="N181" s="403" t="s">
        <v>1736</v>
      </c>
      <c r="O181" s="403" t="s">
        <v>7084</v>
      </c>
      <c r="P181" s="403" t="s">
        <v>1737</v>
      </c>
      <c r="Q181" s="403" t="s">
        <v>7768</v>
      </c>
      <c r="R181" s="403" t="s">
        <v>18704</v>
      </c>
      <c r="S181" s="403" t="s">
        <v>14233</v>
      </c>
      <c r="T181" s="403" t="s">
        <v>14234</v>
      </c>
      <c r="U181" s="403"/>
      <c r="V181" s="403" t="s">
        <v>23024</v>
      </c>
      <c r="W181" s="403" t="s">
        <v>23024</v>
      </c>
      <c r="X181" s="403" t="s">
        <v>23024</v>
      </c>
      <c r="Y181" s="403" t="s">
        <v>23024</v>
      </c>
    </row>
    <row r="182" spans="1:25">
      <c r="A182" s="363">
        <f t="shared" si="23"/>
        <v>181</v>
      </c>
      <c r="B182" s="363" t="str">
        <f t="shared" si="16"/>
        <v>44</v>
      </c>
      <c r="C182" s="405" t="str">
        <f t="shared" si="17"/>
        <v>第001357号</v>
      </c>
      <c r="D182" s="405" t="str">
        <f t="shared" si="18"/>
        <v>（株）大下建設工業</v>
      </c>
      <c r="E182" s="405" t="str">
        <f t="shared" si="19"/>
        <v>代表取締役</v>
      </c>
      <c r="F182" s="405" t="str">
        <f t="shared" si="20"/>
        <v>大下　恒善</v>
      </c>
      <c r="G182" s="405" t="str">
        <f t="shared" si="21"/>
        <v>主たる営業所</v>
      </c>
      <c r="H182" s="405" t="str">
        <f t="shared" si="22"/>
        <v>津久見市大字上青江３３７５－８</v>
      </c>
      <c r="L182" s="403" t="s">
        <v>7769</v>
      </c>
      <c r="M182" s="403" t="s">
        <v>7770</v>
      </c>
      <c r="N182" s="403" t="s">
        <v>1738</v>
      </c>
      <c r="O182" s="403" t="s">
        <v>7084</v>
      </c>
      <c r="P182" s="403" t="s">
        <v>1739</v>
      </c>
      <c r="Q182" s="403" t="s">
        <v>7771</v>
      </c>
      <c r="R182" s="403" t="s">
        <v>18705</v>
      </c>
      <c r="S182" s="403" t="s">
        <v>14235</v>
      </c>
      <c r="T182" s="403" t="s">
        <v>14236</v>
      </c>
      <c r="U182" s="403"/>
      <c r="V182" s="403" t="s">
        <v>23024</v>
      </c>
      <c r="W182" s="403" t="s">
        <v>23024</v>
      </c>
      <c r="X182" s="403" t="s">
        <v>23024</v>
      </c>
      <c r="Y182" s="403" t="s">
        <v>23024</v>
      </c>
    </row>
    <row r="183" spans="1:25">
      <c r="A183" s="363">
        <f t="shared" si="23"/>
        <v>182</v>
      </c>
      <c r="B183" s="363" t="str">
        <f t="shared" si="16"/>
        <v>44</v>
      </c>
      <c r="C183" s="405" t="str">
        <f t="shared" si="17"/>
        <v>第001365号</v>
      </c>
      <c r="D183" s="405" t="str">
        <f t="shared" si="18"/>
        <v>日名子建設（有）</v>
      </c>
      <c r="E183" s="405" t="str">
        <f t="shared" si="19"/>
        <v>代表取締役</v>
      </c>
      <c r="F183" s="405" t="str">
        <f t="shared" si="20"/>
        <v>日名子　善光</v>
      </c>
      <c r="G183" s="405" t="str">
        <f t="shared" si="21"/>
        <v>主たる営業所</v>
      </c>
      <c r="H183" s="405" t="str">
        <f t="shared" si="22"/>
        <v>臼杵市大字佐志生１０３－２</v>
      </c>
      <c r="L183" s="403" t="s">
        <v>7772</v>
      </c>
      <c r="M183" s="403" t="s">
        <v>7773</v>
      </c>
      <c r="N183" s="403" t="s">
        <v>1740</v>
      </c>
      <c r="O183" s="403" t="s">
        <v>7084</v>
      </c>
      <c r="P183" s="403" t="s">
        <v>1741</v>
      </c>
      <c r="Q183" s="403" t="s">
        <v>7774</v>
      </c>
      <c r="R183" s="403" t="s">
        <v>18706</v>
      </c>
      <c r="S183" s="403" t="s">
        <v>14237</v>
      </c>
      <c r="T183" s="403" t="s">
        <v>14238</v>
      </c>
      <c r="U183" s="403"/>
      <c r="V183" s="403" t="s">
        <v>23024</v>
      </c>
      <c r="W183" s="403" t="s">
        <v>23024</v>
      </c>
      <c r="X183" s="403" t="s">
        <v>23024</v>
      </c>
      <c r="Y183" s="403" t="s">
        <v>23024</v>
      </c>
    </row>
    <row r="184" spans="1:25">
      <c r="A184" s="363">
        <f t="shared" si="23"/>
        <v>183</v>
      </c>
      <c r="B184" s="363" t="str">
        <f t="shared" si="16"/>
        <v>44</v>
      </c>
      <c r="C184" s="405" t="str">
        <f t="shared" si="17"/>
        <v>第001370号</v>
      </c>
      <c r="D184" s="405" t="str">
        <f t="shared" si="18"/>
        <v>（株）ＡＫ企画</v>
      </c>
      <c r="E184" s="405" t="str">
        <f t="shared" si="19"/>
        <v>代表取締役</v>
      </c>
      <c r="F184" s="405" t="str">
        <f t="shared" si="20"/>
        <v>安東　多美子</v>
      </c>
      <c r="G184" s="405" t="str">
        <f t="shared" si="21"/>
        <v>主たる営業所</v>
      </c>
      <c r="H184" s="405" t="str">
        <f t="shared" si="22"/>
        <v>大分市大字馬場３２１</v>
      </c>
      <c r="L184" s="403" t="s">
        <v>7775</v>
      </c>
      <c r="M184" s="403" t="s">
        <v>7776</v>
      </c>
      <c r="N184" s="403" t="s">
        <v>1742</v>
      </c>
      <c r="O184" s="403" t="s">
        <v>7084</v>
      </c>
      <c r="P184" s="403" t="s">
        <v>1743</v>
      </c>
      <c r="Q184" s="403" t="s">
        <v>7777</v>
      </c>
      <c r="R184" s="403" t="s">
        <v>5367</v>
      </c>
      <c r="S184" s="403" t="s">
        <v>14239</v>
      </c>
      <c r="T184" s="403" t="s">
        <v>14240</v>
      </c>
      <c r="U184" s="403"/>
      <c r="V184" s="403" t="s">
        <v>23024</v>
      </c>
      <c r="W184" s="403" t="s">
        <v>23024</v>
      </c>
      <c r="X184" s="403" t="s">
        <v>23024</v>
      </c>
      <c r="Y184" s="403" t="s">
        <v>23024</v>
      </c>
    </row>
    <row r="185" spans="1:25">
      <c r="A185" s="363">
        <f t="shared" si="23"/>
        <v>184</v>
      </c>
      <c r="B185" s="363" t="str">
        <f t="shared" si="16"/>
        <v>44</v>
      </c>
      <c r="C185" s="405" t="str">
        <f t="shared" si="17"/>
        <v>第001371号</v>
      </c>
      <c r="D185" s="405" t="str">
        <f t="shared" si="18"/>
        <v>（株）高聖建設工業</v>
      </c>
      <c r="E185" s="405" t="str">
        <f t="shared" si="19"/>
        <v>代表取締役</v>
      </c>
      <c r="F185" s="405" t="str">
        <f t="shared" si="20"/>
        <v>高橋　聖人</v>
      </c>
      <c r="G185" s="405" t="str">
        <f t="shared" si="21"/>
        <v>主たる営業所</v>
      </c>
      <c r="H185" s="405" t="str">
        <f t="shared" si="22"/>
        <v>臼杵市大字末広４１４－１</v>
      </c>
      <c r="L185" s="403" t="s">
        <v>7778</v>
      </c>
      <c r="M185" s="403" t="s">
        <v>7779</v>
      </c>
      <c r="N185" s="403" t="s">
        <v>1744</v>
      </c>
      <c r="O185" s="403" t="s">
        <v>7084</v>
      </c>
      <c r="P185" s="403" t="s">
        <v>1745</v>
      </c>
      <c r="Q185" s="403" t="s">
        <v>7780</v>
      </c>
      <c r="R185" s="403" t="s">
        <v>18707</v>
      </c>
      <c r="S185" s="403" t="s">
        <v>14241</v>
      </c>
      <c r="T185" s="403" t="s">
        <v>14242</v>
      </c>
      <c r="U185" s="403"/>
      <c r="V185" s="403" t="s">
        <v>23024</v>
      </c>
      <c r="W185" s="403" t="s">
        <v>23024</v>
      </c>
      <c r="X185" s="403" t="s">
        <v>23024</v>
      </c>
      <c r="Y185" s="403" t="s">
        <v>23024</v>
      </c>
    </row>
    <row r="186" spans="1:25">
      <c r="A186" s="363">
        <f t="shared" si="23"/>
        <v>185</v>
      </c>
      <c r="B186" s="363" t="str">
        <f t="shared" si="16"/>
        <v>44</v>
      </c>
      <c r="C186" s="405" t="str">
        <f t="shared" si="17"/>
        <v>第001374号</v>
      </c>
      <c r="D186" s="405" t="str">
        <f t="shared" si="18"/>
        <v>（有）広和工業</v>
      </c>
      <c r="E186" s="405" t="str">
        <f t="shared" si="19"/>
        <v>代表取締役</v>
      </c>
      <c r="F186" s="405" t="str">
        <f t="shared" si="20"/>
        <v>清川　正徳</v>
      </c>
      <c r="G186" s="405" t="str">
        <f t="shared" si="21"/>
        <v>主たる営業所</v>
      </c>
      <c r="H186" s="405" t="str">
        <f t="shared" si="22"/>
        <v>大分市大字佐賀関３０５６</v>
      </c>
      <c r="L186" s="403" t="s">
        <v>7781</v>
      </c>
      <c r="M186" s="403" t="s">
        <v>7782</v>
      </c>
      <c r="N186" s="403" t="s">
        <v>1746</v>
      </c>
      <c r="O186" s="403" t="s">
        <v>7084</v>
      </c>
      <c r="P186" s="403" t="s">
        <v>1747</v>
      </c>
      <c r="Q186" s="403" t="s">
        <v>7750</v>
      </c>
      <c r="R186" s="403" t="s">
        <v>5368</v>
      </c>
      <c r="S186" s="403" t="s">
        <v>14243</v>
      </c>
      <c r="T186" s="403" t="s">
        <v>14244</v>
      </c>
      <c r="U186" s="403"/>
      <c r="V186" s="403" t="s">
        <v>23024</v>
      </c>
      <c r="W186" s="403" t="s">
        <v>23024</v>
      </c>
      <c r="X186" s="403" t="s">
        <v>23024</v>
      </c>
      <c r="Y186" s="403" t="s">
        <v>23024</v>
      </c>
    </row>
    <row r="187" spans="1:25">
      <c r="A187" s="363">
        <f t="shared" si="23"/>
        <v>186</v>
      </c>
      <c r="B187" s="363" t="str">
        <f t="shared" si="16"/>
        <v>44</v>
      </c>
      <c r="C187" s="405" t="str">
        <f t="shared" si="17"/>
        <v>第001376号</v>
      </c>
      <c r="D187" s="405" t="str">
        <f t="shared" si="18"/>
        <v>（株）安東建設</v>
      </c>
      <c r="E187" s="405" t="str">
        <f t="shared" si="19"/>
        <v>代表取締役社長</v>
      </c>
      <c r="F187" s="405" t="str">
        <f t="shared" si="20"/>
        <v>上田　真生</v>
      </c>
      <c r="G187" s="405" t="str">
        <f t="shared" si="21"/>
        <v>主たる営業所</v>
      </c>
      <c r="H187" s="405" t="str">
        <f t="shared" si="22"/>
        <v>大分市大字白木２－３５７１</v>
      </c>
      <c r="L187" s="403" t="s">
        <v>7783</v>
      </c>
      <c r="M187" s="403" t="s">
        <v>7784</v>
      </c>
      <c r="N187" s="403" t="s">
        <v>1748</v>
      </c>
      <c r="O187" s="403" t="s">
        <v>7083</v>
      </c>
      <c r="P187" s="403" t="s">
        <v>1749</v>
      </c>
      <c r="Q187" s="403" t="s">
        <v>7785</v>
      </c>
      <c r="R187" s="403" t="s">
        <v>18708</v>
      </c>
      <c r="S187" s="403" t="s">
        <v>14245</v>
      </c>
      <c r="T187" s="403" t="s">
        <v>14246</v>
      </c>
      <c r="U187" s="403"/>
      <c r="V187" s="403" t="s">
        <v>23024</v>
      </c>
      <c r="W187" s="403" t="s">
        <v>23024</v>
      </c>
      <c r="X187" s="403" t="s">
        <v>23024</v>
      </c>
      <c r="Y187" s="403" t="s">
        <v>23024</v>
      </c>
    </row>
    <row r="188" spans="1:25">
      <c r="A188" s="363">
        <f t="shared" si="23"/>
        <v>187</v>
      </c>
      <c r="B188" s="363" t="str">
        <f t="shared" si="16"/>
        <v>44</v>
      </c>
      <c r="C188" s="405" t="str">
        <f t="shared" si="17"/>
        <v>第001382号</v>
      </c>
      <c r="D188" s="405" t="str">
        <f t="shared" si="18"/>
        <v>三双土木（株）</v>
      </c>
      <c r="E188" s="405" t="str">
        <f t="shared" si="19"/>
        <v>代表取締役</v>
      </c>
      <c r="F188" s="405" t="str">
        <f t="shared" si="20"/>
        <v>菅本　一夫</v>
      </c>
      <c r="G188" s="405" t="str">
        <f t="shared" si="21"/>
        <v>主たる営業所</v>
      </c>
      <c r="H188" s="405" t="str">
        <f t="shared" si="22"/>
        <v>臼杵市大字諏訪９０２－１</v>
      </c>
      <c r="L188" s="403" t="s">
        <v>7786</v>
      </c>
      <c r="M188" s="403" t="s">
        <v>7787</v>
      </c>
      <c r="N188" s="403" t="s">
        <v>1750</v>
      </c>
      <c r="O188" s="403" t="s">
        <v>7084</v>
      </c>
      <c r="P188" s="403" t="s">
        <v>1751</v>
      </c>
      <c r="Q188" s="403" t="s">
        <v>7788</v>
      </c>
      <c r="R188" s="403" t="s">
        <v>18709</v>
      </c>
      <c r="S188" s="403" t="s">
        <v>14247</v>
      </c>
      <c r="T188" s="403" t="s">
        <v>14248</v>
      </c>
      <c r="U188" s="403"/>
      <c r="V188" s="403" t="s">
        <v>23024</v>
      </c>
      <c r="W188" s="403" t="s">
        <v>23024</v>
      </c>
      <c r="X188" s="403" t="s">
        <v>23024</v>
      </c>
      <c r="Y188" s="403" t="s">
        <v>23024</v>
      </c>
    </row>
    <row r="189" spans="1:25">
      <c r="A189" s="363">
        <f t="shared" si="23"/>
        <v>188</v>
      </c>
      <c r="B189" s="363" t="str">
        <f t="shared" si="16"/>
        <v>44</v>
      </c>
      <c r="C189" s="405" t="str">
        <f t="shared" si="17"/>
        <v>第001388号</v>
      </c>
      <c r="D189" s="405" t="str">
        <f t="shared" si="18"/>
        <v>津久見建設（株）</v>
      </c>
      <c r="E189" s="405" t="str">
        <f t="shared" si="19"/>
        <v>代表取締役</v>
      </c>
      <c r="F189" s="405" t="str">
        <f t="shared" si="20"/>
        <v>中津留　伸亮</v>
      </c>
      <c r="G189" s="405" t="str">
        <f t="shared" si="21"/>
        <v>主たる営業所</v>
      </c>
      <c r="H189" s="405" t="str">
        <f t="shared" si="22"/>
        <v>津久見市井無田町３－９</v>
      </c>
      <c r="L189" s="403" t="s">
        <v>7789</v>
      </c>
      <c r="M189" s="403" t="s">
        <v>7790</v>
      </c>
      <c r="N189" s="403" t="s">
        <v>1752</v>
      </c>
      <c r="O189" s="403" t="s">
        <v>7084</v>
      </c>
      <c r="P189" s="403" t="s">
        <v>1753</v>
      </c>
      <c r="Q189" s="403" t="s">
        <v>7791</v>
      </c>
      <c r="R189" s="403" t="s">
        <v>18710</v>
      </c>
      <c r="S189" s="403" t="s">
        <v>14249</v>
      </c>
      <c r="T189" s="403" t="s">
        <v>14250</v>
      </c>
      <c r="U189" s="403"/>
      <c r="V189" s="403" t="s">
        <v>23024</v>
      </c>
      <c r="W189" s="403" t="s">
        <v>23024</v>
      </c>
      <c r="X189" s="403" t="s">
        <v>23024</v>
      </c>
      <c r="Y189" s="403" t="s">
        <v>23024</v>
      </c>
    </row>
    <row r="190" spans="1:25">
      <c r="A190" s="363">
        <f t="shared" si="23"/>
        <v>189</v>
      </c>
      <c r="B190" s="363" t="str">
        <f t="shared" si="16"/>
        <v>44</v>
      </c>
      <c r="C190" s="405" t="str">
        <f t="shared" si="17"/>
        <v>第001399号</v>
      </c>
      <c r="D190" s="405" t="str">
        <f t="shared" si="18"/>
        <v>（有）佐藤塗装工業</v>
      </c>
      <c r="E190" s="405" t="str">
        <f t="shared" si="19"/>
        <v>代表取締役</v>
      </c>
      <c r="F190" s="405" t="str">
        <f t="shared" si="20"/>
        <v>足立　洋平</v>
      </c>
      <c r="G190" s="405" t="str">
        <f t="shared" si="21"/>
        <v>主たる営業所</v>
      </c>
      <c r="H190" s="405" t="str">
        <f t="shared" si="22"/>
        <v>臼杵市大字市浜字京泊り７０４－５</v>
      </c>
      <c r="L190" s="404" t="s">
        <v>7792</v>
      </c>
      <c r="M190" s="404" t="s">
        <v>7793</v>
      </c>
      <c r="N190" s="404" t="s">
        <v>1754</v>
      </c>
      <c r="O190" s="404" t="s">
        <v>7084</v>
      </c>
      <c r="P190" s="404" t="s">
        <v>1755</v>
      </c>
      <c r="Q190" s="404" t="s">
        <v>7741</v>
      </c>
      <c r="R190" s="404" t="s">
        <v>18711</v>
      </c>
      <c r="S190" s="404" t="s">
        <v>14251</v>
      </c>
      <c r="T190" s="404" t="s">
        <v>14252</v>
      </c>
      <c r="U190" s="404"/>
      <c r="V190" s="404" t="s">
        <v>23024</v>
      </c>
      <c r="W190" s="404" t="s">
        <v>23024</v>
      </c>
      <c r="X190" s="404" t="s">
        <v>23024</v>
      </c>
      <c r="Y190" s="404" t="s">
        <v>23024</v>
      </c>
    </row>
    <row r="191" spans="1:25">
      <c r="A191" s="363">
        <f t="shared" si="23"/>
        <v>190</v>
      </c>
      <c r="B191" s="363" t="str">
        <f t="shared" si="16"/>
        <v>44</v>
      </c>
      <c r="C191" s="405" t="str">
        <f t="shared" si="17"/>
        <v>第001412号</v>
      </c>
      <c r="D191" s="405" t="str">
        <f t="shared" si="18"/>
        <v>（株）だるまや水道</v>
      </c>
      <c r="E191" s="405" t="str">
        <f t="shared" si="19"/>
        <v>代表取締役</v>
      </c>
      <c r="F191" s="405" t="str">
        <f t="shared" si="20"/>
        <v>佐藤　和代</v>
      </c>
      <c r="G191" s="405" t="str">
        <f t="shared" si="21"/>
        <v>主たる営業所</v>
      </c>
      <c r="H191" s="405" t="str">
        <f t="shared" si="22"/>
        <v>臼杵市大字前田１９８８－１</v>
      </c>
      <c r="L191" s="402" t="s">
        <v>7794</v>
      </c>
      <c r="M191" s="402" t="s">
        <v>7795</v>
      </c>
      <c r="N191" s="402" t="s">
        <v>1756</v>
      </c>
      <c r="O191" s="402" t="s">
        <v>7084</v>
      </c>
      <c r="P191" s="402" t="s">
        <v>1757</v>
      </c>
      <c r="Q191" s="402" t="s">
        <v>7574</v>
      </c>
      <c r="R191" s="402" t="s">
        <v>18712</v>
      </c>
      <c r="S191" s="402" t="s">
        <v>14253</v>
      </c>
      <c r="T191" s="402" t="s">
        <v>14254</v>
      </c>
      <c r="U191" s="402"/>
      <c r="V191" s="402" t="s">
        <v>23024</v>
      </c>
      <c r="W191" s="402" t="s">
        <v>23024</v>
      </c>
      <c r="X191" s="402" t="s">
        <v>23024</v>
      </c>
      <c r="Y191" s="402" t="s">
        <v>23024</v>
      </c>
    </row>
    <row r="192" spans="1:25">
      <c r="A192" s="363">
        <f t="shared" si="23"/>
        <v>191</v>
      </c>
      <c r="B192" s="363" t="str">
        <f t="shared" si="16"/>
        <v>44</v>
      </c>
      <c r="C192" s="405" t="str">
        <f t="shared" si="17"/>
        <v>第001415号</v>
      </c>
      <c r="D192" s="405" t="str">
        <f t="shared" si="18"/>
        <v>（有）渡邉木工所</v>
      </c>
      <c r="E192" s="405" t="str">
        <f t="shared" si="19"/>
        <v>代表取締役</v>
      </c>
      <c r="F192" s="405" t="str">
        <f t="shared" si="20"/>
        <v>渡邉　裕一</v>
      </c>
      <c r="G192" s="405" t="str">
        <f t="shared" si="21"/>
        <v>主たる営業所</v>
      </c>
      <c r="H192" s="405" t="str">
        <f t="shared" si="22"/>
        <v>大分市大字佐賀関２２３２－７８</v>
      </c>
      <c r="L192" s="403" t="s">
        <v>7796</v>
      </c>
      <c r="M192" s="403" t="s">
        <v>7797</v>
      </c>
      <c r="N192" s="403" t="s">
        <v>1758</v>
      </c>
      <c r="O192" s="403" t="s">
        <v>7084</v>
      </c>
      <c r="P192" s="403" t="s">
        <v>1759</v>
      </c>
      <c r="Q192" s="403" t="s">
        <v>7750</v>
      </c>
      <c r="R192" s="403" t="s">
        <v>18713</v>
      </c>
      <c r="S192" s="403" t="s">
        <v>14255</v>
      </c>
      <c r="T192" s="403" t="s">
        <v>14256</v>
      </c>
      <c r="U192" s="403"/>
      <c r="V192" s="403" t="s">
        <v>23024</v>
      </c>
      <c r="W192" s="403" t="s">
        <v>23024</v>
      </c>
      <c r="X192" s="403" t="s">
        <v>23024</v>
      </c>
      <c r="Y192" s="403" t="s">
        <v>23024</v>
      </c>
    </row>
    <row r="193" spans="1:25">
      <c r="A193" s="363">
        <f t="shared" si="23"/>
        <v>192</v>
      </c>
      <c r="B193" s="363" t="str">
        <f t="shared" si="16"/>
        <v>44</v>
      </c>
      <c r="C193" s="405" t="str">
        <f t="shared" si="17"/>
        <v>第001423号</v>
      </c>
      <c r="D193" s="405" t="str">
        <f t="shared" si="18"/>
        <v>津港建設（株）</v>
      </c>
      <c r="E193" s="405" t="str">
        <f t="shared" si="19"/>
        <v>代表取締役</v>
      </c>
      <c r="F193" s="405" t="str">
        <f t="shared" si="20"/>
        <v>井東　健治</v>
      </c>
      <c r="G193" s="405" t="str">
        <f t="shared" si="21"/>
        <v>主たる営業所</v>
      </c>
      <c r="H193" s="405" t="str">
        <f t="shared" si="22"/>
        <v>津久見市宮本町２３－２５</v>
      </c>
      <c r="L193" s="403" t="s">
        <v>7798</v>
      </c>
      <c r="M193" s="403" t="s">
        <v>7799</v>
      </c>
      <c r="N193" s="403" t="s">
        <v>1760</v>
      </c>
      <c r="O193" s="403" t="s">
        <v>7084</v>
      </c>
      <c r="P193" s="403" t="s">
        <v>1761</v>
      </c>
      <c r="Q193" s="403" t="s">
        <v>7800</v>
      </c>
      <c r="R193" s="403" t="s">
        <v>18714</v>
      </c>
      <c r="S193" s="403" t="s">
        <v>14257</v>
      </c>
      <c r="T193" s="403" t="s">
        <v>14258</v>
      </c>
      <c r="U193" s="403"/>
      <c r="V193" s="403" t="s">
        <v>23024</v>
      </c>
      <c r="W193" s="403" t="s">
        <v>23024</v>
      </c>
      <c r="X193" s="403" t="s">
        <v>23024</v>
      </c>
      <c r="Y193" s="403" t="s">
        <v>23024</v>
      </c>
    </row>
    <row r="194" spans="1:25">
      <c r="A194" s="363">
        <f t="shared" si="23"/>
        <v>193</v>
      </c>
      <c r="B194" s="363" t="str">
        <f t="shared" ref="B194:B257" si="24">LEFT(L194,2)</f>
        <v>44</v>
      </c>
      <c r="C194" s="405" t="str">
        <f t="shared" ref="C194:C257" si="25">IF(B194="","","第"&amp;RIGHT(L194,6)&amp;"号")</f>
        <v>第001425号</v>
      </c>
      <c r="D194" s="405" t="str">
        <f t="shared" ref="D194:D257" si="26">N194</f>
        <v>（株）東和建設</v>
      </c>
      <c r="E194" s="405" t="str">
        <f t="shared" ref="E194:E257" si="27">IF(V194="　",O194,"")</f>
        <v>代表取締役</v>
      </c>
      <c r="F194" s="405" t="str">
        <f t="shared" ref="F194:F257" si="28">IF(V194="　",P194,W194)</f>
        <v>神田　良人</v>
      </c>
      <c r="G194" s="405" t="str">
        <f t="shared" ref="G194:G257" si="29">IF(V194="　","主たる営業所",V194)</f>
        <v>主たる営業所</v>
      </c>
      <c r="H194" s="405" t="str">
        <f t="shared" ref="H194:H257" si="30">IF(V194="　",R194,Y194)</f>
        <v>津久見市地蔵町６－１７</v>
      </c>
      <c r="L194" s="403" t="s">
        <v>7801</v>
      </c>
      <c r="M194" s="403" t="s">
        <v>7802</v>
      </c>
      <c r="N194" s="403" t="s">
        <v>1762</v>
      </c>
      <c r="O194" s="403" t="s">
        <v>7084</v>
      </c>
      <c r="P194" s="403" t="s">
        <v>1763</v>
      </c>
      <c r="Q194" s="403" t="s">
        <v>7753</v>
      </c>
      <c r="R194" s="403" t="s">
        <v>18715</v>
      </c>
      <c r="S194" s="403" t="s">
        <v>14259</v>
      </c>
      <c r="T194" s="403" t="s">
        <v>14260</v>
      </c>
      <c r="U194" s="403"/>
      <c r="V194" s="403" t="s">
        <v>23024</v>
      </c>
      <c r="W194" s="403" t="s">
        <v>23024</v>
      </c>
      <c r="X194" s="403" t="s">
        <v>23024</v>
      </c>
      <c r="Y194" s="403" t="s">
        <v>23024</v>
      </c>
    </row>
    <row r="195" spans="1:25">
      <c r="A195" s="363">
        <f t="shared" ref="A195:A258" si="31">IF(B195="","",A194+1)</f>
        <v>194</v>
      </c>
      <c r="B195" s="363" t="str">
        <f t="shared" si="24"/>
        <v>44</v>
      </c>
      <c r="C195" s="405" t="str">
        <f t="shared" si="25"/>
        <v>第001426号</v>
      </c>
      <c r="D195" s="405" t="str">
        <f t="shared" si="26"/>
        <v>小野建設工業（株）</v>
      </c>
      <c r="E195" s="405" t="str">
        <f t="shared" si="27"/>
        <v>代表取締役</v>
      </c>
      <c r="F195" s="405" t="str">
        <f t="shared" si="28"/>
        <v>小野　勝美</v>
      </c>
      <c r="G195" s="405" t="str">
        <f t="shared" si="29"/>
        <v>主たる営業所</v>
      </c>
      <c r="H195" s="405" t="str">
        <f t="shared" si="30"/>
        <v>臼杵市大字掻懐８０３</v>
      </c>
      <c r="L195" s="403" t="s">
        <v>7803</v>
      </c>
      <c r="M195" s="403" t="s">
        <v>7804</v>
      </c>
      <c r="N195" s="403" t="s">
        <v>1764</v>
      </c>
      <c r="O195" s="403" t="s">
        <v>7084</v>
      </c>
      <c r="P195" s="403" t="s">
        <v>1765</v>
      </c>
      <c r="Q195" s="403" t="s">
        <v>7805</v>
      </c>
      <c r="R195" s="403" t="s">
        <v>5369</v>
      </c>
      <c r="S195" s="403" t="s">
        <v>14261</v>
      </c>
      <c r="T195" s="403" t="s">
        <v>14262</v>
      </c>
      <c r="U195" s="403"/>
      <c r="V195" s="403" t="s">
        <v>23024</v>
      </c>
      <c r="W195" s="403" t="s">
        <v>23024</v>
      </c>
      <c r="X195" s="403" t="s">
        <v>23024</v>
      </c>
      <c r="Y195" s="403" t="s">
        <v>23024</v>
      </c>
    </row>
    <row r="196" spans="1:25">
      <c r="A196" s="363">
        <f t="shared" si="31"/>
        <v>195</v>
      </c>
      <c r="B196" s="363" t="str">
        <f t="shared" si="24"/>
        <v>44</v>
      </c>
      <c r="C196" s="405" t="str">
        <f t="shared" si="25"/>
        <v>第001427号</v>
      </c>
      <c r="D196" s="405" t="str">
        <f t="shared" si="26"/>
        <v>（株）勝陽</v>
      </c>
      <c r="E196" s="405" t="str">
        <f t="shared" si="27"/>
        <v>代表取締役</v>
      </c>
      <c r="F196" s="405" t="str">
        <f t="shared" si="28"/>
        <v>川邊　陽子</v>
      </c>
      <c r="G196" s="405" t="str">
        <f t="shared" si="29"/>
        <v>主たる営業所</v>
      </c>
      <c r="H196" s="405" t="str">
        <f t="shared" si="30"/>
        <v>臼杵市大字大野１－１</v>
      </c>
      <c r="L196" s="403" t="s">
        <v>7806</v>
      </c>
      <c r="M196" s="403" t="s">
        <v>7807</v>
      </c>
      <c r="N196" s="403" t="s">
        <v>1766</v>
      </c>
      <c r="O196" s="403" t="s">
        <v>7084</v>
      </c>
      <c r="P196" s="403" t="s">
        <v>1767</v>
      </c>
      <c r="Q196" s="403" t="s">
        <v>7808</v>
      </c>
      <c r="R196" s="403" t="s">
        <v>18716</v>
      </c>
      <c r="S196" s="403" t="s">
        <v>14263</v>
      </c>
      <c r="T196" s="403" t="s">
        <v>14264</v>
      </c>
      <c r="U196" s="403"/>
      <c r="V196" s="403" t="s">
        <v>23024</v>
      </c>
      <c r="W196" s="403" t="s">
        <v>23024</v>
      </c>
      <c r="X196" s="403" t="s">
        <v>23024</v>
      </c>
      <c r="Y196" s="403" t="s">
        <v>23024</v>
      </c>
    </row>
    <row r="197" spans="1:25">
      <c r="A197" s="363">
        <f t="shared" si="31"/>
        <v>196</v>
      </c>
      <c r="B197" s="363" t="str">
        <f t="shared" si="24"/>
        <v>44</v>
      </c>
      <c r="C197" s="405" t="str">
        <f t="shared" si="25"/>
        <v>第001428号</v>
      </c>
      <c r="D197" s="405" t="str">
        <f t="shared" si="26"/>
        <v>（株）薬師寺建設</v>
      </c>
      <c r="E197" s="405" t="str">
        <f t="shared" si="27"/>
        <v>代表取締役</v>
      </c>
      <c r="F197" s="405" t="str">
        <f t="shared" si="28"/>
        <v>薬師寺　秀幸</v>
      </c>
      <c r="G197" s="405" t="str">
        <f t="shared" si="29"/>
        <v>主たる営業所</v>
      </c>
      <c r="H197" s="405" t="str">
        <f t="shared" si="30"/>
        <v>津久見市中央町２－８</v>
      </c>
      <c r="L197" s="403" t="s">
        <v>7809</v>
      </c>
      <c r="M197" s="403" t="s">
        <v>7810</v>
      </c>
      <c r="N197" s="403" t="s">
        <v>1768</v>
      </c>
      <c r="O197" s="403" t="s">
        <v>7084</v>
      </c>
      <c r="P197" s="403" t="s">
        <v>5219</v>
      </c>
      <c r="Q197" s="403" t="s">
        <v>7811</v>
      </c>
      <c r="R197" s="403" t="s">
        <v>18717</v>
      </c>
      <c r="S197" s="403" t="s">
        <v>14265</v>
      </c>
      <c r="T197" s="403" t="s">
        <v>14266</v>
      </c>
      <c r="U197" s="403"/>
      <c r="V197" s="403" t="s">
        <v>23024</v>
      </c>
      <c r="W197" s="403" t="s">
        <v>23024</v>
      </c>
      <c r="X197" s="403" t="s">
        <v>23024</v>
      </c>
      <c r="Y197" s="403" t="s">
        <v>23024</v>
      </c>
    </row>
    <row r="198" spans="1:25">
      <c r="A198" s="363">
        <f t="shared" si="31"/>
        <v>197</v>
      </c>
      <c r="B198" s="363" t="str">
        <f t="shared" si="24"/>
        <v>44</v>
      </c>
      <c r="C198" s="405" t="str">
        <f t="shared" si="25"/>
        <v>第001429号</v>
      </c>
      <c r="D198" s="405" t="str">
        <f t="shared" si="26"/>
        <v>（有）亀井水道工業所</v>
      </c>
      <c r="E198" s="405" t="str">
        <f t="shared" si="27"/>
        <v>代表取締役</v>
      </c>
      <c r="F198" s="405" t="str">
        <f t="shared" si="28"/>
        <v>亀井　浩</v>
      </c>
      <c r="G198" s="405" t="str">
        <f t="shared" si="29"/>
        <v>主たる営業所</v>
      </c>
      <c r="H198" s="405" t="str">
        <f t="shared" si="30"/>
        <v>津久見市大字千怒５１４０</v>
      </c>
      <c r="L198" s="403" t="s">
        <v>7812</v>
      </c>
      <c r="M198" s="403" t="s">
        <v>7813</v>
      </c>
      <c r="N198" s="403" t="s">
        <v>1769</v>
      </c>
      <c r="O198" s="403" t="s">
        <v>7084</v>
      </c>
      <c r="P198" s="403" t="s">
        <v>1770</v>
      </c>
      <c r="Q198" s="403" t="s">
        <v>7814</v>
      </c>
      <c r="R198" s="403" t="s">
        <v>18718</v>
      </c>
      <c r="S198" s="403" t="s">
        <v>14267</v>
      </c>
      <c r="T198" s="403" t="s">
        <v>14268</v>
      </c>
      <c r="U198" s="403"/>
      <c r="V198" s="403" t="s">
        <v>23024</v>
      </c>
      <c r="W198" s="403" t="s">
        <v>23024</v>
      </c>
      <c r="X198" s="403" t="s">
        <v>23024</v>
      </c>
      <c r="Y198" s="403" t="s">
        <v>23024</v>
      </c>
    </row>
    <row r="199" spans="1:25">
      <c r="A199" s="363">
        <f t="shared" si="31"/>
        <v>198</v>
      </c>
      <c r="B199" s="363" t="str">
        <f t="shared" si="24"/>
        <v>44</v>
      </c>
      <c r="C199" s="405" t="str">
        <f t="shared" si="25"/>
        <v>第001430号</v>
      </c>
      <c r="D199" s="405" t="str">
        <f t="shared" si="26"/>
        <v>小代築炉工業（株）</v>
      </c>
      <c r="E199" s="405" t="str">
        <f t="shared" si="27"/>
        <v>代表取締役</v>
      </c>
      <c r="F199" s="405" t="str">
        <f t="shared" si="28"/>
        <v>小代　一幸</v>
      </c>
      <c r="G199" s="405" t="str">
        <f t="shared" si="29"/>
        <v>主たる営業所</v>
      </c>
      <c r="H199" s="405" t="str">
        <f t="shared" si="30"/>
        <v>津久見市入船西町２１－１</v>
      </c>
      <c r="L199" s="403" t="s">
        <v>7815</v>
      </c>
      <c r="M199" s="403" t="s">
        <v>7816</v>
      </c>
      <c r="N199" s="403" t="s">
        <v>1771</v>
      </c>
      <c r="O199" s="403" t="s">
        <v>7084</v>
      </c>
      <c r="P199" s="403" t="s">
        <v>1772</v>
      </c>
      <c r="Q199" s="403" t="s">
        <v>7817</v>
      </c>
      <c r="R199" s="403" t="s">
        <v>18719</v>
      </c>
      <c r="S199" s="403" t="s">
        <v>14269</v>
      </c>
      <c r="T199" s="403" t="s">
        <v>14270</v>
      </c>
      <c r="U199" s="403"/>
      <c r="V199" s="403" t="s">
        <v>23024</v>
      </c>
      <c r="W199" s="403" t="s">
        <v>23024</v>
      </c>
      <c r="X199" s="403" t="s">
        <v>23024</v>
      </c>
      <c r="Y199" s="403" t="s">
        <v>23024</v>
      </c>
    </row>
    <row r="200" spans="1:25">
      <c r="A200" s="363">
        <f t="shared" si="31"/>
        <v>199</v>
      </c>
      <c r="B200" s="363" t="str">
        <f t="shared" si="24"/>
        <v>44</v>
      </c>
      <c r="C200" s="405" t="str">
        <f t="shared" si="25"/>
        <v>第001431号</v>
      </c>
      <c r="D200" s="405" t="str">
        <f t="shared" si="26"/>
        <v>拓州建設（株）</v>
      </c>
      <c r="E200" s="405" t="str">
        <f t="shared" si="27"/>
        <v>代表取締役</v>
      </c>
      <c r="F200" s="405" t="str">
        <f t="shared" si="28"/>
        <v>近藤　剛公</v>
      </c>
      <c r="G200" s="405" t="str">
        <f t="shared" si="29"/>
        <v>主たる営業所</v>
      </c>
      <c r="H200" s="405" t="str">
        <f t="shared" si="30"/>
        <v>津久見市大字上青江３７４８－１</v>
      </c>
      <c r="L200" s="403" t="s">
        <v>7818</v>
      </c>
      <c r="M200" s="403" t="s">
        <v>7819</v>
      </c>
      <c r="N200" s="403" t="s">
        <v>1773</v>
      </c>
      <c r="O200" s="403" t="s">
        <v>7084</v>
      </c>
      <c r="P200" s="403" t="s">
        <v>5220</v>
      </c>
      <c r="Q200" s="403" t="s">
        <v>7771</v>
      </c>
      <c r="R200" s="403" t="s">
        <v>18720</v>
      </c>
      <c r="S200" s="403" t="s">
        <v>14271</v>
      </c>
      <c r="T200" s="403" t="s">
        <v>14272</v>
      </c>
      <c r="U200" s="403"/>
      <c r="V200" s="403" t="s">
        <v>23024</v>
      </c>
      <c r="W200" s="403" t="s">
        <v>23024</v>
      </c>
      <c r="X200" s="403" t="s">
        <v>23024</v>
      </c>
      <c r="Y200" s="403" t="s">
        <v>23024</v>
      </c>
    </row>
    <row r="201" spans="1:25">
      <c r="A201" s="363">
        <f t="shared" si="31"/>
        <v>200</v>
      </c>
      <c r="B201" s="363" t="str">
        <f t="shared" si="24"/>
        <v>44</v>
      </c>
      <c r="C201" s="405" t="str">
        <f t="shared" si="25"/>
        <v>第001459号</v>
      </c>
      <c r="D201" s="405" t="str">
        <f t="shared" si="26"/>
        <v>大分鉛鐵（株）</v>
      </c>
      <c r="E201" s="405" t="str">
        <f t="shared" si="27"/>
        <v>代表取締役</v>
      </c>
      <c r="F201" s="405" t="str">
        <f t="shared" si="28"/>
        <v>木本　森久</v>
      </c>
      <c r="G201" s="405" t="str">
        <f t="shared" si="29"/>
        <v>主たる営業所</v>
      </c>
      <c r="H201" s="405" t="str">
        <f t="shared" si="30"/>
        <v>大分市大字佐賀関３１０２</v>
      </c>
      <c r="L201" s="403" t="s">
        <v>7820</v>
      </c>
      <c r="M201" s="403" t="s">
        <v>7821</v>
      </c>
      <c r="N201" s="403" t="s">
        <v>1774</v>
      </c>
      <c r="O201" s="403" t="s">
        <v>7084</v>
      </c>
      <c r="P201" s="403" t="s">
        <v>1775</v>
      </c>
      <c r="Q201" s="403" t="s">
        <v>7750</v>
      </c>
      <c r="R201" s="403" t="s">
        <v>5370</v>
      </c>
      <c r="S201" s="403" t="s">
        <v>14273</v>
      </c>
      <c r="T201" s="403" t="s">
        <v>14274</v>
      </c>
      <c r="U201" s="403"/>
      <c r="V201" s="403" t="s">
        <v>23024</v>
      </c>
      <c r="W201" s="403" t="s">
        <v>23024</v>
      </c>
      <c r="X201" s="403" t="s">
        <v>23024</v>
      </c>
      <c r="Y201" s="403" t="s">
        <v>23024</v>
      </c>
    </row>
    <row r="202" spans="1:25">
      <c r="A202" s="363">
        <f t="shared" si="31"/>
        <v>201</v>
      </c>
      <c r="B202" s="363" t="str">
        <f t="shared" si="24"/>
        <v>44</v>
      </c>
      <c r="C202" s="405" t="str">
        <f t="shared" si="25"/>
        <v>第001496号</v>
      </c>
      <c r="D202" s="405" t="str">
        <f t="shared" si="26"/>
        <v>東九州テレビ情報開発（有）</v>
      </c>
      <c r="E202" s="405" t="str">
        <f t="shared" si="27"/>
        <v>代表取締役</v>
      </c>
      <c r="F202" s="405" t="str">
        <f t="shared" si="28"/>
        <v>川野　健二朗</v>
      </c>
      <c r="G202" s="405" t="str">
        <f t="shared" si="29"/>
        <v>主たる営業所</v>
      </c>
      <c r="H202" s="405" t="str">
        <f t="shared" si="30"/>
        <v>津久見市港町９－１５</v>
      </c>
      <c r="L202" s="403" t="s">
        <v>7822</v>
      </c>
      <c r="M202" s="403" t="s">
        <v>7823</v>
      </c>
      <c r="N202" s="403" t="s">
        <v>1776</v>
      </c>
      <c r="O202" s="403" t="s">
        <v>7084</v>
      </c>
      <c r="P202" s="403" t="s">
        <v>1777</v>
      </c>
      <c r="Q202" s="403" t="s">
        <v>7824</v>
      </c>
      <c r="R202" s="403" t="s">
        <v>18721</v>
      </c>
      <c r="S202" s="403" t="s">
        <v>14275</v>
      </c>
      <c r="T202" s="403" t="s">
        <v>14276</v>
      </c>
      <c r="U202" s="403"/>
      <c r="V202" s="403" t="s">
        <v>23024</v>
      </c>
      <c r="W202" s="403" t="s">
        <v>23024</v>
      </c>
      <c r="X202" s="403" t="s">
        <v>23024</v>
      </c>
      <c r="Y202" s="403" t="s">
        <v>23024</v>
      </c>
    </row>
    <row r="203" spans="1:25">
      <c r="A203" s="363">
        <f t="shared" si="31"/>
        <v>202</v>
      </c>
      <c r="B203" s="363" t="str">
        <f t="shared" si="24"/>
        <v>44</v>
      </c>
      <c r="C203" s="405" t="str">
        <f t="shared" si="25"/>
        <v>第001508号</v>
      </c>
      <c r="D203" s="405" t="str">
        <f t="shared" si="26"/>
        <v>（有）日豊電設</v>
      </c>
      <c r="E203" s="405" t="str">
        <f t="shared" si="27"/>
        <v>代表取締役</v>
      </c>
      <c r="F203" s="405" t="str">
        <f t="shared" si="28"/>
        <v>塩月　初男</v>
      </c>
      <c r="G203" s="405" t="str">
        <f t="shared" si="29"/>
        <v>主たる営業所</v>
      </c>
      <c r="H203" s="405" t="str">
        <f t="shared" si="30"/>
        <v>佐伯市蒲江大字野々河内浦８３２</v>
      </c>
      <c r="L203" s="403" t="s">
        <v>7825</v>
      </c>
      <c r="M203" s="403" t="s">
        <v>7826</v>
      </c>
      <c r="N203" s="403" t="s">
        <v>1778</v>
      </c>
      <c r="O203" s="403" t="s">
        <v>7084</v>
      </c>
      <c r="P203" s="403" t="s">
        <v>1779</v>
      </c>
      <c r="Q203" s="403" t="s">
        <v>7827</v>
      </c>
      <c r="R203" s="403" t="s">
        <v>5371</v>
      </c>
      <c r="S203" s="403" t="s">
        <v>14277</v>
      </c>
      <c r="T203" s="403" t="s">
        <v>14278</v>
      </c>
      <c r="U203" s="403"/>
      <c r="V203" s="403" t="s">
        <v>23024</v>
      </c>
      <c r="W203" s="403" t="s">
        <v>23024</v>
      </c>
      <c r="X203" s="403" t="s">
        <v>23024</v>
      </c>
      <c r="Y203" s="403" t="s">
        <v>23024</v>
      </c>
    </row>
    <row r="204" spans="1:25">
      <c r="A204" s="363">
        <f t="shared" si="31"/>
        <v>203</v>
      </c>
      <c r="B204" s="363" t="str">
        <f t="shared" si="24"/>
        <v>44</v>
      </c>
      <c r="C204" s="405" t="str">
        <f t="shared" si="25"/>
        <v>第001518号</v>
      </c>
      <c r="D204" s="405" t="str">
        <f t="shared" si="26"/>
        <v>石田土木（株）</v>
      </c>
      <c r="E204" s="405" t="str">
        <f t="shared" si="27"/>
        <v>代表取締役社長</v>
      </c>
      <c r="F204" s="405" t="str">
        <f t="shared" si="28"/>
        <v>石田　駿介</v>
      </c>
      <c r="G204" s="405" t="str">
        <f t="shared" si="29"/>
        <v>主たる営業所</v>
      </c>
      <c r="H204" s="405" t="str">
        <f t="shared" si="30"/>
        <v>佐伯市東町１１－１９</v>
      </c>
      <c r="L204" s="403" t="s">
        <v>7828</v>
      </c>
      <c r="M204" s="403" t="s">
        <v>7829</v>
      </c>
      <c r="N204" s="403" t="s">
        <v>1780</v>
      </c>
      <c r="O204" s="403" t="s">
        <v>7083</v>
      </c>
      <c r="P204" s="403" t="s">
        <v>1781</v>
      </c>
      <c r="Q204" s="403" t="s">
        <v>7830</v>
      </c>
      <c r="R204" s="403" t="s">
        <v>18722</v>
      </c>
      <c r="S204" s="403" t="s">
        <v>14279</v>
      </c>
      <c r="T204" s="403" t="s">
        <v>14280</v>
      </c>
      <c r="U204" s="403"/>
      <c r="V204" s="403" t="s">
        <v>23024</v>
      </c>
      <c r="W204" s="403" t="s">
        <v>23024</v>
      </c>
      <c r="X204" s="403" t="s">
        <v>23024</v>
      </c>
      <c r="Y204" s="403" t="s">
        <v>23024</v>
      </c>
    </row>
    <row r="205" spans="1:25">
      <c r="A205" s="363">
        <f t="shared" si="31"/>
        <v>204</v>
      </c>
      <c r="B205" s="363" t="str">
        <f t="shared" si="24"/>
        <v>44</v>
      </c>
      <c r="C205" s="405" t="str">
        <f t="shared" si="25"/>
        <v>第001522号</v>
      </c>
      <c r="D205" s="405" t="str">
        <f t="shared" si="26"/>
        <v>（株）田島建設</v>
      </c>
      <c r="E205" s="405" t="str">
        <f t="shared" si="27"/>
        <v>代表取締役</v>
      </c>
      <c r="F205" s="405" t="str">
        <f t="shared" si="28"/>
        <v>田島　亨</v>
      </c>
      <c r="G205" s="405" t="str">
        <f t="shared" si="29"/>
        <v>主たる営業所</v>
      </c>
      <c r="H205" s="405" t="str">
        <f t="shared" si="30"/>
        <v>佐伯市鶴見大字吹浦１９８０－８</v>
      </c>
      <c r="L205" s="403" t="s">
        <v>7831</v>
      </c>
      <c r="M205" s="403" t="s">
        <v>7832</v>
      </c>
      <c r="N205" s="403" t="s">
        <v>1782</v>
      </c>
      <c r="O205" s="403" t="s">
        <v>7084</v>
      </c>
      <c r="P205" s="403" t="s">
        <v>1783</v>
      </c>
      <c r="Q205" s="403" t="s">
        <v>7833</v>
      </c>
      <c r="R205" s="403" t="s">
        <v>18723</v>
      </c>
      <c r="S205" s="403" t="s">
        <v>14281</v>
      </c>
      <c r="T205" s="403" t="s">
        <v>14282</v>
      </c>
      <c r="U205" s="403"/>
      <c r="V205" s="403" t="s">
        <v>23024</v>
      </c>
      <c r="W205" s="403" t="s">
        <v>23024</v>
      </c>
      <c r="X205" s="403" t="s">
        <v>23024</v>
      </c>
      <c r="Y205" s="403" t="s">
        <v>23024</v>
      </c>
    </row>
    <row r="206" spans="1:25">
      <c r="A206" s="363">
        <f t="shared" si="31"/>
        <v>205</v>
      </c>
      <c r="B206" s="363" t="str">
        <f t="shared" si="24"/>
        <v>44</v>
      </c>
      <c r="C206" s="405" t="str">
        <f t="shared" si="25"/>
        <v>第001524号</v>
      </c>
      <c r="D206" s="405" t="str">
        <f t="shared" si="26"/>
        <v>仲野建設工業（株）</v>
      </c>
      <c r="E206" s="405" t="str">
        <f t="shared" si="27"/>
        <v>代表取締役</v>
      </c>
      <c r="F206" s="405" t="str">
        <f t="shared" si="28"/>
        <v>仲野　知宏</v>
      </c>
      <c r="G206" s="405" t="str">
        <f t="shared" si="29"/>
        <v>主たる営業所</v>
      </c>
      <c r="H206" s="405" t="str">
        <f t="shared" si="30"/>
        <v>佐伯市弥生大字門田８５８</v>
      </c>
      <c r="L206" s="403" t="s">
        <v>7834</v>
      </c>
      <c r="M206" s="403" t="s">
        <v>7835</v>
      </c>
      <c r="N206" s="403" t="s">
        <v>1784</v>
      </c>
      <c r="O206" s="403" t="s">
        <v>7084</v>
      </c>
      <c r="P206" s="403" t="s">
        <v>1785</v>
      </c>
      <c r="Q206" s="403" t="s">
        <v>7836</v>
      </c>
      <c r="R206" s="403" t="s">
        <v>5372</v>
      </c>
      <c r="S206" s="403" t="s">
        <v>14283</v>
      </c>
      <c r="T206" s="403" t="s">
        <v>14284</v>
      </c>
      <c r="U206" s="403"/>
      <c r="V206" s="403" t="s">
        <v>23024</v>
      </c>
      <c r="W206" s="403" t="s">
        <v>23024</v>
      </c>
      <c r="X206" s="403" t="s">
        <v>23024</v>
      </c>
      <c r="Y206" s="403" t="s">
        <v>23024</v>
      </c>
    </row>
    <row r="207" spans="1:25">
      <c r="A207" s="363">
        <f t="shared" si="31"/>
        <v>206</v>
      </c>
      <c r="B207" s="363" t="str">
        <f t="shared" si="24"/>
        <v>44</v>
      </c>
      <c r="C207" s="405" t="str">
        <f t="shared" si="25"/>
        <v>第001533号</v>
      </c>
      <c r="D207" s="405" t="str">
        <f t="shared" si="26"/>
        <v>（株）久保田水道工事</v>
      </c>
      <c r="E207" s="405" t="str">
        <f t="shared" si="27"/>
        <v>代表取締役</v>
      </c>
      <c r="F207" s="405" t="str">
        <f t="shared" si="28"/>
        <v>久保田　和彦</v>
      </c>
      <c r="G207" s="405" t="str">
        <f t="shared" si="29"/>
        <v>主たる営業所</v>
      </c>
      <c r="H207" s="405" t="str">
        <f t="shared" si="30"/>
        <v>佐伯市長島町３－３－１１</v>
      </c>
      <c r="L207" s="403" t="s">
        <v>7837</v>
      </c>
      <c r="M207" s="403" t="s">
        <v>7838</v>
      </c>
      <c r="N207" s="403" t="s">
        <v>1786</v>
      </c>
      <c r="O207" s="403" t="s">
        <v>7084</v>
      </c>
      <c r="P207" s="403" t="s">
        <v>1787</v>
      </c>
      <c r="Q207" s="403" t="s">
        <v>7839</v>
      </c>
      <c r="R207" s="403" t="s">
        <v>18724</v>
      </c>
      <c r="S207" s="403" t="s">
        <v>14285</v>
      </c>
      <c r="T207" s="403" t="s">
        <v>14286</v>
      </c>
      <c r="U207" s="403"/>
      <c r="V207" s="403" t="s">
        <v>23024</v>
      </c>
      <c r="W207" s="403" t="s">
        <v>23024</v>
      </c>
      <c r="X207" s="403" t="s">
        <v>23024</v>
      </c>
      <c r="Y207" s="403" t="s">
        <v>23024</v>
      </c>
    </row>
    <row r="208" spans="1:25">
      <c r="A208" s="363">
        <f t="shared" si="31"/>
        <v>207</v>
      </c>
      <c r="B208" s="363" t="str">
        <f t="shared" si="24"/>
        <v>44</v>
      </c>
      <c r="C208" s="405" t="str">
        <f t="shared" si="25"/>
        <v>第001585号</v>
      </c>
      <c r="D208" s="405" t="str">
        <f t="shared" si="26"/>
        <v>（有）佐伯電業社</v>
      </c>
      <c r="E208" s="405" t="str">
        <f t="shared" si="27"/>
        <v>代表取締役</v>
      </c>
      <c r="F208" s="405" t="str">
        <f t="shared" si="28"/>
        <v>宮本　昌和</v>
      </c>
      <c r="G208" s="405" t="str">
        <f t="shared" si="29"/>
        <v>主たる営業所</v>
      </c>
      <c r="H208" s="405" t="str">
        <f t="shared" si="30"/>
        <v>佐伯市新女島２－７４４４</v>
      </c>
      <c r="L208" s="403" t="s">
        <v>7840</v>
      </c>
      <c r="M208" s="403" t="s">
        <v>7841</v>
      </c>
      <c r="N208" s="403" t="s">
        <v>1788</v>
      </c>
      <c r="O208" s="403" t="s">
        <v>7084</v>
      </c>
      <c r="P208" s="403" t="s">
        <v>1789</v>
      </c>
      <c r="Q208" s="403" t="s">
        <v>18725</v>
      </c>
      <c r="R208" s="403" t="s">
        <v>18726</v>
      </c>
      <c r="S208" s="403" t="s">
        <v>14287</v>
      </c>
      <c r="T208" s="403" t="s">
        <v>14288</v>
      </c>
      <c r="U208" s="403"/>
      <c r="V208" s="403" t="s">
        <v>23024</v>
      </c>
      <c r="W208" s="403" t="s">
        <v>23024</v>
      </c>
      <c r="X208" s="403" t="s">
        <v>23024</v>
      </c>
      <c r="Y208" s="403" t="s">
        <v>23024</v>
      </c>
    </row>
    <row r="209" spans="1:25">
      <c r="A209" s="363">
        <f t="shared" si="31"/>
        <v>208</v>
      </c>
      <c r="B209" s="363" t="str">
        <f t="shared" si="24"/>
        <v>44</v>
      </c>
      <c r="C209" s="405" t="str">
        <f t="shared" si="25"/>
        <v>第001592号</v>
      </c>
      <c r="D209" s="405" t="str">
        <f t="shared" si="26"/>
        <v>小田開発工業（株）</v>
      </c>
      <c r="E209" s="405" t="str">
        <f t="shared" si="27"/>
        <v>代表取締役</v>
      </c>
      <c r="F209" s="405" t="str">
        <f t="shared" si="28"/>
        <v>小田　剛史</v>
      </c>
      <c r="G209" s="405" t="str">
        <f t="shared" si="29"/>
        <v>主たる営業所</v>
      </c>
      <c r="H209" s="405" t="str">
        <f t="shared" si="30"/>
        <v>佐伯市大字海崎８４８－１</v>
      </c>
      <c r="L209" s="403" t="s">
        <v>7843</v>
      </c>
      <c r="M209" s="403" t="s">
        <v>7844</v>
      </c>
      <c r="N209" s="403" t="s">
        <v>1790</v>
      </c>
      <c r="O209" s="403" t="s">
        <v>7084</v>
      </c>
      <c r="P209" s="403" t="s">
        <v>1791</v>
      </c>
      <c r="Q209" s="403" t="s">
        <v>7845</v>
      </c>
      <c r="R209" s="403" t="s">
        <v>18727</v>
      </c>
      <c r="S209" s="403" t="s">
        <v>14289</v>
      </c>
      <c r="T209" s="403" t="s">
        <v>14290</v>
      </c>
      <c r="U209" s="403"/>
      <c r="V209" s="403" t="s">
        <v>23024</v>
      </c>
      <c r="W209" s="403" t="s">
        <v>23024</v>
      </c>
      <c r="X209" s="403" t="s">
        <v>23024</v>
      </c>
      <c r="Y209" s="403" t="s">
        <v>23024</v>
      </c>
    </row>
    <row r="210" spans="1:25">
      <c r="A210" s="363">
        <f t="shared" si="31"/>
        <v>209</v>
      </c>
      <c r="B210" s="363" t="str">
        <f t="shared" si="24"/>
        <v>44</v>
      </c>
      <c r="C210" s="405" t="str">
        <f t="shared" si="25"/>
        <v>第001593号</v>
      </c>
      <c r="D210" s="405" t="str">
        <f t="shared" si="26"/>
        <v>（株）宇目土建</v>
      </c>
      <c r="E210" s="405" t="str">
        <f t="shared" si="27"/>
        <v>代表取締役</v>
      </c>
      <c r="F210" s="405" t="str">
        <f t="shared" si="28"/>
        <v>森崎　隆司</v>
      </c>
      <c r="G210" s="405" t="str">
        <f t="shared" si="29"/>
        <v>主たる営業所</v>
      </c>
      <c r="H210" s="405" t="str">
        <f t="shared" si="30"/>
        <v>佐伯市宇目大字千束２０４９－２</v>
      </c>
      <c r="L210" s="403" t="s">
        <v>7846</v>
      </c>
      <c r="M210" s="403" t="s">
        <v>7847</v>
      </c>
      <c r="N210" s="403" t="s">
        <v>1792</v>
      </c>
      <c r="O210" s="403" t="s">
        <v>7084</v>
      </c>
      <c r="P210" s="403" t="s">
        <v>1793</v>
      </c>
      <c r="Q210" s="403" t="s">
        <v>7848</v>
      </c>
      <c r="R210" s="403" t="s">
        <v>18728</v>
      </c>
      <c r="S210" s="403" t="s">
        <v>14291</v>
      </c>
      <c r="T210" s="403" t="s">
        <v>14292</v>
      </c>
      <c r="U210" s="403"/>
      <c r="V210" s="403" t="s">
        <v>23024</v>
      </c>
      <c r="W210" s="403" t="s">
        <v>23024</v>
      </c>
      <c r="X210" s="403" t="s">
        <v>23024</v>
      </c>
      <c r="Y210" s="403" t="s">
        <v>23024</v>
      </c>
    </row>
    <row r="211" spans="1:25">
      <c r="A211" s="363">
        <f t="shared" si="31"/>
        <v>210</v>
      </c>
      <c r="B211" s="363" t="str">
        <f t="shared" si="24"/>
        <v>44</v>
      </c>
      <c r="C211" s="405" t="str">
        <f t="shared" si="25"/>
        <v>第001601号</v>
      </c>
      <c r="D211" s="405" t="str">
        <f t="shared" si="26"/>
        <v>（株）河秀組</v>
      </c>
      <c r="E211" s="405" t="str">
        <f t="shared" si="27"/>
        <v>代表取締役</v>
      </c>
      <c r="F211" s="405" t="str">
        <f t="shared" si="28"/>
        <v>蓑部　壽人</v>
      </c>
      <c r="G211" s="405" t="str">
        <f t="shared" si="29"/>
        <v>主たる営業所</v>
      </c>
      <c r="H211" s="405" t="str">
        <f t="shared" si="30"/>
        <v>佐伯市長島町１－３－１３</v>
      </c>
      <c r="L211" s="403" t="s">
        <v>7849</v>
      </c>
      <c r="M211" s="403" t="s">
        <v>7850</v>
      </c>
      <c r="N211" s="403" t="s">
        <v>1794</v>
      </c>
      <c r="O211" s="403" t="s">
        <v>7084</v>
      </c>
      <c r="P211" s="403" t="s">
        <v>1795</v>
      </c>
      <c r="Q211" s="403" t="s">
        <v>7839</v>
      </c>
      <c r="R211" s="403" t="s">
        <v>18729</v>
      </c>
      <c r="S211" s="403" t="s">
        <v>14293</v>
      </c>
      <c r="T211" s="403" t="s">
        <v>14294</v>
      </c>
      <c r="U211" s="403"/>
      <c r="V211" s="403" t="s">
        <v>23024</v>
      </c>
      <c r="W211" s="403" t="s">
        <v>23024</v>
      </c>
      <c r="X211" s="403" t="s">
        <v>23024</v>
      </c>
      <c r="Y211" s="403" t="s">
        <v>23024</v>
      </c>
    </row>
    <row r="212" spans="1:25">
      <c r="A212" s="363">
        <f t="shared" si="31"/>
        <v>211</v>
      </c>
      <c r="B212" s="363" t="str">
        <f t="shared" si="24"/>
        <v>44</v>
      </c>
      <c r="C212" s="405" t="str">
        <f t="shared" si="25"/>
        <v>第001608号</v>
      </c>
      <c r="D212" s="405" t="str">
        <f t="shared" si="26"/>
        <v>弥生石材（株）</v>
      </c>
      <c r="E212" s="405" t="str">
        <f t="shared" si="27"/>
        <v>代表取締役</v>
      </c>
      <c r="F212" s="405" t="str">
        <f t="shared" si="28"/>
        <v>管　博久</v>
      </c>
      <c r="G212" s="405" t="str">
        <f t="shared" si="29"/>
        <v>主たる営業所</v>
      </c>
      <c r="H212" s="405" t="str">
        <f t="shared" si="30"/>
        <v>佐伯市中村北町７－２１</v>
      </c>
      <c r="L212" s="403" t="s">
        <v>7851</v>
      </c>
      <c r="M212" s="403" t="s">
        <v>7852</v>
      </c>
      <c r="N212" s="403" t="s">
        <v>1796</v>
      </c>
      <c r="O212" s="403" t="s">
        <v>7084</v>
      </c>
      <c r="P212" s="403" t="s">
        <v>1797</v>
      </c>
      <c r="Q212" s="403" t="s">
        <v>7853</v>
      </c>
      <c r="R212" s="403" t="s">
        <v>18730</v>
      </c>
      <c r="S212" s="403" t="s">
        <v>14295</v>
      </c>
      <c r="T212" s="403" t="s">
        <v>14296</v>
      </c>
      <c r="U212" s="403"/>
      <c r="V212" s="403" t="s">
        <v>23024</v>
      </c>
      <c r="W212" s="403" t="s">
        <v>23024</v>
      </c>
      <c r="X212" s="403" t="s">
        <v>23024</v>
      </c>
      <c r="Y212" s="403" t="s">
        <v>23024</v>
      </c>
    </row>
    <row r="213" spans="1:25">
      <c r="A213" s="363">
        <f t="shared" si="31"/>
        <v>212</v>
      </c>
      <c r="B213" s="363" t="str">
        <f t="shared" si="24"/>
        <v>44</v>
      </c>
      <c r="C213" s="405" t="str">
        <f t="shared" si="25"/>
        <v>第001613号</v>
      </c>
      <c r="D213" s="405" t="str">
        <f t="shared" si="26"/>
        <v>（株）谷川組</v>
      </c>
      <c r="E213" s="405" t="str">
        <f t="shared" si="27"/>
        <v>代表取締役</v>
      </c>
      <c r="F213" s="405" t="str">
        <f t="shared" si="28"/>
        <v>谷川　広人</v>
      </c>
      <c r="G213" s="405" t="str">
        <f t="shared" si="29"/>
        <v>主たる営業所</v>
      </c>
      <c r="H213" s="405" t="str">
        <f t="shared" si="30"/>
        <v>佐伯市東町１６－８</v>
      </c>
      <c r="L213" s="403" t="s">
        <v>7854</v>
      </c>
      <c r="M213" s="403" t="s">
        <v>7855</v>
      </c>
      <c r="N213" s="403" t="s">
        <v>1798</v>
      </c>
      <c r="O213" s="403" t="s">
        <v>7084</v>
      </c>
      <c r="P213" s="403" t="s">
        <v>1799</v>
      </c>
      <c r="Q213" s="403" t="s">
        <v>7830</v>
      </c>
      <c r="R213" s="403" t="s">
        <v>18731</v>
      </c>
      <c r="S213" s="403" t="s">
        <v>14297</v>
      </c>
      <c r="T213" s="403" t="s">
        <v>14298</v>
      </c>
      <c r="U213" s="403"/>
      <c r="V213" s="403" t="s">
        <v>23024</v>
      </c>
      <c r="W213" s="403" t="s">
        <v>23024</v>
      </c>
      <c r="X213" s="403" t="s">
        <v>23024</v>
      </c>
      <c r="Y213" s="403" t="s">
        <v>23024</v>
      </c>
    </row>
    <row r="214" spans="1:25">
      <c r="A214" s="363">
        <f t="shared" si="31"/>
        <v>213</v>
      </c>
      <c r="B214" s="363" t="str">
        <f t="shared" si="24"/>
        <v>44</v>
      </c>
      <c r="C214" s="405" t="str">
        <f t="shared" si="25"/>
        <v>第001615号</v>
      </c>
      <c r="D214" s="405" t="str">
        <f t="shared" si="26"/>
        <v>（有）天小組</v>
      </c>
      <c r="E214" s="405" t="str">
        <f t="shared" si="27"/>
        <v>取締役</v>
      </c>
      <c r="F214" s="405" t="str">
        <f t="shared" si="28"/>
        <v>天小　潔美</v>
      </c>
      <c r="G214" s="405" t="str">
        <f t="shared" si="29"/>
        <v>主たる営業所</v>
      </c>
      <c r="H214" s="405" t="str">
        <f t="shared" si="30"/>
        <v>佐伯市宇目大字塩見園１８１７</v>
      </c>
      <c r="L214" s="403" t="s">
        <v>7856</v>
      </c>
      <c r="M214" s="403" t="s">
        <v>7857</v>
      </c>
      <c r="N214" s="403" t="s">
        <v>1800</v>
      </c>
      <c r="O214" s="403" t="s">
        <v>7085</v>
      </c>
      <c r="P214" s="403" t="s">
        <v>1801</v>
      </c>
      <c r="Q214" s="403" t="s">
        <v>7858</v>
      </c>
      <c r="R214" s="403" t="s">
        <v>5373</v>
      </c>
      <c r="S214" s="403" t="s">
        <v>14299</v>
      </c>
      <c r="T214" s="403" t="s">
        <v>14300</v>
      </c>
      <c r="U214" s="403"/>
      <c r="V214" s="403" t="s">
        <v>23024</v>
      </c>
      <c r="W214" s="403" t="s">
        <v>23024</v>
      </c>
      <c r="X214" s="403" t="s">
        <v>23024</v>
      </c>
      <c r="Y214" s="403" t="s">
        <v>23024</v>
      </c>
    </row>
    <row r="215" spans="1:25">
      <c r="A215" s="363">
        <f t="shared" si="31"/>
        <v>214</v>
      </c>
      <c r="B215" s="363" t="str">
        <f t="shared" si="24"/>
        <v>44</v>
      </c>
      <c r="C215" s="405" t="str">
        <f t="shared" si="25"/>
        <v>第001616号</v>
      </c>
      <c r="D215" s="405" t="str">
        <f t="shared" si="26"/>
        <v>（株）菅厚組</v>
      </c>
      <c r="E215" s="405" t="str">
        <f t="shared" si="27"/>
        <v>代表取締役</v>
      </c>
      <c r="F215" s="405" t="str">
        <f t="shared" si="28"/>
        <v>菅　知洋</v>
      </c>
      <c r="G215" s="405" t="str">
        <f t="shared" si="29"/>
        <v>主たる営業所</v>
      </c>
      <c r="H215" s="405" t="str">
        <f t="shared" si="30"/>
        <v>佐伯市池船町１５－２４</v>
      </c>
      <c r="L215" s="403" t="s">
        <v>7859</v>
      </c>
      <c r="M215" s="403" t="s">
        <v>7860</v>
      </c>
      <c r="N215" s="403" t="s">
        <v>1802</v>
      </c>
      <c r="O215" s="403" t="s">
        <v>7084</v>
      </c>
      <c r="P215" s="403" t="s">
        <v>1803</v>
      </c>
      <c r="Q215" s="403" t="s">
        <v>7861</v>
      </c>
      <c r="R215" s="403" t="s">
        <v>18732</v>
      </c>
      <c r="S215" s="403" t="s">
        <v>14301</v>
      </c>
      <c r="T215" s="403" t="s">
        <v>14302</v>
      </c>
      <c r="U215" s="403"/>
      <c r="V215" s="403" t="s">
        <v>23024</v>
      </c>
      <c r="W215" s="403" t="s">
        <v>23024</v>
      </c>
      <c r="X215" s="403" t="s">
        <v>23024</v>
      </c>
      <c r="Y215" s="403" t="s">
        <v>23024</v>
      </c>
    </row>
    <row r="216" spans="1:25">
      <c r="A216" s="363">
        <f t="shared" si="31"/>
        <v>215</v>
      </c>
      <c r="B216" s="363" t="str">
        <f t="shared" si="24"/>
        <v>44</v>
      </c>
      <c r="C216" s="405" t="str">
        <f t="shared" si="25"/>
        <v>第001630号</v>
      </c>
      <c r="D216" s="405" t="str">
        <f t="shared" si="26"/>
        <v>蒲江土建（有）</v>
      </c>
      <c r="E216" s="405" t="str">
        <f t="shared" si="27"/>
        <v>代表取締役</v>
      </c>
      <c r="F216" s="405" t="str">
        <f t="shared" si="28"/>
        <v>岡村　俊彦</v>
      </c>
      <c r="G216" s="405" t="str">
        <f t="shared" si="29"/>
        <v>主たる営業所</v>
      </c>
      <c r="H216" s="405" t="str">
        <f t="shared" si="30"/>
        <v>佐伯市蒲江大字蒲江浦２－２１９８－１</v>
      </c>
      <c r="L216" s="403" t="s">
        <v>7862</v>
      </c>
      <c r="M216" s="403" t="s">
        <v>7863</v>
      </c>
      <c r="N216" s="403" t="s">
        <v>1804</v>
      </c>
      <c r="O216" s="403" t="s">
        <v>7084</v>
      </c>
      <c r="P216" s="403" t="s">
        <v>1805</v>
      </c>
      <c r="Q216" s="403" t="s">
        <v>7864</v>
      </c>
      <c r="R216" s="403" t="s">
        <v>18733</v>
      </c>
      <c r="S216" s="403" t="s">
        <v>14303</v>
      </c>
      <c r="T216" s="403" t="s">
        <v>14304</v>
      </c>
      <c r="U216" s="403"/>
      <c r="V216" s="403" t="s">
        <v>23024</v>
      </c>
      <c r="W216" s="403" t="s">
        <v>23024</v>
      </c>
      <c r="X216" s="403" t="s">
        <v>23024</v>
      </c>
      <c r="Y216" s="403" t="s">
        <v>23024</v>
      </c>
    </row>
    <row r="217" spans="1:25">
      <c r="A217" s="363">
        <f t="shared" si="31"/>
        <v>216</v>
      </c>
      <c r="B217" s="363" t="str">
        <f t="shared" si="24"/>
        <v>44</v>
      </c>
      <c r="C217" s="405" t="str">
        <f t="shared" si="25"/>
        <v>第001635号</v>
      </c>
      <c r="D217" s="405" t="str">
        <f t="shared" si="26"/>
        <v>平和土木（株）</v>
      </c>
      <c r="E217" s="405" t="str">
        <f t="shared" si="27"/>
        <v>代表取締役</v>
      </c>
      <c r="F217" s="405" t="str">
        <f t="shared" si="28"/>
        <v>吉藤　幸弘</v>
      </c>
      <c r="G217" s="405" t="str">
        <f t="shared" si="29"/>
        <v>主たる営業所</v>
      </c>
      <c r="H217" s="405" t="str">
        <f t="shared" si="30"/>
        <v>佐伯市鶴岡町２－５－３９</v>
      </c>
      <c r="L217" s="403" t="s">
        <v>7865</v>
      </c>
      <c r="M217" s="403" t="s">
        <v>7866</v>
      </c>
      <c r="N217" s="403" t="s">
        <v>1806</v>
      </c>
      <c r="O217" s="403" t="s">
        <v>7084</v>
      </c>
      <c r="P217" s="403" t="s">
        <v>1807</v>
      </c>
      <c r="Q217" s="403" t="s">
        <v>7867</v>
      </c>
      <c r="R217" s="403" t="s">
        <v>18734</v>
      </c>
      <c r="S217" s="403" t="s">
        <v>14305</v>
      </c>
      <c r="T217" s="403" t="s">
        <v>14306</v>
      </c>
      <c r="U217" s="403"/>
      <c r="V217" s="403" t="s">
        <v>23024</v>
      </c>
      <c r="W217" s="403" t="s">
        <v>23024</v>
      </c>
      <c r="X217" s="403" t="s">
        <v>23024</v>
      </c>
      <c r="Y217" s="403" t="s">
        <v>23024</v>
      </c>
    </row>
    <row r="218" spans="1:25">
      <c r="A218" s="363">
        <f t="shared" si="31"/>
        <v>217</v>
      </c>
      <c r="B218" s="363" t="str">
        <f t="shared" si="24"/>
        <v>44</v>
      </c>
      <c r="C218" s="405" t="str">
        <f t="shared" si="25"/>
        <v>第001645号</v>
      </c>
      <c r="D218" s="405" t="str">
        <f t="shared" si="26"/>
        <v>（有）山矢建設</v>
      </c>
      <c r="E218" s="405" t="str">
        <f t="shared" si="27"/>
        <v>代表取締役</v>
      </c>
      <c r="F218" s="405" t="str">
        <f t="shared" si="28"/>
        <v>山矢　隆彦</v>
      </c>
      <c r="G218" s="405" t="str">
        <f t="shared" si="29"/>
        <v>主たる営業所</v>
      </c>
      <c r="H218" s="405" t="str">
        <f t="shared" si="30"/>
        <v>佐伯市上浦大字津井浦１３６８－１０</v>
      </c>
      <c r="L218" s="403" t="s">
        <v>7868</v>
      </c>
      <c r="M218" s="403" t="s">
        <v>7869</v>
      </c>
      <c r="N218" s="403" t="s">
        <v>1808</v>
      </c>
      <c r="O218" s="403" t="s">
        <v>7084</v>
      </c>
      <c r="P218" s="403" t="s">
        <v>1809</v>
      </c>
      <c r="Q218" s="403" t="s">
        <v>7870</v>
      </c>
      <c r="R218" s="403" t="s">
        <v>18735</v>
      </c>
      <c r="S218" s="403" t="s">
        <v>14307</v>
      </c>
      <c r="T218" s="403" t="s">
        <v>14307</v>
      </c>
      <c r="U218" s="403"/>
      <c r="V218" s="403" t="s">
        <v>23024</v>
      </c>
      <c r="W218" s="403" t="s">
        <v>23024</v>
      </c>
      <c r="X218" s="403" t="s">
        <v>23024</v>
      </c>
      <c r="Y218" s="403" t="s">
        <v>23024</v>
      </c>
    </row>
    <row r="219" spans="1:25">
      <c r="A219" s="363">
        <f t="shared" si="31"/>
        <v>218</v>
      </c>
      <c r="B219" s="363" t="str">
        <f t="shared" si="24"/>
        <v>44</v>
      </c>
      <c r="C219" s="405" t="str">
        <f t="shared" si="25"/>
        <v>第001650号</v>
      </c>
      <c r="D219" s="405" t="str">
        <f t="shared" si="26"/>
        <v>匹田電気工事（株）</v>
      </c>
      <c r="E219" s="405" t="str">
        <f t="shared" si="27"/>
        <v>代表取締役</v>
      </c>
      <c r="F219" s="405" t="str">
        <f t="shared" si="28"/>
        <v>渡邉　貴浩</v>
      </c>
      <c r="G219" s="405" t="str">
        <f t="shared" si="29"/>
        <v>主たる営業所</v>
      </c>
      <c r="H219" s="405" t="str">
        <f t="shared" si="30"/>
        <v>佐伯市女島３－１０４２９－３</v>
      </c>
      <c r="L219" s="403" t="s">
        <v>7871</v>
      </c>
      <c r="M219" s="403" t="s">
        <v>7872</v>
      </c>
      <c r="N219" s="403" t="s">
        <v>1810</v>
      </c>
      <c r="O219" s="403" t="s">
        <v>7084</v>
      </c>
      <c r="P219" s="403" t="s">
        <v>5221</v>
      </c>
      <c r="Q219" s="403" t="s">
        <v>7842</v>
      </c>
      <c r="R219" s="403" t="s">
        <v>18736</v>
      </c>
      <c r="S219" s="403" t="s">
        <v>14308</v>
      </c>
      <c r="T219" s="403" t="s">
        <v>14309</v>
      </c>
      <c r="U219" s="403"/>
      <c r="V219" s="403" t="s">
        <v>23024</v>
      </c>
      <c r="W219" s="403" t="s">
        <v>23024</v>
      </c>
      <c r="X219" s="403" t="s">
        <v>23024</v>
      </c>
      <c r="Y219" s="403" t="s">
        <v>23024</v>
      </c>
    </row>
    <row r="220" spans="1:25">
      <c r="A220" s="363">
        <f t="shared" si="31"/>
        <v>219</v>
      </c>
      <c r="B220" s="363" t="str">
        <f t="shared" si="24"/>
        <v>44</v>
      </c>
      <c r="C220" s="405" t="str">
        <f t="shared" si="25"/>
        <v>第001679号</v>
      </c>
      <c r="D220" s="405" t="str">
        <f t="shared" si="26"/>
        <v>御手洗住設（株）</v>
      </c>
      <c r="E220" s="405" t="str">
        <f t="shared" si="27"/>
        <v>代表取締役</v>
      </c>
      <c r="F220" s="405" t="str">
        <f t="shared" si="28"/>
        <v>御手洗　達也</v>
      </c>
      <c r="G220" s="405" t="str">
        <f t="shared" si="29"/>
        <v>主たる営業所</v>
      </c>
      <c r="H220" s="405" t="str">
        <f t="shared" si="30"/>
        <v>佐伯市中の島１－１０－５０</v>
      </c>
      <c r="L220" s="403" t="s">
        <v>7875</v>
      </c>
      <c r="M220" s="403" t="s">
        <v>7876</v>
      </c>
      <c r="N220" s="403" t="s">
        <v>1812</v>
      </c>
      <c r="O220" s="403" t="s">
        <v>7084</v>
      </c>
      <c r="P220" s="403" t="s">
        <v>1813</v>
      </c>
      <c r="Q220" s="403" t="s">
        <v>7874</v>
      </c>
      <c r="R220" s="403" t="s">
        <v>18737</v>
      </c>
      <c r="S220" s="403" t="s">
        <v>14310</v>
      </c>
      <c r="T220" s="403" t="s">
        <v>14311</v>
      </c>
      <c r="U220" s="403"/>
      <c r="V220" s="403" t="s">
        <v>23024</v>
      </c>
      <c r="W220" s="403" t="s">
        <v>23024</v>
      </c>
      <c r="X220" s="403" t="s">
        <v>23024</v>
      </c>
      <c r="Y220" s="403" t="s">
        <v>23024</v>
      </c>
    </row>
    <row r="221" spans="1:25">
      <c r="A221" s="363">
        <f t="shared" si="31"/>
        <v>220</v>
      </c>
      <c r="B221" s="363" t="str">
        <f t="shared" si="24"/>
        <v>44</v>
      </c>
      <c r="C221" s="405" t="str">
        <f t="shared" si="25"/>
        <v>第001722号</v>
      </c>
      <c r="D221" s="405" t="str">
        <f t="shared" si="26"/>
        <v>三重建設工業（株）</v>
      </c>
      <c r="E221" s="405" t="str">
        <f t="shared" si="27"/>
        <v>代表取締役</v>
      </c>
      <c r="F221" s="405" t="str">
        <f t="shared" si="28"/>
        <v>麻生　敏明</v>
      </c>
      <c r="G221" s="405" t="str">
        <f t="shared" si="29"/>
        <v>主たる営業所</v>
      </c>
      <c r="H221" s="405" t="str">
        <f t="shared" si="30"/>
        <v>豊後大野市三重町赤嶺１９２７－１</v>
      </c>
      <c r="L221" s="403" t="s">
        <v>7877</v>
      </c>
      <c r="M221" s="403" t="s">
        <v>7878</v>
      </c>
      <c r="N221" s="403" t="s">
        <v>1814</v>
      </c>
      <c r="O221" s="403" t="s">
        <v>7084</v>
      </c>
      <c r="P221" s="403" t="s">
        <v>1815</v>
      </c>
      <c r="Q221" s="403" t="s">
        <v>7879</v>
      </c>
      <c r="R221" s="403" t="s">
        <v>18738</v>
      </c>
      <c r="S221" s="403" t="s">
        <v>14312</v>
      </c>
      <c r="T221" s="403" t="s">
        <v>14313</v>
      </c>
      <c r="U221" s="403"/>
      <c r="V221" s="403" t="s">
        <v>23024</v>
      </c>
      <c r="W221" s="403" t="s">
        <v>23024</v>
      </c>
      <c r="X221" s="403" t="s">
        <v>23024</v>
      </c>
      <c r="Y221" s="403" t="s">
        <v>23024</v>
      </c>
    </row>
    <row r="222" spans="1:25">
      <c r="A222" s="363">
        <f t="shared" si="31"/>
        <v>221</v>
      </c>
      <c r="B222" s="363" t="str">
        <f t="shared" si="24"/>
        <v>44</v>
      </c>
      <c r="C222" s="405" t="str">
        <f t="shared" si="25"/>
        <v>第001759号</v>
      </c>
      <c r="D222" s="405" t="str">
        <f t="shared" si="26"/>
        <v>（株）風戸工務店</v>
      </c>
      <c r="E222" s="405" t="str">
        <f t="shared" si="27"/>
        <v>代表取締役</v>
      </c>
      <c r="F222" s="405" t="str">
        <f t="shared" si="28"/>
        <v>風戸　惠子</v>
      </c>
      <c r="G222" s="405" t="str">
        <f t="shared" si="29"/>
        <v>主たる営業所</v>
      </c>
      <c r="H222" s="405" t="str">
        <f t="shared" si="30"/>
        <v>佐伯市弥生大字江良１０６８－１</v>
      </c>
      <c r="L222" s="403" t="s">
        <v>7880</v>
      </c>
      <c r="M222" s="403" t="s">
        <v>7881</v>
      </c>
      <c r="N222" s="403" t="s">
        <v>1816</v>
      </c>
      <c r="O222" s="403" t="s">
        <v>7084</v>
      </c>
      <c r="P222" s="403" t="s">
        <v>18739</v>
      </c>
      <c r="Q222" s="403" t="s">
        <v>7882</v>
      </c>
      <c r="R222" s="403" t="s">
        <v>18740</v>
      </c>
      <c r="S222" s="403" t="s">
        <v>14314</v>
      </c>
      <c r="T222" s="403" t="s">
        <v>14315</v>
      </c>
      <c r="U222" s="403"/>
      <c r="V222" s="403" t="s">
        <v>23024</v>
      </c>
      <c r="W222" s="403" t="s">
        <v>23024</v>
      </c>
      <c r="X222" s="403" t="s">
        <v>23024</v>
      </c>
      <c r="Y222" s="403" t="s">
        <v>23024</v>
      </c>
    </row>
    <row r="223" spans="1:25">
      <c r="A223" s="363">
        <f t="shared" si="31"/>
        <v>222</v>
      </c>
      <c r="B223" s="363" t="str">
        <f t="shared" si="24"/>
        <v>44</v>
      </c>
      <c r="C223" s="405" t="str">
        <f t="shared" si="25"/>
        <v>第001760号</v>
      </c>
      <c r="D223" s="405" t="str">
        <f t="shared" si="26"/>
        <v>（株）富永建設</v>
      </c>
      <c r="E223" s="405" t="str">
        <f t="shared" si="27"/>
        <v>代表取締役</v>
      </c>
      <c r="F223" s="405" t="str">
        <f t="shared" si="28"/>
        <v>冨永　まみ</v>
      </c>
      <c r="G223" s="405" t="str">
        <f t="shared" si="29"/>
        <v>主たる営業所</v>
      </c>
      <c r="H223" s="405" t="str">
        <f t="shared" si="30"/>
        <v>佐伯市弥生大字平井４１５ー１</v>
      </c>
      <c r="L223" s="403" t="s">
        <v>7883</v>
      </c>
      <c r="M223" s="403" t="s">
        <v>7884</v>
      </c>
      <c r="N223" s="403" t="s">
        <v>1817</v>
      </c>
      <c r="O223" s="403" t="s">
        <v>7084</v>
      </c>
      <c r="P223" s="403" t="s">
        <v>1818</v>
      </c>
      <c r="Q223" s="403" t="s">
        <v>7885</v>
      </c>
      <c r="R223" s="403" t="s">
        <v>5374</v>
      </c>
      <c r="S223" s="403" t="s">
        <v>14316</v>
      </c>
      <c r="T223" s="403" t="s">
        <v>14317</v>
      </c>
      <c r="U223" s="403"/>
      <c r="V223" s="403" t="s">
        <v>23024</v>
      </c>
      <c r="W223" s="403" t="s">
        <v>23024</v>
      </c>
      <c r="X223" s="403" t="s">
        <v>23024</v>
      </c>
      <c r="Y223" s="403" t="s">
        <v>23024</v>
      </c>
    </row>
    <row r="224" spans="1:25">
      <c r="A224" s="363">
        <f t="shared" si="31"/>
        <v>223</v>
      </c>
      <c r="B224" s="363" t="str">
        <f t="shared" si="24"/>
        <v>44</v>
      </c>
      <c r="C224" s="405" t="str">
        <f t="shared" si="25"/>
        <v>第001781号</v>
      </c>
      <c r="D224" s="405" t="str">
        <f t="shared" si="26"/>
        <v>廣瀬建設（株）</v>
      </c>
      <c r="E224" s="405" t="str">
        <f t="shared" si="27"/>
        <v>代表取締役</v>
      </c>
      <c r="F224" s="405" t="str">
        <f t="shared" si="28"/>
        <v>廣瀬　日出男</v>
      </c>
      <c r="G224" s="405" t="str">
        <f t="shared" si="29"/>
        <v>主たる営業所</v>
      </c>
      <c r="H224" s="405" t="str">
        <f t="shared" si="30"/>
        <v>佐伯市大字池田１７２５－５</v>
      </c>
      <c r="L224" s="403" t="s">
        <v>7886</v>
      </c>
      <c r="M224" s="403" t="s">
        <v>7887</v>
      </c>
      <c r="N224" s="403" t="s">
        <v>1819</v>
      </c>
      <c r="O224" s="403" t="s">
        <v>7084</v>
      </c>
      <c r="P224" s="403" t="s">
        <v>1820</v>
      </c>
      <c r="Q224" s="403" t="s">
        <v>7888</v>
      </c>
      <c r="R224" s="403" t="s">
        <v>18741</v>
      </c>
      <c r="S224" s="403" t="s">
        <v>14318</v>
      </c>
      <c r="T224" s="403" t="s">
        <v>14319</v>
      </c>
      <c r="U224" s="403"/>
      <c r="V224" s="403" t="s">
        <v>23024</v>
      </c>
      <c r="W224" s="403" t="s">
        <v>23024</v>
      </c>
      <c r="X224" s="403" t="s">
        <v>23024</v>
      </c>
      <c r="Y224" s="403" t="s">
        <v>23024</v>
      </c>
    </row>
    <row r="225" spans="1:25">
      <c r="A225" s="363">
        <f t="shared" si="31"/>
        <v>224</v>
      </c>
      <c r="B225" s="363" t="str">
        <f t="shared" si="24"/>
        <v>44</v>
      </c>
      <c r="C225" s="405" t="str">
        <f t="shared" si="25"/>
        <v>第001788号</v>
      </c>
      <c r="D225" s="405" t="str">
        <f t="shared" si="26"/>
        <v>（株）丸和土木</v>
      </c>
      <c r="E225" s="405" t="str">
        <f t="shared" si="27"/>
        <v>代表取締役</v>
      </c>
      <c r="F225" s="405" t="str">
        <f t="shared" si="28"/>
        <v>渡辺　隆次</v>
      </c>
      <c r="G225" s="405" t="str">
        <f t="shared" si="29"/>
        <v>主たる営業所</v>
      </c>
      <c r="H225" s="405" t="str">
        <f t="shared" si="30"/>
        <v>佐伯市女島２－９０２９－１</v>
      </c>
      <c r="L225" s="403" t="s">
        <v>7889</v>
      </c>
      <c r="M225" s="403" t="s">
        <v>7890</v>
      </c>
      <c r="N225" s="403" t="s">
        <v>1821</v>
      </c>
      <c r="O225" s="403" t="s">
        <v>7084</v>
      </c>
      <c r="P225" s="403" t="s">
        <v>1822</v>
      </c>
      <c r="Q225" s="403" t="s">
        <v>7842</v>
      </c>
      <c r="R225" s="403" t="s">
        <v>18742</v>
      </c>
      <c r="S225" s="403" t="s">
        <v>14320</v>
      </c>
      <c r="T225" s="403" t="s">
        <v>14321</v>
      </c>
      <c r="U225" s="403"/>
      <c r="V225" s="403" t="s">
        <v>23024</v>
      </c>
      <c r="W225" s="403" t="s">
        <v>23024</v>
      </c>
      <c r="X225" s="403" t="s">
        <v>23024</v>
      </c>
      <c r="Y225" s="403" t="s">
        <v>23024</v>
      </c>
    </row>
    <row r="226" spans="1:25">
      <c r="A226" s="363">
        <f t="shared" si="31"/>
        <v>225</v>
      </c>
      <c r="B226" s="363" t="str">
        <f t="shared" si="24"/>
        <v>44</v>
      </c>
      <c r="C226" s="405" t="str">
        <f t="shared" si="25"/>
        <v>第001818号</v>
      </c>
      <c r="D226" s="405" t="str">
        <f t="shared" si="26"/>
        <v>（株）道脇建設</v>
      </c>
      <c r="E226" s="405" t="str">
        <f t="shared" si="27"/>
        <v>代表取締役</v>
      </c>
      <c r="F226" s="405" t="str">
        <f t="shared" si="28"/>
        <v>道脇　慎一郎</v>
      </c>
      <c r="G226" s="405" t="str">
        <f t="shared" si="29"/>
        <v>主たる営業所</v>
      </c>
      <c r="H226" s="405" t="str">
        <f t="shared" si="30"/>
        <v>臼杵市野津町大字野津市４４０</v>
      </c>
      <c r="L226" s="403" t="s">
        <v>7891</v>
      </c>
      <c r="M226" s="403" t="s">
        <v>7892</v>
      </c>
      <c r="N226" s="403" t="s">
        <v>1823</v>
      </c>
      <c r="O226" s="403" t="s">
        <v>7084</v>
      </c>
      <c r="P226" s="403" t="s">
        <v>1824</v>
      </c>
      <c r="Q226" s="403" t="s">
        <v>7893</v>
      </c>
      <c r="R226" s="403" t="s">
        <v>5375</v>
      </c>
      <c r="S226" s="403" t="s">
        <v>14322</v>
      </c>
      <c r="T226" s="403" t="s">
        <v>14323</v>
      </c>
      <c r="U226" s="403"/>
      <c r="V226" s="403" t="s">
        <v>23024</v>
      </c>
      <c r="W226" s="403" t="s">
        <v>23024</v>
      </c>
      <c r="X226" s="403" t="s">
        <v>23024</v>
      </c>
      <c r="Y226" s="403" t="s">
        <v>23024</v>
      </c>
    </row>
    <row r="227" spans="1:25">
      <c r="A227" s="363">
        <f t="shared" si="31"/>
        <v>226</v>
      </c>
      <c r="B227" s="363" t="str">
        <f t="shared" si="24"/>
        <v>44</v>
      </c>
      <c r="C227" s="405" t="str">
        <f t="shared" si="25"/>
        <v>第001826号</v>
      </c>
      <c r="D227" s="405" t="str">
        <f t="shared" si="26"/>
        <v>（株）川辺工業</v>
      </c>
      <c r="E227" s="405" t="str">
        <f t="shared" si="27"/>
        <v>代表取締役</v>
      </c>
      <c r="F227" s="405" t="str">
        <f t="shared" si="28"/>
        <v>内野　俊史</v>
      </c>
      <c r="G227" s="405" t="str">
        <f t="shared" si="29"/>
        <v>主たる営業所</v>
      </c>
      <c r="H227" s="405" t="str">
        <f t="shared" si="30"/>
        <v>豊後大野市三重町菅生１－３０３</v>
      </c>
      <c r="L227" s="403" t="s">
        <v>7894</v>
      </c>
      <c r="M227" s="403" t="s">
        <v>7895</v>
      </c>
      <c r="N227" s="403" t="s">
        <v>1825</v>
      </c>
      <c r="O227" s="403" t="s">
        <v>7084</v>
      </c>
      <c r="P227" s="403" t="s">
        <v>1826</v>
      </c>
      <c r="Q227" s="403" t="s">
        <v>7896</v>
      </c>
      <c r="R227" s="403" t="s">
        <v>18743</v>
      </c>
      <c r="S227" s="403" t="s">
        <v>14324</v>
      </c>
      <c r="T227" s="403" t="s">
        <v>14325</v>
      </c>
      <c r="U227" s="403"/>
      <c r="V227" s="403" t="s">
        <v>23024</v>
      </c>
      <c r="W227" s="403" t="s">
        <v>23024</v>
      </c>
      <c r="X227" s="403" t="s">
        <v>23024</v>
      </c>
      <c r="Y227" s="403" t="s">
        <v>23024</v>
      </c>
    </row>
    <row r="228" spans="1:25">
      <c r="A228" s="363">
        <f t="shared" si="31"/>
        <v>227</v>
      </c>
      <c r="B228" s="363" t="str">
        <f t="shared" si="24"/>
        <v>44</v>
      </c>
      <c r="C228" s="405" t="str">
        <f t="shared" si="25"/>
        <v>第001831号</v>
      </c>
      <c r="D228" s="405" t="str">
        <f t="shared" si="26"/>
        <v>（株）山村電設工業</v>
      </c>
      <c r="E228" s="405" t="str">
        <f t="shared" si="27"/>
        <v>代表取締役</v>
      </c>
      <c r="F228" s="405" t="str">
        <f t="shared" si="28"/>
        <v>山村　清隆</v>
      </c>
      <c r="G228" s="405" t="str">
        <f t="shared" si="29"/>
        <v>主たる営業所</v>
      </c>
      <c r="H228" s="405" t="str">
        <f t="shared" si="30"/>
        <v>豊後大野市三重町内田３２０５－１</v>
      </c>
      <c r="L228" s="403" t="s">
        <v>7897</v>
      </c>
      <c r="M228" s="403" t="s">
        <v>7898</v>
      </c>
      <c r="N228" s="403" t="s">
        <v>1827</v>
      </c>
      <c r="O228" s="403" t="s">
        <v>7084</v>
      </c>
      <c r="P228" s="403" t="s">
        <v>1828</v>
      </c>
      <c r="Q228" s="403" t="s">
        <v>7899</v>
      </c>
      <c r="R228" s="403" t="s">
        <v>18744</v>
      </c>
      <c r="S228" s="403" t="s">
        <v>14326</v>
      </c>
      <c r="T228" s="403" t="s">
        <v>14327</v>
      </c>
      <c r="U228" s="403"/>
      <c r="V228" s="403" t="s">
        <v>23024</v>
      </c>
      <c r="W228" s="403" t="s">
        <v>23024</v>
      </c>
      <c r="X228" s="403" t="s">
        <v>23024</v>
      </c>
      <c r="Y228" s="403" t="s">
        <v>23024</v>
      </c>
    </row>
    <row r="229" spans="1:25">
      <c r="A229" s="363">
        <f t="shared" si="31"/>
        <v>228</v>
      </c>
      <c r="B229" s="363" t="str">
        <f t="shared" si="24"/>
        <v>44</v>
      </c>
      <c r="C229" s="405" t="str">
        <f t="shared" si="25"/>
        <v>第001835号</v>
      </c>
      <c r="D229" s="405" t="str">
        <f t="shared" si="26"/>
        <v>（株）友岡組</v>
      </c>
      <c r="E229" s="405" t="str">
        <f t="shared" si="27"/>
        <v>代表取締役</v>
      </c>
      <c r="F229" s="405" t="str">
        <f t="shared" si="28"/>
        <v>友岡　誠一</v>
      </c>
      <c r="G229" s="405" t="str">
        <f t="shared" si="29"/>
        <v>主たる営業所</v>
      </c>
      <c r="H229" s="405" t="str">
        <f t="shared" si="30"/>
        <v>豊後大野市大野町大原１１７２－２</v>
      </c>
      <c r="L229" s="403" t="s">
        <v>7900</v>
      </c>
      <c r="M229" s="403" t="s">
        <v>7901</v>
      </c>
      <c r="N229" s="403" t="s">
        <v>1829</v>
      </c>
      <c r="O229" s="403" t="s">
        <v>7084</v>
      </c>
      <c r="P229" s="403" t="s">
        <v>1830</v>
      </c>
      <c r="Q229" s="403" t="s">
        <v>7902</v>
      </c>
      <c r="R229" s="403" t="s">
        <v>18745</v>
      </c>
      <c r="S229" s="403" t="s">
        <v>14328</v>
      </c>
      <c r="T229" s="403" t="s">
        <v>14329</v>
      </c>
      <c r="U229" s="403"/>
      <c r="V229" s="403" t="s">
        <v>23024</v>
      </c>
      <c r="W229" s="403" t="s">
        <v>23024</v>
      </c>
      <c r="X229" s="403" t="s">
        <v>23024</v>
      </c>
      <c r="Y229" s="403" t="s">
        <v>23024</v>
      </c>
    </row>
    <row r="230" spans="1:25">
      <c r="A230" s="363">
        <f t="shared" si="31"/>
        <v>229</v>
      </c>
      <c r="B230" s="363" t="str">
        <f t="shared" si="24"/>
        <v>44</v>
      </c>
      <c r="C230" s="405" t="str">
        <f t="shared" si="25"/>
        <v>第001865号</v>
      </c>
      <c r="D230" s="405" t="str">
        <f t="shared" si="26"/>
        <v>恵藤建設（株）</v>
      </c>
      <c r="E230" s="405" t="str">
        <f t="shared" si="27"/>
        <v>代表取締役</v>
      </c>
      <c r="F230" s="405" t="str">
        <f t="shared" si="28"/>
        <v>恵藤　誠</v>
      </c>
      <c r="G230" s="405" t="str">
        <f t="shared" si="29"/>
        <v>主たる営業所</v>
      </c>
      <c r="H230" s="405" t="str">
        <f t="shared" si="30"/>
        <v>豊後大野市千歳町長峰１５７９－１</v>
      </c>
      <c r="L230" s="403" t="s">
        <v>7903</v>
      </c>
      <c r="M230" s="403" t="s">
        <v>7904</v>
      </c>
      <c r="N230" s="403" t="s">
        <v>1831</v>
      </c>
      <c r="O230" s="403" t="s">
        <v>7084</v>
      </c>
      <c r="P230" s="403" t="s">
        <v>1832</v>
      </c>
      <c r="Q230" s="403" t="s">
        <v>7905</v>
      </c>
      <c r="R230" s="403" t="s">
        <v>18746</v>
      </c>
      <c r="S230" s="403" t="s">
        <v>14330</v>
      </c>
      <c r="T230" s="403" t="s">
        <v>14331</v>
      </c>
      <c r="U230" s="403"/>
      <c r="V230" s="403" t="s">
        <v>23024</v>
      </c>
      <c r="W230" s="403" t="s">
        <v>23024</v>
      </c>
      <c r="X230" s="403" t="s">
        <v>23024</v>
      </c>
      <c r="Y230" s="403" t="s">
        <v>23024</v>
      </c>
    </row>
    <row r="231" spans="1:25">
      <c r="A231" s="363">
        <f t="shared" si="31"/>
        <v>230</v>
      </c>
      <c r="B231" s="363" t="str">
        <f t="shared" si="24"/>
        <v>44</v>
      </c>
      <c r="C231" s="405" t="str">
        <f t="shared" si="25"/>
        <v>第001895号</v>
      </c>
      <c r="D231" s="405" t="str">
        <f t="shared" si="26"/>
        <v>清川産業（株）</v>
      </c>
      <c r="E231" s="405" t="str">
        <f t="shared" si="27"/>
        <v>代表取締役</v>
      </c>
      <c r="F231" s="405" t="str">
        <f t="shared" si="28"/>
        <v>江藤　龍治</v>
      </c>
      <c r="G231" s="405" t="str">
        <f t="shared" si="29"/>
        <v>主たる営業所</v>
      </c>
      <c r="H231" s="405" t="str">
        <f t="shared" si="30"/>
        <v>豊後大野市清川町砂田１６７１</v>
      </c>
      <c r="L231" s="403" t="s">
        <v>7906</v>
      </c>
      <c r="M231" s="403" t="s">
        <v>7907</v>
      </c>
      <c r="N231" s="403" t="s">
        <v>1833</v>
      </c>
      <c r="O231" s="403" t="s">
        <v>7084</v>
      </c>
      <c r="P231" s="403" t="s">
        <v>1834</v>
      </c>
      <c r="Q231" s="403" t="s">
        <v>7908</v>
      </c>
      <c r="R231" s="403" t="s">
        <v>5376</v>
      </c>
      <c r="S231" s="403" t="s">
        <v>14332</v>
      </c>
      <c r="T231" s="403" t="s">
        <v>14333</v>
      </c>
      <c r="U231" s="403"/>
      <c r="V231" s="403" t="s">
        <v>23024</v>
      </c>
      <c r="W231" s="403" t="s">
        <v>23024</v>
      </c>
      <c r="X231" s="403" t="s">
        <v>23024</v>
      </c>
      <c r="Y231" s="403" t="s">
        <v>23024</v>
      </c>
    </row>
    <row r="232" spans="1:25">
      <c r="A232" s="363">
        <f t="shared" si="31"/>
        <v>231</v>
      </c>
      <c r="B232" s="363" t="str">
        <f t="shared" si="24"/>
        <v>44</v>
      </c>
      <c r="C232" s="405" t="str">
        <f t="shared" si="25"/>
        <v>第001908号</v>
      </c>
      <c r="D232" s="405" t="str">
        <f t="shared" si="26"/>
        <v>足立建設（株）</v>
      </c>
      <c r="E232" s="405" t="str">
        <f t="shared" si="27"/>
        <v>代表取締役</v>
      </c>
      <c r="F232" s="405" t="str">
        <f t="shared" si="28"/>
        <v>足立　正人</v>
      </c>
      <c r="G232" s="405" t="str">
        <f t="shared" si="29"/>
        <v>主たる営業所</v>
      </c>
      <c r="H232" s="405" t="str">
        <f t="shared" si="30"/>
        <v>豊後大野市緒方町草深野６９０</v>
      </c>
      <c r="L232" s="403" t="s">
        <v>7910</v>
      </c>
      <c r="M232" s="403" t="s">
        <v>7911</v>
      </c>
      <c r="N232" s="403" t="s">
        <v>1835</v>
      </c>
      <c r="O232" s="403" t="s">
        <v>7084</v>
      </c>
      <c r="P232" s="403" t="s">
        <v>1836</v>
      </c>
      <c r="Q232" s="403" t="s">
        <v>7912</v>
      </c>
      <c r="R232" s="403" t="s">
        <v>5377</v>
      </c>
      <c r="S232" s="403" t="s">
        <v>14334</v>
      </c>
      <c r="T232" s="403" t="s">
        <v>14335</v>
      </c>
      <c r="U232" s="403"/>
      <c r="V232" s="403" t="s">
        <v>23024</v>
      </c>
      <c r="W232" s="403" t="s">
        <v>23024</v>
      </c>
      <c r="X232" s="403" t="s">
        <v>23024</v>
      </c>
      <c r="Y232" s="403" t="s">
        <v>23024</v>
      </c>
    </row>
    <row r="233" spans="1:25">
      <c r="A233" s="363">
        <f t="shared" si="31"/>
        <v>232</v>
      </c>
      <c r="B233" s="363" t="str">
        <f t="shared" si="24"/>
        <v>44</v>
      </c>
      <c r="C233" s="405" t="str">
        <f t="shared" si="25"/>
        <v>第001941号</v>
      </c>
      <c r="D233" s="405" t="str">
        <f t="shared" si="26"/>
        <v>村上電気工事（有）</v>
      </c>
      <c r="E233" s="405" t="str">
        <f t="shared" si="27"/>
        <v>代表取締役</v>
      </c>
      <c r="F233" s="405" t="str">
        <f t="shared" si="28"/>
        <v>村上　忠昭</v>
      </c>
      <c r="G233" s="405" t="str">
        <f t="shared" si="29"/>
        <v>主たる営業所</v>
      </c>
      <c r="H233" s="405" t="str">
        <f t="shared" si="30"/>
        <v>豊後大野市犬飼町田原２５１－７</v>
      </c>
      <c r="L233" s="403" t="s">
        <v>7913</v>
      </c>
      <c r="M233" s="403" t="s">
        <v>7914</v>
      </c>
      <c r="N233" s="403" t="s">
        <v>1837</v>
      </c>
      <c r="O233" s="403" t="s">
        <v>7084</v>
      </c>
      <c r="P233" s="403" t="s">
        <v>1838</v>
      </c>
      <c r="Q233" s="403" t="s">
        <v>7915</v>
      </c>
      <c r="R233" s="403" t="s">
        <v>18747</v>
      </c>
      <c r="S233" s="403" t="s">
        <v>14336</v>
      </c>
      <c r="T233" s="403" t="s">
        <v>14337</v>
      </c>
      <c r="U233" s="403"/>
      <c r="V233" s="403" t="s">
        <v>23024</v>
      </c>
      <c r="W233" s="403" t="s">
        <v>23024</v>
      </c>
      <c r="X233" s="403" t="s">
        <v>23024</v>
      </c>
      <c r="Y233" s="403" t="s">
        <v>23024</v>
      </c>
    </row>
    <row r="234" spans="1:25">
      <c r="A234" s="363">
        <f t="shared" si="31"/>
        <v>233</v>
      </c>
      <c r="B234" s="363" t="str">
        <f t="shared" si="24"/>
        <v>44</v>
      </c>
      <c r="C234" s="405" t="str">
        <f t="shared" si="25"/>
        <v>第001949号</v>
      </c>
      <c r="D234" s="405" t="str">
        <f t="shared" si="26"/>
        <v>（株）三重綜合建設工業</v>
      </c>
      <c r="E234" s="405" t="str">
        <f t="shared" si="27"/>
        <v>代表取締役</v>
      </c>
      <c r="F234" s="405" t="str">
        <f t="shared" si="28"/>
        <v>後藤　匡豪</v>
      </c>
      <c r="G234" s="405" t="str">
        <f t="shared" si="29"/>
        <v>主たる営業所</v>
      </c>
      <c r="H234" s="405" t="str">
        <f t="shared" si="30"/>
        <v>豊後大野市三重町赤嶺１２２４－３</v>
      </c>
      <c r="L234" s="403" t="s">
        <v>7916</v>
      </c>
      <c r="M234" s="403" t="s">
        <v>7917</v>
      </c>
      <c r="N234" s="403" t="s">
        <v>1839</v>
      </c>
      <c r="O234" s="403" t="s">
        <v>7084</v>
      </c>
      <c r="P234" s="403" t="s">
        <v>1840</v>
      </c>
      <c r="Q234" s="403" t="s">
        <v>7879</v>
      </c>
      <c r="R234" s="403" t="s">
        <v>18748</v>
      </c>
      <c r="S234" s="403" t="s">
        <v>14338</v>
      </c>
      <c r="T234" s="403" t="s">
        <v>14339</v>
      </c>
      <c r="U234" s="403"/>
      <c r="V234" s="403" t="s">
        <v>23024</v>
      </c>
      <c r="W234" s="403" t="s">
        <v>23024</v>
      </c>
      <c r="X234" s="403" t="s">
        <v>23024</v>
      </c>
      <c r="Y234" s="403" t="s">
        <v>23024</v>
      </c>
    </row>
    <row r="235" spans="1:25">
      <c r="A235" s="363">
        <f t="shared" si="31"/>
        <v>234</v>
      </c>
      <c r="B235" s="363" t="str">
        <f t="shared" si="24"/>
        <v>44</v>
      </c>
      <c r="C235" s="405" t="str">
        <f t="shared" si="25"/>
        <v>第001955号</v>
      </c>
      <c r="D235" s="405" t="str">
        <f t="shared" si="26"/>
        <v>（株）立本組</v>
      </c>
      <c r="E235" s="405" t="str">
        <f t="shared" si="27"/>
        <v>代表取締役</v>
      </c>
      <c r="F235" s="405" t="str">
        <f t="shared" si="28"/>
        <v>立本　勝男</v>
      </c>
      <c r="G235" s="405" t="str">
        <f t="shared" si="29"/>
        <v>主たる営業所</v>
      </c>
      <c r="H235" s="405" t="str">
        <f t="shared" si="30"/>
        <v>豊後大野市犬飼町下津尾３５０５－９</v>
      </c>
      <c r="L235" s="403" t="s">
        <v>7918</v>
      </c>
      <c r="M235" s="403" t="s">
        <v>7919</v>
      </c>
      <c r="N235" s="403" t="s">
        <v>1841</v>
      </c>
      <c r="O235" s="403" t="s">
        <v>7084</v>
      </c>
      <c r="P235" s="403" t="s">
        <v>1842</v>
      </c>
      <c r="Q235" s="403" t="s">
        <v>7920</v>
      </c>
      <c r="R235" s="403" t="s">
        <v>18749</v>
      </c>
      <c r="S235" s="403" t="s">
        <v>14340</v>
      </c>
      <c r="T235" s="403" t="s">
        <v>14341</v>
      </c>
      <c r="U235" s="403"/>
      <c r="V235" s="403" t="s">
        <v>23024</v>
      </c>
      <c r="W235" s="403" t="s">
        <v>23024</v>
      </c>
      <c r="X235" s="403" t="s">
        <v>23024</v>
      </c>
      <c r="Y235" s="403" t="s">
        <v>23024</v>
      </c>
    </row>
    <row r="236" spans="1:25">
      <c r="A236" s="363">
        <f t="shared" si="31"/>
        <v>235</v>
      </c>
      <c r="B236" s="363" t="str">
        <f t="shared" si="24"/>
        <v>44</v>
      </c>
      <c r="C236" s="405" t="str">
        <f t="shared" si="25"/>
        <v>第001985号</v>
      </c>
      <c r="D236" s="405" t="str">
        <f t="shared" si="26"/>
        <v>（株）ミヤマ</v>
      </c>
      <c r="E236" s="405" t="str">
        <f t="shared" si="27"/>
        <v>代表取締役</v>
      </c>
      <c r="F236" s="405" t="str">
        <f t="shared" si="28"/>
        <v>麻生　邦彦</v>
      </c>
      <c r="G236" s="405" t="str">
        <f t="shared" si="29"/>
        <v>主たる営業所</v>
      </c>
      <c r="H236" s="405" t="str">
        <f t="shared" si="30"/>
        <v>竹田市久住町大字有氏４８６－１</v>
      </c>
      <c r="L236" s="403" t="s">
        <v>7921</v>
      </c>
      <c r="M236" s="403" t="s">
        <v>7922</v>
      </c>
      <c r="N236" s="403" t="s">
        <v>1843</v>
      </c>
      <c r="O236" s="403" t="s">
        <v>7084</v>
      </c>
      <c r="P236" s="403" t="s">
        <v>1844</v>
      </c>
      <c r="Q236" s="403" t="s">
        <v>7923</v>
      </c>
      <c r="R236" s="403" t="s">
        <v>18750</v>
      </c>
      <c r="S236" s="403" t="s">
        <v>14342</v>
      </c>
      <c r="T236" s="403" t="s">
        <v>14343</v>
      </c>
      <c r="U236" s="403"/>
      <c r="V236" s="403" t="s">
        <v>23024</v>
      </c>
      <c r="W236" s="403" t="s">
        <v>23024</v>
      </c>
      <c r="X236" s="403" t="s">
        <v>23024</v>
      </c>
      <c r="Y236" s="403" t="s">
        <v>23024</v>
      </c>
    </row>
    <row r="237" spans="1:25">
      <c r="A237" s="363">
        <f t="shared" si="31"/>
        <v>236</v>
      </c>
      <c r="B237" s="363" t="str">
        <f t="shared" si="24"/>
        <v>44</v>
      </c>
      <c r="C237" s="405" t="str">
        <f t="shared" si="25"/>
        <v>第001994号</v>
      </c>
      <c r="D237" s="405" t="str">
        <f t="shared" si="26"/>
        <v>（有）犬飼工務店</v>
      </c>
      <c r="E237" s="405" t="str">
        <f t="shared" si="27"/>
        <v>代表取締役</v>
      </c>
      <c r="F237" s="405" t="str">
        <f t="shared" si="28"/>
        <v>渡邊　典子</v>
      </c>
      <c r="G237" s="405" t="str">
        <f t="shared" si="29"/>
        <v>主たる営業所</v>
      </c>
      <c r="H237" s="405" t="str">
        <f t="shared" si="30"/>
        <v>豊後大野市犬飼町久原３４７－１２</v>
      </c>
      <c r="L237" s="403" t="s">
        <v>7924</v>
      </c>
      <c r="M237" s="403" t="s">
        <v>7925</v>
      </c>
      <c r="N237" s="403" t="s">
        <v>1845</v>
      </c>
      <c r="O237" s="403" t="s">
        <v>7084</v>
      </c>
      <c r="P237" s="403" t="s">
        <v>1846</v>
      </c>
      <c r="Q237" s="403" t="s">
        <v>7926</v>
      </c>
      <c r="R237" s="403" t="s">
        <v>18751</v>
      </c>
      <c r="S237" s="403" t="s">
        <v>14344</v>
      </c>
      <c r="T237" s="403" t="s">
        <v>14344</v>
      </c>
      <c r="U237" s="403"/>
      <c r="V237" s="403" t="s">
        <v>23024</v>
      </c>
      <c r="W237" s="403" t="s">
        <v>23024</v>
      </c>
      <c r="X237" s="403" t="s">
        <v>23024</v>
      </c>
      <c r="Y237" s="403" t="s">
        <v>23024</v>
      </c>
    </row>
    <row r="238" spans="1:25">
      <c r="A238" s="363">
        <f t="shared" si="31"/>
        <v>237</v>
      </c>
      <c r="B238" s="363" t="str">
        <f t="shared" si="24"/>
        <v>44</v>
      </c>
      <c r="C238" s="405" t="str">
        <f t="shared" si="25"/>
        <v>第001995号</v>
      </c>
      <c r="D238" s="405" t="str">
        <f t="shared" si="26"/>
        <v>（有）三重電設</v>
      </c>
      <c r="E238" s="405" t="str">
        <f t="shared" si="27"/>
        <v>代表取締役</v>
      </c>
      <c r="F238" s="405" t="str">
        <f t="shared" si="28"/>
        <v>友清　絹代</v>
      </c>
      <c r="G238" s="405" t="str">
        <f t="shared" si="29"/>
        <v>主たる営業所</v>
      </c>
      <c r="H238" s="405" t="str">
        <f t="shared" si="30"/>
        <v>豊後大野市三重町赤嶺１１２６</v>
      </c>
      <c r="L238" s="403" t="s">
        <v>7927</v>
      </c>
      <c r="M238" s="403" t="s">
        <v>7928</v>
      </c>
      <c r="N238" s="403" t="s">
        <v>1847</v>
      </c>
      <c r="O238" s="403" t="s">
        <v>7084</v>
      </c>
      <c r="P238" s="403" t="s">
        <v>5222</v>
      </c>
      <c r="Q238" s="403" t="s">
        <v>7879</v>
      </c>
      <c r="R238" s="403" t="s">
        <v>5378</v>
      </c>
      <c r="S238" s="403" t="s">
        <v>14345</v>
      </c>
      <c r="T238" s="403" t="s">
        <v>14346</v>
      </c>
      <c r="U238" s="403"/>
      <c r="V238" s="403" t="s">
        <v>23024</v>
      </c>
      <c r="W238" s="403" t="s">
        <v>23024</v>
      </c>
      <c r="X238" s="403" t="s">
        <v>23024</v>
      </c>
      <c r="Y238" s="403" t="s">
        <v>23024</v>
      </c>
    </row>
    <row r="239" spans="1:25">
      <c r="A239" s="363">
        <f t="shared" si="31"/>
        <v>238</v>
      </c>
      <c r="B239" s="363" t="str">
        <f t="shared" si="24"/>
        <v>44</v>
      </c>
      <c r="C239" s="405" t="str">
        <f t="shared" si="25"/>
        <v>第001997号</v>
      </c>
      <c r="D239" s="405" t="str">
        <f t="shared" si="26"/>
        <v>Ｃ－ＴＥＣＨ（株）</v>
      </c>
      <c r="E239" s="405" t="str">
        <f t="shared" si="27"/>
        <v>代表取締役</v>
      </c>
      <c r="F239" s="405" t="str">
        <f t="shared" si="28"/>
        <v>高原　浩</v>
      </c>
      <c r="G239" s="405" t="str">
        <f t="shared" si="29"/>
        <v>主たる営業所</v>
      </c>
      <c r="H239" s="405" t="str">
        <f t="shared" si="30"/>
        <v>豊後大野市緒方町鮒川１００５</v>
      </c>
      <c r="L239" s="403" t="s">
        <v>7929</v>
      </c>
      <c r="M239" s="403" t="s">
        <v>7930</v>
      </c>
      <c r="N239" s="403" t="s">
        <v>18752</v>
      </c>
      <c r="O239" s="403" t="s">
        <v>7084</v>
      </c>
      <c r="P239" s="403" t="s">
        <v>1848</v>
      </c>
      <c r="Q239" s="403" t="s">
        <v>7931</v>
      </c>
      <c r="R239" s="403" t="s">
        <v>5379</v>
      </c>
      <c r="S239" s="403" t="s">
        <v>14347</v>
      </c>
      <c r="T239" s="403" t="s">
        <v>14347</v>
      </c>
      <c r="U239" s="403"/>
      <c r="V239" s="403" t="s">
        <v>23024</v>
      </c>
      <c r="W239" s="403" t="s">
        <v>23024</v>
      </c>
      <c r="X239" s="403" t="s">
        <v>23024</v>
      </c>
      <c r="Y239" s="403" t="s">
        <v>23024</v>
      </c>
    </row>
    <row r="240" spans="1:25">
      <c r="A240" s="363">
        <f t="shared" si="31"/>
        <v>239</v>
      </c>
      <c r="B240" s="363" t="str">
        <f t="shared" si="24"/>
        <v>44</v>
      </c>
      <c r="C240" s="405" t="str">
        <f t="shared" si="25"/>
        <v>第002001号</v>
      </c>
      <c r="D240" s="405" t="str">
        <f t="shared" si="26"/>
        <v>川合電気工事（株）</v>
      </c>
      <c r="E240" s="405" t="str">
        <f t="shared" si="27"/>
        <v>代表取締役</v>
      </c>
      <c r="F240" s="405" t="str">
        <f t="shared" si="28"/>
        <v>川合　洋平</v>
      </c>
      <c r="G240" s="405" t="str">
        <f t="shared" si="29"/>
        <v>主たる営業所</v>
      </c>
      <c r="H240" s="405" t="str">
        <f t="shared" si="30"/>
        <v>竹田市大字竹田２０６３－１５</v>
      </c>
      <c r="L240" s="403" t="s">
        <v>7932</v>
      </c>
      <c r="M240" s="403" t="s">
        <v>7933</v>
      </c>
      <c r="N240" s="403" t="s">
        <v>1849</v>
      </c>
      <c r="O240" s="403" t="s">
        <v>7084</v>
      </c>
      <c r="P240" s="403" t="s">
        <v>1850</v>
      </c>
      <c r="Q240" s="403" t="s">
        <v>7934</v>
      </c>
      <c r="R240" s="403" t="s">
        <v>18753</v>
      </c>
      <c r="S240" s="403" t="s">
        <v>14348</v>
      </c>
      <c r="T240" s="403" t="s">
        <v>14349</v>
      </c>
      <c r="U240" s="403"/>
      <c r="V240" s="403" t="s">
        <v>23024</v>
      </c>
      <c r="W240" s="403" t="s">
        <v>23024</v>
      </c>
      <c r="X240" s="403" t="s">
        <v>23024</v>
      </c>
      <c r="Y240" s="403" t="s">
        <v>23024</v>
      </c>
    </row>
    <row r="241" spans="1:25">
      <c r="A241" s="363">
        <f t="shared" si="31"/>
        <v>240</v>
      </c>
      <c r="B241" s="363" t="str">
        <f t="shared" si="24"/>
        <v>44</v>
      </c>
      <c r="C241" s="405" t="str">
        <f t="shared" si="25"/>
        <v>第002009号</v>
      </c>
      <c r="D241" s="405" t="str">
        <f t="shared" si="26"/>
        <v>（株）友繁建設</v>
      </c>
      <c r="E241" s="405" t="str">
        <f t="shared" si="27"/>
        <v>代表取締役</v>
      </c>
      <c r="F241" s="405" t="str">
        <f t="shared" si="28"/>
        <v>友岡　勇治</v>
      </c>
      <c r="G241" s="405" t="str">
        <f t="shared" si="29"/>
        <v>主たる営業所</v>
      </c>
      <c r="H241" s="405" t="str">
        <f t="shared" si="30"/>
        <v>竹田市大字飛田川３３９７－１</v>
      </c>
      <c r="L241" s="403" t="s">
        <v>7935</v>
      </c>
      <c r="M241" s="403" t="s">
        <v>7936</v>
      </c>
      <c r="N241" s="403" t="s">
        <v>1851</v>
      </c>
      <c r="O241" s="403" t="s">
        <v>7084</v>
      </c>
      <c r="P241" s="403" t="s">
        <v>1852</v>
      </c>
      <c r="Q241" s="403" t="s">
        <v>7937</v>
      </c>
      <c r="R241" s="403" t="s">
        <v>18754</v>
      </c>
      <c r="S241" s="403" t="s">
        <v>14350</v>
      </c>
      <c r="T241" s="403" t="s">
        <v>14351</v>
      </c>
      <c r="U241" s="403"/>
      <c r="V241" s="403" t="s">
        <v>23024</v>
      </c>
      <c r="W241" s="403" t="s">
        <v>23024</v>
      </c>
      <c r="X241" s="403" t="s">
        <v>23024</v>
      </c>
      <c r="Y241" s="403" t="s">
        <v>23024</v>
      </c>
    </row>
    <row r="242" spans="1:25">
      <c r="A242" s="363">
        <f t="shared" si="31"/>
        <v>241</v>
      </c>
      <c r="B242" s="363" t="str">
        <f t="shared" si="24"/>
        <v>44</v>
      </c>
      <c r="C242" s="405" t="str">
        <f t="shared" si="25"/>
        <v>第002013号</v>
      </c>
      <c r="D242" s="405" t="str">
        <f t="shared" si="26"/>
        <v>（株）大丸建設</v>
      </c>
      <c r="E242" s="405" t="str">
        <f t="shared" si="27"/>
        <v>代表取締役</v>
      </c>
      <c r="F242" s="405" t="str">
        <f t="shared" si="28"/>
        <v>河野　公史</v>
      </c>
      <c r="G242" s="405" t="str">
        <f t="shared" si="29"/>
        <v>主たる営業所</v>
      </c>
      <c r="H242" s="405" t="str">
        <f t="shared" si="30"/>
        <v>竹田市大字会々３６４５－１</v>
      </c>
      <c r="L242" s="403" t="s">
        <v>7938</v>
      </c>
      <c r="M242" s="403" t="s">
        <v>7939</v>
      </c>
      <c r="N242" s="403" t="s">
        <v>1853</v>
      </c>
      <c r="O242" s="403" t="s">
        <v>7084</v>
      </c>
      <c r="P242" s="403" t="s">
        <v>1854</v>
      </c>
      <c r="Q242" s="403" t="s">
        <v>7940</v>
      </c>
      <c r="R242" s="403" t="s">
        <v>18755</v>
      </c>
      <c r="S242" s="403" t="s">
        <v>14352</v>
      </c>
      <c r="T242" s="403" t="s">
        <v>14353</v>
      </c>
      <c r="U242" s="403"/>
      <c r="V242" s="403" t="s">
        <v>23024</v>
      </c>
      <c r="W242" s="403" t="s">
        <v>23024</v>
      </c>
      <c r="X242" s="403" t="s">
        <v>23024</v>
      </c>
      <c r="Y242" s="403" t="s">
        <v>23024</v>
      </c>
    </row>
    <row r="243" spans="1:25">
      <c r="A243" s="363">
        <f t="shared" si="31"/>
        <v>242</v>
      </c>
      <c r="B243" s="363" t="str">
        <f t="shared" si="24"/>
        <v>44</v>
      </c>
      <c r="C243" s="405" t="str">
        <f t="shared" si="25"/>
        <v>第002028号</v>
      </c>
      <c r="D243" s="405" t="str">
        <f t="shared" si="26"/>
        <v>（株）明治建設</v>
      </c>
      <c r="E243" s="405" t="str">
        <f t="shared" si="27"/>
        <v>代表取締役</v>
      </c>
      <c r="F243" s="405" t="str">
        <f t="shared" si="28"/>
        <v>嶺田　浩二郎</v>
      </c>
      <c r="G243" s="405" t="str">
        <f t="shared" si="29"/>
        <v>主たる営業所</v>
      </c>
      <c r="H243" s="405" t="str">
        <f t="shared" si="30"/>
        <v>竹田市大字植木１８９５－１</v>
      </c>
      <c r="L243" s="403" t="s">
        <v>7941</v>
      </c>
      <c r="M243" s="403" t="s">
        <v>7942</v>
      </c>
      <c r="N243" s="403" t="s">
        <v>1855</v>
      </c>
      <c r="O243" s="403" t="s">
        <v>7084</v>
      </c>
      <c r="P243" s="403" t="s">
        <v>1856</v>
      </c>
      <c r="Q243" s="403" t="s">
        <v>7943</v>
      </c>
      <c r="R243" s="403" t="s">
        <v>18756</v>
      </c>
      <c r="S243" s="403" t="s">
        <v>14354</v>
      </c>
      <c r="T243" s="403" t="s">
        <v>14355</v>
      </c>
      <c r="U243" s="403"/>
      <c r="V243" s="403" t="s">
        <v>23024</v>
      </c>
      <c r="W243" s="403" t="s">
        <v>23024</v>
      </c>
      <c r="X243" s="403" t="s">
        <v>23024</v>
      </c>
      <c r="Y243" s="403" t="s">
        <v>23024</v>
      </c>
    </row>
    <row r="244" spans="1:25">
      <c r="A244" s="363">
        <f t="shared" si="31"/>
        <v>243</v>
      </c>
      <c r="B244" s="363" t="str">
        <f t="shared" si="24"/>
        <v>44</v>
      </c>
      <c r="C244" s="405" t="str">
        <f t="shared" si="25"/>
        <v>第002038号</v>
      </c>
      <c r="D244" s="405" t="str">
        <f t="shared" si="26"/>
        <v>（株）友岡建設</v>
      </c>
      <c r="E244" s="405" t="str">
        <f t="shared" si="27"/>
        <v>代表取締役</v>
      </c>
      <c r="F244" s="405" t="str">
        <f t="shared" si="28"/>
        <v>友岡　孝幸</v>
      </c>
      <c r="G244" s="405" t="str">
        <f t="shared" si="29"/>
        <v>主たる営業所</v>
      </c>
      <c r="H244" s="405" t="str">
        <f t="shared" si="30"/>
        <v>竹田市大字会々２８０８－５</v>
      </c>
      <c r="L244" s="403" t="s">
        <v>7944</v>
      </c>
      <c r="M244" s="403" t="s">
        <v>7945</v>
      </c>
      <c r="N244" s="403" t="s">
        <v>1857</v>
      </c>
      <c r="O244" s="403" t="s">
        <v>7084</v>
      </c>
      <c r="P244" s="403" t="s">
        <v>1858</v>
      </c>
      <c r="Q244" s="403" t="s">
        <v>7940</v>
      </c>
      <c r="R244" s="403" t="s">
        <v>18757</v>
      </c>
      <c r="S244" s="403" t="s">
        <v>14356</v>
      </c>
      <c r="T244" s="403" t="s">
        <v>14357</v>
      </c>
      <c r="U244" s="403"/>
      <c r="V244" s="403" t="s">
        <v>23024</v>
      </c>
      <c r="W244" s="403" t="s">
        <v>23024</v>
      </c>
      <c r="X244" s="403" t="s">
        <v>23024</v>
      </c>
      <c r="Y244" s="403" t="s">
        <v>23024</v>
      </c>
    </row>
    <row r="245" spans="1:25">
      <c r="A245" s="363">
        <f t="shared" si="31"/>
        <v>244</v>
      </c>
      <c r="B245" s="363" t="str">
        <f t="shared" si="24"/>
        <v>44</v>
      </c>
      <c r="C245" s="405" t="str">
        <f t="shared" si="25"/>
        <v>第002040号</v>
      </c>
      <c r="D245" s="405" t="str">
        <f t="shared" si="26"/>
        <v>広域建設（有）</v>
      </c>
      <c r="E245" s="405" t="str">
        <f t="shared" si="27"/>
        <v>代表取締役</v>
      </c>
      <c r="F245" s="405" t="str">
        <f t="shared" si="28"/>
        <v>相馬　哲治</v>
      </c>
      <c r="G245" s="405" t="str">
        <f t="shared" si="29"/>
        <v>主たる営業所</v>
      </c>
      <c r="H245" s="405" t="str">
        <f t="shared" si="30"/>
        <v>竹田市大字平田２１８０</v>
      </c>
      <c r="L245" s="403" t="s">
        <v>7946</v>
      </c>
      <c r="M245" s="403" t="s">
        <v>7947</v>
      </c>
      <c r="N245" s="403" t="s">
        <v>1859</v>
      </c>
      <c r="O245" s="403" t="s">
        <v>7084</v>
      </c>
      <c r="P245" s="403" t="s">
        <v>1860</v>
      </c>
      <c r="Q245" s="403" t="s">
        <v>7948</v>
      </c>
      <c r="R245" s="403" t="s">
        <v>5380</v>
      </c>
      <c r="S245" s="403" t="s">
        <v>14358</v>
      </c>
      <c r="T245" s="403" t="s">
        <v>14359</v>
      </c>
      <c r="U245" s="403"/>
      <c r="V245" s="403" t="s">
        <v>23024</v>
      </c>
      <c r="W245" s="403" t="s">
        <v>23024</v>
      </c>
      <c r="X245" s="403" t="s">
        <v>23024</v>
      </c>
      <c r="Y245" s="403" t="s">
        <v>23024</v>
      </c>
    </row>
    <row r="246" spans="1:25">
      <c r="A246" s="363">
        <f t="shared" si="31"/>
        <v>245</v>
      </c>
      <c r="B246" s="363" t="str">
        <f t="shared" si="24"/>
        <v>44</v>
      </c>
      <c r="C246" s="405" t="str">
        <f t="shared" si="25"/>
        <v>第002050号</v>
      </c>
      <c r="D246" s="405" t="str">
        <f t="shared" si="26"/>
        <v>（株）大広建設</v>
      </c>
      <c r="E246" s="405" t="str">
        <f t="shared" si="27"/>
        <v>代表取締役</v>
      </c>
      <c r="F246" s="405" t="str">
        <f t="shared" si="28"/>
        <v>大塚　隆司</v>
      </c>
      <c r="G246" s="405" t="str">
        <f t="shared" si="29"/>
        <v>主たる営業所</v>
      </c>
      <c r="H246" s="405" t="str">
        <f t="shared" si="30"/>
        <v>竹田市大字君ケ園８８３－８</v>
      </c>
      <c r="L246" s="403" t="s">
        <v>7949</v>
      </c>
      <c r="M246" s="403" t="s">
        <v>7950</v>
      </c>
      <c r="N246" s="403" t="s">
        <v>1861</v>
      </c>
      <c r="O246" s="403" t="s">
        <v>7084</v>
      </c>
      <c r="P246" s="403" t="s">
        <v>1862</v>
      </c>
      <c r="Q246" s="403" t="s">
        <v>7951</v>
      </c>
      <c r="R246" s="403" t="s">
        <v>18758</v>
      </c>
      <c r="S246" s="403" t="s">
        <v>14360</v>
      </c>
      <c r="T246" s="403" t="s">
        <v>14361</v>
      </c>
      <c r="U246" s="403"/>
      <c r="V246" s="403" t="s">
        <v>23024</v>
      </c>
      <c r="W246" s="403" t="s">
        <v>23024</v>
      </c>
      <c r="X246" s="403" t="s">
        <v>23024</v>
      </c>
      <c r="Y246" s="403" t="s">
        <v>23024</v>
      </c>
    </row>
    <row r="247" spans="1:25">
      <c r="A247" s="363">
        <f t="shared" si="31"/>
        <v>246</v>
      </c>
      <c r="B247" s="363" t="str">
        <f t="shared" si="24"/>
        <v>44</v>
      </c>
      <c r="C247" s="405" t="str">
        <f t="shared" si="25"/>
        <v>第002055号</v>
      </c>
      <c r="D247" s="405" t="str">
        <f t="shared" si="26"/>
        <v>（株）雄城</v>
      </c>
      <c r="E247" s="405" t="str">
        <f t="shared" si="27"/>
        <v>代表取締役</v>
      </c>
      <c r="F247" s="405" t="str">
        <f t="shared" si="28"/>
        <v>甲斐　寿康</v>
      </c>
      <c r="G247" s="405" t="str">
        <f t="shared" si="29"/>
        <v>主たる営業所</v>
      </c>
      <c r="H247" s="405" t="str">
        <f t="shared" si="30"/>
        <v>竹田市大字会々４６９３－１</v>
      </c>
      <c r="L247" s="403" t="s">
        <v>7952</v>
      </c>
      <c r="M247" s="403" t="s">
        <v>7953</v>
      </c>
      <c r="N247" s="403" t="s">
        <v>1863</v>
      </c>
      <c r="O247" s="403" t="s">
        <v>7084</v>
      </c>
      <c r="P247" s="403" t="s">
        <v>1864</v>
      </c>
      <c r="Q247" s="403" t="s">
        <v>7940</v>
      </c>
      <c r="R247" s="403" t="s">
        <v>18759</v>
      </c>
      <c r="S247" s="403" t="s">
        <v>14362</v>
      </c>
      <c r="T247" s="403" t="s">
        <v>14363</v>
      </c>
      <c r="U247" s="403"/>
      <c r="V247" s="403" t="s">
        <v>23024</v>
      </c>
      <c r="W247" s="403" t="s">
        <v>23024</v>
      </c>
      <c r="X247" s="403" t="s">
        <v>23024</v>
      </c>
      <c r="Y247" s="403" t="s">
        <v>23024</v>
      </c>
    </row>
    <row r="248" spans="1:25">
      <c r="A248" s="363">
        <f t="shared" si="31"/>
        <v>247</v>
      </c>
      <c r="B248" s="363" t="str">
        <f t="shared" si="24"/>
        <v>44</v>
      </c>
      <c r="C248" s="405" t="str">
        <f t="shared" si="25"/>
        <v>第002072号</v>
      </c>
      <c r="D248" s="405" t="str">
        <f t="shared" si="26"/>
        <v>（株）ＳＰカンパニー</v>
      </c>
      <c r="E248" s="405" t="str">
        <f t="shared" si="27"/>
        <v>代表取締役</v>
      </c>
      <c r="F248" s="405" t="str">
        <f t="shared" si="28"/>
        <v>今山　裕也</v>
      </c>
      <c r="G248" s="405" t="str">
        <f t="shared" si="29"/>
        <v>主たる営業所</v>
      </c>
      <c r="H248" s="405" t="str">
        <f t="shared" si="30"/>
        <v>佐伯市大字上岡５０３－１</v>
      </c>
      <c r="L248" s="403" t="s">
        <v>7955</v>
      </c>
      <c r="M248" s="403" t="s">
        <v>11823</v>
      </c>
      <c r="N248" s="403" t="s">
        <v>5010</v>
      </c>
      <c r="O248" s="403" t="s">
        <v>7084</v>
      </c>
      <c r="P248" s="403" t="s">
        <v>18760</v>
      </c>
      <c r="Q248" s="403" t="s">
        <v>8530</v>
      </c>
      <c r="R248" s="403" t="s">
        <v>18761</v>
      </c>
      <c r="S248" s="403" t="s">
        <v>18762</v>
      </c>
      <c r="T248" s="403">
        <v>0</v>
      </c>
      <c r="U248" s="403"/>
      <c r="V248" s="403" t="s">
        <v>23024</v>
      </c>
      <c r="W248" s="403" t="s">
        <v>23024</v>
      </c>
      <c r="X248" s="403" t="s">
        <v>23024</v>
      </c>
      <c r="Y248" s="403" t="s">
        <v>23024</v>
      </c>
    </row>
    <row r="249" spans="1:25">
      <c r="A249" s="363">
        <f t="shared" si="31"/>
        <v>248</v>
      </c>
      <c r="B249" s="363" t="str">
        <f t="shared" si="24"/>
        <v>44</v>
      </c>
      <c r="C249" s="405" t="str">
        <f t="shared" si="25"/>
        <v>第002074号</v>
      </c>
      <c r="D249" s="405" t="str">
        <f t="shared" si="26"/>
        <v>（有）川野組</v>
      </c>
      <c r="E249" s="405" t="str">
        <f t="shared" si="27"/>
        <v>代表取締役</v>
      </c>
      <c r="F249" s="405" t="str">
        <f t="shared" si="28"/>
        <v>工藤　克秀</v>
      </c>
      <c r="G249" s="405" t="str">
        <f t="shared" si="29"/>
        <v>主たる営業所</v>
      </c>
      <c r="H249" s="405" t="str">
        <f t="shared" si="30"/>
        <v>竹田市大字竹田２６０１－３</v>
      </c>
      <c r="L249" s="403" t="s">
        <v>7957</v>
      </c>
      <c r="M249" s="403" t="s">
        <v>7762</v>
      </c>
      <c r="N249" s="403" t="s">
        <v>1866</v>
      </c>
      <c r="O249" s="403" t="s">
        <v>7084</v>
      </c>
      <c r="P249" s="403" t="s">
        <v>1867</v>
      </c>
      <c r="Q249" s="403" t="s">
        <v>7934</v>
      </c>
      <c r="R249" s="403" t="s">
        <v>18763</v>
      </c>
      <c r="S249" s="403" t="s">
        <v>14364</v>
      </c>
      <c r="T249" s="403" t="s">
        <v>14365</v>
      </c>
      <c r="U249" s="403"/>
      <c r="V249" s="403" t="s">
        <v>23024</v>
      </c>
      <c r="W249" s="403" t="s">
        <v>23024</v>
      </c>
      <c r="X249" s="403" t="s">
        <v>23024</v>
      </c>
      <c r="Y249" s="403" t="s">
        <v>23024</v>
      </c>
    </row>
    <row r="250" spans="1:25">
      <c r="A250" s="363">
        <f t="shared" si="31"/>
        <v>249</v>
      </c>
      <c r="B250" s="363" t="str">
        <f t="shared" si="24"/>
        <v>44</v>
      </c>
      <c r="C250" s="405" t="str">
        <f t="shared" si="25"/>
        <v>第002076号</v>
      </c>
      <c r="D250" s="405" t="str">
        <f t="shared" si="26"/>
        <v>（有）嘉月建設</v>
      </c>
      <c r="E250" s="405" t="str">
        <f t="shared" si="27"/>
        <v>代表取締役</v>
      </c>
      <c r="F250" s="405" t="str">
        <f t="shared" si="28"/>
        <v>嘉月　孝志</v>
      </c>
      <c r="G250" s="405" t="str">
        <f t="shared" si="29"/>
        <v>主たる営業所</v>
      </c>
      <c r="H250" s="405" t="str">
        <f t="shared" si="30"/>
        <v>竹田市久住町大字久住６２６４－１</v>
      </c>
      <c r="L250" s="403" t="s">
        <v>7958</v>
      </c>
      <c r="M250" s="403" t="s">
        <v>7959</v>
      </c>
      <c r="N250" s="403" t="s">
        <v>1868</v>
      </c>
      <c r="O250" s="403" t="s">
        <v>7084</v>
      </c>
      <c r="P250" s="403" t="s">
        <v>1869</v>
      </c>
      <c r="Q250" s="403" t="s">
        <v>7960</v>
      </c>
      <c r="R250" s="403" t="s">
        <v>18764</v>
      </c>
      <c r="S250" s="403" t="s">
        <v>14366</v>
      </c>
      <c r="T250" s="403" t="s">
        <v>14366</v>
      </c>
      <c r="U250" s="403"/>
      <c r="V250" s="403" t="s">
        <v>23024</v>
      </c>
      <c r="W250" s="403" t="s">
        <v>23024</v>
      </c>
      <c r="X250" s="403" t="s">
        <v>23024</v>
      </c>
      <c r="Y250" s="403" t="s">
        <v>23024</v>
      </c>
    </row>
    <row r="251" spans="1:25">
      <c r="A251" s="363">
        <f t="shared" si="31"/>
        <v>250</v>
      </c>
      <c r="B251" s="363" t="str">
        <f t="shared" si="24"/>
        <v>44</v>
      </c>
      <c r="C251" s="405" t="str">
        <f t="shared" si="25"/>
        <v>第002077号</v>
      </c>
      <c r="D251" s="405" t="str">
        <f t="shared" si="26"/>
        <v>（有）湯地建設</v>
      </c>
      <c r="E251" s="405" t="str">
        <f t="shared" si="27"/>
        <v>代表取締役</v>
      </c>
      <c r="F251" s="405" t="str">
        <f t="shared" si="28"/>
        <v>湯地　公士</v>
      </c>
      <c r="G251" s="405" t="str">
        <f t="shared" si="29"/>
        <v>主たる営業所</v>
      </c>
      <c r="H251" s="405" t="str">
        <f t="shared" si="30"/>
        <v>竹田市久住町大字久住５－１</v>
      </c>
      <c r="L251" s="403" t="s">
        <v>7961</v>
      </c>
      <c r="M251" s="403" t="s">
        <v>7962</v>
      </c>
      <c r="N251" s="403" t="s">
        <v>1870</v>
      </c>
      <c r="O251" s="403" t="s">
        <v>7084</v>
      </c>
      <c r="P251" s="403" t="s">
        <v>1871</v>
      </c>
      <c r="Q251" s="403" t="s">
        <v>7960</v>
      </c>
      <c r="R251" s="403" t="s">
        <v>18765</v>
      </c>
      <c r="S251" s="403" t="s">
        <v>14367</v>
      </c>
      <c r="T251" s="403" t="s">
        <v>14368</v>
      </c>
      <c r="U251" s="403"/>
      <c r="V251" s="403" t="s">
        <v>23024</v>
      </c>
      <c r="W251" s="403" t="s">
        <v>23024</v>
      </c>
      <c r="X251" s="403" t="s">
        <v>23024</v>
      </c>
      <c r="Y251" s="403" t="s">
        <v>23024</v>
      </c>
    </row>
    <row r="252" spans="1:25">
      <c r="A252" s="363">
        <f t="shared" si="31"/>
        <v>251</v>
      </c>
      <c r="B252" s="363" t="str">
        <f t="shared" si="24"/>
        <v>44</v>
      </c>
      <c r="C252" s="405" t="str">
        <f t="shared" si="25"/>
        <v>第002080号</v>
      </c>
      <c r="D252" s="405" t="str">
        <f t="shared" si="26"/>
        <v>（有）中央建設</v>
      </c>
      <c r="E252" s="405" t="str">
        <f t="shared" si="27"/>
        <v>代表取締役</v>
      </c>
      <c r="F252" s="405" t="str">
        <f t="shared" si="28"/>
        <v>志賀　達也</v>
      </c>
      <c r="G252" s="405" t="str">
        <f t="shared" si="29"/>
        <v>主たる営業所</v>
      </c>
      <c r="H252" s="405" t="str">
        <f t="shared" si="30"/>
        <v>竹田市大字竹田２４１２－１</v>
      </c>
      <c r="L252" s="403" t="s">
        <v>7963</v>
      </c>
      <c r="M252" s="403" t="s">
        <v>7964</v>
      </c>
      <c r="N252" s="403" t="s">
        <v>1872</v>
      </c>
      <c r="O252" s="403" t="s">
        <v>7084</v>
      </c>
      <c r="P252" s="403" t="s">
        <v>1873</v>
      </c>
      <c r="Q252" s="403" t="s">
        <v>7934</v>
      </c>
      <c r="R252" s="403" t="s">
        <v>18766</v>
      </c>
      <c r="S252" s="403" t="s">
        <v>14369</v>
      </c>
      <c r="T252" s="403" t="s">
        <v>14370</v>
      </c>
      <c r="U252" s="403"/>
      <c r="V252" s="403" t="s">
        <v>23024</v>
      </c>
      <c r="W252" s="403" t="s">
        <v>23024</v>
      </c>
      <c r="X252" s="403" t="s">
        <v>23024</v>
      </c>
      <c r="Y252" s="403" t="s">
        <v>23024</v>
      </c>
    </row>
    <row r="253" spans="1:25">
      <c r="A253" s="363">
        <f t="shared" si="31"/>
        <v>252</v>
      </c>
      <c r="B253" s="363" t="str">
        <f t="shared" si="24"/>
        <v>44</v>
      </c>
      <c r="C253" s="405" t="str">
        <f t="shared" si="25"/>
        <v>第002100号</v>
      </c>
      <c r="D253" s="405" t="str">
        <f t="shared" si="26"/>
        <v>（有）興陽建設</v>
      </c>
      <c r="E253" s="405" t="str">
        <f t="shared" si="27"/>
        <v>代表取締役</v>
      </c>
      <c r="F253" s="405" t="str">
        <f t="shared" si="28"/>
        <v>衞藤　理惠</v>
      </c>
      <c r="G253" s="405" t="str">
        <f t="shared" si="29"/>
        <v>主たる営業所</v>
      </c>
      <c r="H253" s="405" t="str">
        <f t="shared" si="30"/>
        <v>竹田市大字門田３２９２－８</v>
      </c>
      <c r="L253" s="404" t="s">
        <v>7966</v>
      </c>
      <c r="M253" s="404" t="s">
        <v>7967</v>
      </c>
      <c r="N253" s="404" t="s">
        <v>1874</v>
      </c>
      <c r="O253" s="404" t="s">
        <v>7084</v>
      </c>
      <c r="P253" s="404" t="s">
        <v>1875</v>
      </c>
      <c r="Q253" s="404" t="s">
        <v>7968</v>
      </c>
      <c r="R253" s="404" t="s">
        <v>18767</v>
      </c>
      <c r="S253" s="404" t="s">
        <v>14371</v>
      </c>
      <c r="T253" s="404" t="s">
        <v>14372</v>
      </c>
      <c r="U253" s="404"/>
      <c r="V253" s="404" t="s">
        <v>23024</v>
      </c>
      <c r="W253" s="404" t="s">
        <v>23024</v>
      </c>
      <c r="X253" s="404" t="s">
        <v>23024</v>
      </c>
      <c r="Y253" s="404" t="s">
        <v>23024</v>
      </c>
    </row>
    <row r="254" spans="1:25">
      <c r="A254" s="363">
        <f t="shared" si="31"/>
        <v>253</v>
      </c>
      <c r="B254" s="363" t="str">
        <f t="shared" si="24"/>
        <v>44</v>
      </c>
      <c r="C254" s="405" t="str">
        <f t="shared" si="25"/>
        <v>第002101号</v>
      </c>
      <c r="D254" s="405" t="str">
        <f t="shared" si="26"/>
        <v>（株）井原組</v>
      </c>
      <c r="E254" s="405" t="str">
        <f t="shared" si="27"/>
        <v>代表取締役社長</v>
      </c>
      <c r="F254" s="405" t="str">
        <f t="shared" si="28"/>
        <v>井原　昭文</v>
      </c>
      <c r="G254" s="405" t="str">
        <f t="shared" si="29"/>
        <v>主たる営業所</v>
      </c>
      <c r="H254" s="405" t="str">
        <f t="shared" si="30"/>
        <v>玖珠郡九重町大字右田７１９－３</v>
      </c>
      <c r="L254" s="402" t="s">
        <v>7969</v>
      </c>
      <c r="M254" s="402" t="s">
        <v>7970</v>
      </c>
      <c r="N254" s="402" t="s">
        <v>1876</v>
      </c>
      <c r="O254" s="402" t="s">
        <v>7083</v>
      </c>
      <c r="P254" s="402" t="s">
        <v>1877</v>
      </c>
      <c r="Q254" s="402" t="s">
        <v>7971</v>
      </c>
      <c r="R254" s="402" t="s">
        <v>18768</v>
      </c>
      <c r="S254" s="402" t="s">
        <v>14373</v>
      </c>
      <c r="T254" s="402" t="s">
        <v>14374</v>
      </c>
      <c r="U254" s="402"/>
      <c r="V254" s="402" t="s">
        <v>23024</v>
      </c>
      <c r="W254" s="402" t="s">
        <v>23024</v>
      </c>
      <c r="X254" s="402" t="s">
        <v>23024</v>
      </c>
      <c r="Y254" s="402" t="s">
        <v>23024</v>
      </c>
    </row>
    <row r="255" spans="1:25">
      <c r="A255" s="363">
        <f t="shared" si="31"/>
        <v>254</v>
      </c>
      <c r="B255" s="363" t="str">
        <f t="shared" si="24"/>
        <v>44</v>
      </c>
      <c r="C255" s="405" t="str">
        <f t="shared" si="25"/>
        <v>第002102号</v>
      </c>
      <c r="D255" s="405" t="str">
        <f t="shared" si="26"/>
        <v>三笘組</v>
      </c>
      <c r="E255" s="405" t="str">
        <f t="shared" si="27"/>
        <v>代表者</v>
      </c>
      <c r="F255" s="405" t="str">
        <f t="shared" si="28"/>
        <v>三笘　秀己</v>
      </c>
      <c r="G255" s="405" t="str">
        <f t="shared" si="29"/>
        <v>主たる営業所</v>
      </c>
      <c r="H255" s="405" t="str">
        <f t="shared" si="30"/>
        <v>玖珠郡九重町大字右田３４０２－１</v>
      </c>
      <c r="L255" s="403" t="s">
        <v>7972</v>
      </c>
      <c r="M255" s="403" t="s">
        <v>7973</v>
      </c>
      <c r="N255" s="403" t="s">
        <v>1878</v>
      </c>
      <c r="O255" s="403" t="s">
        <v>7086</v>
      </c>
      <c r="P255" s="403" t="s">
        <v>1879</v>
      </c>
      <c r="Q255" s="403" t="s">
        <v>7974</v>
      </c>
      <c r="R255" s="403" t="s">
        <v>18769</v>
      </c>
      <c r="S255" s="403" t="s">
        <v>14375</v>
      </c>
      <c r="T255" s="403" t="s">
        <v>14375</v>
      </c>
      <c r="U255" s="403"/>
      <c r="V255" s="403" t="s">
        <v>23024</v>
      </c>
      <c r="W255" s="403" t="s">
        <v>23024</v>
      </c>
      <c r="X255" s="403" t="s">
        <v>23024</v>
      </c>
      <c r="Y255" s="403" t="s">
        <v>23024</v>
      </c>
    </row>
    <row r="256" spans="1:25">
      <c r="A256" s="363">
        <f t="shared" si="31"/>
        <v>255</v>
      </c>
      <c r="B256" s="363" t="str">
        <f t="shared" si="24"/>
        <v>44</v>
      </c>
      <c r="C256" s="405" t="str">
        <f t="shared" si="25"/>
        <v>第002107号</v>
      </c>
      <c r="D256" s="405" t="str">
        <f t="shared" si="26"/>
        <v>小倉建設（株）</v>
      </c>
      <c r="E256" s="405" t="str">
        <f t="shared" si="27"/>
        <v>代表取締役</v>
      </c>
      <c r="F256" s="405" t="str">
        <f t="shared" si="28"/>
        <v>永吉　陽一</v>
      </c>
      <c r="G256" s="405" t="str">
        <f t="shared" si="29"/>
        <v>主たる営業所</v>
      </c>
      <c r="H256" s="405" t="str">
        <f t="shared" si="30"/>
        <v>玖珠郡九重町大字引治５６１</v>
      </c>
      <c r="L256" s="403" t="s">
        <v>7975</v>
      </c>
      <c r="M256" s="403" t="s">
        <v>7976</v>
      </c>
      <c r="N256" s="403" t="s">
        <v>1880</v>
      </c>
      <c r="O256" s="403" t="s">
        <v>7084</v>
      </c>
      <c r="P256" s="403" t="s">
        <v>1881</v>
      </c>
      <c r="Q256" s="403" t="s">
        <v>10139</v>
      </c>
      <c r="R256" s="403" t="s">
        <v>18770</v>
      </c>
      <c r="S256" s="403" t="s">
        <v>14376</v>
      </c>
      <c r="T256" s="403" t="s">
        <v>14377</v>
      </c>
      <c r="U256" s="403"/>
      <c r="V256" s="403" t="s">
        <v>23024</v>
      </c>
      <c r="W256" s="403" t="s">
        <v>23024</v>
      </c>
      <c r="X256" s="403" t="s">
        <v>23024</v>
      </c>
      <c r="Y256" s="403" t="s">
        <v>23024</v>
      </c>
    </row>
    <row r="257" spans="1:25">
      <c r="A257" s="363">
        <f t="shared" si="31"/>
        <v>256</v>
      </c>
      <c r="B257" s="363" t="str">
        <f t="shared" si="24"/>
        <v>44</v>
      </c>
      <c r="C257" s="405" t="str">
        <f t="shared" si="25"/>
        <v>第002112号</v>
      </c>
      <c r="D257" s="405" t="str">
        <f t="shared" si="26"/>
        <v>豊州建設（株）</v>
      </c>
      <c r="E257" s="405" t="str">
        <f t="shared" si="27"/>
        <v>代表取締役</v>
      </c>
      <c r="F257" s="405" t="str">
        <f t="shared" si="28"/>
        <v>安部　匡史</v>
      </c>
      <c r="G257" s="405" t="str">
        <f t="shared" si="29"/>
        <v>主たる営業所</v>
      </c>
      <c r="H257" s="405" t="str">
        <f t="shared" si="30"/>
        <v>玖珠郡九重町大字田野１５５１</v>
      </c>
      <c r="L257" s="403" t="s">
        <v>7978</v>
      </c>
      <c r="M257" s="403" t="s">
        <v>7979</v>
      </c>
      <c r="N257" s="403" t="s">
        <v>1882</v>
      </c>
      <c r="O257" s="403" t="s">
        <v>7084</v>
      </c>
      <c r="P257" s="403" t="s">
        <v>1883</v>
      </c>
      <c r="Q257" s="403" t="s">
        <v>7980</v>
      </c>
      <c r="R257" s="403" t="s">
        <v>5381</v>
      </c>
      <c r="S257" s="403" t="s">
        <v>14378</v>
      </c>
      <c r="T257" s="403" t="s">
        <v>14379</v>
      </c>
      <c r="U257" s="403"/>
      <c r="V257" s="403" t="s">
        <v>23024</v>
      </c>
      <c r="W257" s="403" t="s">
        <v>23024</v>
      </c>
      <c r="X257" s="403" t="s">
        <v>23024</v>
      </c>
      <c r="Y257" s="403" t="s">
        <v>23024</v>
      </c>
    </row>
    <row r="258" spans="1:25">
      <c r="A258" s="363">
        <f t="shared" si="31"/>
        <v>257</v>
      </c>
      <c r="B258" s="363" t="str">
        <f t="shared" ref="B258:B321" si="32">LEFT(L258,2)</f>
        <v>44</v>
      </c>
      <c r="C258" s="405" t="str">
        <f t="shared" ref="C258:C321" si="33">IF(B258="","","第"&amp;RIGHT(L258,6)&amp;"号")</f>
        <v>第002118号</v>
      </c>
      <c r="D258" s="405" t="str">
        <f t="shared" ref="D258:D321" si="34">N258</f>
        <v>（有）野木組</v>
      </c>
      <c r="E258" s="405" t="str">
        <f t="shared" ref="E258:E321" si="35">IF(V258="　",O258,"")</f>
        <v>代表取締役</v>
      </c>
      <c r="F258" s="405" t="str">
        <f t="shared" ref="F258:F321" si="36">IF(V258="　",P258,W258)</f>
        <v>野木　睦雄</v>
      </c>
      <c r="G258" s="405" t="str">
        <f t="shared" ref="G258:G321" si="37">IF(V258="　","主たる営業所",V258)</f>
        <v>主たる営業所</v>
      </c>
      <c r="H258" s="405" t="str">
        <f t="shared" ref="H258:H321" si="38">IF(V258="　",R258,Y258)</f>
        <v>玖珠郡九重町大字田野１２５７－１</v>
      </c>
      <c r="L258" s="403" t="s">
        <v>7981</v>
      </c>
      <c r="M258" s="403" t="s">
        <v>7982</v>
      </c>
      <c r="N258" s="403" t="s">
        <v>1884</v>
      </c>
      <c r="O258" s="403" t="s">
        <v>7084</v>
      </c>
      <c r="P258" s="403" t="s">
        <v>1885</v>
      </c>
      <c r="Q258" s="403" t="s">
        <v>7980</v>
      </c>
      <c r="R258" s="403" t="s">
        <v>18771</v>
      </c>
      <c r="S258" s="403" t="s">
        <v>14380</v>
      </c>
      <c r="T258" s="403" t="s">
        <v>14381</v>
      </c>
      <c r="U258" s="403"/>
      <c r="V258" s="403" t="s">
        <v>23024</v>
      </c>
      <c r="W258" s="403" t="s">
        <v>23024</v>
      </c>
      <c r="X258" s="403" t="s">
        <v>23024</v>
      </c>
      <c r="Y258" s="403" t="s">
        <v>23024</v>
      </c>
    </row>
    <row r="259" spans="1:25">
      <c r="A259" s="363">
        <f t="shared" ref="A259:A322" si="39">IF(B259="","",A258+1)</f>
        <v>258</v>
      </c>
      <c r="B259" s="363" t="str">
        <f t="shared" si="32"/>
        <v>44</v>
      </c>
      <c r="C259" s="405" t="str">
        <f t="shared" si="33"/>
        <v>第002121号</v>
      </c>
      <c r="D259" s="405" t="str">
        <f t="shared" si="34"/>
        <v>長谷部（資）</v>
      </c>
      <c r="E259" s="405" t="str">
        <f t="shared" si="35"/>
        <v>代表社員</v>
      </c>
      <c r="F259" s="405" t="str">
        <f t="shared" si="36"/>
        <v>梶原　徳師</v>
      </c>
      <c r="G259" s="405" t="str">
        <f t="shared" si="37"/>
        <v>主たる営業所</v>
      </c>
      <c r="H259" s="405" t="str">
        <f t="shared" si="38"/>
        <v>玖珠郡玖珠町大字大隈９７２－５</v>
      </c>
      <c r="L259" s="403" t="s">
        <v>7983</v>
      </c>
      <c r="M259" s="403" t="s">
        <v>7984</v>
      </c>
      <c r="N259" s="403" t="s">
        <v>1886</v>
      </c>
      <c r="O259" s="403" t="s">
        <v>7087</v>
      </c>
      <c r="P259" s="403" t="s">
        <v>1887</v>
      </c>
      <c r="Q259" s="403" t="s">
        <v>7985</v>
      </c>
      <c r="R259" s="403" t="s">
        <v>18772</v>
      </c>
      <c r="S259" s="403" t="s">
        <v>14382</v>
      </c>
      <c r="T259" s="403" t="s">
        <v>14383</v>
      </c>
      <c r="U259" s="403"/>
      <c r="V259" s="403" t="s">
        <v>23024</v>
      </c>
      <c r="W259" s="403" t="s">
        <v>23024</v>
      </c>
      <c r="X259" s="403" t="s">
        <v>23024</v>
      </c>
      <c r="Y259" s="403" t="s">
        <v>23024</v>
      </c>
    </row>
    <row r="260" spans="1:25">
      <c r="A260" s="363">
        <f t="shared" si="39"/>
        <v>259</v>
      </c>
      <c r="B260" s="363" t="str">
        <f t="shared" si="32"/>
        <v>44</v>
      </c>
      <c r="C260" s="405" t="str">
        <f t="shared" si="33"/>
        <v>第002125号</v>
      </c>
      <c r="D260" s="405" t="str">
        <f t="shared" si="34"/>
        <v>久栄建設（株）</v>
      </c>
      <c r="E260" s="405" t="str">
        <f t="shared" si="35"/>
        <v>代表取締役</v>
      </c>
      <c r="F260" s="405" t="str">
        <f t="shared" si="36"/>
        <v>喜見　秀一郎</v>
      </c>
      <c r="G260" s="405" t="str">
        <f t="shared" si="37"/>
        <v>主たる営業所</v>
      </c>
      <c r="H260" s="405" t="str">
        <f t="shared" si="38"/>
        <v>玖珠郡玖珠町大字帆足８４１－２</v>
      </c>
      <c r="L260" s="403" t="s">
        <v>7986</v>
      </c>
      <c r="M260" s="403" t="s">
        <v>7987</v>
      </c>
      <c r="N260" s="403" t="s">
        <v>1888</v>
      </c>
      <c r="O260" s="403" t="s">
        <v>7084</v>
      </c>
      <c r="P260" s="403" t="s">
        <v>1889</v>
      </c>
      <c r="Q260" s="403" t="s">
        <v>7988</v>
      </c>
      <c r="R260" s="403" t="s">
        <v>18773</v>
      </c>
      <c r="S260" s="403" t="s">
        <v>14384</v>
      </c>
      <c r="T260" s="403" t="s">
        <v>14385</v>
      </c>
      <c r="U260" s="403"/>
      <c r="V260" s="403" t="s">
        <v>23024</v>
      </c>
      <c r="W260" s="403" t="s">
        <v>23024</v>
      </c>
      <c r="X260" s="403" t="s">
        <v>23024</v>
      </c>
      <c r="Y260" s="403" t="s">
        <v>23024</v>
      </c>
    </row>
    <row r="261" spans="1:25">
      <c r="A261" s="363">
        <f t="shared" si="39"/>
        <v>260</v>
      </c>
      <c r="B261" s="363" t="str">
        <f t="shared" si="32"/>
        <v>44</v>
      </c>
      <c r="C261" s="405" t="str">
        <f t="shared" si="33"/>
        <v>第002130号</v>
      </c>
      <c r="D261" s="405" t="str">
        <f t="shared" si="34"/>
        <v>（株）梅木工務店</v>
      </c>
      <c r="E261" s="405" t="str">
        <f t="shared" si="35"/>
        <v>代表取締役</v>
      </c>
      <c r="F261" s="405" t="str">
        <f t="shared" si="36"/>
        <v>梅木　邦隆</v>
      </c>
      <c r="G261" s="405" t="str">
        <f t="shared" si="37"/>
        <v>主たる営業所</v>
      </c>
      <c r="H261" s="405" t="str">
        <f t="shared" si="38"/>
        <v>玖珠郡九重町大字野上１７</v>
      </c>
      <c r="L261" s="403" t="s">
        <v>7989</v>
      </c>
      <c r="M261" s="403" t="s">
        <v>7990</v>
      </c>
      <c r="N261" s="403" t="s">
        <v>1890</v>
      </c>
      <c r="O261" s="403" t="s">
        <v>7084</v>
      </c>
      <c r="P261" s="403" t="s">
        <v>1891</v>
      </c>
      <c r="Q261" s="403" t="s">
        <v>7991</v>
      </c>
      <c r="R261" s="403" t="s">
        <v>5382</v>
      </c>
      <c r="S261" s="403" t="s">
        <v>14386</v>
      </c>
      <c r="T261" s="403" t="s">
        <v>14387</v>
      </c>
      <c r="U261" s="403"/>
      <c r="V261" s="403" t="s">
        <v>23024</v>
      </c>
      <c r="W261" s="403" t="s">
        <v>23024</v>
      </c>
      <c r="X261" s="403" t="s">
        <v>23024</v>
      </c>
      <c r="Y261" s="403" t="s">
        <v>23024</v>
      </c>
    </row>
    <row r="262" spans="1:25">
      <c r="A262" s="363">
        <f t="shared" si="39"/>
        <v>261</v>
      </c>
      <c r="B262" s="363" t="str">
        <f t="shared" si="32"/>
        <v>44</v>
      </c>
      <c r="C262" s="405" t="str">
        <f t="shared" si="33"/>
        <v>第002133号</v>
      </c>
      <c r="D262" s="405" t="str">
        <f t="shared" si="34"/>
        <v>（株）伊東組</v>
      </c>
      <c r="E262" s="405" t="str">
        <f t="shared" si="35"/>
        <v>代表取締役</v>
      </c>
      <c r="F262" s="405" t="str">
        <f t="shared" si="36"/>
        <v>河野　浩治</v>
      </c>
      <c r="G262" s="405" t="str">
        <f t="shared" si="37"/>
        <v>主たる営業所</v>
      </c>
      <c r="H262" s="405" t="str">
        <f t="shared" si="38"/>
        <v>玖珠郡九重町大字後野上１９１</v>
      </c>
      <c r="L262" s="403" t="s">
        <v>7992</v>
      </c>
      <c r="M262" s="403" t="s">
        <v>7717</v>
      </c>
      <c r="N262" s="403" t="s">
        <v>1703</v>
      </c>
      <c r="O262" s="403" t="s">
        <v>7084</v>
      </c>
      <c r="P262" s="403" t="s">
        <v>1892</v>
      </c>
      <c r="Q262" s="403" t="s">
        <v>7993</v>
      </c>
      <c r="R262" s="403" t="s">
        <v>5383</v>
      </c>
      <c r="S262" s="403" t="s">
        <v>14388</v>
      </c>
      <c r="T262" s="403" t="s">
        <v>14389</v>
      </c>
      <c r="U262" s="403"/>
      <c r="V262" s="403" t="s">
        <v>23024</v>
      </c>
      <c r="W262" s="403" t="s">
        <v>23024</v>
      </c>
      <c r="X262" s="403" t="s">
        <v>23024</v>
      </c>
      <c r="Y262" s="403" t="s">
        <v>23024</v>
      </c>
    </row>
    <row r="263" spans="1:25">
      <c r="A263" s="363">
        <f t="shared" si="39"/>
        <v>262</v>
      </c>
      <c r="B263" s="363" t="str">
        <f t="shared" si="32"/>
        <v>44</v>
      </c>
      <c r="C263" s="405" t="str">
        <f t="shared" si="33"/>
        <v>第002135号</v>
      </c>
      <c r="D263" s="405" t="str">
        <f t="shared" si="34"/>
        <v>（有）園田組</v>
      </c>
      <c r="E263" s="405" t="str">
        <f t="shared" si="35"/>
        <v>代表取締役</v>
      </c>
      <c r="F263" s="405" t="str">
        <f t="shared" si="36"/>
        <v>園田　真一</v>
      </c>
      <c r="G263" s="405" t="str">
        <f t="shared" si="37"/>
        <v>主たる営業所</v>
      </c>
      <c r="H263" s="405" t="str">
        <f t="shared" si="38"/>
        <v>玖珠郡玖珠町大字綾垣１５３８</v>
      </c>
      <c r="L263" s="403" t="s">
        <v>7994</v>
      </c>
      <c r="M263" s="403" t="s">
        <v>7995</v>
      </c>
      <c r="N263" s="403" t="s">
        <v>1893</v>
      </c>
      <c r="O263" s="403" t="s">
        <v>7084</v>
      </c>
      <c r="P263" s="403" t="s">
        <v>1894</v>
      </c>
      <c r="Q263" s="403" t="s">
        <v>7996</v>
      </c>
      <c r="R263" s="403" t="s">
        <v>5384</v>
      </c>
      <c r="S263" s="403" t="s">
        <v>14390</v>
      </c>
      <c r="T263" s="403" t="s">
        <v>14391</v>
      </c>
      <c r="U263" s="403"/>
      <c r="V263" s="403" t="s">
        <v>23024</v>
      </c>
      <c r="W263" s="403" t="s">
        <v>23024</v>
      </c>
      <c r="X263" s="403" t="s">
        <v>23024</v>
      </c>
      <c r="Y263" s="403" t="s">
        <v>23024</v>
      </c>
    </row>
    <row r="264" spans="1:25">
      <c r="A264" s="363">
        <f t="shared" si="39"/>
        <v>263</v>
      </c>
      <c r="B264" s="363" t="str">
        <f t="shared" si="32"/>
        <v>44</v>
      </c>
      <c r="C264" s="405" t="str">
        <f t="shared" si="33"/>
        <v>第002136号</v>
      </c>
      <c r="D264" s="405" t="str">
        <f t="shared" si="34"/>
        <v>（株）ヤマダ</v>
      </c>
      <c r="E264" s="405" t="str">
        <f t="shared" si="35"/>
        <v>代表取締役</v>
      </c>
      <c r="F264" s="405" t="str">
        <f t="shared" si="36"/>
        <v>喜見　真二</v>
      </c>
      <c r="G264" s="405" t="str">
        <f t="shared" si="37"/>
        <v>主たる営業所</v>
      </c>
      <c r="H264" s="405" t="str">
        <f t="shared" si="38"/>
        <v>玖珠郡玖珠町大字戸畑９７６－１６</v>
      </c>
      <c r="L264" s="403" t="s">
        <v>7997</v>
      </c>
      <c r="M264" s="403" t="s">
        <v>7998</v>
      </c>
      <c r="N264" s="403" t="s">
        <v>1895</v>
      </c>
      <c r="O264" s="403" t="s">
        <v>7084</v>
      </c>
      <c r="P264" s="403" t="s">
        <v>1896</v>
      </c>
      <c r="Q264" s="403" t="s">
        <v>7999</v>
      </c>
      <c r="R264" s="403" t="s">
        <v>18774</v>
      </c>
      <c r="S264" s="403" t="s">
        <v>14392</v>
      </c>
      <c r="T264" s="403" t="s">
        <v>14393</v>
      </c>
      <c r="U264" s="403"/>
      <c r="V264" s="403" t="s">
        <v>23024</v>
      </c>
      <c r="W264" s="403" t="s">
        <v>23024</v>
      </c>
      <c r="X264" s="403" t="s">
        <v>23024</v>
      </c>
      <c r="Y264" s="403" t="s">
        <v>23024</v>
      </c>
    </row>
    <row r="265" spans="1:25">
      <c r="A265" s="363">
        <f t="shared" si="39"/>
        <v>264</v>
      </c>
      <c r="B265" s="363" t="str">
        <f t="shared" si="32"/>
        <v>44</v>
      </c>
      <c r="C265" s="405" t="str">
        <f t="shared" si="33"/>
        <v>第002145号</v>
      </c>
      <c r="D265" s="405" t="str">
        <f t="shared" si="34"/>
        <v>（株）ミツヤマ</v>
      </c>
      <c r="E265" s="405" t="str">
        <f t="shared" si="35"/>
        <v>代表取締役</v>
      </c>
      <c r="F265" s="405" t="str">
        <f t="shared" si="36"/>
        <v>光山　茂弘</v>
      </c>
      <c r="G265" s="405" t="str">
        <f t="shared" si="37"/>
        <v>主たる営業所</v>
      </c>
      <c r="H265" s="405" t="str">
        <f t="shared" si="38"/>
        <v>玖珠郡九重町大字野上１２８８－１</v>
      </c>
      <c r="L265" s="403" t="s">
        <v>8000</v>
      </c>
      <c r="M265" s="403" t="s">
        <v>8001</v>
      </c>
      <c r="N265" s="403" t="s">
        <v>1897</v>
      </c>
      <c r="O265" s="403" t="s">
        <v>7084</v>
      </c>
      <c r="P265" s="403" t="s">
        <v>1898</v>
      </c>
      <c r="Q265" s="403" t="s">
        <v>7991</v>
      </c>
      <c r="R265" s="403" t="s">
        <v>18775</v>
      </c>
      <c r="S265" s="403" t="s">
        <v>14394</v>
      </c>
      <c r="T265" s="403" t="s">
        <v>14395</v>
      </c>
      <c r="U265" s="403"/>
      <c r="V265" s="403" t="s">
        <v>23024</v>
      </c>
      <c r="W265" s="403" t="s">
        <v>23024</v>
      </c>
      <c r="X265" s="403" t="s">
        <v>23024</v>
      </c>
      <c r="Y265" s="403" t="s">
        <v>23024</v>
      </c>
    </row>
    <row r="266" spans="1:25">
      <c r="A266" s="363">
        <f t="shared" si="39"/>
        <v>265</v>
      </c>
      <c r="B266" s="363" t="str">
        <f t="shared" si="32"/>
        <v>44</v>
      </c>
      <c r="C266" s="405" t="str">
        <f t="shared" si="33"/>
        <v>第002158号</v>
      </c>
      <c r="D266" s="405" t="str">
        <f t="shared" si="34"/>
        <v>（株）大東建設</v>
      </c>
      <c r="E266" s="405" t="str">
        <f t="shared" si="35"/>
        <v>代表取締役</v>
      </c>
      <c r="F266" s="405" t="str">
        <f t="shared" si="36"/>
        <v>小田　浩治</v>
      </c>
      <c r="G266" s="405" t="str">
        <f t="shared" si="37"/>
        <v>主たる営業所</v>
      </c>
      <c r="H266" s="405" t="str">
        <f t="shared" si="38"/>
        <v>玖珠郡九重町大字町田２６３０</v>
      </c>
      <c r="L266" s="403" t="s">
        <v>8002</v>
      </c>
      <c r="M266" s="403" t="s">
        <v>8003</v>
      </c>
      <c r="N266" s="403" t="s">
        <v>1899</v>
      </c>
      <c r="O266" s="403" t="s">
        <v>7084</v>
      </c>
      <c r="P266" s="403" t="s">
        <v>1900</v>
      </c>
      <c r="Q266" s="403" t="s">
        <v>7977</v>
      </c>
      <c r="R266" s="403" t="s">
        <v>5385</v>
      </c>
      <c r="S266" s="403" t="s">
        <v>14396</v>
      </c>
      <c r="T266" s="403" t="s">
        <v>14397</v>
      </c>
      <c r="U266" s="403"/>
      <c r="V266" s="403" t="s">
        <v>23024</v>
      </c>
      <c r="W266" s="403" t="s">
        <v>23024</v>
      </c>
      <c r="X266" s="403" t="s">
        <v>23024</v>
      </c>
      <c r="Y266" s="403" t="s">
        <v>23024</v>
      </c>
    </row>
    <row r="267" spans="1:25">
      <c r="A267" s="363">
        <f t="shared" si="39"/>
        <v>266</v>
      </c>
      <c r="B267" s="363" t="str">
        <f t="shared" si="32"/>
        <v>44</v>
      </c>
      <c r="C267" s="405" t="str">
        <f t="shared" si="33"/>
        <v>第002160号</v>
      </c>
      <c r="D267" s="405" t="str">
        <f t="shared" si="34"/>
        <v>（株）河野組</v>
      </c>
      <c r="E267" s="405" t="str">
        <f t="shared" si="35"/>
        <v>代表取締役</v>
      </c>
      <c r="F267" s="405" t="str">
        <f t="shared" si="36"/>
        <v>河野　良太郎</v>
      </c>
      <c r="G267" s="405" t="str">
        <f t="shared" si="37"/>
        <v>主たる営業所</v>
      </c>
      <c r="H267" s="405" t="str">
        <f t="shared" si="38"/>
        <v>玖珠郡玖珠町大字帆足４７３－１</v>
      </c>
      <c r="L267" s="403" t="s">
        <v>8004</v>
      </c>
      <c r="M267" s="403" t="s">
        <v>7762</v>
      </c>
      <c r="N267" s="403" t="s">
        <v>1901</v>
      </c>
      <c r="O267" s="403" t="s">
        <v>7084</v>
      </c>
      <c r="P267" s="403" t="s">
        <v>1902</v>
      </c>
      <c r="Q267" s="403" t="s">
        <v>7988</v>
      </c>
      <c r="R267" s="403" t="s">
        <v>18776</v>
      </c>
      <c r="S267" s="403" t="s">
        <v>14398</v>
      </c>
      <c r="T267" s="403" t="s">
        <v>14399</v>
      </c>
      <c r="U267" s="403"/>
      <c r="V267" s="403" t="s">
        <v>23024</v>
      </c>
      <c r="W267" s="403" t="s">
        <v>23024</v>
      </c>
      <c r="X267" s="403" t="s">
        <v>23024</v>
      </c>
      <c r="Y267" s="403" t="s">
        <v>23024</v>
      </c>
    </row>
    <row r="268" spans="1:25">
      <c r="A268" s="363">
        <f t="shared" si="39"/>
        <v>267</v>
      </c>
      <c r="B268" s="363" t="str">
        <f t="shared" si="32"/>
        <v>44</v>
      </c>
      <c r="C268" s="405" t="str">
        <f t="shared" si="33"/>
        <v>第002164号</v>
      </c>
      <c r="D268" s="405" t="str">
        <f t="shared" si="34"/>
        <v>（有）麻生建設</v>
      </c>
      <c r="E268" s="405" t="str">
        <f t="shared" si="35"/>
        <v>代表取締役</v>
      </c>
      <c r="F268" s="405" t="str">
        <f t="shared" si="36"/>
        <v>麻生　隆信</v>
      </c>
      <c r="G268" s="405" t="str">
        <f t="shared" si="37"/>
        <v>主たる営業所</v>
      </c>
      <c r="H268" s="405" t="str">
        <f t="shared" si="38"/>
        <v>玖珠郡九重町大字町田４４８８－１</v>
      </c>
      <c r="L268" s="403" t="s">
        <v>8005</v>
      </c>
      <c r="M268" s="403" t="s">
        <v>8006</v>
      </c>
      <c r="N268" s="403" t="s">
        <v>1903</v>
      </c>
      <c r="O268" s="403" t="s">
        <v>7084</v>
      </c>
      <c r="P268" s="403" t="s">
        <v>1904</v>
      </c>
      <c r="Q268" s="403" t="s">
        <v>7977</v>
      </c>
      <c r="R268" s="403" t="s">
        <v>18777</v>
      </c>
      <c r="S268" s="403" t="s">
        <v>14400</v>
      </c>
      <c r="T268" s="403" t="s">
        <v>14401</v>
      </c>
      <c r="U268" s="403"/>
      <c r="V268" s="403" t="s">
        <v>23024</v>
      </c>
      <c r="W268" s="403" t="s">
        <v>23024</v>
      </c>
      <c r="X268" s="403" t="s">
        <v>23024</v>
      </c>
      <c r="Y268" s="403" t="s">
        <v>23024</v>
      </c>
    </row>
    <row r="269" spans="1:25">
      <c r="A269" s="363">
        <f t="shared" si="39"/>
        <v>268</v>
      </c>
      <c r="B269" s="363" t="str">
        <f t="shared" si="32"/>
        <v>44</v>
      </c>
      <c r="C269" s="405" t="str">
        <f t="shared" si="33"/>
        <v>第002195号</v>
      </c>
      <c r="D269" s="405" t="str">
        <f t="shared" si="34"/>
        <v>（有）山下組</v>
      </c>
      <c r="E269" s="405" t="str">
        <f t="shared" si="35"/>
        <v>取締役</v>
      </c>
      <c r="F269" s="405" t="str">
        <f t="shared" si="36"/>
        <v>山下　英喜</v>
      </c>
      <c r="G269" s="405" t="str">
        <f t="shared" si="37"/>
        <v>主たる営業所</v>
      </c>
      <c r="H269" s="405" t="str">
        <f t="shared" si="38"/>
        <v>玖珠郡玖珠町大字山下１９８７</v>
      </c>
      <c r="L269" s="403" t="s">
        <v>8007</v>
      </c>
      <c r="M269" s="403" t="s">
        <v>7480</v>
      </c>
      <c r="N269" s="403" t="s">
        <v>1905</v>
      </c>
      <c r="O269" s="403" t="s">
        <v>7085</v>
      </c>
      <c r="P269" s="403" t="s">
        <v>1906</v>
      </c>
      <c r="Q269" s="403" t="s">
        <v>8008</v>
      </c>
      <c r="R269" s="403" t="s">
        <v>5386</v>
      </c>
      <c r="S269" s="403" t="s">
        <v>14402</v>
      </c>
      <c r="T269" s="403" t="s">
        <v>14403</v>
      </c>
      <c r="U269" s="403"/>
      <c r="V269" s="403" t="s">
        <v>23024</v>
      </c>
      <c r="W269" s="403" t="s">
        <v>23024</v>
      </c>
      <c r="X269" s="403" t="s">
        <v>23024</v>
      </c>
      <c r="Y269" s="403" t="s">
        <v>23024</v>
      </c>
    </row>
    <row r="270" spans="1:25">
      <c r="A270" s="363">
        <f t="shared" si="39"/>
        <v>269</v>
      </c>
      <c r="B270" s="363" t="str">
        <f t="shared" si="32"/>
        <v>44</v>
      </c>
      <c r="C270" s="405" t="str">
        <f t="shared" si="33"/>
        <v>第002201号</v>
      </c>
      <c r="D270" s="405" t="str">
        <f t="shared" si="34"/>
        <v>田中建設（株）</v>
      </c>
      <c r="E270" s="405" t="str">
        <f t="shared" si="35"/>
        <v>代表取締役</v>
      </c>
      <c r="F270" s="405" t="str">
        <f t="shared" si="36"/>
        <v>田中　常雄</v>
      </c>
      <c r="G270" s="405" t="str">
        <f t="shared" si="37"/>
        <v>主たる営業所</v>
      </c>
      <c r="H270" s="405" t="str">
        <f t="shared" si="38"/>
        <v>日田市大字高瀬７２８－５</v>
      </c>
      <c r="L270" s="403" t="s">
        <v>8009</v>
      </c>
      <c r="M270" s="403" t="s">
        <v>8010</v>
      </c>
      <c r="N270" s="403" t="s">
        <v>1907</v>
      </c>
      <c r="O270" s="403" t="s">
        <v>7084</v>
      </c>
      <c r="P270" s="403" t="s">
        <v>1908</v>
      </c>
      <c r="Q270" s="403" t="s">
        <v>7342</v>
      </c>
      <c r="R270" s="403" t="s">
        <v>18778</v>
      </c>
      <c r="S270" s="403" t="s">
        <v>14404</v>
      </c>
      <c r="T270" s="403" t="s">
        <v>14405</v>
      </c>
      <c r="U270" s="403"/>
      <c r="V270" s="403" t="s">
        <v>23024</v>
      </c>
      <c r="W270" s="403" t="s">
        <v>23024</v>
      </c>
      <c r="X270" s="403" t="s">
        <v>23024</v>
      </c>
      <c r="Y270" s="403" t="s">
        <v>23024</v>
      </c>
    </row>
    <row r="271" spans="1:25">
      <c r="A271" s="363">
        <f t="shared" si="39"/>
        <v>270</v>
      </c>
      <c r="B271" s="363" t="str">
        <f t="shared" si="32"/>
        <v>44</v>
      </c>
      <c r="C271" s="405" t="str">
        <f t="shared" si="33"/>
        <v>第002203号</v>
      </c>
      <c r="D271" s="405" t="str">
        <f t="shared" si="34"/>
        <v>（株）谷組</v>
      </c>
      <c r="E271" s="405" t="str">
        <f t="shared" si="35"/>
        <v>代表取締役</v>
      </c>
      <c r="F271" s="405" t="str">
        <f t="shared" si="36"/>
        <v>大関　晋太郎</v>
      </c>
      <c r="G271" s="405" t="str">
        <f t="shared" si="37"/>
        <v>主たる営業所</v>
      </c>
      <c r="H271" s="405" t="str">
        <f t="shared" si="38"/>
        <v>日田市大字日高３０４０</v>
      </c>
      <c r="L271" s="403" t="s">
        <v>8011</v>
      </c>
      <c r="M271" s="403" t="s">
        <v>8012</v>
      </c>
      <c r="N271" s="403" t="s">
        <v>1909</v>
      </c>
      <c r="O271" s="403" t="s">
        <v>7084</v>
      </c>
      <c r="P271" s="403" t="s">
        <v>18779</v>
      </c>
      <c r="Q271" s="403" t="s">
        <v>8013</v>
      </c>
      <c r="R271" s="403" t="s">
        <v>5387</v>
      </c>
      <c r="S271" s="403" t="s">
        <v>14406</v>
      </c>
      <c r="T271" s="403" t="s">
        <v>14407</v>
      </c>
      <c r="U271" s="403"/>
      <c r="V271" s="403" t="s">
        <v>23024</v>
      </c>
      <c r="W271" s="403" t="s">
        <v>23024</v>
      </c>
      <c r="X271" s="403" t="s">
        <v>23024</v>
      </c>
      <c r="Y271" s="403" t="s">
        <v>23024</v>
      </c>
    </row>
    <row r="272" spans="1:25">
      <c r="A272" s="363">
        <f t="shared" si="39"/>
        <v>271</v>
      </c>
      <c r="B272" s="363" t="str">
        <f t="shared" si="32"/>
        <v>44</v>
      </c>
      <c r="C272" s="405" t="str">
        <f t="shared" si="33"/>
        <v>第002217号</v>
      </c>
      <c r="D272" s="405" t="str">
        <f t="shared" si="34"/>
        <v>（株）原田土木</v>
      </c>
      <c r="E272" s="405" t="str">
        <f t="shared" si="35"/>
        <v>代表取締役</v>
      </c>
      <c r="F272" s="405" t="str">
        <f t="shared" si="36"/>
        <v>原田　英明</v>
      </c>
      <c r="G272" s="405" t="str">
        <f t="shared" si="37"/>
        <v>主たる営業所</v>
      </c>
      <c r="H272" s="405" t="str">
        <f t="shared" si="38"/>
        <v>日田市大字友田１８３－３</v>
      </c>
      <c r="L272" s="403" t="s">
        <v>8014</v>
      </c>
      <c r="M272" s="403" t="s">
        <v>8015</v>
      </c>
      <c r="N272" s="403" t="s">
        <v>1910</v>
      </c>
      <c r="O272" s="403" t="s">
        <v>7084</v>
      </c>
      <c r="P272" s="403" t="s">
        <v>1911</v>
      </c>
      <c r="Q272" s="403" t="s">
        <v>8016</v>
      </c>
      <c r="R272" s="403" t="s">
        <v>18780</v>
      </c>
      <c r="S272" s="403" t="s">
        <v>14408</v>
      </c>
      <c r="T272" s="403" t="s">
        <v>14409</v>
      </c>
      <c r="U272" s="403"/>
      <c r="V272" s="403" t="s">
        <v>23024</v>
      </c>
      <c r="W272" s="403" t="s">
        <v>23024</v>
      </c>
      <c r="X272" s="403" t="s">
        <v>23024</v>
      </c>
      <c r="Y272" s="403" t="s">
        <v>23024</v>
      </c>
    </row>
    <row r="273" spans="1:25">
      <c r="A273" s="363">
        <f t="shared" si="39"/>
        <v>272</v>
      </c>
      <c r="B273" s="363" t="str">
        <f t="shared" si="32"/>
        <v>44</v>
      </c>
      <c r="C273" s="405" t="str">
        <f t="shared" si="33"/>
        <v>第002218号</v>
      </c>
      <c r="D273" s="405" t="str">
        <f t="shared" si="34"/>
        <v>池部土木（株）</v>
      </c>
      <c r="E273" s="405" t="str">
        <f t="shared" si="35"/>
        <v>代表取締役</v>
      </c>
      <c r="F273" s="405" t="str">
        <f t="shared" si="36"/>
        <v>池部　雅史</v>
      </c>
      <c r="G273" s="405" t="str">
        <f t="shared" si="37"/>
        <v>主たる営業所</v>
      </c>
      <c r="H273" s="405" t="str">
        <f t="shared" si="38"/>
        <v>日田市城町１－２－５４</v>
      </c>
      <c r="L273" s="403" t="s">
        <v>8017</v>
      </c>
      <c r="M273" s="403" t="s">
        <v>8018</v>
      </c>
      <c r="N273" s="403" t="s">
        <v>1912</v>
      </c>
      <c r="O273" s="403" t="s">
        <v>7084</v>
      </c>
      <c r="P273" s="403" t="s">
        <v>1913</v>
      </c>
      <c r="Q273" s="403" t="s">
        <v>8019</v>
      </c>
      <c r="R273" s="403" t="s">
        <v>18781</v>
      </c>
      <c r="S273" s="403" t="s">
        <v>14410</v>
      </c>
      <c r="T273" s="403" t="s">
        <v>14411</v>
      </c>
      <c r="U273" s="403"/>
      <c r="V273" s="403" t="s">
        <v>23024</v>
      </c>
      <c r="W273" s="403" t="s">
        <v>23024</v>
      </c>
      <c r="X273" s="403" t="s">
        <v>23024</v>
      </c>
      <c r="Y273" s="403" t="s">
        <v>23024</v>
      </c>
    </row>
    <row r="274" spans="1:25">
      <c r="A274" s="363">
        <f t="shared" si="39"/>
        <v>273</v>
      </c>
      <c r="B274" s="363" t="str">
        <f t="shared" si="32"/>
        <v>44</v>
      </c>
      <c r="C274" s="405" t="str">
        <f t="shared" si="33"/>
        <v>第002221号</v>
      </c>
      <c r="D274" s="405" t="str">
        <f t="shared" si="34"/>
        <v>（株）諌山工務所</v>
      </c>
      <c r="E274" s="405" t="str">
        <f t="shared" si="35"/>
        <v>代表取締役</v>
      </c>
      <c r="F274" s="405" t="str">
        <f t="shared" si="36"/>
        <v>伊藤　哲司</v>
      </c>
      <c r="G274" s="405" t="str">
        <f t="shared" si="37"/>
        <v>主たる営業所</v>
      </c>
      <c r="H274" s="405" t="str">
        <f t="shared" si="38"/>
        <v>日田市田島１－１０－２１</v>
      </c>
      <c r="L274" s="403" t="s">
        <v>8020</v>
      </c>
      <c r="M274" s="403" t="s">
        <v>8021</v>
      </c>
      <c r="N274" s="403" t="s">
        <v>1914</v>
      </c>
      <c r="O274" s="403" t="s">
        <v>7084</v>
      </c>
      <c r="P274" s="403" t="s">
        <v>1915</v>
      </c>
      <c r="Q274" s="403" t="s">
        <v>8022</v>
      </c>
      <c r="R274" s="403" t="s">
        <v>18782</v>
      </c>
      <c r="S274" s="403" t="s">
        <v>14412</v>
      </c>
      <c r="T274" s="403" t="s">
        <v>14413</v>
      </c>
      <c r="U274" s="403"/>
      <c r="V274" s="403" t="s">
        <v>23024</v>
      </c>
      <c r="W274" s="403" t="s">
        <v>23024</v>
      </c>
      <c r="X274" s="403" t="s">
        <v>23024</v>
      </c>
      <c r="Y274" s="403" t="s">
        <v>23024</v>
      </c>
    </row>
    <row r="275" spans="1:25">
      <c r="A275" s="363">
        <f t="shared" si="39"/>
        <v>274</v>
      </c>
      <c r="B275" s="363" t="str">
        <f t="shared" si="32"/>
        <v>44</v>
      </c>
      <c r="C275" s="405" t="str">
        <f t="shared" si="33"/>
        <v>第002230号</v>
      </c>
      <c r="D275" s="405" t="str">
        <f t="shared" si="34"/>
        <v>大和建設（有）</v>
      </c>
      <c r="E275" s="405" t="str">
        <f t="shared" si="35"/>
        <v>代表取締役</v>
      </c>
      <c r="F275" s="405" t="str">
        <f t="shared" si="36"/>
        <v>林　勝夫</v>
      </c>
      <c r="G275" s="405" t="str">
        <f t="shared" si="37"/>
        <v>主たる営業所</v>
      </c>
      <c r="H275" s="405" t="str">
        <f t="shared" si="38"/>
        <v>日田市三芳小渕町１６</v>
      </c>
      <c r="L275" s="403" t="s">
        <v>8023</v>
      </c>
      <c r="M275" s="403" t="s">
        <v>8024</v>
      </c>
      <c r="N275" s="403" t="s">
        <v>1916</v>
      </c>
      <c r="O275" s="403" t="s">
        <v>7084</v>
      </c>
      <c r="P275" s="403" t="s">
        <v>1917</v>
      </c>
      <c r="Q275" s="403" t="s">
        <v>8025</v>
      </c>
      <c r="R275" s="403" t="s">
        <v>5388</v>
      </c>
      <c r="S275" s="403" t="s">
        <v>14414</v>
      </c>
      <c r="T275" s="403" t="s">
        <v>14415</v>
      </c>
      <c r="U275" s="403"/>
      <c r="V275" s="403" t="s">
        <v>23024</v>
      </c>
      <c r="W275" s="403" t="s">
        <v>23024</v>
      </c>
      <c r="X275" s="403" t="s">
        <v>23024</v>
      </c>
      <c r="Y275" s="403" t="s">
        <v>23024</v>
      </c>
    </row>
    <row r="276" spans="1:25">
      <c r="A276" s="363">
        <f t="shared" si="39"/>
        <v>275</v>
      </c>
      <c r="B276" s="363" t="str">
        <f t="shared" si="32"/>
        <v>44</v>
      </c>
      <c r="C276" s="405" t="str">
        <f t="shared" si="33"/>
        <v>第002236号</v>
      </c>
      <c r="D276" s="405" t="str">
        <f t="shared" si="34"/>
        <v>九州電工（株）</v>
      </c>
      <c r="E276" s="405" t="str">
        <f t="shared" si="35"/>
        <v>代表取締役</v>
      </c>
      <c r="F276" s="405" t="str">
        <f t="shared" si="36"/>
        <v>梶原　精二</v>
      </c>
      <c r="G276" s="405" t="str">
        <f t="shared" si="37"/>
        <v>主たる営業所</v>
      </c>
      <c r="H276" s="405" t="str">
        <f t="shared" si="38"/>
        <v>日田市大字有田３１９－２７</v>
      </c>
      <c r="L276" s="403" t="s">
        <v>8027</v>
      </c>
      <c r="M276" s="403" t="s">
        <v>8028</v>
      </c>
      <c r="N276" s="403" t="s">
        <v>1918</v>
      </c>
      <c r="O276" s="403" t="s">
        <v>7084</v>
      </c>
      <c r="P276" s="403" t="s">
        <v>1919</v>
      </c>
      <c r="Q276" s="403" t="s">
        <v>8029</v>
      </c>
      <c r="R276" s="403" t="s">
        <v>18783</v>
      </c>
      <c r="S276" s="403" t="s">
        <v>14416</v>
      </c>
      <c r="T276" s="403" t="s">
        <v>14417</v>
      </c>
      <c r="U276" s="403"/>
      <c r="V276" s="403" t="s">
        <v>23024</v>
      </c>
      <c r="W276" s="403" t="s">
        <v>23024</v>
      </c>
      <c r="X276" s="403" t="s">
        <v>23024</v>
      </c>
      <c r="Y276" s="403" t="s">
        <v>23024</v>
      </c>
    </row>
    <row r="277" spans="1:25">
      <c r="A277" s="363">
        <f t="shared" si="39"/>
        <v>276</v>
      </c>
      <c r="B277" s="363" t="str">
        <f t="shared" si="32"/>
        <v>44</v>
      </c>
      <c r="C277" s="405" t="str">
        <f t="shared" si="33"/>
        <v>第002239号</v>
      </c>
      <c r="D277" s="405" t="str">
        <f t="shared" si="34"/>
        <v>（有）出野建設</v>
      </c>
      <c r="E277" s="405" t="str">
        <f t="shared" si="35"/>
        <v>代表取締役</v>
      </c>
      <c r="F277" s="405" t="str">
        <f t="shared" si="36"/>
        <v>出野　健次</v>
      </c>
      <c r="G277" s="405" t="str">
        <f t="shared" si="37"/>
        <v>主たる営業所</v>
      </c>
      <c r="H277" s="405" t="str">
        <f t="shared" si="38"/>
        <v>日田市大字三和２１２－１</v>
      </c>
      <c r="L277" s="403" t="s">
        <v>8030</v>
      </c>
      <c r="M277" s="403" t="s">
        <v>8031</v>
      </c>
      <c r="N277" s="403" t="s">
        <v>1920</v>
      </c>
      <c r="O277" s="403" t="s">
        <v>7084</v>
      </c>
      <c r="P277" s="403" t="s">
        <v>1921</v>
      </c>
      <c r="Q277" s="403" t="s">
        <v>8032</v>
      </c>
      <c r="R277" s="403" t="s">
        <v>18784</v>
      </c>
      <c r="S277" s="403" t="s">
        <v>14418</v>
      </c>
      <c r="T277" s="403" t="s">
        <v>14419</v>
      </c>
      <c r="U277" s="403"/>
      <c r="V277" s="403" t="s">
        <v>23024</v>
      </c>
      <c r="W277" s="403" t="s">
        <v>23024</v>
      </c>
      <c r="X277" s="403" t="s">
        <v>23024</v>
      </c>
      <c r="Y277" s="403" t="s">
        <v>23024</v>
      </c>
    </row>
    <row r="278" spans="1:25">
      <c r="A278" s="363">
        <f t="shared" si="39"/>
        <v>277</v>
      </c>
      <c r="B278" s="363" t="str">
        <f t="shared" si="32"/>
        <v>44</v>
      </c>
      <c r="C278" s="405" t="str">
        <f t="shared" si="33"/>
        <v>第002259号</v>
      </c>
      <c r="D278" s="405" t="str">
        <f t="shared" si="34"/>
        <v>（株）ハセベ水道</v>
      </c>
      <c r="E278" s="405" t="str">
        <f t="shared" si="35"/>
        <v>代表取締役</v>
      </c>
      <c r="F278" s="405" t="str">
        <f t="shared" si="36"/>
        <v>上原　英之</v>
      </c>
      <c r="G278" s="405" t="str">
        <f t="shared" si="37"/>
        <v>主たる営業所</v>
      </c>
      <c r="H278" s="405" t="str">
        <f t="shared" si="38"/>
        <v>日田市大字渡里１６－５</v>
      </c>
      <c r="L278" s="403" t="s">
        <v>8033</v>
      </c>
      <c r="M278" s="403" t="s">
        <v>8034</v>
      </c>
      <c r="N278" s="403" t="s">
        <v>1922</v>
      </c>
      <c r="O278" s="403" t="s">
        <v>7084</v>
      </c>
      <c r="P278" s="403" t="s">
        <v>1923</v>
      </c>
      <c r="Q278" s="403" t="s">
        <v>8035</v>
      </c>
      <c r="R278" s="403" t="s">
        <v>18785</v>
      </c>
      <c r="S278" s="403" t="s">
        <v>14420</v>
      </c>
      <c r="T278" s="403" t="s">
        <v>14421</v>
      </c>
      <c r="U278" s="403"/>
      <c r="V278" s="403" t="s">
        <v>23024</v>
      </c>
      <c r="W278" s="403" t="s">
        <v>23024</v>
      </c>
      <c r="X278" s="403" t="s">
        <v>23024</v>
      </c>
      <c r="Y278" s="403" t="s">
        <v>23024</v>
      </c>
    </row>
    <row r="279" spans="1:25">
      <c r="A279" s="363">
        <f t="shared" si="39"/>
        <v>278</v>
      </c>
      <c r="B279" s="363" t="str">
        <f t="shared" si="32"/>
        <v>44</v>
      </c>
      <c r="C279" s="405" t="str">
        <f t="shared" si="33"/>
        <v>第002263号</v>
      </c>
      <c r="D279" s="405" t="str">
        <f t="shared" si="34"/>
        <v>（有）三陽緑化</v>
      </c>
      <c r="E279" s="405" t="str">
        <f t="shared" si="35"/>
        <v>代表取締役</v>
      </c>
      <c r="F279" s="405" t="str">
        <f t="shared" si="36"/>
        <v>松本　政義</v>
      </c>
      <c r="G279" s="405" t="str">
        <f t="shared" si="37"/>
        <v>主たる営業所</v>
      </c>
      <c r="H279" s="405" t="str">
        <f t="shared" si="38"/>
        <v>日田市大字有田６５４</v>
      </c>
      <c r="L279" s="403" t="s">
        <v>8036</v>
      </c>
      <c r="M279" s="403" t="s">
        <v>8037</v>
      </c>
      <c r="N279" s="403" t="s">
        <v>1924</v>
      </c>
      <c r="O279" s="403" t="s">
        <v>7084</v>
      </c>
      <c r="P279" s="403" t="s">
        <v>1925</v>
      </c>
      <c r="Q279" s="403" t="s">
        <v>8038</v>
      </c>
      <c r="R279" s="403" t="s">
        <v>5389</v>
      </c>
      <c r="S279" s="403" t="s">
        <v>14422</v>
      </c>
      <c r="T279" s="403" t="s">
        <v>14422</v>
      </c>
      <c r="U279" s="403"/>
      <c r="V279" s="403" t="s">
        <v>23024</v>
      </c>
      <c r="W279" s="403" t="s">
        <v>23024</v>
      </c>
      <c r="X279" s="403" t="s">
        <v>23024</v>
      </c>
      <c r="Y279" s="403" t="s">
        <v>23024</v>
      </c>
    </row>
    <row r="280" spans="1:25">
      <c r="A280" s="363">
        <f t="shared" si="39"/>
        <v>279</v>
      </c>
      <c r="B280" s="363" t="str">
        <f t="shared" si="32"/>
        <v>44</v>
      </c>
      <c r="C280" s="405" t="str">
        <f t="shared" si="33"/>
        <v>第002273号</v>
      </c>
      <c r="D280" s="405" t="str">
        <f t="shared" si="34"/>
        <v>（株）トーケイ</v>
      </c>
      <c r="E280" s="405" t="str">
        <f t="shared" si="35"/>
        <v>代表取締役</v>
      </c>
      <c r="F280" s="405" t="str">
        <f t="shared" si="36"/>
        <v>穴井　隆史</v>
      </c>
      <c r="G280" s="405" t="str">
        <f t="shared" si="37"/>
        <v>主たる営業所</v>
      </c>
      <c r="H280" s="405" t="str">
        <f t="shared" si="38"/>
        <v>日田市天瀬町赤岩２６－１</v>
      </c>
      <c r="L280" s="403" t="s">
        <v>8039</v>
      </c>
      <c r="M280" s="403" t="s">
        <v>8040</v>
      </c>
      <c r="N280" s="403" t="s">
        <v>1926</v>
      </c>
      <c r="O280" s="403" t="s">
        <v>7084</v>
      </c>
      <c r="P280" s="403" t="s">
        <v>1927</v>
      </c>
      <c r="Q280" s="403" t="s">
        <v>8041</v>
      </c>
      <c r="R280" s="403" t="s">
        <v>18786</v>
      </c>
      <c r="S280" s="403" t="s">
        <v>14423</v>
      </c>
      <c r="T280" s="403" t="s">
        <v>14424</v>
      </c>
      <c r="U280" s="403"/>
      <c r="V280" s="403" t="s">
        <v>23024</v>
      </c>
      <c r="W280" s="403" t="s">
        <v>23024</v>
      </c>
      <c r="X280" s="403" t="s">
        <v>23024</v>
      </c>
      <c r="Y280" s="403" t="s">
        <v>23024</v>
      </c>
    </row>
    <row r="281" spans="1:25">
      <c r="A281" s="363">
        <f t="shared" si="39"/>
        <v>280</v>
      </c>
      <c r="B281" s="363" t="str">
        <f t="shared" si="32"/>
        <v>44</v>
      </c>
      <c r="C281" s="405" t="str">
        <f t="shared" si="33"/>
        <v>第002281号</v>
      </c>
      <c r="D281" s="405" t="str">
        <f t="shared" si="34"/>
        <v>不二水道（株）</v>
      </c>
      <c r="E281" s="405" t="str">
        <f t="shared" si="35"/>
        <v>代表取締役社長</v>
      </c>
      <c r="F281" s="405" t="str">
        <f t="shared" si="36"/>
        <v>園田　匠</v>
      </c>
      <c r="G281" s="405" t="str">
        <f t="shared" si="37"/>
        <v>主たる営業所</v>
      </c>
      <c r="H281" s="405" t="str">
        <f t="shared" si="38"/>
        <v>日田市城町１－８－４６</v>
      </c>
      <c r="L281" s="403" t="s">
        <v>8042</v>
      </c>
      <c r="M281" s="403" t="s">
        <v>8043</v>
      </c>
      <c r="N281" s="403" t="s">
        <v>1928</v>
      </c>
      <c r="O281" s="403" t="s">
        <v>7083</v>
      </c>
      <c r="P281" s="403" t="s">
        <v>1929</v>
      </c>
      <c r="Q281" s="403" t="s">
        <v>8019</v>
      </c>
      <c r="R281" s="403" t="s">
        <v>18787</v>
      </c>
      <c r="S281" s="403" t="s">
        <v>14425</v>
      </c>
      <c r="T281" s="403" t="s">
        <v>14426</v>
      </c>
      <c r="U281" s="403"/>
      <c r="V281" s="403" t="s">
        <v>23024</v>
      </c>
      <c r="W281" s="403" t="s">
        <v>23024</v>
      </c>
      <c r="X281" s="403" t="s">
        <v>23024</v>
      </c>
      <c r="Y281" s="403" t="s">
        <v>23024</v>
      </c>
    </row>
    <row r="282" spans="1:25">
      <c r="A282" s="363">
        <f t="shared" si="39"/>
        <v>281</v>
      </c>
      <c r="B282" s="363" t="str">
        <f t="shared" si="32"/>
        <v>44</v>
      </c>
      <c r="C282" s="405" t="str">
        <f t="shared" si="33"/>
        <v>第002282号</v>
      </c>
      <c r="D282" s="405" t="str">
        <f t="shared" si="34"/>
        <v>（株）タカセ・エンジニアリング</v>
      </c>
      <c r="E282" s="405" t="str">
        <f t="shared" si="35"/>
        <v>代表取締役</v>
      </c>
      <c r="F282" s="405" t="str">
        <f t="shared" si="36"/>
        <v>高瀬　雅史</v>
      </c>
      <c r="G282" s="405" t="str">
        <f t="shared" si="37"/>
        <v>主たる営業所</v>
      </c>
      <c r="H282" s="405" t="str">
        <f t="shared" si="38"/>
        <v>日田市大字竹田４１６－９</v>
      </c>
      <c r="L282" s="403" t="s">
        <v>8044</v>
      </c>
      <c r="M282" s="403" t="s">
        <v>8045</v>
      </c>
      <c r="N282" s="403" t="s">
        <v>1930</v>
      </c>
      <c r="O282" s="403" t="s">
        <v>7084</v>
      </c>
      <c r="P282" s="403" t="s">
        <v>1931</v>
      </c>
      <c r="Q282" s="403" t="s">
        <v>8046</v>
      </c>
      <c r="R282" s="403" t="s">
        <v>18788</v>
      </c>
      <c r="S282" s="403" t="s">
        <v>14427</v>
      </c>
      <c r="T282" s="403" t="s">
        <v>14428</v>
      </c>
      <c r="U282" s="403"/>
      <c r="V282" s="403" t="s">
        <v>23024</v>
      </c>
      <c r="W282" s="403" t="s">
        <v>23024</v>
      </c>
      <c r="X282" s="403" t="s">
        <v>23024</v>
      </c>
      <c r="Y282" s="403" t="s">
        <v>23024</v>
      </c>
    </row>
    <row r="283" spans="1:25">
      <c r="A283" s="363">
        <f t="shared" si="39"/>
        <v>282</v>
      </c>
      <c r="B283" s="363" t="str">
        <f t="shared" si="32"/>
        <v>44</v>
      </c>
      <c r="C283" s="405" t="str">
        <f t="shared" si="33"/>
        <v>第002284号</v>
      </c>
      <c r="D283" s="405" t="str">
        <f t="shared" si="34"/>
        <v>中央設備（株）</v>
      </c>
      <c r="E283" s="405" t="str">
        <f t="shared" si="35"/>
        <v>代表取締役</v>
      </c>
      <c r="F283" s="405" t="str">
        <f t="shared" si="36"/>
        <v>井手　英二</v>
      </c>
      <c r="G283" s="405" t="str">
        <f t="shared" si="37"/>
        <v>主たる営業所</v>
      </c>
      <c r="H283" s="405" t="str">
        <f t="shared" si="38"/>
        <v>日田市大字三和５２</v>
      </c>
      <c r="L283" s="403" t="s">
        <v>8047</v>
      </c>
      <c r="M283" s="403" t="s">
        <v>8048</v>
      </c>
      <c r="N283" s="403" t="s">
        <v>1932</v>
      </c>
      <c r="O283" s="403" t="s">
        <v>7084</v>
      </c>
      <c r="P283" s="403" t="s">
        <v>1933</v>
      </c>
      <c r="Q283" s="403" t="s">
        <v>8032</v>
      </c>
      <c r="R283" s="403" t="s">
        <v>5390</v>
      </c>
      <c r="S283" s="403" t="s">
        <v>14429</v>
      </c>
      <c r="T283" s="403" t="s">
        <v>14430</v>
      </c>
      <c r="U283" s="403"/>
      <c r="V283" s="403" t="s">
        <v>23024</v>
      </c>
      <c r="W283" s="403" t="s">
        <v>23024</v>
      </c>
      <c r="X283" s="403" t="s">
        <v>23024</v>
      </c>
      <c r="Y283" s="403" t="s">
        <v>23024</v>
      </c>
    </row>
    <row r="284" spans="1:25">
      <c r="A284" s="363">
        <f t="shared" si="39"/>
        <v>283</v>
      </c>
      <c r="B284" s="363" t="str">
        <f t="shared" si="32"/>
        <v>44</v>
      </c>
      <c r="C284" s="405" t="str">
        <f t="shared" si="33"/>
        <v>第002288号</v>
      </c>
      <c r="D284" s="405" t="str">
        <f t="shared" si="34"/>
        <v>（株）江藤工務店</v>
      </c>
      <c r="E284" s="405" t="str">
        <f t="shared" si="35"/>
        <v>代表取締役</v>
      </c>
      <c r="F284" s="405" t="str">
        <f t="shared" si="36"/>
        <v>江藤　義光</v>
      </c>
      <c r="G284" s="405" t="str">
        <f t="shared" si="37"/>
        <v>主たる営業所</v>
      </c>
      <c r="H284" s="405" t="str">
        <f t="shared" si="38"/>
        <v>日田市大字渡里２１－３</v>
      </c>
      <c r="L284" s="403" t="s">
        <v>8049</v>
      </c>
      <c r="M284" s="403" t="s">
        <v>8050</v>
      </c>
      <c r="N284" s="403" t="s">
        <v>1477</v>
      </c>
      <c r="O284" s="403" t="s">
        <v>7084</v>
      </c>
      <c r="P284" s="403" t="s">
        <v>5223</v>
      </c>
      <c r="Q284" s="403" t="s">
        <v>8035</v>
      </c>
      <c r="R284" s="403" t="s">
        <v>18789</v>
      </c>
      <c r="S284" s="403" t="s">
        <v>14431</v>
      </c>
      <c r="T284" s="403" t="s">
        <v>14432</v>
      </c>
      <c r="U284" s="403"/>
      <c r="V284" s="403" t="s">
        <v>23024</v>
      </c>
      <c r="W284" s="403" t="s">
        <v>23024</v>
      </c>
      <c r="X284" s="403" t="s">
        <v>23024</v>
      </c>
      <c r="Y284" s="403" t="s">
        <v>23024</v>
      </c>
    </row>
    <row r="285" spans="1:25">
      <c r="A285" s="363">
        <f t="shared" si="39"/>
        <v>284</v>
      </c>
      <c r="B285" s="363" t="str">
        <f t="shared" si="32"/>
        <v>44</v>
      </c>
      <c r="C285" s="405" t="str">
        <f t="shared" si="33"/>
        <v>第002290号</v>
      </c>
      <c r="D285" s="405" t="str">
        <f t="shared" si="34"/>
        <v>（株）千原電気工事</v>
      </c>
      <c r="E285" s="405" t="str">
        <f t="shared" si="35"/>
        <v>代表取締役</v>
      </c>
      <c r="F285" s="405" t="str">
        <f t="shared" si="36"/>
        <v>梶原　義一</v>
      </c>
      <c r="G285" s="405" t="str">
        <f t="shared" si="37"/>
        <v>主たる営業所</v>
      </c>
      <c r="H285" s="405" t="str">
        <f t="shared" si="38"/>
        <v>日田市本庄町４－２０</v>
      </c>
      <c r="L285" s="403" t="s">
        <v>8051</v>
      </c>
      <c r="M285" s="403" t="s">
        <v>8052</v>
      </c>
      <c r="N285" s="403" t="s">
        <v>1934</v>
      </c>
      <c r="O285" s="403" t="s">
        <v>7084</v>
      </c>
      <c r="P285" s="403" t="s">
        <v>1935</v>
      </c>
      <c r="Q285" s="403" t="s">
        <v>8053</v>
      </c>
      <c r="R285" s="403" t="s">
        <v>18790</v>
      </c>
      <c r="S285" s="403" t="s">
        <v>14433</v>
      </c>
      <c r="T285" s="403" t="s">
        <v>14434</v>
      </c>
      <c r="U285" s="403"/>
      <c r="V285" s="403" t="s">
        <v>23024</v>
      </c>
      <c r="W285" s="403" t="s">
        <v>23024</v>
      </c>
      <c r="X285" s="403" t="s">
        <v>23024</v>
      </c>
      <c r="Y285" s="403" t="s">
        <v>23024</v>
      </c>
    </row>
    <row r="286" spans="1:25">
      <c r="A286" s="363">
        <f t="shared" si="39"/>
        <v>285</v>
      </c>
      <c r="B286" s="363" t="str">
        <f t="shared" si="32"/>
        <v>44</v>
      </c>
      <c r="C286" s="405" t="str">
        <f t="shared" si="33"/>
        <v>第002307号</v>
      </c>
      <c r="D286" s="405" t="str">
        <f t="shared" si="34"/>
        <v>泰斗建設（株）</v>
      </c>
      <c r="E286" s="405" t="str">
        <f t="shared" si="35"/>
        <v>代表取締役</v>
      </c>
      <c r="F286" s="405" t="str">
        <f t="shared" si="36"/>
        <v>坂本　数宏</v>
      </c>
      <c r="G286" s="405" t="str">
        <f t="shared" si="37"/>
        <v>主たる営業所</v>
      </c>
      <c r="H286" s="405" t="str">
        <f t="shared" si="38"/>
        <v>日田市大字庄手３７８－２</v>
      </c>
      <c r="L286" s="403" t="s">
        <v>8054</v>
      </c>
      <c r="M286" s="403" t="s">
        <v>8055</v>
      </c>
      <c r="N286" s="403" t="s">
        <v>1936</v>
      </c>
      <c r="O286" s="403" t="s">
        <v>7084</v>
      </c>
      <c r="P286" s="403" t="s">
        <v>1937</v>
      </c>
      <c r="Q286" s="403" t="s">
        <v>8056</v>
      </c>
      <c r="R286" s="403" t="s">
        <v>18791</v>
      </c>
      <c r="S286" s="403" t="s">
        <v>14435</v>
      </c>
      <c r="T286" s="403" t="s">
        <v>14436</v>
      </c>
      <c r="U286" s="403"/>
      <c r="V286" s="403" t="s">
        <v>23024</v>
      </c>
      <c r="W286" s="403" t="s">
        <v>23024</v>
      </c>
      <c r="X286" s="403" t="s">
        <v>23024</v>
      </c>
      <c r="Y286" s="403" t="s">
        <v>23024</v>
      </c>
    </row>
    <row r="287" spans="1:25">
      <c r="A287" s="363">
        <f t="shared" si="39"/>
        <v>286</v>
      </c>
      <c r="B287" s="363" t="str">
        <f t="shared" si="32"/>
        <v>44</v>
      </c>
      <c r="C287" s="405" t="str">
        <f t="shared" si="33"/>
        <v>第002312号</v>
      </c>
      <c r="D287" s="405" t="str">
        <f t="shared" si="34"/>
        <v>羽野建設（株）</v>
      </c>
      <c r="E287" s="405" t="str">
        <f t="shared" si="35"/>
        <v>代表取締役</v>
      </c>
      <c r="F287" s="405" t="str">
        <f t="shared" si="36"/>
        <v>居川　千尋</v>
      </c>
      <c r="G287" s="405" t="str">
        <f t="shared" si="37"/>
        <v>主たる営業所</v>
      </c>
      <c r="H287" s="405" t="str">
        <f t="shared" si="38"/>
        <v>日田市大字友田１３５９－２７</v>
      </c>
      <c r="L287" s="403" t="s">
        <v>8057</v>
      </c>
      <c r="M287" s="403" t="s">
        <v>8058</v>
      </c>
      <c r="N287" s="403" t="s">
        <v>1938</v>
      </c>
      <c r="O287" s="403" t="s">
        <v>7084</v>
      </c>
      <c r="P287" s="403" t="s">
        <v>1939</v>
      </c>
      <c r="Q287" s="403" t="s">
        <v>8059</v>
      </c>
      <c r="R287" s="403" t="s">
        <v>18792</v>
      </c>
      <c r="S287" s="403" t="s">
        <v>14437</v>
      </c>
      <c r="T287" s="403" t="s">
        <v>14438</v>
      </c>
      <c r="U287" s="403"/>
      <c r="V287" s="403" t="s">
        <v>23024</v>
      </c>
      <c r="W287" s="403" t="s">
        <v>23024</v>
      </c>
      <c r="X287" s="403" t="s">
        <v>23024</v>
      </c>
      <c r="Y287" s="403" t="s">
        <v>23024</v>
      </c>
    </row>
    <row r="288" spans="1:25">
      <c r="A288" s="363">
        <f t="shared" si="39"/>
        <v>287</v>
      </c>
      <c r="B288" s="363" t="str">
        <f t="shared" si="32"/>
        <v>44</v>
      </c>
      <c r="C288" s="405" t="str">
        <f t="shared" si="33"/>
        <v>第002325号</v>
      </c>
      <c r="D288" s="405" t="str">
        <f t="shared" si="34"/>
        <v>アステック（株）</v>
      </c>
      <c r="E288" s="405" t="str">
        <f t="shared" si="35"/>
        <v>代表取締役</v>
      </c>
      <c r="F288" s="405" t="str">
        <f t="shared" si="36"/>
        <v>柏本　治幸</v>
      </c>
      <c r="G288" s="405" t="str">
        <f t="shared" si="37"/>
        <v>主たる営業所</v>
      </c>
      <c r="H288" s="405" t="str">
        <f t="shared" si="38"/>
        <v>豊後大野市朝地町下野７７６－３</v>
      </c>
      <c r="L288" s="403" t="s">
        <v>8060</v>
      </c>
      <c r="M288" s="403" t="s">
        <v>8061</v>
      </c>
      <c r="N288" s="403" t="s">
        <v>1940</v>
      </c>
      <c r="O288" s="403" t="s">
        <v>7084</v>
      </c>
      <c r="P288" s="403" t="s">
        <v>1941</v>
      </c>
      <c r="Q288" s="403" t="s">
        <v>8062</v>
      </c>
      <c r="R288" s="403" t="s">
        <v>18793</v>
      </c>
      <c r="S288" s="403" t="s">
        <v>14439</v>
      </c>
      <c r="T288" s="403" t="s">
        <v>14440</v>
      </c>
      <c r="U288" s="403"/>
      <c r="V288" s="403" t="s">
        <v>23024</v>
      </c>
      <c r="W288" s="403" t="s">
        <v>23024</v>
      </c>
      <c r="X288" s="403" t="s">
        <v>23024</v>
      </c>
      <c r="Y288" s="403" t="s">
        <v>23024</v>
      </c>
    </row>
    <row r="289" spans="1:25">
      <c r="A289" s="363">
        <f t="shared" si="39"/>
        <v>288</v>
      </c>
      <c r="B289" s="363" t="str">
        <f t="shared" si="32"/>
        <v>44</v>
      </c>
      <c r="C289" s="405" t="str">
        <f t="shared" si="33"/>
        <v>第002330号</v>
      </c>
      <c r="D289" s="405" t="str">
        <f t="shared" si="34"/>
        <v>（有）高瀬工務店</v>
      </c>
      <c r="E289" s="405" t="str">
        <f t="shared" si="35"/>
        <v>代表取締役</v>
      </c>
      <c r="F289" s="405" t="str">
        <f t="shared" si="36"/>
        <v>高瀬　伸司</v>
      </c>
      <c r="G289" s="405" t="str">
        <f t="shared" si="37"/>
        <v>主たる営業所</v>
      </c>
      <c r="H289" s="405" t="str">
        <f t="shared" si="38"/>
        <v>日田市誠和町８２３－１</v>
      </c>
      <c r="L289" s="403" t="s">
        <v>8063</v>
      </c>
      <c r="M289" s="403" t="s">
        <v>8064</v>
      </c>
      <c r="N289" s="403" t="s">
        <v>1942</v>
      </c>
      <c r="O289" s="403" t="s">
        <v>7084</v>
      </c>
      <c r="P289" s="403" t="s">
        <v>1943</v>
      </c>
      <c r="Q289" s="403" t="s">
        <v>8065</v>
      </c>
      <c r="R289" s="403" t="s">
        <v>18794</v>
      </c>
      <c r="S289" s="403" t="s">
        <v>14441</v>
      </c>
      <c r="T289" s="403" t="s">
        <v>14441</v>
      </c>
      <c r="U289" s="403"/>
      <c r="V289" s="403" t="s">
        <v>23024</v>
      </c>
      <c r="W289" s="403" t="s">
        <v>23024</v>
      </c>
      <c r="X289" s="403" t="s">
        <v>23024</v>
      </c>
      <c r="Y289" s="403" t="s">
        <v>23024</v>
      </c>
    </row>
    <row r="290" spans="1:25">
      <c r="A290" s="363">
        <f t="shared" si="39"/>
        <v>289</v>
      </c>
      <c r="B290" s="363" t="str">
        <f t="shared" si="32"/>
        <v>44</v>
      </c>
      <c r="C290" s="405" t="str">
        <f t="shared" si="33"/>
        <v>第002405号</v>
      </c>
      <c r="D290" s="405" t="str">
        <f t="shared" si="34"/>
        <v>大豊道路（株）</v>
      </c>
      <c r="E290" s="405" t="str">
        <f t="shared" si="35"/>
        <v>代表取締役</v>
      </c>
      <c r="F290" s="405" t="str">
        <f t="shared" si="36"/>
        <v>大家　和</v>
      </c>
      <c r="G290" s="405" t="str">
        <f t="shared" si="37"/>
        <v>主たる営業所</v>
      </c>
      <c r="H290" s="405" t="str">
        <f t="shared" si="38"/>
        <v>中津市大字東浜１１２８－１８</v>
      </c>
      <c r="L290" s="403" t="s">
        <v>8067</v>
      </c>
      <c r="M290" s="403" t="s">
        <v>8068</v>
      </c>
      <c r="N290" s="403" t="s">
        <v>1944</v>
      </c>
      <c r="O290" s="403" t="s">
        <v>7084</v>
      </c>
      <c r="P290" s="403" t="s">
        <v>1945</v>
      </c>
      <c r="Q290" s="403" t="s">
        <v>8069</v>
      </c>
      <c r="R290" s="403" t="s">
        <v>18795</v>
      </c>
      <c r="S290" s="403" t="s">
        <v>14442</v>
      </c>
      <c r="T290" s="403" t="s">
        <v>14443</v>
      </c>
      <c r="U290" s="403"/>
      <c r="V290" s="403" t="s">
        <v>23024</v>
      </c>
      <c r="W290" s="403" t="s">
        <v>23024</v>
      </c>
      <c r="X290" s="403" t="s">
        <v>23024</v>
      </c>
      <c r="Y290" s="403" t="s">
        <v>23024</v>
      </c>
    </row>
    <row r="291" spans="1:25">
      <c r="A291" s="363">
        <f t="shared" si="39"/>
        <v>290</v>
      </c>
      <c r="B291" s="363" t="str">
        <f t="shared" si="32"/>
        <v>44</v>
      </c>
      <c r="C291" s="405" t="str">
        <f t="shared" si="33"/>
        <v>第002425号</v>
      </c>
      <c r="D291" s="405" t="str">
        <f t="shared" si="34"/>
        <v>（株）共新電機</v>
      </c>
      <c r="E291" s="405" t="str">
        <f t="shared" si="35"/>
        <v>代表取締役</v>
      </c>
      <c r="F291" s="405" t="str">
        <f t="shared" si="36"/>
        <v>木崎　里美</v>
      </c>
      <c r="G291" s="405" t="str">
        <f t="shared" si="37"/>
        <v>主たる営業所</v>
      </c>
      <c r="H291" s="405" t="str">
        <f t="shared" si="38"/>
        <v>中津市大字田尻崎８－５</v>
      </c>
      <c r="L291" s="403" t="s">
        <v>8070</v>
      </c>
      <c r="M291" s="403" t="s">
        <v>8071</v>
      </c>
      <c r="N291" s="403" t="s">
        <v>1946</v>
      </c>
      <c r="O291" s="403" t="s">
        <v>7084</v>
      </c>
      <c r="P291" s="403" t="s">
        <v>1947</v>
      </c>
      <c r="Q291" s="403" t="s">
        <v>8072</v>
      </c>
      <c r="R291" s="403" t="s">
        <v>18796</v>
      </c>
      <c r="S291" s="403" t="s">
        <v>14444</v>
      </c>
      <c r="T291" s="403" t="s">
        <v>14445</v>
      </c>
      <c r="U291" s="403"/>
      <c r="V291" s="403" t="s">
        <v>23024</v>
      </c>
      <c r="W291" s="403" t="s">
        <v>23024</v>
      </c>
      <c r="X291" s="403" t="s">
        <v>23024</v>
      </c>
      <c r="Y291" s="403" t="s">
        <v>23024</v>
      </c>
    </row>
    <row r="292" spans="1:25">
      <c r="A292" s="363">
        <f t="shared" si="39"/>
        <v>291</v>
      </c>
      <c r="B292" s="363" t="str">
        <f t="shared" si="32"/>
        <v>44</v>
      </c>
      <c r="C292" s="405" t="str">
        <f t="shared" si="33"/>
        <v>第002427号</v>
      </c>
      <c r="D292" s="405" t="str">
        <f t="shared" si="34"/>
        <v>（株）松山商会</v>
      </c>
      <c r="E292" s="405" t="str">
        <f t="shared" si="35"/>
        <v>代表取締役</v>
      </c>
      <c r="F292" s="405" t="str">
        <f t="shared" si="36"/>
        <v>松山　義憲</v>
      </c>
      <c r="G292" s="405" t="str">
        <f t="shared" si="37"/>
        <v>主たる営業所</v>
      </c>
      <c r="H292" s="405" t="str">
        <f t="shared" si="38"/>
        <v>中津市１５７２</v>
      </c>
      <c r="L292" s="403" t="s">
        <v>8073</v>
      </c>
      <c r="M292" s="403" t="s">
        <v>8074</v>
      </c>
      <c r="N292" s="403" t="s">
        <v>1948</v>
      </c>
      <c r="O292" s="403" t="s">
        <v>7084</v>
      </c>
      <c r="P292" s="403" t="s">
        <v>1949</v>
      </c>
      <c r="Q292" s="403" t="s">
        <v>8075</v>
      </c>
      <c r="R292" s="403" t="s">
        <v>5391</v>
      </c>
      <c r="S292" s="403" t="s">
        <v>14446</v>
      </c>
      <c r="T292" s="403" t="s">
        <v>14447</v>
      </c>
      <c r="U292" s="403"/>
      <c r="V292" s="403" t="s">
        <v>23024</v>
      </c>
      <c r="W292" s="403" t="s">
        <v>23024</v>
      </c>
      <c r="X292" s="403" t="s">
        <v>23024</v>
      </c>
      <c r="Y292" s="403" t="s">
        <v>23024</v>
      </c>
    </row>
    <row r="293" spans="1:25">
      <c r="A293" s="363">
        <f t="shared" si="39"/>
        <v>292</v>
      </c>
      <c r="B293" s="363" t="str">
        <f t="shared" si="32"/>
        <v>44</v>
      </c>
      <c r="C293" s="405" t="str">
        <f t="shared" si="33"/>
        <v>第002429号</v>
      </c>
      <c r="D293" s="405" t="str">
        <f t="shared" si="34"/>
        <v>阿部電管工業（株）</v>
      </c>
      <c r="E293" s="405" t="str">
        <f t="shared" si="35"/>
        <v>代表取締役</v>
      </c>
      <c r="F293" s="405" t="str">
        <f t="shared" si="36"/>
        <v>秋吉　暁</v>
      </c>
      <c r="G293" s="405" t="str">
        <f t="shared" si="37"/>
        <v>主たる営業所</v>
      </c>
      <c r="H293" s="405" t="str">
        <f t="shared" si="38"/>
        <v>中津市大字大塚６５</v>
      </c>
      <c r="L293" s="403" t="s">
        <v>8076</v>
      </c>
      <c r="M293" s="403" t="s">
        <v>8077</v>
      </c>
      <c r="N293" s="403" t="s">
        <v>1950</v>
      </c>
      <c r="O293" s="403" t="s">
        <v>7084</v>
      </c>
      <c r="P293" s="403" t="s">
        <v>1951</v>
      </c>
      <c r="Q293" s="403" t="s">
        <v>8078</v>
      </c>
      <c r="R293" s="403" t="s">
        <v>5392</v>
      </c>
      <c r="S293" s="403" t="s">
        <v>14448</v>
      </c>
      <c r="T293" s="403" t="s">
        <v>14449</v>
      </c>
      <c r="U293" s="403"/>
      <c r="V293" s="403" t="s">
        <v>23024</v>
      </c>
      <c r="W293" s="403" t="s">
        <v>23024</v>
      </c>
      <c r="X293" s="403" t="s">
        <v>23024</v>
      </c>
      <c r="Y293" s="403" t="s">
        <v>23024</v>
      </c>
    </row>
    <row r="294" spans="1:25">
      <c r="A294" s="363">
        <f t="shared" si="39"/>
        <v>293</v>
      </c>
      <c r="B294" s="363" t="str">
        <f t="shared" si="32"/>
        <v>44</v>
      </c>
      <c r="C294" s="405" t="str">
        <f t="shared" si="33"/>
        <v>第002432号</v>
      </c>
      <c r="D294" s="405" t="str">
        <f t="shared" si="34"/>
        <v>（株）福原組</v>
      </c>
      <c r="E294" s="405" t="str">
        <f t="shared" si="35"/>
        <v>代表取締役</v>
      </c>
      <c r="F294" s="405" t="str">
        <f t="shared" si="36"/>
        <v>福原　好康</v>
      </c>
      <c r="G294" s="405" t="str">
        <f t="shared" si="37"/>
        <v>主たる営業所</v>
      </c>
      <c r="H294" s="405" t="str">
        <f t="shared" si="38"/>
        <v>中津市耶馬溪町大字柿坂３５８</v>
      </c>
      <c r="L294" s="403" t="s">
        <v>8079</v>
      </c>
      <c r="M294" s="403" t="s">
        <v>8080</v>
      </c>
      <c r="N294" s="403" t="s">
        <v>1952</v>
      </c>
      <c r="O294" s="403" t="s">
        <v>7084</v>
      </c>
      <c r="P294" s="403" t="s">
        <v>1953</v>
      </c>
      <c r="Q294" s="403" t="s">
        <v>8081</v>
      </c>
      <c r="R294" s="403" t="s">
        <v>5393</v>
      </c>
      <c r="S294" s="403" t="s">
        <v>14450</v>
      </c>
      <c r="T294" s="403" t="s">
        <v>14451</v>
      </c>
      <c r="U294" s="403"/>
      <c r="V294" s="403" t="s">
        <v>23024</v>
      </c>
      <c r="W294" s="403" t="s">
        <v>23024</v>
      </c>
      <c r="X294" s="403" t="s">
        <v>23024</v>
      </c>
      <c r="Y294" s="403" t="s">
        <v>23024</v>
      </c>
    </row>
    <row r="295" spans="1:25">
      <c r="A295" s="363">
        <f t="shared" si="39"/>
        <v>294</v>
      </c>
      <c r="B295" s="363" t="str">
        <f t="shared" si="32"/>
        <v>44</v>
      </c>
      <c r="C295" s="405" t="str">
        <f t="shared" si="33"/>
        <v>第002445号</v>
      </c>
      <c r="D295" s="405" t="str">
        <f t="shared" si="34"/>
        <v>（株）高牟禮建設</v>
      </c>
      <c r="E295" s="405" t="str">
        <f t="shared" si="35"/>
        <v>代表取締役</v>
      </c>
      <c r="F295" s="405" t="str">
        <f t="shared" si="36"/>
        <v>高牟禮　慶子</v>
      </c>
      <c r="G295" s="405" t="str">
        <f t="shared" si="37"/>
        <v>主たる営業所</v>
      </c>
      <c r="H295" s="405" t="str">
        <f t="shared" si="38"/>
        <v>宇佐市大字富山２８９</v>
      </c>
      <c r="L295" s="403" t="s">
        <v>8082</v>
      </c>
      <c r="M295" s="403" t="s">
        <v>8083</v>
      </c>
      <c r="N295" s="403" t="s">
        <v>1954</v>
      </c>
      <c r="O295" s="403" t="s">
        <v>7084</v>
      </c>
      <c r="P295" s="403" t="s">
        <v>1955</v>
      </c>
      <c r="Q295" s="403" t="s">
        <v>8084</v>
      </c>
      <c r="R295" s="403" t="s">
        <v>5394</v>
      </c>
      <c r="S295" s="403" t="s">
        <v>14452</v>
      </c>
      <c r="T295" s="403" t="s">
        <v>14453</v>
      </c>
      <c r="U295" s="403"/>
      <c r="V295" s="403" t="s">
        <v>23024</v>
      </c>
      <c r="W295" s="403" t="s">
        <v>23024</v>
      </c>
      <c r="X295" s="403" t="s">
        <v>23024</v>
      </c>
      <c r="Y295" s="403" t="s">
        <v>23024</v>
      </c>
    </row>
    <row r="296" spans="1:25">
      <c r="A296" s="363">
        <f t="shared" si="39"/>
        <v>295</v>
      </c>
      <c r="B296" s="363" t="str">
        <f t="shared" si="32"/>
        <v>44</v>
      </c>
      <c r="C296" s="405" t="str">
        <f t="shared" si="33"/>
        <v>第002452号</v>
      </c>
      <c r="D296" s="405" t="str">
        <f t="shared" si="34"/>
        <v>（株）松本総合設備</v>
      </c>
      <c r="E296" s="405" t="str">
        <f t="shared" si="35"/>
        <v>代表取締役</v>
      </c>
      <c r="F296" s="405" t="str">
        <f t="shared" si="36"/>
        <v>松本　晋作</v>
      </c>
      <c r="G296" s="405" t="str">
        <f t="shared" si="37"/>
        <v>主たる営業所</v>
      </c>
      <c r="H296" s="405" t="str">
        <f t="shared" si="38"/>
        <v>中津市大字宮夫２７３－７</v>
      </c>
      <c r="L296" s="403" t="s">
        <v>8085</v>
      </c>
      <c r="M296" s="403" t="s">
        <v>8086</v>
      </c>
      <c r="N296" s="403" t="s">
        <v>1956</v>
      </c>
      <c r="O296" s="403" t="s">
        <v>7084</v>
      </c>
      <c r="P296" s="403" t="s">
        <v>1957</v>
      </c>
      <c r="Q296" s="403" t="s">
        <v>8087</v>
      </c>
      <c r="R296" s="403" t="s">
        <v>18797</v>
      </c>
      <c r="S296" s="403" t="s">
        <v>14454</v>
      </c>
      <c r="T296" s="403" t="s">
        <v>14455</v>
      </c>
      <c r="U296" s="403"/>
      <c r="V296" s="403" t="s">
        <v>23024</v>
      </c>
      <c r="W296" s="403" t="s">
        <v>23024</v>
      </c>
      <c r="X296" s="403" t="s">
        <v>23024</v>
      </c>
      <c r="Y296" s="403" t="s">
        <v>23024</v>
      </c>
    </row>
    <row r="297" spans="1:25">
      <c r="A297" s="363">
        <f t="shared" si="39"/>
        <v>296</v>
      </c>
      <c r="B297" s="363" t="str">
        <f t="shared" si="32"/>
        <v>44</v>
      </c>
      <c r="C297" s="405" t="str">
        <f t="shared" si="33"/>
        <v>第002455号</v>
      </c>
      <c r="D297" s="405" t="str">
        <f t="shared" si="34"/>
        <v>高野建設（株）</v>
      </c>
      <c r="E297" s="405" t="str">
        <f t="shared" si="35"/>
        <v>代表取締役</v>
      </c>
      <c r="F297" s="405" t="str">
        <f t="shared" si="36"/>
        <v>小深田　崇志</v>
      </c>
      <c r="G297" s="405" t="str">
        <f t="shared" si="37"/>
        <v>主たる営業所</v>
      </c>
      <c r="H297" s="405" t="str">
        <f t="shared" si="38"/>
        <v>中津市大字万田５６３－６</v>
      </c>
      <c r="L297" s="403" t="s">
        <v>8088</v>
      </c>
      <c r="M297" s="403" t="s">
        <v>8089</v>
      </c>
      <c r="N297" s="403" t="s">
        <v>1958</v>
      </c>
      <c r="O297" s="403" t="s">
        <v>7084</v>
      </c>
      <c r="P297" s="403" t="s">
        <v>1959</v>
      </c>
      <c r="Q297" s="403" t="s">
        <v>8090</v>
      </c>
      <c r="R297" s="403" t="s">
        <v>18798</v>
      </c>
      <c r="S297" s="403" t="s">
        <v>14456</v>
      </c>
      <c r="T297" s="403" t="s">
        <v>14457</v>
      </c>
      <c r="U297" s="403"/>
      <c r="V297" s="403" t="s">
        <v>23024</v>
      </c>
      <c r="W297" s="403" t="s">
        <v>23024</v>
      </c>
      <c r="X297" s="403" t="s">
        <v>23024</v>
      </c>
      <c r="Y297" s="403" t="s">
        <v>23024</v>
      </c>
    </row>
    <row r="298" spans="1:25">
      <c r="A298" s="363">
        <f t="shared" si="39"/>
        <v>297</v>
      </c>
      <c r="B298" s="363" t="str">
        <f t="shared" si="32"/>
        <v>44</v>
      </c>
      <c r="C298" s="405" t="str">
        <f t="shared" si="33"/>
        <v>第002471号</v>
      </c>
      <c r="D298" s="405" t="str">
        <f t="shared" si="34"/>
        <v>西畑建設（株）</v>
      </c>
      <c r="E298" s="405" t="str">
        <f t="shared" si="35"/>
        <v>代表取締役</v>
      </c>
      <c r="F298" s="405" t="str">
        <f t="shared" si="36"/>
        <v>西畑　修司</v>
      </c>
      <c r="G298" s="405" t="str">
        <f t="shared" si="37"/>
        <v>主たる営業所</v>
      </c>
      <c r="H298" s="405" t="str">
        <f t="shared" si="38"/>
        <v>中津市耶馬溪町大字大島２７８</v>
      </c>
      <c r="L298" s="403" t="s">
        <v>8091</v>
      </c>
      <c r="M298" s="403" t="s">
        <v>8092</v>
      </c>
      <c r="N298" s="403" t="s">
        <v>1960</v>
      </c>
      <c r="O298" s="403" t="s">
        <v>7084</v>
      </c>
      <c r="P298" s="403" t="s">
        <v>4320</v>
      </c>
      <c r="Q298" s="403" t="s">
        <v>8093</v>
      </c>
      <c r="R298" s="403" t="s">
        <v>5395</v>
      </c>
      <c r="S298" s="403" t="s">
        <v>14458</v>
      </c>
      <c r="T298" s="403" t="s">
        <v>14459</v>
      </c>
      <c r="U298" s="403"/>
      <c r="V298" s="403" t="s">
        <v>23024</v>
      </c>
      <c r="W298" s="403" t="s">
        <v>23024</v>
      </c>
      <c r="X298" s="403" t="s">
        <v>23024</v>
      </c>
      <c r="Y298" s="403" t="s">
        <v>23024</v>
      </c>
    </row>
    <row r="299" spans="1:25">
      <c r="A299" s="363">
        <f t="shared" si="39"/>
        <v>298</v>
      </c>
      <c r="B299" s="363" t="str">
        <f t="shared" si="32"/>
        <v>44</v>
      </c>
      <c r="C299" s="405" t="str">
        <f t="shared" si="33"/>
        <v>第002473号</v>
      </c>
      <c r="D299" s="405" t="str">
        <f t="shared" si="34"/>
        <v>（株）冨部建設</v>
      </c>
      <c r="E299" s="405" t="str">
        <f t="shared" si="35"/>
        <v>代表取締役</v>
      </c>
      <c r="F299" s="405" t="str">
        <f t="shared" si="36"/>
        <v>冨部　直</v>
      </c>
      <c r="G299" s="405" t="str">
        <f t="shared" si="37"/>
        <v>主たる営業所</v>
      </c>
      <c r="H299" s="405" t="str">
        <f t="shared" si="38"/>
        <v>中津市大字上宮永３９８－１</v>
      </c>
      <c r="L299" s="403" t="s">
        <v>8094</v>
      </c>
      <c r="M299" s="403" t="s">
        <v>8095</v>
      </c>
      <c r="N299" s="403" t="s">
        <v>1961</v>
      </c>
      <c r="O299" s="403" t="s">
        <v>7084</v>
      </c>
      <c r="P299" s="403" t="s">
        <v>1962</v>
      </c>
      <c r="Q299" s="403" t="s">
        <v>8096</v>
      </c>
      <c r="R299" s="403" t="s">
        <v>18799</v>
      </c>
      <c r="S299" s="403" t="s">
        <v>14460</v>
      </c>
      <c r="T299" s="403" t="s">
        <v>14461</v>
      </c>
      <c r="U299" s="403"/>
      <c r="V299" s="403" t="s">
        <v>23024</v>
      </c>
      <c r="W299" s="403" t="s">
        <v>23024</v>
      </c>
      <c r="X299" s="403" t="s">
        <v>23024</v>
      </c>
      <c r="Y299" s="403" t="s">
        <v>23024</v>
      </c>
    </row>
    <row r="300" spans="1:25">
      <c r="A300" s="363">
        <f t="shared" si="39"/>
        <v>299</v>
      </c>
      <c r="B300" s="363" t="str">
        <f t="shared" si="32"/>
        <v>44</v>
      </c>
      <c r="C300" s="405" t="str">
        <f t="shared" si="33"/>
        <v>第002480号</v>
      </c>
      <c r="D300" s="405" t="str">
        <f t="shared" si="34"/>
        <v>（株）中津土建</v>
      </c>
      <c r="E300" s="405" t="str">
        <f t="shared" si="35"/>
        <v>代表取締役</v>
      </c>
      <c r="F300" s="405" t="str">
        <f t="shared" si="36"/>
        <v>小倉　隆一</v>
      </c>
      <c r="G300" s="405" t="str">
        <f t="shared" si="37"/>
        <v>主たる営業所</v>
      </c>
      <c r="H300" s="405" t="str">
        <f t="shared" si="38"/>
        <v>中津市大字牛神３３８－２</v>
      </c>
      <c r="L300" s="403" t="s">
        <v>8097</v>
      </c>
      <c r="M300" s="403" t="s">
        <v>8098</v>
      </c>
      <c r="N300" s="403" t="s">
        <v>1963</v>
      </c>
      <c r="O300" s="403" t="s">
        <v>7084</v>
      </c>
      <c r="P300" s="403" t="s">
        <v>1964</v>
      </c>
      <c r="Q300" s="403" t="s">
        <v>8099</v>
      </c>
      <c r="R300" s="403" t="s">
        <v>18800</v>
      </c>
      <c r="S300" s="403" t="s">
        <v>14462</v>
      </c>
      <c r="T300" s="403" t="s">
        <v>14463</v>
      </c>
      <c r="U300" s="403"/>
      <c r="V300" s="403" t="s">
        <v>23024</v>
      </c>
      <c r="W300" s="403" t="s">
        <v>23024</v>
      </c>
      <c r="X300" s="403" t="s">
        <v>23024</v>
      </c>
      <c r="Y300" s="403" t="s">
        <v>23024</v>
      </c>
    </row>
    <row r="301" spans="1:25">
      <c r="A301" s="363">
        <f t="shared" si="39"/>
        <v>300</v>
      </c>
      <c r="B301" s="363" t="str">
        <f t="shared" si="32"/>
        <v>44</v>
      </c>
      <c r="C301" s="405" t="str">
        <f t="shared" si="33"/>
        <v>第002500号</v>
      </c>
      <c r="D301" s="405" t="str">
        <f t="shared" si="34"/>
        <v>笹原建設（株）</v>
      </c>
      <c r="E301" s="405" t="str">
        <f t="shared" si="35"/>
        <v>代表取締役</v>
      </c>
      <c r="F301" s="405" t="str">
        <f t="shared" si="36"/>
        <v>笹原　徹也</v>
      </c>
      <c r="G301" s="405" t="str">
        <f t="shared" si="37"/>
        <v>主たる営業所</v>
      </c>
      <c r="H301" s="405" t="str">
        <f t="shared" si="38"/>
        <v>中津市大字高瀬１２３４</v>
      </c>
      <c r="L301" s="403" t="s">
        <v>8100</v>
      </c>
      <c r="M301" s="403" t="s">
        <v>8101</v>
      </c>
      <c r="N301" s="403" t="s">
        <v>1965</v>
      </c>
      <c r="O301" s="403" t="s">
        <v>7084</v>
      </c>
      <c r="P301" s="403" t="s">
        <v>18801</v>
      </c>
      <c r="Q301" s="403" t="s">
        <v>8102</v>
      </c>
      <c r="R301" s="403" t="s">
        <v>5396</v>
      </c>
      <c r="S301" s="403" t="s">
        <v>14464</v>
      </c>
      <c r="T301" s="403" t="s">
        <v>14465</v>
      </c>
      <c r="U301" s="403"/>
      <c r="V301" s="403" t="s">
        <v>23024</v>
      </c>
      <c r="W301" s="403" t="s">
        <v>23024</v>
      </c>
      <c r="X301" s="403" t="s">
        <v>23024</v>
      </c>
      <c r="Y301" s="403" t="s">
        <v>23024</v>
      </c>
    </row>
    <row r="302" spans="1:25">
      <c r="A302" s="363">
        <f t="shared" si="39"/>
        <v>301</v>
      </c>
      <c r="B302" s="363" t="str">
        <f t="shared" si="32"/>
        <v>44</v>
      </c>
      <c r="C302" s="405" t="str">
        <f t="shared" si="33"/>
        <v>第002533号</v>
      </c>
      <c r="D302" s="405" t="str">
        <f t="shared" si="34"/>
        <v>（有）村本工務店</v>
      </c>
      <c r="E302" s="405" t="str">
        <f t="shared" si="35"/>
        <v>代表取締役</v>
      </c>
      <c r="F302" s="405" t="str">
        <f t="shared" si="36"/>
        <v>村本　隆幸</v>
      </c>
      <c r="G302" s="405" t="str">
        <f t="shared" si="37"/>
        <v>主たる営業所</v>
      </c>
      <c r="H302" s="405" t="str">
        <f t="shared" si="38"/>
        <v>中津市大字下池永９２９－１</v>
      </c>
      <c r="L302" s="403" t="s">
        <v>8103</v>
      </c>
      <c r="M302" s="403" t="s">
        <v>8104</v>
      </c>
      <c r="N302" s="403" t="s">
        <v>1966</v>
      </c>
      <c r="O302" s="403" t="s">
        <v>7084</v>
      </c>
      <c r="P302" s="403" t="s">
        <v>1967</v>
      </c>
      <c r="Q302" s="403" t="s">
        <v>8105</v>
      </c>
      <c r="R302" s="403" t="s">
        <v>18802</v>
      </c>
      <c r="S302" s="403" t="s">
        <v>14466</v>
      </c>
      <c r="T302" s="403" t="s">
        <v>14467</v>
      </c>
      <c r="U302" s="403"/>
      <c r="V302" s="403" t="s">
        <v>23024</v>
      </c>
      <c r="W302" s="403" t="s">
        <v>23024</v>
      </c>
      <c r="X302" s="403" t="s">
        <v>23024</v>
      </c>
      <c r="Y302" s="403" t="s">
        <v>23024</v>
      </c>
    </row>
    <row r="303" spans="1:25">
      <c r="A303" s="363">
        <f t="shared" si="39"/>
        <v>302</v>
      </c>
      <c r="B303" s="363" t="str">
        <f t="shared" si="32"/>
        <v>44</v>
      </c>
      <c r="C303" s="405" t="str">
        <f t="shared" si="33"/>
        <v>第002545号</v>
      </c>
      <c r="D303" s="405" t="str">
        <f t="shared" si="34"/>
        <v>種村産業（株）</v>
      </c>
      <c r="E303" s="405" t="str">
        <f t="shared" si="35"/>
        <v>代表取締役</v>
      </c>
      <c r="F303" s="405" t="str">
        <f t="shared" si="36"/>
        <v>種村　直人</v>
      </c>
      <c r="G303" s="405" t="str">
        <f t="shared" si="37"/>
        <v>主たる営業所</v>
      </c>
      <c r="H303" s="405" t="str">
        <f t="shared" si="38"/>
        <v>中津市大字田尻２７２４</v>
      </c>
      <c r="L303" s="403" t="s">
        <v>8106</v>
      </c>
      <c r="M303" s="403" t="s">
        <v>8107</v>
      </c>
      <c r="N303" s="403" t="s">
        <v>1968</v>
      </c>
      <c r="O303" s="403" t="s">
        <v>7084</v>
      </c>
      <c r="P303" s="403" t="s">
        <v>1969</v>
      </c>
      <c r="Q303" s="403" t="s">
        <v>8108</v>
      </c>
      <c r="R303" s="403" t="s">
        <v>5397</v>
      </c>
      <c r="S303" s="403" t="s">
        <v>14468</v>
      </c>
      <c r="T303" s="403" t="s">
        <v>14469</v>
      </c>
      <c r="U303" s="403"/>
      <c r="V303" s="403" t="s">
        <v>23024</v>
      </c>
      <c r="W303" s="403" t="s">
        <v>23024</v>
      </c>
      <c r="X303" s="403" t="s">
        <v>23024</v>
      </c>
      <c r="Y303" s="403" t="s">
        <v>23024</v>
      </c>
    </row>
    <row r="304" spans="1:25">
      <c r="A304" s="363">
        <f t="shared" si="39"/>
        <v>303</v>
      </c>
      <c r="B304" s="363" t="str">
        <f t="shared" si="32"/>
        <v>44</v>
      </c>
      <c r="C304" s="405" t="str">
        <f t="shared" si="33"/>
        <v>第002551号</v>
      </c>
      <c r="D304" s="405" t="str">
        <f t="shared" si="34"/>
        <v>（有）稲益開楽園</v>
      </c>
      <c r="E304" s="405" t="str">
        <f t="shared" si="35"/>
        <v>代表取締役</v>
      </c>
      <c r="F304" s="405" t="str">
        <f t="shared" si="36"/>
        <v>稲益　大希</v>
      </c>
      <c r="G304" s="405" t="str">
        <f t="shared" si="37"/>
        <v>主たる営業所</v>
      </c>
      <c r="H304" s="405" t="str">
        <f t="shared" si="38"/>
        <v>中津市大字永添２８２８</v>
      </c>
      <c r="L304" s="403" t="s">
        <v>8109</v>
      </c>
      <c r="M304" s="403" t="s">
        <v>8110</v>
      </c>
      <c r="N304" s="403" t="s">
        <v>1970</v>
      </c>
      <c r="O304" s="403" t="s">
        <v>7084</v>
      </c>
      <c r="P304" s="403" t="s">
        <v>1971</v>
      </c>
      <c r="Q304" s="403" t="s">
        <v>8111</v>
      </c>
      <c r="R304" s="403" t="s">
        <v>5398</v>
      </c>
      <c r="S304" s="403" t="s">
        <v>14470</v>
      </c>
      <c r="T304" s="403" t="s">
        <v>14471</v>
      </c>
      <c r="U304" s="403"/>
      <c r="V304" s="403" t="s">
        <v>23024</v>
      </c>
      <c r="W304" s="403" t="s">
        <v>23024</v>
      </c>
      <c r="X304" s="403" t="s">
        <v>23024</v>
      </c>
      <c r="Y304" s="403" t="s">
        <v>23024</v>
      </c>
    </row>
    <row r="305" spans="1:25">
      <c r="A305" s="363">
        <f t="shared" si="39"/>
        <v>304</v>
      </c>
      <c r="B305" s="363" t="str">
        <f t="shared" si="32"/>
        <v>44</v>
      </c>
      <c r="C305" s="405" t="str">
        <f t="shared" si="33"/>
        <v>第002557号</v>
      </c>
      <c r="D305" s="405" t="str">
        <f t="shared" si="34"/>
        <v>（有）若草工務店</v>
      </c>
      <c r="E305" s="405" t="str">
        <f t="shared" si="35"/>
        <v>代表取締役</v>
      </c>
      <c r="F305" s="405" t="str">
        <f t="shared" si="36"/>
        <v>阿志谷　清二</v>
      </c>
      <c r="G305" s="405" t="str">
        <f t="shared" si="37"/>
        <v>主たる営業所</v>
      </c>
      <c r="H305" s="405" t="str">
        <f t="shared" si="38"/>
        <v>中津市耶馬溪町大字大島１７９－１</v>
      </c>
      <c r="L305" s="403" t="s">
        <v>8112</v>
      </c>
      <c r="M305" s="403" t="s">
        <v>8113</v>
      </c>
      <c r="N305" s="403" t="s">
        <v>1972</v>
      </c>
      <c r="O305" s="403" t="s">
        <v>7084</v>
      </c>
      <c r="P305" s="403" t="s">
        <v>1973</v>
      </c>
      <c r="Q305" s="403" t="s">
        <v>8093</v>
      </c>
      <c r="R305" s="403" t="s">
        <v>18803</v>
      </c>
      <c r="S305" s="403" t="s">
        <v>14472</v>
      </c>
      <c r="T305" s="403" t="s">
        <v>14473</v>
      </c>
      <c r="U305" s="403"/>
      <c r="V305" s="403" t="s">
        <v>23024</v>
      </c>
      <c r="W305" s="403" t="s">
        <v>23024</v>
      </c>
      <c r="X305" s="403" t="s">
        <v>23024</v>
      </c>
      <c r="Y305" s="403" t="s">
        <v>23024</v>
      </c>
    </row>
    <row r="306" spans="1:25">
      <c r="A306" s="363">
        <f t="shared" si="39"/>
        <v>305</v>
      </c>
      <c r="B306" s="363" t="str">
        <f t="shared" si="32"/>
        <v>44</v>
      </c>
      <c r="C306" s="405" t="str">
        <f t="shared" si="33"/>
        <v>第002597号</v>
      </c>
      <c r="D306" s="405" t="str">
        <f t="shared" si="34"/>
        <v>（有）松葉建設</v>
      </c>
      <c r="E306" s="405" t="str">
        <f t="shared" si="35"/>
        <v>代表取締役</v>
      </c>
      <c r="F306" s="405" t="str">
        <f t="shared" si="36"/>
        <v>松葉　潤</v>
      </c>
      <c r="G306" s="405" t="str">
        <f t="shared" si="37"/>
        <v>主たる営業所</v>
      </c>
      <c r="H306" s="405" t="str">
        <f t="shared" si="38"/>
        <v>中津市耶馬溪町大字柿坂５３４－３</v>
      </c>
      <c r="L306" s="403" t="s">
        <v>8114</v>
      </c>
      <c r="M306" s="403" t="s">
        <v>8115</v>
      </c>
      <c r="N306" s="403" t="s">
        <v>1974</v>
      </c>
      <c r="O306" s="403" t="s">
        <v>7084</v>
      </c>
      <c r="P306" s="403" t="s">
        <v>1975</v>
      </c>
      <c r="Q306" s="403" t="s">
        <v>8081</v>
      </c>
      <c r="R306" s="403" t="s">
        <v>18804</v>
      </c>
      <c r="S306" s="403" t="s">
        <v>14474</v>
      </c>
      <c r="T306" s="403" t="s">
        <v>14475</v>
      </c>
      <c r="U306" s="403"/>
      <c r="V306" s="403" t="s">
        <v>23024</v>
      </c>
      <c r="W306" s="403" t="s">
        <v>23024</v>
      </c>
      <c r="X306" s="403" t="s">
        <v>23024</v>
      </c>
      <c r="Y306" s="403" t="s">
        <v>23024</v>
      </c>
    </row>
    <row r="307" spans="1:25">
      <c r="A307" s="363">
        <f t="shared" si="39"/>
        <v>306</v>
      </c>
      <c r="B307" s="363" t="str">
        <f t="shared" si="32"/>
        <v>44</v>
      </c>
      <c r="C307" s="405" t="str">
        <f t="shared" si="33"/>
        <v>第002605号</v>
      </c>
      <c r="D307" s="405" t="str">
        <f t="shared" si="34"/>
        <v>岩金設備工業（株）</v>
      </c>
      <c r="E307" s="405" t="str">
        <f t="shared" si="35"/>
        <v>代表取締役</v>
      </c>
      <c r="F307" s="405" t="str">
        <f t="shared" si="36"/>
        <v>佐々木　純</v>
      </c>
      <c r="G307" s="405" t="str">
        <f t="shared" si="37"/>
        <v>主たる営業所</v>
      </c>
      <c r="H307" s="405" t="str">
        <f t="shared" si="38"/>
        <v>宇佐市大字山本６４０－３</v>
      </c>
      <c r="L307" s="403" t="s">
        <v>8116</v>
      </c>
      <c r="M307" s="403" t="s">
        <v>8117</v>
      </c>
      <c r="N307" s="403" t="s">
        <v>1976</v>
      </c>
      <c r="O307" s="403" t="s">
        <v>7084</v>
      </c>
      <c r="P307" s="403" t="s">
        <v>1977</v>
      </c>
      <c r="Q307" s="403" t="s">
        <v>8118</v>
      </c>
      <c r="R307" s="403" t="s">
        <v>18805</v>
      </c>
      <c r="S307" s="403" t="s">
        <v>14476</v>
      </c>
      <c r="T307" s="403" t="s">
        <v>14477</v>
      </c>
      <c r="U307" s="403"/>
      <c r="V307" s="403" t="s">
        <v>23024</v>
      </c>
      <c r="W307" s="403" t="s">
        <v>23024</v>
      </c>
      <c r="X307" s="403" t="s">
        <v>23024</v>
      </c>
      <c r="Y307" s="403" t="s">
        <v>23024</v>
      </c>
    </row>
    <row r="308" spans="1:25">
      <c r="A308" s="363">
        <f t="shared" si="39"/>
        <v>307</v>
      </c>
      <c r="B308" s="363" t="str">
        <f t="shared" si="32"/>
        <v>44</v>
      </c>
      <c r="C308" s="405" t="str">
        <f t="shared" si="33"/>
        <v>第002611号</v>
      </c>
      <c r="D308" s="405" t="str">
        <f t="shared" si="34"/>
        <v>（株）江河工務店</v>
      </c>
      <c r="E308" s="405" t="str">
        <f t="shared" si="35"/>
        <v>代表取締役</v>
      </c>
      <c r="F308" s="405" t="str">
        <f t="shared" si="36"/>
        <v>江河　好洋</v>
      </c>
      <c r="G308" s="405" t="str">
        <f t="shared" si="37"/>
        <v>主たる営業所</v>
      </c>
      <c r="H308" s="405" t="str">
        <f t="shared" si="38"/>
        <v>宇佐市城井２００６</v>
      </c>
      <c r="L308" s="403" t="s">
        <v>8119</v>
      </c>
      <c r="M308" s="403" t="s">
        <v>8120</v>
      </c>
      <c r="N308" s="403" t="s">
        <v>1978</v>
      </c>
      <c r="O308" s="403" t="s">
        <v>7084</v>
      </c>
      <c r="P308" s="403" t="s">
        <v>1979</v>
      </c>
      <c r="Q308" s="403" t="s">
        <v>8121</v>
      </c>
      <c r="R308" s="403" t="s">
        <v>18806</v>
      </c>
      <c r="S308" s="403" t="s">
        <v>14478</v>
      </c>
      <c r="T308" s="403" t="s">
        <v>14479</v>
      </c>
      <c r="U308" s="403"/>
      <c r="V308" s="403" t="s">
        <v>23024</v>
      </c>
      <c r="W308" s="403" t="s">
        <v>23024</v>
      </c>
      <c r="X308" s="403" t="s">
        <v>23024</v>
      </c>
      <c r="Y308" s="403" t="s">
        <v>23024</v>
      </c>
    </row>
    <row r="309" spans="1:25">
      <c r="A309" s="363">
        <f t="shared" si="39"/>
        <v>308</v>
      </c>
      <c r="B309" s="363" t="str">
        <f t="shared" si="32"/>
        <v>44</v>
      </c>
      <c r="C309" s="405" t="str">
        <f t="shared" si="33"/>
        <v>第002618号</v>
      </c>
      <c r="D309" s="405" t="str">
        <f t="shared" si="34"/>
        <v>（株）奥田組</v>
      </c>
      <c r="E309" s="405" t="str">
        <f t="shared" si="35"/>
        <v>代表取締役</v>
      </c>
      <c r="F309" s="405" t="str">
        <f t="shared" si="36"/>
        <v>奥田　和彦</v>
      </c>
      <c r="G309" s="405" t="str">
        <f t="shared" si="37"/>
        <v>主たる営業所</v>
      </c>
      <c r="H309" s="405" t="str">
        <f t="shared" si="38"/>
        <v>宇佐市大字別府５９０－１</v>
      </c>
      <c r="L309" s="403" t="s">
        <v>8122</v>
      </c>
      <c r="M309" s="403" t="s">
        <v>8123</v>
      </c>
      <c r="N309" s="403" t="s">
        <v>1980</v>
      </c>
      <c r="O309" s="403" t="s">
        <v>7084</v>
      </c>
      <c r="P309" s="403" t="s">
        <v>1981</v>
      </c>
      <c r="Q309" s="403" t="s">
        <v>8124</v>
      </c>
      <c r="R309" s="403" t="s">
        <v>18807</v>
      </c>
      <c r="S309" s="403" t="s">
        <v>14480</v>
      </c>
      <c r="T309" s="403" t="s">
        <v>14481</v>
      </c>
      <c r="U309" s="403"/>
      <c r="V309" s="403" t="s">
        <v>23024</v>
      </c>
      <c r="W309" s="403" t="s">
        <v>23024</v>
      </c>
      <c r="X309" s="403" t="s">
        <v>23024</v>
      </c>
      <c r="Y309" s="403" t="s">
        <v>23024</v>
      </c>
    </row>
    <row r="310" spans="1:25">
      <c r="A310" s="363">
        <f t="shared" si="39"/>
        <v>309</v>
      </c>
      <c r="B310" s="363" t="str">
        <f t="shared" si="32"/>
        <v>44</v>
      </c>
      <c r="C310" s="405" t="str">
        <f t="shared" si="33"/>
        <v>第002622号</v>
      </c>
      <c r="D310" s="405" t="str">
        <f t="shared" si="34"/>
        <v>（株）岩男組</v>
      </c>
      <c r="E310" s="405" t="str">
        <f t="shared" si="35"/>
        <v>代表取締役</v>
      </c>
      <c r="F310" s="405" t="str">
        <f t="shared" si="36"/>
        <v>岩男　栄治</v>
      </c>
      <c r="G310" s="405" t="str">
        <f t="shared" si="37"/>
        <v>主たる営業所</v>
      </c>
      <c r="H310" s="405" t="str">
        <f t="shared" si="38"/>
        <v>宇佐市院内町副１６３３－２</v>
      </c>
      <c r="L310" s="403" t="s">
        <v>8125</v>
      </c>
      <c r="M310" s="403" t="s">
        <v>8126</v>
      </c>
      <c r="N310" s="403" t="s">
        <v>1982</v>
      </c>
      <c r="O310" s="403" t="s">
        <v>7084</v>
      </c>
      <c r="P310" s="403" t="s">
        <v>1983</v>
      </c>
      <c r="Q310" s="403" t="s">
        <v>8127</v>
      </c>
      <c r="R310" s="403" t="s">
        <v>18808</v>
      </c>
      <c r="S310" s="403" t="s">
        <v>14482</v>
      </c>
      <c r="T310" s="403" t="s">
        <v>14483</v>
      </c>
      <c r="U310" s="403"/>
      <c r="V310" s="403" t="s">
        <v>23024</v>
      </c>
      <c r="W310" s="403" t="s">
        <v>23024</v>
      </c>
      <c r="X310" s="403" t="s">
        <v>23024</v>
      </c>
      <c r="Y310" s="403" t="s">
        <v>23024</v>
      </c>
    </row>
    <row r="311" spans="1:25">
      <c r="A311" s="363">
        <f t="shared" si="39"/>
        <v>310</v>
      </c>
      <c r="B311" s="363" t="str">
        <f t="shared" si="32"/>
        <v>44</v>
      </c>
      <c r="C311" s="405" t="str">
        <f t="shared" si="33"/>
        <v>第002626号</v>
      </c>
      <c r="D311" s="405" t="str">
        <f t="shared" si="34"/>
        <v>下村建設（株）</v>
      </c>
      <c r="E311" s="405" t="str">
        <f t="shared" si="35"/>
        <v>代表取締役</v>
      </c>
      <c r="F311" s="405" t="str">
        <f t="shared" si="36"/>
        <v>下村　潔</v>
      </c>
      <c r="G311" s="405" t="str">
        <f t="shared" si="37"/>
        <v>主たる営業所</v>
      </c>
      <c r="H311" s="405" t="str">
        <f t="shared" si="38"/>
        <v>宇佐市安心院町下毛１８９０－１</v>
      </c>
      <c r="L311" s="403" t="s">
        <v>8128</v>
      </c>
      <c r="M311" s="403" t="s">
        <v>8129</v>
      </c>
      <c r="N311" s="403" t="s">
        <v>1984</v>
      </c>
      <c r="O311" s="403" t="s">
        <v>7084</v>
      </c>
      <c r="P311" s="403" t="s">
        <v>1985</v>
      </c>
      <c r="Q311" s="403" t="s">
        <v>8130</v>
      </c>
      <c r="R311" s="403" t="s">
        <v>18809</v>
      </c>
      <c r="S311" s="403" t="s">
        <v>14484</v>
      </c>
      <c r="T311" s="403" t="s">
        <v>14485</v>
      </c>
      <c r="U311" s="403"/>
      <c r="V311" s="403" t="s">
        <v>23024</v>
      </c>
      <c r="W311" s="403" t="s">
        <v>23024</v>
      </c>
      <c r="X311" s="403" t="s">
        <v>23024</v>
      </c>
      <c r="Y311" s="403" t="s">
        <v>23024</v>
      </c>
    </row>
    <row r="312" spans="1:25">
      <c r="A312" s="363">
        <f t="shared" si="39"/>
        <v>311</v>
      </c>
      <c r="B312" s="363" t="str">
        <f t="shared" si="32"/>
        <v>44</v>
      </c>
      <c r="C312" s="405" t="str">
        <f t="shared" si="33"/>
        <v>第002660号</v>
      </c>
      <c r="D312" s="405" t="str">
        <f t="shared" si="34"/>
        <v>末宗建設（株）</v>
      </c>
      <c r="E312" s="405" t="str">
        <f t="shared" si="35"/>
        <v>代表取締役</v>
      </c>
      <c r="F312" s="405" t="str">
        <f t="shared" si="36"/>
        <v>末宗　光晴</v>
      </c>
      <c r="G312" s="405" t="str">
        <f t="shared" si="37"/>
        <v>主たる営業所</v>
      </c>
      <c r="H312" s="405" t="str">
        <f t="shared" si="38"/>
        <v>宇佐市大字江須賀４０３８</v>
      </c>
      <c r="L312" s="403" t="s">
        <v>8131</v>
      </c>
      <c r="M312" s="403" t="s">
        <v>8132</v>
      </c>
      <c r="N312" s="403" t="s">
        <v>1986</v>
      </c>
      <c r="O312" s="403" t="s">
        <v>7084</v>
      </c>
      <c r="P312" s="403" t="s">
        <v>1987</v>
      </c>
      <c r="Q312" s="403" t="s">
        <v>8133</v>
      </c>
      <c r="R312" s="403" t="s">
        <v>5399</v>
      </c>
      <c r="S312" s="403" t="s">
        <v>14486</v>
      </c>
      <c r="T312" s="403" t="s">
        <v>14487</v>
      </c>
      <c r="U312" s="403"/>
      <c r="V312" s="403" t="s">
        <v>23024</v>
      </c>
      <c r="W312" s="403" t="s">
        <v>23024</v>
      </c>
      <c r="X312" s="403" t="s">
        <v>23024</v>
      </c>
      <c r="Y312" s="403" t="s">
        <v>23024</v>
      </c>
    </row>
    <row r="313" spans="1:25">
      <c r="A313" s="363">
        <f t="shared" si="39"/>
        <v>312</v>
      </c>
      <c r="B313" s="363" t="str">
        <f t="shared" si="32"/>
        <v>44</v>
      </c>
      <c r="C313" s="405" t="str">
        <f t="shared" si="33"/>
        <v>第002664号</v>
      </c>
      <c r="D313" s="405" t="str">
        <f t="shared" si="34"/>
        <v>山久工業（株）</v>
      </c>
      <c r="E313" s="405" t="str">
        <f t="shared" si="35"/>
        <v>代表取締役</v>
      </c>
      <c r="F313" s="405" t="str">
        <f t="shared" si="36"/>
        <v>山崎　清一郎</v>
      </c>
      <c r="G313" s="405" t="str">
        <f t="shared" si="37"/>
        <v>主たる営業所</v>
      </c>
      <c r="H313" s="405" t="str">
        <f t="shared" si="38"/>
        <v>宇佐市院内町副１２４４－１</v>
      </c>
      <c r="L313" s="403" t="s">
        <v>8134</v>
      </c>
      <c r="M313" s="403" t="s">
        <v>8135</v>
      </c>
      <c r="N313" s="403" t="s">
        <v>1988</v>
      </c>
      <c r="O313" s="403" t="s">
        <v>7084</v>
      </c>
      <c r="P313" s="403" t="s">
        <v>1989</v>
      </c>
      <c r="Q313" s="403" t="s">
        <v>8127</v>
      </c>
      <c r="R313" s="403" t="s">
        <v>18810</v>
      </c>
      <c r="S313" s="403" t="s">
        <v>14488</v>
      </c>
      <c r="T313" s="403" t="s">
        <v>14489</v>
      </c>
      <c r="U313" s="403"/>
      <c r="V313" s="403" t="s">
        <v>23024</v>
      </c>
      <c r="W313" s="403" t="s">
        <v>23024</v>
      </c>
      <c r="X313" s="403" t="s">
        <v>23024</v>
      </c>
      <c r="Y313" s="403" t="s">
        <v>23024</v>
      </c>
    </row>
    <row r="314" spans="1:25">
      <c r="A314" s="363">
        <f t="shared" si="39"/>
        <v>313</v>
      </c>
      <c r="B314" s="363" t="str">
        <f t="shared" si="32"/>
        <v>44</v>
      </c>
      <c r="C314" s="405" t="str">
        <f t="shared" si="33"/>
        <v>第002670号</v>
      </c>
      <c r="D314" s="405" t="str">
        <f t="shared" si="34"/>
        <v>（株）ウェルテック</v>
      </c>
      <c r="E314" s="405" t="str">
        <f t="shared" si="35"/>
        <v>代表取締役</v>
      </c>
      <c r="F314" s="405" t="str">
        <f t="shared" si="36"/>
        <v>酒井　孝二郎</v>
      </c>
      <c r="G314" s="405" t="str">
        <f t="shared" si="37"/>
        <v>主たる営業所</v>
      </c>
      <c r="H314" s="405" t="str">
        <f t="shared" si="38"/>
        <v>宇佐市大字川部８９８</v>
      </c>
      <c r="L314" s="403" t="s">
        <v>8137</v>
      </c>
      <c r="M314" s="403" t="s">
        <v>8138</v>
      </c>
      <c r="N314" s="403" t="s">
        <v>1990</v>
      </c>
      <c r="O314" s="403" t="s">
        <v>7084</v>
      </c>
      <c r="P314" s="403" t="s">
        <v>1991</v>
      </c>
      <c r="Q314" s="403" t="s">
        <v>8139</v>
      </c>
      <c r="R314" s="403" t="s">
        <v>5400</v>
      </c>
      <c r="S314" s="403" t="s">
        <v>14490</v>
      </c>
      <c r="T314" s="403" t="s">
        <v>14491</v>
      </c>
      <c r="U314" s="403"/>
      <c r="V314" s="403" t="s">
        <v>23024</v>
      </c>
      <c r="W314" s="403" t="s">
        <v>23024</v>
      </c>
      <c r="X314" s="403" t="s">
        <v>23024</v>
      </c>
      <c r="Y314" s="403" t="s">
        <v>23024</v>
      </c>
    </row>
    <row r="315" spans="1:25">
      <c r="A315" s="363">
        <f t="shared" si="39"/>
        <v>314</v>
      </c>
      <c r="B315" s="363" t="str">
        <f t="shared" si="32"/>
        <v>44</v>
      </c>
      <c r="C315" s="405" t="str">
        <f t="shared" si="33"/>
        <v>第002672号</v>
      </c>
      <c r="D315" s="405" t="str">
        <f t="shared" si="34"/>
        <v>（有）用正建設</v>
      </c>
      <c r="E315" s="405" t="str">
        <f t="shared" si="35"/>
        <v>取締役</v>
      </c>
      <c r="F315" s="405" t="str">
        <f t="shared" si="36"/>
        <v>用正　泰治</v>
      </c>
      <c r="G315" s="405" t="str">
        <f t="shared" si="37"/>
        <v>主たる営業所</v>
      </c>
      <c r="H315" s="405" t="str">
        <f t="shared" si="38"/>
        <v>宇佐市大字森山１０８０－２</v>
      </c>
      <c r="L315" s="403" t="s">
        <v>8140</v>
      </c>
      <c r="M315" s="403" t="s">
        <v>8141</v>
      </c>
      <c r="N315" s="403" t="s">
        <v>1992</v>
      </c>
      <c r="O315" s="403" t="s">
        <v>7085</v>
      </c>
      <c r="P315" s="403" t="s">
        <v>1993</v>
      </c>
      <c r="Q315" s="403" t="s">
        <v>8142</v>
      </c>
      <c r="R315" s="403" t="s">
        <v>18811</v>
      </c>
      <c r="S315" s="403" t="s">
        <v>14492</v>
      </c>
      <c r="T315" s="403" t="s">
        <v>14492</v>
      </c>
      <c r="U315" s="403"/>
      <c r="V315" s="403" t="s">
        <v>23024</v>
      </c>
      <c r="W315" s="403" t="s">
        <v>23024</v>
      </c>
      <c r="X315" s="403" t="s">
        <v>23024</v>
      </c>
      <c r="Y315" s="403" t="s">
        <v>23024</v>
      </c>
    </row>
    <row r="316" spans="1:25">
      <c r="A316" s="363">
        <f t="shared" si="39"/>
        <v>315</v>
      </c>
      <c r="B316" s="363" t="str">
        <f t="shared" si="32"/>
        <v>44</v>
      </c>
      <c r="C316" s="405" t="str">
        <f t="shared" si="33"/>
        <v>第002685号</v>
      </c>
      <c r="D316" s="405" t="str">
        <f t="shared" si="34"/>
        <v>（株）末宗組</v>
      </c>
      <c r="E316" s="405" t="str">
        <f t="shared" si="35"/>
        <v>代表取締役</v>
      </c>
      <c r="F316" s="405" t="str">
        <f t="shared" si="36"/>
        <v>末宗　信市</v>
      </c>
      <c r="G316" s="405" t="str">
        <f t="shared" si="37"/>
        <v>主たる営業所</v>
      </c>
      <c r="H316" s="405" t="str">
        <f t="shared" si="38"/>
        <v>宇佐市大字和気１０２３</v>
      </c>
      <c r="L316" s="404" t="s">
        <v>8143</v>
      </c>
      <c r="M316" s="404" t="s">
        <v>8144</v>
      </c>
      <c r="N316" s="404" t="s">
        <v>1994</v>
      </c>
      <c r="O316" s="404" t="s">
        <v>7084</v>
      </c>
      <c r="P316" s="404" t="s">
        <v>1995</v>
      </c>
      <c r="Q316" s="404" t="s">
        <v>8145</v>
      </c>
      <c r="R316" s="404" t="s">
        <v>5401</v>
      </c>
      <c r="S316" s="404" t="s">
        <v>14493</v>
      </c>
      <c r="T316" s="404" t="s">
        <v>14494</v>
      </c>
      <c r="U316" s="404"/>
      <c r="V316" s="404" t="s">
        <v>23024</v>
      </c>
      <c r="W316" s="404" t="s">
        <v>23024</v>
      </c>
      <c r="X316" s="404" t="s">
        <v>23024</v>
      </c>
      <c r="Y316" s="404" t="s">
        <v>23024</v>
      </c>
    </row>
    <row r="317" spans="1:25">
      <c r="A317" s="363">
        <f t="shared" si="39"/>
        <v>316</v>
      </c>
      <c r="B317" s="363" t="str">
        <f t="shared" si="32"/>
        <v>44</v>
      </c>
      <c r="C317" s="405" t="str">
        <f t="shared" si="33"/>
        <v>第002688号</v>
      </c>
      <c r="D317" s="405" t="str">
        <f t="shared" si="34"/>
        <v>（株）元吉建設工業</v>
      </c>
      <c r="E317" s="405" t="str">
        <f t="shared" si="35"/>
        <v>代表取締役</v>
      </c>
      <c r="F317" s="405" t="str">
        <f t="shared" si="36"/>
        <v>元吉　敏勝</v>
      </c>
      <c r="G317" s="405" t="str">
        <f t="shared" si="37"/>
        <v>主たる営業所</v>
      </c>
      <c r="H317" s="405" t="str">
        <f t="shared" si="38"/>
        <v>宇佐市大字四日市５５－１</v>
      </c>
      <c r="L317" s="402" t="s">
        <v>8146</v>
      </c>
      <c r="M317" s="402" t="s">
        <v>8147</v>
      </c>
      <c r="N317" s="402" t="s">
        <v>1996</v>
      </c>
      <c r="O317" s="402" t="s">
        <v>7084</v>
      </c>
      <c r="P317" s="402" t="s">
        <v>18812</v>
      </c>
      <c r="Q317" s="402" t="s">
        <v>8148</v>
      </c>
      <c r="R317" s="402" t="s">
        <v>18813</v>
      </c>
      <c r="S317" s="402" t="s">
        <v>14495</v>
      </c>
      <c r="T317" s="402" t="s">
        <v>14496</v>
      </c>
      <c r="U317" s="402"/>
      <c r="V317" s="402" t="s">
        <v>23024</v>
      </c>
      <c r="W317" s="402" t="s">
        <v>23024</v>
      </c>
      <c r="X317" s="402" t="s">
        <v>23024</v>
      </c>
      <c r="Y317" s="402" t="s">
        <v>23024</v>
      </c>
    </row>
    <row r="318" spans="1:25">
      <c r="A318" s="363">
        <f t="shared" si="39"/>
        <v>317</v>
      </c>
      <c r="B318" s="363" t="str">
        <f t="shared" si="32"/>
        <v>44</v>
      </c>
      <c r="C318" s="405" t="str">
        <f t="shared" si="33"/>
        <v>第002692号</v>
      </c>
      <c r="D318" s="405" t="str">
        <f t="shared" si="34"/>
        <v>（有）豊田建設</v>
      </c>
      <c r="E318" s="405" t="str">
        <f t="shared" si="35"/>
        <v>代表取締役</v>
      </c>
      <c r="F318" s="405" t="str">
        <f t="shared" si="36"/>
        <v>豊田　雅貴</v>
      </c>
      <c r="G318" s="405" t="str">
        <f t="shared" si="37"/>
        <v>主たる営業所</v>
      </c>
      <c r="H318" s="405" t="str">
        <f t="shared" si="38"/>
        <v>宇佐市大字四日市１３０１</v>
      </c>
      <c r="L318" s="403" t="s">
        <v>8149</v>
      </c>
      <c r="M318" s="403" t="s">
        <v>8150</v>
      </c>
      <c r="N318" s="403" t="s">
        <v>1997</v>
      </c>
      <c r="O318" s="403" t="s">
        <v>7084</v>
      </c>
      <c r="P318" s="403" t="s">
        <v>18814</v>
      </c>
      <c r="Q318" s="403" t="s">
        <v>8148</v>
      </c>
      <c r="R318" s="403" t="s">
        <v>5402</v>
      </c>
      <c r="S318" s="403" t="s">
        <v>14497</v>
      </c>
      <c r="T318" s="403" t="s">
        <v>14498</v>
      </c>
      <c r="U318" s="403"/>
      <c r="V318" s="403" t="s">
        <v>23024</v>
      </c>
      <c r="W318" s="403" t="s">
        <v>23024</v>
      </c>
      <c r="X318" s="403" t="s">
        <v>23024</v>
      </c>
      <c r="Y318" s="403" t="s">
        <v>23024</v>
      </c>
    </row>
    <row r="319" spans="1:25">
      <c r="A319" s="363">
        <f t="shared" si="39"/>
        <v>318</v>
      </c>
      <c r="B319" s="363" t="str">
        <f t="shared" si="32"/>
        <v>44</v>
      </c>
      <c r="C319" s="405" t="str">
        <f t="shared" si="33"/>
        <v>第002695号</v>
      </c>
      <c r="D319" s="405" t="str">
        <f t="shared" si="34"/>
        <v>（株）丸高建設</v>
      </c>
      <c r="E319" s="405" t="str">
        <f t="shared" si="35"/>
        <v>代表取締役</v>
      </c>
      <c r="F319" s="405" t="str">
        <f t="shared" si="36"/>
        <v>石川　篤</v>
      </c>
      <c r="G319" s="405" t="str">
        <f t="shared" si="37"/>
        <v>主たる営業所</v>
      </c>
      <c r="H319" s="405" t="str">
        <f t="shared" si="38"/>
        <v>宇佐市安心院町飯田１１１－１</v>
      </c>
      <c r="L319" s="403" t="s">
        <v>8151</v>
      </c>
      <c r="M319" s="403" t="s">
        <v>8152</v>
      </c>
      <c r="N319" s="403" t="s">
        <v>1998</v>
      </c>
      <c r="O319" s="403" t="s">
        <v>7084</v>
      </c>
      <c r="P319" s="403" t="s">
        <v>1999</v>
      </c>
      <c r="Q319" s="403" t="s">
        <v>8153</v>
      </c>
      <c r="R319" s="403" t="s">
        <v>18815</v>
      </c>
      <c r="S319" s="403" t="s">
        <v>14499</v>
      </c>
      <c r="T319" s="403" t="s">
        <v>14500</v>
      </c>
      <c r="U319" s="403"/>
      <c r="V319" s="403" t="s">
        <v>23024</v>
      </c>
      <c r="W319" s="403" t="s">
        <v>23024</v>
      </c>
      <c r="X319" s="403" t="s">
        <v>23024</v>
      </c>
      <c r="Y319" s="403" t="s">
        <v>23024</v>
      </c>
    </row>
    <row r="320" spans="1:25">
      <c r="A320" s="363">
        <f t="shared" si="39"/>
        <v>319</v>
      </c>
      <c r="B320" s="363" t="str">
        <f t="shared" si="32"/>
        <v>44</v>
      </c>
      <c r="C320" s="405" t="str">
        <f t="shared" si="33"/>
        <v>第002701号</v>
      </c>
      <c r="D320" s="405" t="str">
        <f t="shared" si="34"/>
        <v>日豊工事（株）</v>
      </c>
      <c r="E320" s="405" t="str">
        <f t="shared" si="35"/>
        <v>代表取締役</v>
      </c>
      <c r="F320" s="405" t="str">
        <f t="shared" si="36"/>
        <v>岡本　学</v>
      </c>
      <c r="G320" s="405" t="str">
        <f t="shared" si="37"/>
        <v>主たる営業所</v>
      </c>
      <c r="H320" s="405" t="str">
        <f t="shared" si="38"/>
        <v>宇佐市大字上田１５３２－２</v>
      </c>
      <c r="L320" s="403" t="s">
        <v>8154</v>
      </c>
      <c r="M320" s="403" t="s">
        <v>8155</v>
      </c>
      <c r="N320" s="403" t="s">
        <v>2000</v>
      </c>
      <c r="O320" s="403" t="s">
        <v>7084</v>
      </c>
      <c r="P320" s="403" t="s">
        <v>2001</v>
      </c>
      <c r="Q320" s="403" t="s">
        <v>8156</v>
      </c>
      <c r="R320" s="403" t="s">
        <v>18816</v>
      </c>
      <c r="S320" s="403" t="s">
        <v>14501</v>
      </c>
      <c r="T320" s="403" t="s">
        <v>14502</v>
      </c>
      <c r="U320" s="403"/>
      <c r="V320" s="403" t="s">
        <v>23024</v>
      </c>
      <c r="W320" s="403" t="s">
        <v>23024</v>
      </c>
      <c r="X320" s="403" t="s">
        <v>23024</v>
      </c>
      <c r="Y320" s="403" t="s">
        <v>23024</v>
      </c>
    </row>
    <row r="321" spans="1:25">
      <c r="A321" s="363">
        <f t="shared" si="39"/>
        <v>320</v>
      </c>
      <c r="B321" s="363" t="str">
        <f t="shared" si="32"/>
        <v>44</v>
      </c>
      <c r="C321" s="405" t="str">
        <f t="shared" si="33"/>
        <v>第002705号</v>
      </c>
      <c r="D321" s="405" t="str">
        <f t="shared" si="34"/>
        <v>（有）唯工房</v>
      </c>
      <c r="E321" s="405" t="str">
        <f t="shared" si="35"/>
        <v>代表取締役</v>
      </c>
      <c r="F321" s="405" t="str">
        <f t="shared" si="36"/>
        <v>椛田　康一</v>
      </c>
      <c r="G321" s="405" t="str">
        <f t="shared" si="37"/>
        <v>主たる営業所</v>
      </c>
      <c r="H321" s="405" t="str">
        <f t="shared" si="38"/>
        <v>宇佐市大字長洲４８６</v>
      </c>
      <c r="L321" s="403" t="s">
        <v>8157</v>
      </c>
      <c r="M321" s="403" t="s">
        <v>8158</v>
      </c>
      <c r="N321" s="403" t="s">
        <v>2002</v>
      </c>
      <c r="O321" s="403" t="s">
        <v>7084</v>
      </c>
      <c r="P321" s="403" t="s">
        <v>2003</v>
      </c>
      <c r="Q321" s="403" t="s">
        <v>7333</v>
      </c>
      <c r="R321" s="403" t="s">
        <v>5403</v>
      </c>
      <c r="S321" s="403" t="s">
        <v>14503</v>
      </c>
      <c r="T321" s="403" t="s">
        <v>14504</v>
      </c>
      <c r="U321" s="403"/>
      <c r="V321" s="403" t="s">
        <v>23024</v>
      </c>
      <c r="W321" s="403" t="s">
        <v>23024</v>
      </c>
      <c r="X321" s="403" t="s">
        <v>23024</v>
      </c>
      <c r="Y321" s="403" t="s">
        <v>23024</v>
      </c>
    </row>
    <row r="322" spans="1:25">
      <c r="A322" s="363">
        <f t="shared" si="39"/>
        <v>321</v>
      </c>
      <c r="B322" s="363" t="str">
        <f t="shared" ref="B322:B385" si="40">LEFT(L322,2)</f>
        <v>44</v>
      </c>
      <c r="C322" s="405" t="str">
        <f t="shared" ref="C322:C385" si="41">IF(B322="","","第"&amp;RIGHT(L322,6)&amp;"号")</f>
        <v>第002707号</v>
      </c>
      <c r="D322" s="405" t="str">
        <f t="shared" ref="D322:D385" si="42">N322</f>
        <v>（有）今長組</v>
      </c>
      <c r="E322" s="405" t="str">
        <f t="shared" ref="E322:E385" si="43">IF(V322="　",O322,"")</f>
        <v>代表取締役</v>
      </c>
      <c r="F322" s="405" t="str">
        <f t="shared" ref="F322:F385" si="44">IF(V322="　",P322,W322)</f>
        <v>今長　勝得</v>
      </c>
      <c r="G322" s="405" t="str">
        <f t="shared" ref="G322:G385" si="45">IF(V322="　","主たる営業所",V322)</f>
        <v>主たる営業所</v>
      </c>
      <c r="H322" s="405" t="str">
        <f t="shared" ref="H322:H385" si="46">IF(V322="　",R322,Y322)</f>
        <v>宇佐市大字山下９０７－１</v>
      </c>
      <c r="L322" s="403" t="s">
        <v>8159</v>
      </c>
      <c r="M322" s="403" t="s">
        <v>8160</v>
      </c>
      <c r="N322" s="403" t="s">
        <v>2004</v>
      </c>
      <c r="O322" s="403" t="s">
        <v>7084</v>
      </c>
      <c r="P322" s="403" t="s">
        <v>2005</v>
      </c>
      <c r="Q322" s="403" t="s">
        <v>8161</v>
      </c>
      <c r="R322" s="403" t="s">
        <v>18817</v>
      </c>
      <c r="S322" s="403" t="s">
        <v>14505</v>
      </c>
      <c r="T322" s="403" t="s">
        <v>14506</v>
      </c>
      <c r="U322" s="403"/>
      <c r="V322" s="403" t="s">
        <v>23024</v>
      </c>
      <c r="W322" s="403" t="s">
        <v>23024</v>
      </c>
      <c r="X322" s="403" t="s">
        <v>23024</v>
      </c>
      <c r="Y322" s="403" t="s">
        <v>23024</v>
      </c>
    </row>
    <row r="323" spans="1:25">
      <c r="A323" s="363">
        <f t="shared" ref="A323:A386" si="47">IF(B323="","",A322+1)</f>
        <v>322</v>
      </c>
      <c r="B323" s="363" t="str">
        <f t="shared" si="40"/>
        <v>44</v>
      </c>
      <c r="C323" s="405" t="str">
        <f t="shared" si="41"/>
        <v>第002729号</v>
      </c>
      <c r="D323" s="405" t="str">
        <f t="shared" si="42"/>
        <v>溝部工業（株）</v>
      </c>
      <c r="E323" s="405" t="str">
        <f t="shared" si="43"/>
        <v>代表取締役</v>
      </c>
      <c r="F323" s="405" t="str">
        <f t="shared" si="44"/>
        <v>溝部　英之</v>
      </c>
      <c r="G323" s="405" t="str">
        <f t="shared" si="45"/>
        <v>主たる営業所</v>
      </c>
      <c r="H323" s="405" t="str">
        <f t="shared" si="46"/>
        <v>宇佐市安心院町龍王１５７－３</v>
      </c>
      <c r="L323" s="403" t="s">
        <v>8162</v>
      </c>
      <c r="M323" s="403" t="s">
        <v>8163</v>
      </c>
      <c r="N323" s="403" t="s">
        <v>2006</v>
      </c>
      <c r="O323" s="403" t="s">
        <v>7084</v>
      </c>
      <c r="P323" s="403" t="s">
        <v>2007</v>
      </c>
      <c r="Q323" s="403" t="s">
        <v>8164</v>
      </c>
      <c r="R323" s="403" t="s">
        <v>18818</v>
      </c>
      <c r="S323" s="403" t="s">
        <v>18819</v>
      </c>
      <c r="T323" s="403" t="s">
        <v>14507</v>
      </c>
      <c r="U323" s="403"/>
      <c r="V323" s="403" t="s">
        <v>23024</v>
      </c>
      <c r="W323" s="403" t="s">
        <v>23024</v>
      </c>
      <c r="X323" s="403" t="s">
        <v>23024</v>
      </c>
      <c r="Y323" s="403" t="s">
        <v>23024</v>
      </c>
    </row>
    <row r="324" spans="1:25">
      <c r="A324" s="363">
        <f t="shared" si="47"/>
        <v>323</v>
      </c>
      <c r="B324" s="363" t="str">
        <f t="shared" si="40"/>
        <v>44</v>
      </c>
      <c r="C324" s="405" t="str">
        <f t="shared" si="41"/>
        <v>第002749号</v>
      </c>
      <c r="D324" s="405" t="str">
        <f t="shared" si="42"/>
        <v>（株）大弓建設</v>
      </c>
      <c r="E324" s="405" t="str">
        <f t="shared" si="43"/>
        <v>代表取締役</v>
      </c>
      <c r="F324" s="405" t="str">
        <f t="shared" si="44"/>
        <v>大弓　顕</v>
      </c>
      <c r="G324" s="405" t="str">
        <f t="shared" si="45"/>
        <v>主たる営業所</v>
      </c>
      <c r="H324" s="405" t="str">
        <f t="shared" si="46"/>
        <v>宇佐市院内町二日市１９４－１</v>
      </c>
      <c r="L324" s="403" t="s">
        <v>8165</v>
      </c>
      <c r="M324" s="403" t="s">
        <v>8166</v>
      </c>
      <c r="N324" s="403" t="s">
        <v>2008</v>
      </c>
      <c r="O324" s="403" t="s">
        <v>7084</v>
      </c>
      <c r="P324" s="403" t="s">
        <v>2009</v>
      </c>
      <c r="Q324" s="403" t="s">
        <v>8167</v>
      </c>
      <c r="R324" s="403" t="s">
        <v>18820</v>
      </c>
      <c r="S324" s="403" t="s">
        <v>14508</v>
      </c>
      <c r="T324" s="403" t="s">
        <v>14509</v>
      </c>
      <c r="U324" s="403"/>
      <c r="V324" s="403" t="s">
        <v>23024</v>
      </c>
      <c r="W324" s="403" t="s">
        <v>23024</v>
      </c>
      <c r="X324" s="403" t="s">
        <v>23024</v>
      </c>
      <c r="Y324" s="403" t="s">
        <v>23024</v>
      </c>
    </row>
    <row r="325" spans="1:25">
      <c r="A325" s="363">
        <f t="shared" si="47"/>
        <v>324</v>
      </c>
      <c r="B325" s="363" t="str">
        <f t="shared" si="40"/>
        <v>44</v>
      </c>
      <c r="C325" s="405" t="str">
        <f t="shared" si="41"/>
        <v>第002754号</v>
      </c>
      <c r="D325" s="405" t="str">
        <f t="shared" si="42"/>
        <v>（有）宇佐電設</v>
      </c>
      <c r="E325" s="405" t="str">
        <f t="shared" si="43"/>
        <v>代表取締役</v>
      </c>
      <c r="F325" s="405" t="str">
        <f t="shared" si="44"/>
        <v>岡田　研一</v>
      </c>
      <c r="G325" s="405" t="str">
        <f t="shared" si="45"/>
        <v>主たる営業所</v>
      </c>
      <c r="H325" s="405" t="str">
        <f t="shared" si="46"/>
        <v>宇佐市大字下高家８６５－１</v>
      </c>
      <c r="L325" s="403" t="s">
        <v>8168</v>
      </c>
      <c r="M325" s="403" t="s">
        <v>8169</v>
      </c>
      <c r="N325" s="403" t="s">
        <v>2010</v>
      </c>
      <c r="O325" s="403" t="s">
        <v>7084</v>
      </c>
      <c r="P325" s="403" t="s">
        <v>2011</v>
      </c>
      <c r="Q325" s="403" t="s">
        <v>8170</v>
      </c>
      <c r="R325" s="403" t="s">
        <v>18821</v>
      </c>
      <c r="S325" s="403" t="s">
        <v>14510</v>
      </c>
      <c r="T325" s="403" t="s">
        <v>14511</v>
      </c>
      <c r="U325" s="403"/>
      <c r="V325" s="403" t="s">
        <v>23024</v>
      </c>
      <c r="W325" s="403" t="s">
        <v>23024</v>
      </c>
      <c r="X325" s="403" t="s">
        <v>23024</v>
      </c>
      <c r="Y325" s="403" t="s">
        <v>23024</v>
      </c>
    </row>
    <row r="326" spans="1:25">
      <c r="A326" s="363">
        <f t="shared" si="47"/>
        <v>325</v>
      </c>
      <c r="B326" s="363" t="str">
        <f t="shared" si="40"/>
        <v>44</v>
      </c>
      <c r="C326" s="405" t="str">
        <f t="shared" si="41"/>
        <v>第002759号</v>
      </c>
      <c r="D326" s="405" t="str">
        <f t="shared" si="42"/>
        <v>（株）スミテック</v>
      </c>
      <c r="E326" s="405" t="str">
        <f t="shared" si="43"/>
        <v>代表取締役</v>
      </c>
      <c r="F326" s="405" t="str">
        <f t="shared" si="44"/>
        <v>住本　謙太</v>
      </c>
      <c r="G326" s="405" t="str">
        <f t="shared" si="45"/>
        <v>主たる営業所</v>
      </c>
      <c r="H326" s="405" t="str">
        <f t="shared" si="46"/>
        <v>宇佐市大字松崎３６０－１</v>
      </c>
      <c r="L326" s="403" t="s">
        <v>8171</v>
      </c>
      <c r="M326" s="403" t="s">
        <v>8172</v>
      </c>
      <c r="N326" s="403" t="s">
        <v>2012</v>
      </c>
      <c r="O326" s="403" t="s">
        <v>7084</v>
      </c>
      <c r="P326" s="403" t="s">
        <v>18822</v>
      </c>
      <c r="Q326" s="403" t="s">
        <v>8136</v>
      </c>
      <c r="R326" s="403" t="s">
        <v>18823</v>
      </c>
      <c r="S326" s="403" t="s">
        <v>14512</v>
      </c>
      <c r="T326" s="403" t="s">
        <v>14513</v>
      </c>
      <c r="U326" s="403"/>
      <c r="V326" s="403" t="s">
        <v>23024</v>
      </c>
      <c r="W326" s="403" t="s">
        <v>23024</v>
      </c>
      <c r="X326" s="403" t="s">
        <v>23024</v>
      </c>
      <c r="Y326" s="403" t="s">
        <v>23024</v>
      </c>
    </row>
    <row r="327" spans="1:25">
      <c r="A327" s="363">
        <f t="shared" si="47"/>
        <v>326</v>
      </c>
      <c r="B327" s="363" t="str">
        <f t="shared" si="40"/>
        <v>44</v>
      </c>
      <c r="C327" s="405" t="str">
        <f t="shared" si="41"/>
        <v>第002771号</v>
      </c>
      <c r="D327" s="405" t="str">
        <f t="shared" si="42"/>
        <v>（有）増原開発</v>
      </c>
      <c r="E327" s="405" t="str">
        <f t="shared" si="43"/>
        <v>代表取締役</v>
      </c>
      <c r="F327" s="405" t="str">
        <f t="shared" si="44"/>
        <v>増田　勝也</v>
      </c>
      <c r="G327" s="405" t="str">
        <f t="shared" si="45"/>
        <v>主たる営業所</v>
      </c>
      <c r="H327" s="405" t="str">
        <f t="shared" si="46"/>
        <v>宇佐市大字北宇佐４３５</v>
      </c>
      <c r="L327" s="403" t="s">
        <v>8173</v>
      </c>
      <c r="M327" s="403" t="s">
        <v>8174</v>
      </c>
      <c r="N327" s="403" t="s">
        <v>2013</v>
      </c>
      <c r="O327" s="403" t="s">
        <v>7084</v>
      </c>
      <c r="P327" s="403" t="s">
        <v>2014</v>
      </c>
      <c r="Q327" s="403" t="s">
        <v>8175</v>
      </c>
      <c r="R327" s="403" t="s">
        <v>5404</v>
      </c>
      <c r="S327" s="403" t="s">
        <v>14514</v>
      </c>
      <c r="T327" s="403" t="s">
        <v>14514</v>
      </c>
      <c r="U327" s="403"/>
      <c r="V327" s="403" t="s">
        <v>23024</v>
      </c>
      <c r="W327" s="403" t="s">
        <v>23024</v>
      </c>
      <c r="X327" s="403" t="s">
        <v>23024</v>
      </c>
      <c r="Y327" s="403" t="s">
        <v>23024</v>
      </c>
    </row>
    <row r="328" spans="1:25">
      <c r="A328" s="363">
        <f t="shared" si="47"/>
        <v>327</v>
      </c>
      <c r="B328" s="363" t="str">
        <f t="shared" si="40"/>
        <v>44</v>
      </c>
      <c r="C328" s="405" t="str">
        <f t="shared" si="41"/>
        <v>第002778号</v>
      </c>
      <c r="D328" s="405" t="str">
        <f t="shared" si="42"/>
        <v>（株）河野設備工業</v>
      </c>
      <c r="E328" s="405" t="str">
        <f t="shared" si="43"/>
        <v>代表取締役</v>
      </c>
      <c r="F328" s="405" t="str">
        <f t="shared" si="44"/>
        <v>河野　拓允</v>
      </c>
      <c r="G328" s="405" t="str">
        <f t="shared" si="45"/>
        <v>主たる営業所</v>
      </c>
      <c r="H328" s="405" t="str">
        <f t="shared" si="46"/>
        <v>宇佐市安心院町荘５８９－１</v>
      </c>
      <c r="L328" s="403" t="s">
        <v>8176</v>
      </c>
      <c r="M328" s="403" t="s">
        <v>8177</v>
      </c>
      <c r="N328" s="403" t="s">
        <v>2015</v>
      </c>
      <c r="O328" s="403" t="s">
        <v>7084</v>
      </c>
      <c r="P328" s="403" t="s">
        <v>18824</v>
      </c>
      <c r="Q328" s="403" t="s">
        <v>8178</v>
      </c>
      <c r="R328" s="403" t="s">
        <v>18825</v>
      </c>
      <c r="S328" s="403" t="s">
        <v>14515</v>
      </c>
      <c r="T328" s="403" t="s">
        <v>14516</v>
      </c>
      <c r="U328" s="403"/>
      <c r="V328" s="403" t="s">
        <v>23024</v>
      </c>
      <c r="W328" s="403" t="s">
        <v>23024</v>
      </c>
      <c r="X328" s="403" t="s">
        <v>23024</v>
      </c>
      <c r="Y328" s="403" t="s">
        <v>23024</v>
      </c>
    </row>
    <row r="329" spans="1:25">
      <c r="A329" s="363">
        <f t="shared" si="47"/>
        <v>328</v>
      </c>
      <c r="B329" s="363" t="str">
        <f t="shared" si="40"/>
        <v>44</v>
      </c>
      <c r="C329" s="405" t="str">
        <f t="shared" si="41"/>
        <v>第002786号</v>
      </c>
      <c r="D329" s="405" t="str">
        <f t="shared" si="42"/>
        <v>（株）宇佐建設</v>
      </c>
      <c r="E329" s="405" t="str">
        <f t="shared" si="43"/>
        <v>代表取締役</v>
      </c>
      <c r="F329" s="405" t="str">
        <f t="shared" si="44"/>
        <v>佐藤　英雄</v>
      </c>
      <c r="G329" s="405" t="str">
        <f t="shared" si="45"/>
        <v>主たる営業所</v>
      </c>
      <c r="H329" s="405" t="str">
        <f t="shared" si="46"/>
        <v>宇佐市安心院町木裳３８２－２</v>
      </c>
      <c r="L329" s="403" t="s">
        <v>8179</v>
      </c>
      <c r="M329" s="403" t="s">
        <v>8180</v>
      </c>
      <c r="N329" s="403" t="s">
        <v>2016</v>
      </c>
      <c r="O329" s="403" t="s">
        <v>7084</v>
      </c>
      <c r="P329" s="403" t="s">
        <v>2017</v>
      </c>
      <c r="Q329" s="403" t="s">
        <v>8181</v>
      </c>
      <c r="R329" s="403" t="s">
        <v>18826</v>
      </c>
      <c r="S329" s="403" t="s">
        <v>14517</v>
      </c>
      <c r="T329" s="403" t="s">
        <v>14518</v>
      </c>
      <c r="U329" s="403"/>
      <c r="V329" s="403" t="s">
        <v>23024</v>
      </c>
      <c r="W329" s="403" t="s">
        <v>23024</v>
      </c>
      <c r="X329" s="403" t="s">
        <v>23024</v>
      </c>
      <c r="Y329" s="403" t="s">
        <v>23024</v>
      </c>
    </row>
    <row r="330" spans="1:25">
      <c r="A330" s="363">
        <f t="shared" si="47"/>
        <v>329</v>
      </c>
      <c r="B330" s="363" t="str">
        <f t="shared" si="40"/>
        <v>44</v>
      </c>
      <c r="C330" s="405" t="str">
        <f t="shared" si="41"/>
        <v>第002801号</v>
      </c>
      <c r="D330" s="405" t="str">
        <f t="shared" si="42"/>
        <v>（株）川田塗装</v>
      </c>
      <c r="E330" s="405" t="str">
        <f t="shared" si="43"/>
        <v>代表取締役</v>
      </c>
      <c r="F330" s="405" t="str">
        <f t="shared" si="44"/>
        <v>川田　要</v>
      </c>
      <c r="G330" s="405" t="str">
        <f t="shared" si="45"/>
        <v>主たる営業所</v>
      </c>
      <c r="H330" s="405" t="str">
        <f t="shared" si="46"/>
        <v>宇佐市大字北宇佐１７４４－１</v>
      </c>
      <c r="L330" s="403" t="s">
        <v>8182</v>
      </c>
      <c r="M330" s="403" t="s">
        <v>8183</v>
      </c>
      <c r="N330" s="403" t="s">
        <v>2018</v>
      </c>
      <c r="O330" s="403" t="s">
        <v>7084</v>
      </c>
      <c r="P330" s="403" t="s">
        <v>2019</v>
      </c>
      <c r="Q330" s="403" t="s">
        <v>8175</v>
      </c>
      <c r="R330" s="403" t="s">
        <v>18827</v>
      </c>
      <c r="S330" s="403" t="s">
        <v>14519</v>
      </c>
      <c r="T330" s="403" t="s">
        <v>14520</v>
      </c>
      <c r="U330" s="403"/>
      <c r="V330" s="403" t="s">
        <v>23024</v>
      </c>
      <c r="W330" s="403" t="s">
        <v>23024</v>
      </c>
      <c r="X330" s="403" t="s">
        <v>23024</v>
      </c>
      <c r="Y330" s="403" t="s">
        <v>23024</v>
      </c>
    </row>
    <row r="331" spans="1:25">
      <c r="A331" s="363">
        <f t="shared" si="47"/>
        <v>330</v>
      </c>
      <c r="B331" s="363" t="str">
        <f t="shared" si="40"/>
        <v>44</v>
      </c>
      <c r="C331" s="405" t="str">
        <f t="shared" si="41"/>
        <v>第002802号</v>
      </c>
      <c r="D331" s="405" t="str">
        <f t="shared" si="42"/>
        <v>（株）宇佐緑地建設</v>
      </c>
      <c r="E331" s="405" t="str">
        <f t="shared" si="43"/>
        <v>代表取締役</v>
      </c>
      <c r="F331" s="405" t="str">
        <f t="shared" si="44"/>
        <v>安倍　秀樹</v>
      </c>
      <c r="G331" s="405" t="str">
        <f t="shared" si="45"/>
        <v>主たる営業所</v>
      </c>
      <c r="H331" s="405" t="str">
        <f t="shared" si="46"/>
        <v>宇佐市大字高森７７７</v>
      </c>
      <c r="L331" s="403" t="s">
        <v>8184</v>
      </c>
      <c r="M331" s="403" t="s">
        <v>8185</v>
      </c>
      <c r="N331" s="403" t="s">
        <v>2020</v>
      </c>
      <c r="O331" s="403" t="s">
        <v>7084</v>
      </c>
      <c r="P331" s="403" t="s">
        <v>2021</v>
      </c>
      <c r="Q331" s="403" t="s">
        <v>8186</v>
      </c>
      <c r="R331" s="403" t="s">
        <v>5405</v>
      </c>
      <c r="S331" s="403" t="s">
        <v>14521</v>
      </c>
      <c r="T331" s="403" t="s">
        <v>14522</v>
      </c>
      <c r="U331" s="403"/>
      <c r="V331" s="403" t="s">
        <v>23024</v>
      </c>
      <c r="W331" s="403" t="s">
        <v>23024</v>
      </c>
      <c r="X331" s="403" t="s">
        <v>23024</v>
      </c>
      <c r="Y331" s="403" t="s">
        <v>23024</v>
      </c>
    </row>
    <row r="332" spans="1:25">
      <c r="A332" s="363">
        <f t="shared" si="47"/>
        <v>331</v>
      </c>
      <c r="B332" s="363" t="str">
        <f t="shared" si="40"/>
        <v>44</v>
      </c>
      <c r="C332" s="405" t="str">
        <f t="shared" si="41"/>
        <v>第002805号</v>
      </c>
      <c r="D332" s="405" t="str">
        <f t="shared" si="42"/>
        <v>（有）西川建設</v>
      </c>
      <c r="E332" s="405" t="str">
        <f t="shared" si="43"/>
        <v>代表取締役</v>
      </c>
      <c r="F332" s="405" t="str">
        <f t="shared" si="44"/>
        <v>西川　博文</v>
      </c>
      <c r="G332" s="405" t="str">
        <f t="shared" si="45"/>
        <v>主たる営業所</v>
      </c>
      <c r="H332" s="405" t="str">
        <f t="shared" si="46"/>
        <v>宇佐市安心院町下毛２０２２－１０</v>
      </c>
      <c r="L332" s="403" t="s">
        <v>8187</v>
      </c>
      <c r="M332" s="403" t="s">
        <v>8188</v>
      </c>
      <c r="N332" s="403" t="s">
        <v>2022</v>
      </c>
      <c r="O332" s="403" t="s">
        <v>7084</v>
      </c>
      <c r="P332" s="403" t="s">
        <v>2023</v>
      </c>
      <c r="Q332" s="403" t="s">
        <v>8130</v>
      </c>
      <c r="R332" s="403" t="s">
        <v>18828</v>
      </c>
      <c r="S332" s="403" t="s">
        <v>14523</v>
      </c>
      <c r="T332" s="403" t="s">
        <v>14524</v>
      </c>
      <c r="U332" s="403"/>
      <c r="V332" s="403" t="s">
        <v>23024</v>
      </c>
      <c r="W332" s="403" t="s">
        <v>23024</v>
      </c>
      <c r="X332" s="403" t="s">
        <v>23024</v>
      </c>
      <c r="Y332" s="403" t="s">
        <v>23024</v>
      </c>
    </row>
    <row r="333" spans="1:25">
      <c r="A333" s="363">
        <f t="shared" si="47"/>
        <v>332</v>
      </c>
      <c r="B333" s="363" t="str">
        <f t="shared" si="40"/>
        <v>44</v>
      </c>
      <c r="C333" s="405" t="str">
        <f t="shared" si="41"/>
        <v>第002815号</v>
      </c>
      <c r="D333" s="405" t="str">
        <f t="shared" si="42"/>
        <v>（有）嶌田設備</v>
      </c>
      <c r="E333" s="405" t="str">
        <f t="shared" si="43"/>
        <v>代表取締役</v>
      </c>
      <c r="F333" s="405" t="str">
        <f t="shared" si="44"/>
        <v>一木　正行</v>
      </c>
      <c r="G333" s="405" t="str">
        <f t="shared" si="45"/>
        <v>主たる営業所</v>
      </c>
      <c r="H333" s="405" t="str">
        <f t="shared" si="46"/>
        <v>宇佐市大字長洲３１９４－１</v>
      </c>
      <c r="L333" s="403" t="s">
        <v>8189</v>
      </c>
      <c r="M333" s="403" t="s">
        <v>8190</v>
      </c>
      <c r="N333" s="403" t="s">
        <v>2024</v>
      </c>
      <c r="O333" s="403" t="s">
        <v>7084</v>
      </c>
      <c r="P333" s="403" t="s">
        <v>18829</v>
      </c>
      <c r="Q333" s="403" t="s">
        <v>7333</v>
      </c>
      <c r="R333" s="403" t="s">
        <v>18830</v>
      </c>
      <c r="S333" s="403" t="s">
        <v>14525</v>
      </c>
      <c r="T333" s="403" t="s">
        <v>14526</v>
      </c>
      <c r="U333" s="403"/>
      <c r="V333" s="403" t="s">
        <v>23024</v>
      </c>
      <c r="W333" s="403" t="s">
        <v>23024</v>
      </c>
      <c r="X333" s="403" t="s">
        <v>23024</v>
      </c>
      <c r="Y333" s="403" t="s">
        <v>23024</v>
      </c>
    </row>
    <row r="334" spans="1:25">
      <c r="A334" s="363">
        <f t="shared" si="47"/>
        <v>333</v>
      </c>
      <c r="B334" s="363" t="str">
        <f t="shared" si="40"/>
        <v>44</v>
      </c>
      <c r="C334" s="405" t="str">
        <f t="shared" si="41"/>
        <v>第002816号</v>
      </c>
      <c r="D334" s="405" t="str">
        <f t="shared" si="42"/>
        <v>（株）キョーワ装飾</v>
      </c>
      <c r="E334" s="405" t="str">
        <f t="shared" si="43"/>
        <v>代表取締役</v>
      </c>
      <c r="F334" s="405" t="str">
        <f t="shared" si="44"/>
        <v>清永　幸一</v>
      </c>
      <c r="G334" s="405" t="str">
        <f t="shared" si="45"/>
        <v>主たる営業所</v>
      </c>
      <c r="H334" s="405" t="str">
        <f t="shared" si="46"/>
        <v>宇佐市大字四日市４０４－６</v>
      </c>
      <c r="L334" s="403" t="s">
        <v>8191</v>
      </c>
      <c r="M334" s="403" t="s">
        <v>8192</v>
      </c>
      <c r="N334" s="403" t="s">
        <v>2025</v>
      </c>
      <c r="O334" s="403" t="s">
        <v>7084</v>
      </c>
      <c r="P334" s="403" t="s">
        <v>2026</v>
      </c>
      <c r="Q334" s="403" t="s">
        <v>8148</v>
      </c>
      <c r="R334" s="403" t="s">
        <v>18831</v>
      </c>
      <c r="S334" s="403" t="s">
        <v>14527</v>
      </c>
      <c r="T334" s="403" t="s">
        <v>14528</v>
      </c>
      <c r="U334" s="403"/>
      <c r="V334" s="403" t="s">
        <v>23024</v>
      </c>
      <c r="W334" s="403" t="s">
        <v>23024</v>
      </c>
      <c r="X334" s="403" t="s">
        <v>23024</v>
      </c>
      <c r="Y334" s="403" t="s">
        <v>23024</v>
      </c>
    </row>
    <row r="335" spans="1:25">
      <c r="A335" s="363">
        <f t="shared" si="47"/>
        <v>334</v>
      </c>
      <c r="B335" s="363" t="str">
        <f t="shared" si="40"/>
        <v>44</v>
      </c>
      <c r="C335" s="405" t="str">
        <f t="shared" si="41"/>
        <v>第002820号</v>
      </c>
      <c r="D335" s="405" t="str">
        <f t="shared" si="42"/>
        <v>（有）木村電建工業</v>
      </c>
      <c r="E335" s="405" t="str">
        <f t="shared" si="43"/>
        <v>代表取締役</v>
      </c>
      <c r="F335" s="405" t="str">
        <f t="shared" si="44"/>
        <v>木村　保美</v>
      </c>
      <c r="G335" s="405" t="str">
        <f t="shared" si="45"/>
        <v>主たる営業所</v>
      </c>
      <c r="H335" s="405" t="str">
        <f t="shared" si="46"/>
        <v>宇佐市安心院町木裳２６２－３</v>
      </c>
      <c r="L335" s="403" t="s">
        <v>8193</v>
      </c>
      <c r="M335" s="403" t="s">
        <v>8194</v>
      </c>
      <c r="N335" s="403" t="s">
        <v>2027</v>
      </c>
      <c r="O335" s="403" t="s">
        <v>7084</v>
      </c>
      <c r="P335" s="403" t="s">
        <v>2028</v>
      </c>
      <c r="Q335" s="403" t="s">
        <v>8181</v>
      </c>
      <c r="R335" s="403" t="s">
        <v>18832</v>
      </c>
      <c r="S335" s="403" t="s">
        <v>14529</v>
      </c>
      <c r="T335" s="403" t="s">
        <v>14530</v>
      </c>
      <c r="U335" s="403"/>
      <c r="V335" s="403" t="s">
        <v>23024</v>
      </c>
      <c r="W335" s="403" t="s">
        <v>23024</v>
      </c>
      <c r="X335" s="403" t="s">
        <v>23024</v>
      </c>
      <c r="Y335" s="403" t="s">
        <v>23024</v>
      </c>
    </row>
    <row r="336" spans="1:25">
      <c r="A336" s="363">
        <f t="shared" si="47"/>
        <v>335</v>
      </c>
      <c r="B336" s="363" t="str">
        <f t="shared" si="40"/>
        <v>44</v>
      </c>
      <c r="C336" s="405" t="str">
        <f t="shared" si="41"/>
        <v>第002825号</v>
      </c>
      <c r="D336" s="405" t="str">
        <f t="shared" si="42"/>
        <v>（株）衛藤組</v>
      </c>
      <c r="E336" s="405" t="str">
        <f t="shared" si="43"/>
        <v>代表取締役</v>
      </c>
      <c r="F336" s="405" t="str">
        <f t="shared" si="44"/>
        <v>衞藤　政通</v>
      </c>
      <c r="G336" s="405" t="str">
        <f t="shared" si="45"/>
        <v>主たる営業所</v>
      </c>
      <c r="H336" s="405" t="str">
        <f t="shared" si="46"/>
        <v>宇佐市安心院町上市２２０－１</v>
      </c>
      <c r="L336" s="403" t="s">
        <v>8195</v>
      </c>
      <c r="M336" s="403" t="s">
        <v>8196</v>
      </c>
      <c r="N336" s="403" t="s">
        <v>2029</v>
      </c>
      <c r="O336" s="403" t="s">
        <v>7084</v>
      </c>
      <c r="P336" s="403" t="s">
        <v>18833</v>
      </c>
      <c r="Q336" s="403" t="s">
        <v>8197</v>
      </c>
      <c r="R336" s="403" t="s">
        <v>18834</v>
      </c>
      <c r="S336" s="403" t="s">
        <v>14531</v>
      </c>
      <c r="T336" s="403" t="s">
        <v>14532</v>
      </c>
      <c r="U336" s="403"/>
      <c r="V336" s="403" t="s">
        <v>23024</v>
      </c>
      <c r="W336" s="403" t="s">
        <v>23024</v>
      </c>
      <c r="X336" s="403" t="s">
        <v>23024</v>
      </c>
      <c r="Y336" s="403" t="s">
        <v>23024</v>
      </c>
    </row>
    <row r="337" spans="1:25">
      <c r="A337" s="363">
        <f t="shared" si="47"/>
        <v>336</v>
      </c>
      <c r="B337" s="363" t="str">
        <f t="shared" si="40"/>
        <v>44</v>
      </c>
      <c r="C337" s="405" t="str">
        <f t="shared" si="41"/>
        <v>第002826号</v>
      </c>
      <c r="D337" s="405" t="str">
        <f t="shared" si="42"/>
        <v>友和建設工業（株）</v>
      </c>
      <c r="E337" s="405" t="str">
        <f t="shared" si="43"/>
        <v>代表取締役</v>
      </c>
      <c r="F337" s="405" t="str">
        <f t="shared" si="44"/>
        <v>木下　日出男</v>
      </c>
      <c r="G337" s="405" t="str">
        <f t="shared" si="45"/>
        <v>主たる営業所</v>
      </c>
      <c r="H337" s="405" t="str">
        <f t="shared" si="46"/>
        <v>宇佐市大字四日市４５１５－３</v>
      </c>
      <c r="L337" s="403" t="s">
        <v>8198</v>
      </c>
      <c r="M337" s="403" t="s">
        <v>8199</v>
      </c>
      <c r="N337" s="403" t="s">
        <v>2030</v>
      </c>
      <c r="O337" s="403" t="s">
        <v>7084</v>
      </c>
      <c r="P337" s="403" t="s">
        <v>2031</v>
      </c>
      <c r="Q337" s="403" t="s">
        <v>8148</v>
      </c>
      <c r="R337" s="403" t="s">
        <v>18835</v>
      </c>
      <c r="S337" s="403" t="s">
        <v>14533</v>
      </c>
      <c r="T337" s="403" t="s">
        <v>14534</v>
      </c>
      <c r="U337" s="403"/>
      <c r="V337" s="403" t="s">
        <v>23024</v>
      </c>
      <c r="W337" s="403" t="s">
        <v>23024</v>
      </c>
      <c r="X337" s="403" t="s">
        <v>23024</v>
      </c>
      <c r="Y337" s="403" t="s">
        <v>23024</v>
      </c>
    </row>
    <row r="338" spans="1:25">
      <c r="A338" s="363">
        <f t="shared" si="47"/>
        <v>337</v>
      </c>
      <c r="B338" s="363" t="str">
        <f t="shared" si="40"/>
        <v>44</v>
      </c>
      <c r="C338" s="405" t="str">
        <f t="shared" si="41"/>
        <v>第002828号</v>
      </c>
      <c r="D338" s="405" t="str">
        <f t="shared" si="42"/>
        <v>拓豊建設（株）</v>
      </c>
      <c r="E338" s="405" t="str">
        <f t="shared" si="43"/>
        <v>代表取締役</v>
      </c>
      <c r="F338" s="405" t="str">
        <f t="shared" si="44"/>
        <v>榎田　浩</v>
      </c>
      <c r="G338" s="405" t="str">
        <f t="shared" si="45"/>
        <v>主たる営業所</v>
      </c>
      <c r="H338" s="405" t="str">
        <f t="shared" si="46"/>
        <v>宇佐市大字蜷木１１０６－１</v>
      </c>
      <c r="L338" s="403" t="s">
        <v>8200</v>
      </c>
      <c r="M338" s="403" t="s">
        <v>8201</v>
      </c>
      <c r="N338" s="403" t="s">
        <v>2032</v>
      </c>
      <c r="O338" s="403" t="s">
        <v>7084</v>
      </c>
      <c r="P338" s="403" t="s">
        <v>2033</v>
      </c>
      <c r="Q338" s="403" t="s">
        <v>8202</v>
      </c>
      <c r="R338" s="403" t="s">
        <v>18836</v>
      </c>
      <c r="S338" s="403" t="s">
        <v>14535</v>
      </c>
      <c r="T338" s="403" t="s">
        <v>14536</v>
      </c>
      <c r="U338" s="403"/>
      <c r="V338" s="403" t="s">
        <v>23024</v>
      </c>
      <c r="W338" s="403" t="s">
        <v>23024</v>
      </c>
      <c r="X338" s="403" t="s">
        <v>23024</v>
      </c>
      <c r="Y338" s="403" t="s">
        <v>23024</v>
      </c>
    </row>
    <row r="339" spans="1:25">
      <c r="A339" s="363">
        <f t="shared" si="47"/>
        <v>338</v>
      </c>
      <c r="B339" s="363" t="str">
        <f t="shared" si="40"/>
        <v>44</v>
      </c>
      <c r="C339" s="405" t="str">
        <f t="shared" si="41"/>
        <v>第002841号</v>
      </c>
      <c r="D339" s="405" t="str">
        <f t="shared" si="42"/>
        <v>（有）山末建設</v>
      </c>
      <c r="E339" s="405" t="str">
        <f t="shared" si="43"/>
        <v>代表取締役</v>
      </c>
      <c r="F339" s="405" t="str">
        <f t="shared" si="44"/>
        <v>野中　太樹</v>
      </c>
      <c r="G339" s="405" t="str">
        <f t="shared" si="45"/>
        <v>主たる営業所</v>
      </c>
      <c r="H339" s="405" t="str">
        <f t="shared" si="46"/>
        <v>宇佐市大字下高１７２４</v>
      </c>
      <c r="L339" s="403" t="s">
        <v>8203</v>
      </c>
      <c r="M339" s="403" t="s">
        <v>8204</v>
      </c>
      <c r="N339" s="403" t="s">
        <v>2034</v>
      </c>
      <c r="O339" s="403" t="s">
        <v>7084</v>
      </c>
      <c r="P339" s="403" t="s">
        <v>2035</v>
      </c>
      <c r="Q339" s="403" t="s">
        <v>8205</v>
      </c>
      <c r="R339" s="403" t="s">
        <v>5406</v>
      </c>
      <c r="S339" s="403" t="s">
        <v>14537</v>
      </c>
      <c r="T339" s="403" t="s">
        <v>14538</v>
      </c>
      <c r="U339" s="403"/>
      <c r="V339" s="403" t="s">
        <v>23024</v>
      </c>
      <c r="W339" s="403" t="s">
        <v>23024</v>
      </c>
      <c r="X339" s="403" t="s">
        <v>23024</v>
      </c>
      <c r="Y339" s="403" t="s">
        <v>23024</v>
      </c>
    </row>
    <row r="340" spans="1:25">
      <c r="A340" s="363">
        <f t="shared" si="47"/>
        <v>339</v>
      </c>
      <c r="B340" s="363" t="str">
        <f t="shared" si="40"/>
        <v>44</v>
      </c>
      <c r="C340" s="405" t="str">
        <f t="shared" si="41"/>
        <v>第002843号</v>
      </c>
      <c r="D340" s="405" t="str">
        <f t="shared" si="42"/>
        <v>（有）佐藤緑化建設</v>
      </c>
      <c r="E340" s="405" t="str">
        <f t="shared" si="43"/>
        <v>代表取締役</v>
      </c>
      <c r="F340" s="405" t="str">
        <f t="shared" si="44"/>
        <v>佐藤　善次</v>
      </c>
      <c r="G340" s="405" t="str">
        <f t="shared" si="45"/>
        <v>主たる営業所</v>
      </c>
      <c r="H340" s="405" t="str">
        <f t="shared" si="46"/>
        <v>宇佐市大字高森１３０２</v>
      </c>
      <c r="L340" s="403" t="s">
        <v>8206</v>
      </c>
      <c r="M340" s="403" t="s">
        <v>8207</v>
      </c>
      <c r="N340" s="403" t="s">
        <v>2036</v>
      </c>
      <c r="O340" s="403" t="s">
        <v>7084</v>
      </c>
      <c r="P340" s="403" t="s">
        <v>2037</v>
      </c>
      <c r="Q340" s="403" t="s">
        <v>8186</v>
      </c>
      <c r="R340" s="403" t="s">
        <v>5407</v>
      </c>
      <c r="S340" s="403" t="s">
        <v>14539</v>
      </c>
      <c r="T340" s="403" t="s">
        <v>14540</v>
      </c>
      <c r="U340" s="403"/>
      <c r="V340" s="403" t="s">
        <v>23024</v>
      </c>
      <c r="W340" s="403" t="s">
        <v>23024</v>
      </c>
      <c r="X340" s="403" t="s">
        <v>23024</v>
      </c>
      <c r="Y340" s="403" t="s">
        <v>23024</v>
      </c>
    </row>
    <row r="341" spans="1:25">
      <c r="A341" s="363">
        <f t="shared" si="47"/>
        <v>340</v>
      </c>
      <c r="B341" s="363" t="str">
        <f t="shared" si="40"/>
        <v>44</v>
      </c>
      <c r="C341" s="405" t="str">
        <f t="shared" si="41"/>
        <v>第002848号</v>
      </c>
      <c r="D341" s="405" t="str">
        <f t="shared" si="42"/>
        <v>東九地研工業（株）</v>
      </c>
      <c r="E341" s="405" t="str">
        <f t="shared" si="43"/>
        <v>代表取締役</v>
      </c>
      <c r="F341" s="405" t="str">
        <f t="shared" si="44"/>
        <v>本庄　範行</v>
      </c>
      <c r="G341" s="405" t="str">
        <f t="shared" si="45"/>
        <v>主たる営業所</v>
      </c>
      <c r="H341" s="405" t="str">
        <f t="shared" si="46"/>
        <v>宇佐市大字城井４９２</v>
      </c>
      <c r="L341" s="403" t="s">
        <v>8208</v>
      </c>
      <c r="M341" s="403" t="s">
        <v>8209</v>
      </c>
      <c r="N341" s="403" t="s">
        <v>2038</v>
      </c>
      <c r="O341" s="403" t="s">
        <v>7084</v>
      </c>
      <c r="P341" s="403" t="s">
        <v>2039</v>
      </c>
      <c r="Q341" s="403" t="s">
        <v>8121</v>
      </c>
      <c r="R341" s="403" t="s">
        <v>5408</v>
      </c>
      <c r="S341" s="403" t="s">
        <v>14541</v>
      </c>
      <c r="T341" s="403" t="s">
        <v>14542</v>
      </c>
      <c r="U341" s="403"/>
      <c r="V341" s="403" t="s">
        <v>23024</v>
      </c>
      <c r="W341" s="403" t="s">
        <v>23024</v>
      </c>
      <c r="X341" s="403" t="s">
        <v>23024</v>
      </c>
      <c r="Y341" s="403" t="s">
        <v>23024</v>
      </c>
    </row>
    <row r="342" spans="1:25">
      <c r="A342" s="363">
        <f t="shared" si="47"/>
        <v>341</v>
      </c>
      <c r="B342" s="363" t="str">
        <f t="shared" si="40"/>
        <v>44</v>
      </c>
      <c r="C342" s="405" t="str">
        <f t="shared" si="41"/>
        <v>第002862号</v>
      </c>
      <c r="D342" s="405" t="str">
        <f t="shared" si="42"/>
        <v>（株）土居組</v>
      </c>
      <c r="E342" s="405" t="str">
        <f t="shared" si="43"/>
        <v>代表取締役</v>
      </c>
      <c r="F342" s="405" t="str">
        <f t="shared" si="44"/>
        <v>土居　富之</v>
      </c>
      <c r="G342" s="405" t="str">
        <f t="shared" si="45"/>
        <v>主たる営業所</v>
      </c>
      <c r="H342" s="405" t="str">
        <f t="shared" si="46"/>
        <v>宇佐市大字森山２３１</v>
      </c>
      <c r="L342" s="403" t="s">
        <v>8210</v>
      </c>
      <c r="M342" s="403" t="s">
        <v>8211</v>
      </c>
      <c r="N342" s="403" t="s">
        <v>2040</v>
      </c>
      <c r="O342" s="403" t="s">
        <v>7084</v>
      </c>
      <c r="P342" s="403" t="s">
        <v>2041</v>
      </c>
      <c r="Q342" s="403" t="s">
        <v>8142</v>
      </c>
      <c r="R342" s="403" t="s">
        <v>5409</v>
      </c>
      <c r="S342" s="403" t="s">
        <v>14543</v>
      </c>
      <c r="T342" s="403" t="s">
        <v>14544</v>
      </c>
      <c r="U342" s="403"/>
      <c r="V342" s="403" t="s">
        <v>23024</v>
      </c>
      <c r="W342" s="403" t="s">
        <v>23024</v>
      </c>
      <c r="X342" s="403" t="s">
        <v>23024</v>
      </c>
      <c r="Y342" s="403" t="s">
        <v>23024</v>
      </c>
    </row>
    <row r="343" spans="1:25">
      <c r="A343" s="363">
        <f t="shared" si="47"/>
        <v>342</v>
      </c>
      <c r="B343" s="363" t="str">
        <f t="shared" si="40"/>
        <v>44</v>
      </c>
      <c r="C343" s="405" t="str">
        <f t="shared" si="41"/>
        <v>第002864号</v>
      </c>
      <c r="D343" s="405" t="str">
        <f t="shared" si="42"/>
        <v>（株）野村建設</v>
      </c>
      <c r="E343" s="405" t="str">
        <f t="shared" si="43"/>
        <v>代表取締役</v>
      </c>
      <c r="F343" s="405" t="str">
        <f t="shared" si="44"/>
        <v>野村　竜治</v>
      </c>
      <c r="G343" s="405" t="str">
        <f t="shared" si="45"/>
        <v>主たる営業所</v>
      </c>
      <c r="H343" s="405" t="str">
        <f t="shared" si="46"/>
        <v>宇佐市院内町下恵良７９３－１</v>
      </c>
      <c r="L343" s="403" t="s">
        <v>8212</v>
      </c>
      <c r="M343" s="403" t="s">
        <v>8213</v>
      </c>
      <c r="N343" s="403" t="s">
        <v>2042</v>
      </c>
      <c r="O343" s="403" t="s">
        <v>7084</v>
      </c>
      <c r="P343" s="403" t="s">
        <v>2043</v>
      </c>
      <c r="Q343" s="403" t="s">
        <v>8214</v>
      </c>
      <c r="R343" s="403" t="s">
        <v>18837</v>
      </c>
      <c r="S343" s="403" t="s">
        <v>14545</v>
      </c>
      <c r="T343" s="403" t="s">
        <v>14546</v>
      </c>
      <c r="U343" s="403"/>
      <c r="V343" s="403" t="s">
        <v>23024</v>
      </c>
      <c r="W343" s="403" t="s">
        <v>23024</v>
      </c>
      <c r="X343" s="403" t="s">
        <v>23024</v>
      </c>
      <c r="Y343" s="403" t="s">
        <v>23024</v>
      </c>
    </row>
    <row r="344" spans="1:25">
      <c r="A344" s="363">
        <f t="shared" si="47"/>
        <v>343</v>
      </c>
      <c r="B344" s="363" t="str">
        <f t="shared" si="40"/>
        <v>44</v>
      </c>
      <c r="C344" s="405" t="str">
        <f t="shared" si="41"/>
        <v>第002877号</v>
      </c>
      <c r="D344" s="405" t="str">
        <f t="shared" si="42"/>
        <v>（有）たかはし塗装店</v>
      </c>
      <c r="E344" s="405" t="str">
        <f t="shared" si="43"/>
        <v>代表取締役</v>
      </c>
      <c r="F344" s="405" t="str">
        <f t="shared" si="44"/>
        <v>高橋　大作</v>
      </c>
      <c r="G344" s="405" t="str">
        <f t="shared" si="45"/>
        <v>主たる営業所</v>
      </c>
      <c r="H344" s="405" t="str">
        <f t="shared" si="46"/>
        <v>宇佐市大字四日市３２６８－４</v>
      </c>
      <c r="L344" s="403" t="s">
        <v>8215</v>
      </c>
      <c r="M344" s="403" t="s">
        <v>8216</v>
      </c>
      <c r="N344" s="403" t="s">
        <v>2044</v>
      </c>
      <c r="O344" s="403" t="s">
        <v>7084</v>
      </c>
      <c r="P344" s="403" t="s">
        <v>2045</v>
      </c>
      <c r="Q344" s="403" t="s">
        <v>8148</v>
      </c>
      <c r="R344" s="403" t="s">
        <v>18838</v>
      </c>
      <c r="S344" s="403" t="s">
        <v>14547</v>
      </c>
      <c r="T344" s="403" t="s">
        <v>14548</v>
      </c>
      <c r="U344" s="403"/>
      <c r="V344" s="403" t="s">
        <v>23024</v>
      </c>
      <c r="W344" s="403" t="s">
        <v>23024</v>
      </c>
      <c r="X344" s="403" t="s">
        <v>23024</v>
      </c>
      <c r="Y344" s="403" t="s">
        <v>23024</v>
      </c>
    </row>
    <row r="345" spans="1:25">
      <c r="A345" s="363">
        <f t="shared" si="47"/>
        <v>344</v>
      </c>
      <c r="B345" s="363" t="str">
        <f t="shared" si="40"/>
        <v>44</v>
      </c>
      <c r="C345" s="405" t="str">
        <f t="shared" si="41"/>
        <v>第002888号</v>
      </c>
      <c r="D345" s="405" t="str">
        <f t="shared" si="42"/>
        <v>ダイニチ工業（株）</v>
      </c>
      <c r="E345" s="405" t="str">
        <f t="shared" si="43"/>
        <v>代表取締役</v>
      </c>
      <c r="F345" s="405" t="str">
        <f t="shared" si="44"/>
        <v>林田　貢一</v>
      </c>
      <c r="G345" s="405" t="str">
        <f t="shared" si="45"/>
        <v>主たる営業所</v>
      </c>
      <c r="H345" s="405" t="str">
        <f t="shared" si="46"/>
        <v>宇佐市大字四日市３２５０－１</v>
      </c>
      <c r="L345" s="403" t="s">
        <v>8217</v>
      </c>
      <c r="M345" s="403" t="s">
        <v>8218</v>
      </c>
      <c r="N345" s="403" t="s">
        <v>2046</v>
      </c>
      <c r="O345" s="403" t="s">
        <v>7084</v>
      </c>
      <c r="P345" s="403" t="s">
        <v>2047</v>
      </c>
      <c r="Q345" s="403" t="s">
        <v>8148</v>
      </c>
      <c r="R345" s="403" t="s">
        <v>18839</v>
      </c>
      <c r="S345" s="403" t="s">
        <v>14549</v>
      </c>
      <c r="T345" s="403" t="s">
        <v>14550</v>
      </c>
      <c r="U345" s="403"/>
      <c r="V345" s="403" t="s">
        <v>23024</v>
      </c>
      <c r="W345" s="403" t="s">
        <v>23024</v>
      </c>
      <c r="X345" s="403" t="s">
        <v>23024</v>
      </c>
      <c r="Y345" s="403" t="s">
        <v>23024</v>
      </c>
    </row>
    <row r="346" spans="1:25">
      <c r="A346" s="363">
        <f t="shared" si="47"/>
        <v>345</v>
      </c>
      <c r="B346" s="363" t="str">
        <f t="shared" si="40"/>
        <v>44</v>
      </c>
      <c r="C346" s="405" t="str">
        <f t="shared" si="41"/>
        <v>第002903号</v>
      </c>
      <c r="D346" s="405" t="str">
        <f t="shared" si="42"/>
        <v>高橋工業（有）</v>
      </c>
      <c r="E346" s="405" t="str">
        <f t="shared" si="43"/>
        <v>代表取締役</v>
      </c>
      <c r="F346" s="405" t="str">
        <f t="shared" si="44"/>
        <v>田上　武士</v>
      </c>
      <c r="G346" s="405" t="str">
        <f t="shared" si="45"/>
        <v>主たる営業所</v>
      </c>
      <c r="H346" s="405" t="str">
        <f t="shared" si="46"/>
        <v>宇佐市大字下高８５８－２</v>
      </c>
      <c r="L346" s="403" t="s">
        <v>8219</v>
      </c>
      <c r="M346" s="403" t="s">
        <v>8220</v>
      </c>
      <c r="N346" s="403" t="s">
        <v>2048</v>
      </c>
      <c r="O346" s="403" t="s">
        <v>7084</v>
      </c>
      <c r="P346" s="403" t="s">
        <v>2049</v>
      </c>
      <c r="Q346" s="403" t="s">
        <v>8205</v>
      </c>
      <c r="R346" s="403" t="s">
        <v>18840</v>
      </c>
      <c r="S346" s="403" t="s">
        <v>14551</v>
      </c>
      <c r="T346" s="403" t="s">
        <v>14552</v>
      </c>
      <c r="U346" s="403"/>
      <c r="V346" s="403" t="s">
        <v>23024</v>
      </c>
      <c r="W346" s="403" t="s">
        <v>23024</v>
      </c>
      <c r="X346" s="403" t="s">
        <v>23024</v>
      </c>
      <c r="Y346" s="403" t="s">
        <v>23024</v>
      </c>
    </row>
    <row r="347" spans="1:25">
      <c r="A347" s="363">
        <f t="shared" si="47"/>
        <v>346</v>
      </c>
      <c r="B347" s="363" t="str">
        <f t="shared" si="40"/>
        <v>44</v>
      </c>
      <c r="C347" s="405" t="str">
        <f t="shared" si="41"/>
        <v>第002910号</v>
      </c>
      <c r="D347" s="405" t="str">
        <f t="shared" si="42"/>
        <v>（有）西部建設</v>
      </c>
      <c r="E347" s="405" t="str">
        <f t="shared" si="43"/>
        <v>代表取締役</v>
      </c>
      <c r="F347" s="405" t="str">
        <f t="shared" si="44"/>
        <v>古梶　マサ子</v>
      </c>
      <c r="G347" s="405" t="str">
        <f t="shared" si="45"/>
        <v>主たる営業所</v>
      </c>
      <c r="H347" s="405" t="str">
        <f t="shared" si="46"/>
        <v>宇佐市大字木部１０４９</v>
      </c>
      <c r="L347" s="403" t="s">
        <v>8221</v>
      </c>
      <c r="M347" s="403" t="s">
        <v>8222</v>
      </c>
      <c r="N347" s="403" t="s">
        <v>2051</v>
      </c>
      <c r="O347" s="403" t="s">
        <v>7084</v>
      </c>
      <c r="P347" s="403" t="s">
        <v>2052</v>
      </c>
      <c r="Q347" s="403" t="s">
        <v>8223</v>
      </c>
      <c r="R347" s="403" t="s">
        <v>5410</v>
      </c>
      <c r="S347" s="403" t="s">
        <v>14553</v>
      </c>
      <c r="T347" s="403" t="s">
        <v>14554</v>
      </c>
      <c r="U347" s="403"/>
      <c r="V347" s="403" t="s">
        <v>23024</v>
      </c>
      <c r="W347" s="403" t="s">
        <v>23024</v>
      </c>
      <c r="X347" s="403" t="s">
        <v>23024</v>
      </c>
      <c r="Y347" s="403" t="s">
        <v>23024</v>
      </c>
    </row>
    <row r="348" spans="1:25">
      <c r="A348" s="363">
        <f t="shared" si="47"/>
        <v>347</v>
      </c>
      <c r="B348" s="363" t="str">
        <f t="shared" si="40"/>
        <v>44</v>
      </c>
      <c r="C348" s="405" t="str">
        <f t="shared" si="41"/>
        <v>第002922号</v>
      </c>
      <c r="D348" s="405" t="str">
        <f t="shared" si="42"/>
        <v>（株）藤電設工業</v>
      </c>
      <c r="E348" s="405" t="str">
        <f t="shared" si="43"/>
        <v>代表取締役</v>
      </c>
      <c r="F348" s="405" t="str">
        <f t="shared" si="44"/>
        <v>藤本　裕太郎</v>
      </c>
      <c r="G348" s="405" t="str">
        <f t="shared" si="45"/>
        <v>主たる営業所</v>
      </c>
      <c r="H348" s="405" t="str">
        <f t="shared" si="46"/>
        <v>宇佐市大字富山５１２－１</v>
      </c>
      <c r="L348" s="403" t="s">
        <v>8224</v>
      </c>
      <c r="M348" s="403" t="s">
        <v>8225</v>
      </c>
      <c r="N348" s="403" t="s">
        <v>2053</v>
      </c>
      <c r="O348" s="403" t="s">
        <v>7084</v>
      </c>
      <c r="P348" s="403" t="s">
        <v>5224</v>
      </c>
      <c r="Q348" s="403" t="s">
        <v>8084</v>
      </c>
      <c r="R348" s="403" t="s">
        <v>18841</v>
      </c>
      <c r="S348" s="403" t="s">
        <v>14555</v>
      </c>
      <c r="T348" s="403" t="s">
        <v>14556</v>
      </c>
      <c r="U348" s="403"/>
      <c r="V348" s="403" t="s">
        <v>23024</v>
      </c>
      <c r="W348" s="403" t="s">
        <v>23024</v>
      </c>
      <c r="X348" s="403" t="s">
        <v>23024</v>
      </c>
      <c r="Y348" s="403" t="s">
        <v>23024</v>
      </c>
    </row>
    <row r="349" spans="1:25">
      <c r="A349" s="363">
        <f t="shared" si="47"/>
        <v>348</v>
      </c>
      <c r="B349" s="363" t="str">
        <f t="shared" si="40"/>
        <v>44</v>
      </c>
      <c r="C349" s="405" t="str">
        <f t="shared" si="41"/>
        <v>第002928号</v>
      </c>
      <c r="D349" s="405" t="str">
        <f t="shared" si="42"/>
        <v>（有）新紘産業</v>
      </c>
      <c r="E349" s="405" t="str">
        <f t="shared" si="43"/>
        <v>代表取締役</v>
      </c>
      <c r="F349" s="405" t="str">
        <f t="shared" si="44"/>
        <v>江口　洋子</v>
      </c>
      <c r="G349" s="405" t="str">
        <f t="shared" si="45"/>
        <v>主たる営業所</v>
      </c>
      <c r="H349" s="405" t="str">
        <f t="shared" si="46"/>
        <v>宇佐市院内町櫛野６８－１０</v>
      </c>
      <c r="L349" s="403" t="s">
        <v>8226</v>
      </c>
      <c r="M349" s="403" t="s">
        <v>8227</v>
      </c>
      <c r="N349" s="403" t="s">
        <v>2054</v>
      </c>
      <c r="O349" s="403" t="s">
        <v>7084</v>
      </c>
      <c r="P349" s="403" t="s">
        <v>2055</v>
      </c>
      <c r="Q349" s="403" t="s">
        <v>8228</v>
      </c>
      <c r="R349" s="403" t="s">
        <v>18842</v>
      </c>
      <c r="S349" s="403" t="s">
        <v>14557</v>
      </c>
      <c r="T349" s="403" t="s">
        <v>14557</v>
      </c>
      <c r="U349" s="403"/>
      <c r="V349" s="403" t="s">
        <v>23024</v>
      </c>
      <c r="W349" s="403" t="s">
        <v>23024</v>
      </c>
      <c r="X349" s="403" t="s">
        <v>23024</v>
      </c>
      <c r="Y349" s="403" t="s">
        <v>23024</v>
      </c>
    </row>
    <row r="350" spans="1:25">
      <c r="A350" s="363">
        <f t="shared" si="47"/>
        <v>349</v>
      </c>
      <c r="B350" s="363" t="str">
        <f t="shared" si="40"/>
        <v>44</v>
      </c>
      <c r="C350" s="405" t="str">
        <f t="shared" si="41"/>
        <v>第002929号</v>
      </c>
      <c r="D350" s="405" t="str">
        <f t="shared" si="42"/>
        <v>（有）大一建設</v>
      </c>
      <c r="E350" s="405" t="str">
        <f t="shared" si="43"/>
        <v>代表取締役</v>
      </c>
      <c r="F350" s="405" t="str">
        <f t="shared" si="44"/>
        <v>石川　哲人</v>
      </c>
      <c r="G350" s="405" t="str">
        <f t="shared" si="45"/>
        <v>主たる営業所</v>
      </c>
      <c r="H350" s="405" t="str">
        <f t="shared" si="46"/>
        <v>宇佐市安心院町下毛１６８０</v>
      </c>
      <c r="L350" s="403" t="s">
        <v>8229</v>
      </c>
      <c r="M350" s="403" t="s">
        <v>8230</v>
      </c>
      <c r="N350" s="403" t="s">
        <v>2056</v>
      </c>
      <c r="O350" s="403" t="s">
        <v>7084</v>
      </c>
      <c r="P350" s="403" t="s">
        <v>2057</v>
      </c>
      <c r="Q350" s="403" t="s">
        <v>8130</v>
      </c>
      <c r="R350" s="403" t="s">
        <v>5411</v>
      </c>
      <c r="S350" s="403" t="s">
        <v>14558</v>
      </c>
      <c r="T350" s="403" t="s">
        <v>14559</v>
      </c>
      <c r="U350" s="403"/>
      <c r="V350" s="403" t="s">
        <v>23024</v>
      </c>
      <c r="W350" s="403" t="s">
        <v>23024</v>
      </c>
      <c r="X350" s="403" t="s">
        <v>23024</v>
      </c>
      <c r="Y350" s="403" t="s">
        <v>23024</v>
      </c>
    </row>
    <row r="351" spans="1:25">
      <c r="A351" s="363">
        <f t="shared" si="47"/>
        <v>350</v>
      </c>
      <c r="B351" s="363" t="str">
        <f t="shared" si="40"/>
        <v>44</v>
      </c>
      <c r="C351" s="405" t="str">
        <f t="shared" si="41"/>
        <v>第002934号</v>
      </c>
      <c r="D351" s="405" t="str">
        <f t="shared" si="42"/>
        <v>（有）小野田建設</v>
      </c>
      <c r="E351" s="405" t="str">
        <f t="shared" si="43"/>
        <v>代表取締役</v>
      </c>
      <c r="F351" s="405" t="str">
        <f t="shared" si="44"/>
        <v>小野田　義文</v>
      </c>
      <c r="G351" s="405" t="str">
        <f t="shared" si="45"/>
        <v>主たる営業所</v>
      </c>
      <c r="H351" s="405" t="str">
        <f t="shared" si="46"/>
        <v>宇佐市大字上庄１２９９</v>
      </c>
      <c r="L351" s="403" t="s">
        <v>8231</v>
      </c>
      <c r="M351" s="403" t="s">
        <v>8232</v>
      </c>
      <c r="N351" s="403" t="s">
        <v>2058</v>
      </c>
      <c r="O351" s="403" t="s">
        <v>7084</v>
      </c>
      <c r="P351" s="403" t="s">
        <v>2059</v>
      </c>
      <c r="Q351" s="403" t="s">
        <v>8233</v>
      </c>
      <c r="R351" s="403" t="s">
        <v>5412</v>
      </c>
      <c r="S351" s="403" t="s">
        <v>14560</v>
      </c>
      <c r="T351" s="403" t="s">
        <v>14560</v>
      </c>
      <c r="U351" s="403"/>
      <c r="V351" s="403" t="s">
        <v>23024</v>
      </c>
      <c r="W351" s="403" t="s">
        <v>23024</v>
      </c>
      <c r="X351" s="403" t="s">
        <v>23024</v>
      </c>
      <c r="Y351" s="403" t="s">
        <v>23024</v>
      </c>
    </row>
    <row r="352" spans="1:25">
      <c r="A352" s="363">
        <f t="shared" si="47"/>
        <v>351</v>
      </c>
      <c r="B352" s="363" t="str">
        <f t="shared" si="40"/>
        <v>44</v>
      </c>
      <c r="C352" s="405" t="str">
        <f t="shared" si="41"/>
        <v>第002935号</v>
      </c>
      <c r="D352" s="405" t="str">
        <f t="shared" si="42"/>
        <v>（株）八幡空調設備</v>
      </c>
      <c r="E352" s="405" t="str">
        <f t="shared" si="43"/>
        <v>代表取締役</v>
      </c>
      <c r="F352" s="405" t="str">
        <f t="shared" si="44"/>
        <v>今野　雅登</v>
      </c>
      <c r="G352" s="405" t="str">
        <f t="shared" si="45"/>
        <v>主たる営業所</v>
      </c>
      <c r="H352" s="405" t="str">
        <f t="shared" si="46"/>
        <v>宇佐市大字森山字上原６１２－２</v>
      </c>
      <c r="L352" s="403" t="s">
        <v>8234</v>
      </c>
      <c r="M352" s="403" t="s">
        <v>8235</v>
      </c>
      <c r="N352" s="403" t="s">
        <v>2060</v>
      </c>
      <c r="O352" s="403" t="s">
        <v>7084</v>
      </c>
      <c r="P352" s="403" t="s">
        <v>5225</v>
      </c>
      <c r="Q352" s="403" t="s">
        <v>8142</v>
      </c>
      <c r="R352" s="403" t="s">
        <v>18843</v>
      </c>
      <c r="S352" s="403" t="s">
        <v>14561</v>
      </c>
      <c r="T352" s="403" t="s">
        <v>14562</v>
      </c>
      <c r="U352" s="403"/>
      <c r="V352" s="403" t="s">
        <v>23024</v>
      </c>
      <c r="W352" s="403" t="s">
        <v>23024</v>
      </c>
      <c r="X352" s="403" t="s">
        <v>23024</v>
      </c>
      <c r="Y352" s="403" t="s">
        <v>23024</v>
      </c>
    </row>
    <row r="353" spans="1:25">
      <c r="A353" s="363">
        <f t="shared" si="47"/>
        <v>352</v>
      </c>
      <c r="B353" s="363" t="str">
        <f t="shared" si="40"/>
        <v>44</v>
      </c>
      <c r="C353" s="405" t="str">
        <f t="shared" si="41"/>
        <v>第002936号</v>
      </c>
      <c r="D353" s="405" t="str">
        <f t="shared" si="42"/>
        <v>六六六設備（有）</v>
      </c>
      <c r="E353" s="405" t="str">
        <f t="shared" si="43"/>
        <v>代表取締役</v>
      </c>
      <c r="F353" s="405" t="str">
        <f t="shared" si="44"/>
        <v>岩渕　央子</v>
      </c>
      <c r="G353" s="405" t="str">
        <f t="shared" si="45"/>
        <v>主たる営業所</v>
      </c>
      <c r="H353" s="405" t="str">
        <f t="shared" si="46"/>
        <v>宇佐市大字四日市１００４－２</v>
      </c>
      <c r="L353" s="403" t="s">
        <v>8236</v>
      </c>
      <c r="M353" s="403" t="s">
        <v>8237</v>
      </c>
      <c r="N353" s="403" t="s">
        <v>2061</v>
      </c>
      <c r="O353" s="403" t="s">
        <v>7084</v>
      </c>
      <c r="P353" s="403" t="s">
        <v>2062</v>
      </c>
      <c r="Q353" s="403" t="s">
        <v>8148</v>
      </c>
      <c r="R353" s="403" t="s">
        <v>18844</v>
      </c>
      <c r="S353" s="403" t="s">
        <v>14563</v>
      </c>
      <c r="T353" s="403" t="s">
        <v>14563</v>
      </c>
      <c r="U353" s="403"/>
      <c r="V353" s="403" t="s">
        <v>23024</v>
      </c>
      <c r="W353" s="403" t="s">
        <v>23024</v>
      </c>
      <c r="X353" s="403" t="s">
        <v>23024</v>
      </c>
      <c r="Y353" s="403" t="s">
        <v>23024</v>
      </c>
    </row>
    <row r="354" spans="1:25">
      <c r="A354" s="363">
        <f t="shared" si="47"/>
        <v>353</v>
      </c>
      <c r="B354" s="363" t="str">
        <f t="shared" si="40"/>
        <v>44</v>
      </c>
      <c r="C354" s="405" t="str">
        <f t="shared" si="41"/>
        <v>第002937号</v>
      </c>
      <c r="D354" s="405" t="str">
        <f t="shared" si="42"/>
        <v>（株）小森建設</v>
      </c>
      <c r="E354" s="405" t="str">
        <f t="shared" si="43"/>
        <v>代表取締役</v>
      </c>
      <c r="F354" s="405" t="str">
        <f t="shared" si="44"/>
        <v>小森　貴洋</v>
      </c>
      <c r="G354" s="405" t="str">
        <f t="shared" si="45"/>
        <v>主たる営業所</v>
      </c>
      <c r="H354" s="405" t="str">
        <f t="shared" si="46"/>
        <v>宇佐市安心院町矢崎５６１－５</v>
      </c>
      <c r="L354" s="403" t="s">
        <v>8238</v>
      </c>
      <c r="M354" s="403" t="s">
        <v>8239</v>
      </c>
      <c r="N354" s="403" t="s">
        <v>2063</v>
      </c>
      <c r="O354" s="403" t="s">
        <v>7084</v>
      </c>
      <c r="P354" s="403" t="s">
        <v>2064</v>
      </c>
      <c r="Q354" s="403" t="s">
        <v>8240</v>
      </c>
      <c r="R354" s="403" t="s">
        <v>18845</v>
      </c>
      <c r="S354" s="403" t="s">
        <v>14564</v>
      </c>
      <c r="T354" s="403" t="s">
        <v>14565</v>
      </c>
      <c r="U354" s="403"/>
      <c r="V354" s="403" t="s">
        <v>23024</v>
      </c>
      <c r="W354" s="403" t="s">
        <v>23024</v>
      </c>
      <c r="X354" s="403" t="s">
        <v>23024</v>
      </c>
      <c r="Y354" s="403" t="s">
        <v>23024</v>
      </c>
    </row>
    <row r="355" spans="1:25">
      <c r="A355" s="363">
        <f t="shared" si="47"/>
        <v>354</v>
      </c>
      <c r="B355" s="363" t="str">
        <f t="shared" si="40"/>
        <v>44</v>
      </c>
      <c r="C355" s="405" t="str">
        <f t="shared" si="41"/>
        <v>第002938号</v>
      </c>
      <c r="D355" s="405" t="str">
        <f t="shared" si="42"/>
        <v>（株）野畑建設</v>
      </c>
      <c r="E355" s="405" t="str">
        <f t="shared" si="43"/>
        <v>代表取締役</v>
      </c>
      <c r="F355" s="405" t="str">
        <f t="shared" si="44"/>
        <v>野畑　佑昌</v>
      </c>
      <c r="G355" s="405" t="str">
        <f t="shared" si="45"/>
        <v>主たる営業所</v>
      </c>
      <c r="H355" s="405" t="str">
        <f t="shared" si="46"/>
        <v>宇佐市院内町上恵良７８０</v>
      </c>
      <c r="L355" s="403" t="s">
        <v>8241</v>
      </c>
      <c r="M355" s="403" t="s">
        <v>8242</v>
      </c>
      <c r="N355" s="403" t="s">
        <v>2065</v>
      </c>
      <c r="O355" s="403" t="s">
        <v>7084</v>
      </c>
      <c r="P355" s="403" t="s">
        <v>2066</v>
      </c>
      <c r="Q355" s="403" t="s">
        <v>8243</v>
      </c>
      <c r="R355" s="403" t="s">
        <v>5413</v>
      </c>
      <c r="S355" s="403" t="s">
        <v>14566</v>
      </c>
      <c r="T355" s="403" t="s">
        <v>14567</v>
      </c>
      <c r="U355" s="403"/>
      <c r="V355" s="403" t="s">
        <v>23024</v>
      </c>
      <c r="W355" s="403" t="s">
        <v>23024</v>
      </c>
      <c r="X355" s="403" t="s">
        <v>23024</v>
      </c>
      <c r="Y355" s="403" t="s">
        <v>23024</v>
      </c>
    </row>
    <row r="356" spans="1:25">
      <c r="A356" s="363">
        <f t="shared" si="47"/>
        <v>355</v>
      </c>
      <c r="B356" s="363" t="str">
        <f t="shared" si="40"/>
        <v>44</v>
      </c>
      <c r="C356" s="405" t="str">
        <f t="shared" si="41"/>
        <v>第002940号</v>
      </c>
      <c r="D356" s="405" t="str">
        <f t="shared" si="42"/>
        <v>（有）河野建設</v>
      </c>
      <c r="E356" s="405" t="str">
        <f t="shared" si="43"/>
        <v>代表取締役</v>
      </c>
      <c r="F356" s="405" t="str">
        <f t="shared" si="44"/>
        <v>河野　貴昭</v>
      </c>
      <c r="G356" s="405" t="str">
        <f t="shared" si="45"/>
        <v>主たる営業所</v>
      </c>
      <c r="H356" s="405" t="str">
        <f t="shared" si="46"/>
        <v>宇佐市院内町原口３４９－２</v>
      </c>
      <c r="L356" s="403" t="s">
        <v>8244</v>
      </c>
      <c r="M356" s="403" t="s">
        <v>8245</v>
      </c>
      <c r="N356" s="403" t="s">
        <v>2067</v>
      </c>
      <c r="O356" s="403" t="s">
        <v>7084</v>
      </c>
      <c r="P356" s="403" t="s">
        <v>2068</v>
      </c>
      <c r="Q356" s="403" t="s">
        <v>8246</v>
      </c>
      <c r="R356" s="403" t="s">
        <v>18846</v>
      </c>
      <c r="S356" s="403" t="s">
        <v>14568</v>
      </c>
      <c r="T356" s="403" t="s">
        <v>14569</v>
      </c>
      <c r="U356" s="403"/>
      <c r="V356" s="403" t="s">
        <v>23024</v>
      </c>
      <c r="W356" s="403" t="s">
        <v>23024</v>
      </c>
      <c r="X356" s="403" t="s">
        <v>23024</v>
      </c>
      <c r="Y356" s="403" t="s">
        <v>23024</v>
      </c>
    </row>
    <row r="357" spans="1:25">
      <c r="A357" s="363">
        <f t="shared" si="47"/>
        <v>356</v>
      </c>
      <c r="B357" s="363" t="str">
        <f t="shared" si="40"/>
        <v>44</v>
      </c>
      <c r="C357" s="405" t="str">
        <f t="shared" si="41"/>
        <v>第002959号</v>
      </c>
      <c r="D357" s="405" t="str">
        <f t="shared" si="42"/>
        <v>（有）平和電設</v>
      </c>
      <c r="E357" s="405" t="str">
        <f t="shared" si="43"/>
        <v>代表取締役</v>
      </c>
      <c r="F357" s="405" t="str">
        <f t="shared" si="44"/>
        <v>岸　祐二朗</v>
      </c>
      <c r="G357" s="405" t="str">
        <f t="shared" si="45"/>
        <v>主たる営業所</v>
      </c>
      <c r="H357" s="405" t="str">
        <f t="shared" si="46"/>
        <v>宇佐市大字上高６７０－３</v>
      </c>
      <c r="L357" s="403" t="s">
        <v>8247</v>
      </c>
      <c r="M357" s="403" t="s">
        <v>8248</v>
      </c>
      <c r="N357" s="403" t="s">
        <v>2069</v>
      </c>
      <c r="O357" s="403" t="s">
        <v>7084</v>
      </c>
      <c r="P357" s="403" t="s">
        <v>5226</v>
      </c>
      <c r="Q357" s="403" t="s">
        <v>8249</v>
      </c>
      <c r="R357" s="403" t="s">
        <v>18847</v>
      </c>
      <c r="S357" s="403" t="s">
        <v>14570</v>
      </c>
      <c r="T357" s="403" t="s">
        <v>14571</v>
      </c>
      <c r="U357" s="403"/>
      <c r="V357" s="403" t="s">
        <v>23024</v>
      </c>
      <c r="W357" s="403" t="s">
        <v>23024</v>
      </c>
      <c r="X357" s="403" t="s">
        <v>23024</v>
      </c>
      <c r="Y357" s="403" t="s">
        <v>23024</v>
      </c>
    </row>
    <row r="358" spans="1:25">
      <c r="A358" s="363">
        <f t="shared" si="47"/>
        <v>357</v>
      </c>
      <c r="B358" s="363" t="str">
        <f t="shared" si="40"/>
        <v>44</v>
      </c>
      <c r="C358" s="405" t="str">
        <f t="shared" si="41"/>
        <v>第002962号</v>
      </c>
      <c r="D358" s="405" t="str">
        <f t="shared" si="42"/>
        <v>（有）宇佐重機</v>
      </c>
      <c r="E358" s="405" t="str">
        <f t="shared" si="43"/>
        <v>代表取締役</v>
      </c>
      <c r="F358" s="405" t="str">
        <f t="shared" si="44"/>
        <v>菅原　智史</v>
      </c>
      <c r="G358" s="405" t="str">
        <f t="shared" si="45"/>
        <v>主たる営業所</v>
      </c>
      <c r="H358" s="405" t="str">
        <f t="shared" si="46"/>
        <v>宇佐市安心院町尾立５５－１</v>
      </c>
      <c r="L358" s="403" t="s">
        <v>8250</v>
      </c>
      <c r="M358" s="403" t="s">
        <v>8251</v>
      </c>
      <c r="N358" s="403" t="s">
        <v>2070</v>
      </c>
      <c r="O358" s="403" t="s">
        <v>7084</v>
      </c>
      <c r="P358" s="403" t="s">
        <v>2071</v>
      </c>
      <c r="Q358" s="403" t="s">
        <v>8252</v>
      </c>
      <c r="R358" s="403" t="s">
        <v>18848</v>
      </c>
      <c r="S358" s="403" t="s">
        <v>14572</v>
      </c>
      <c r="T358" s="403" t="s">
        <v>14573</v>
      </c>
      <c r="U358" s="403"/>
      <c r="V358" s="403" t="s">
        <v>23024</v>
      </c>
      <c r="W358" s="403" t="s">
        <v>23024</v>
      </c>
      <c r="X358" s="403" t="s">
        <v>23024</v>
      </c>
      <c r="Y358" s="403" t="s">
        <v>23024</v>
      </c>
    </row>
    <row r="359" spans="1:25">
      <c r="A359" s="363">
        <f t="shared" si="47"/>
        <v>358</v>
      </c>
      <c r="B359" s="363" t="str">
        <f t="shared" si="40"/>
        <v>44</v>
      </c>
      <c r="C359" s="405" t="str">
        <f t="shared" si="41"/>
        <v>第002968号</v>
      </c>
      <c r="D359" s="405" t="str">
        <f t="shared" si="42"/>
        <v>（有）吉本本家石材店</v>
      </c>
      <c r="E359" s="405" t="str">
        <f t="shared" si="43"/>
        <v>代表取締役</v>
      </c>
      <c r="F359" s="405" t="str">
        <f t="shared" si="44"/>
        <v>吉本　幸成</v>
      </c>
      <c r="G359" s="405" t="str">
        <f t="shared" si="45"/>
        <v>主たる営業所</v>
      </c>
      <c r="H359" s="405" t="str">
        <f t="shared" si="46"/>
        <v>宇佐市大字江須賀１１２９</v>
      </c>
      <c r="L359" s="403" t="s">
        <v>8253</v>
      </c>
      <c r="M359" s="403" t="s">
        <v>8254</v>
      </c>
      <c r="N359" s="403" t="s">
        <v>2072</v>
      </c>
      <c r="O359" s="403" t="s">
        <v>7084</v>
      </c>
      <c r="P359" s="403" t="s">
        <v>2073</v>
      </c>
      <c r="Q359" s="403" t="s">
        <v>8133</v>
      </c>
      <c r="R359" s="403" t="s">
        <v>5414</v>
      </c>
      <c r="S359" s="403" t="s">
        <v>14574</v>
      </c>
      <c r="T359" s="403" t="s">
        <v>14575</v>
      </c>
      <c r="U359" s="403"/>
      <c r="V359" s="403" t="s">
        <v>23024</v>
      </c>
      <c r="W359" s="403" t="s">
        <v>23024</v>
      </c>
      <c r="X359" s="403" t="s">
        <v>23024</v>
      </c>
      <c r="Y359" s="403" t="s">
        <v>23024</v>
      </c>
    </row>
    <row r="360" spans="1:25">
      <c r="A360" s="363">
        <f t="shared" si="47"/>
        <v>359</v>
      </c>
      <c r="B360" s="363" t="str">
        <f t="shared" si="40"/>
        <v>44</v>
      </c>
      <c r="C360" s="405" t="str">
        <f t="shared" si="41"/>
        <v>第002984号</v>
      </c>
      <c r="D360" s="405" t="str">
        <f t="shared" si="42"/>
        <v>（株）松永組</v>
      </c>
      <c r="E360" s="405" t="str">
        <f t="shared" si="43"/>
        <v>代表取締役</v>
      </c>
      <c r="F360" s="405" t="str">
        <f t="shared" si="44"/>
        <v>松永　忠昭</v>
      </c>
      <c r="G360" s="405" t="str">
        <f t="shared" si="45"/>
        <v>主たる営業所</v>
      </c>
      <c r="H360" s="405" t="str">
        <f t="shared" si="46"/>
        <v>宇佐市大字富山１１９１－３</v>
      </c>
      <c r="L360" s="403" t="s">
        <v>8256</v>
      </c>
      <c r="M360" s="403" t="s">
        <v>8257</v>
      </c>
      <c r="N360" s="403" t="s">
        <v>2074</v>
      </c>
      <c r="O360" s="403" t="s">
        <v>7084</v>
      </c>
      <c r="P360" s="403" t="s">
        <v>2075</v>
      </c>
      <c r="Q360" s="403" t="s">
        <v>8084</v>
      </c>
      <c r="R360" s="403" t="s">
        <v>18849</v>
      </c>
      <c r="S360" s="403" t="s">
        <v>14576</v>
      </c>
      <c r="T360" s="403" t="s">
        <v>14577</v>
      </c>
      <c r="U360" s="403"/>
      <c r="V360" s="403" t="s">
        <v>23024</v>
      </c>
      <c r="W360" s="403" t="s">
        <v>23024</v>
      </c>
      <c r="X360" s="403" t="s">
        <v>23024</v>
      </c>
      <c r="Y360" s="403" t="s">
        <v>23024</v>
      </c>
    </row>
    <row r="361" spans="1:25">
      <c r="A361" s="363">
        <f t="shared" si="47"/>
        <v>360</v>
      </c>
      <c r="B361" s="363" t="str">
        <f t="shared" si="40"/>
        <v>44</v>
      </c>
      <c r="C361" s="405" t="str">
        <f t="shared" si="41"/>
        <v>第002990号</v>
      </c>
      <c r="D361" s="405" t="str">
        <f t="shared" si="42"/>
        <v>（有）アカネ建設工業</v>
      </c>
      <c r="E361" s="405" t="str">
        <f t="shared" si="43"/>
        <v>代表取締役</v>
      </c>
      <c r="F361" s="405" t="str">
        <f t="shared" si="44"/>
        <v>金苗　弘年</v>
      </c>
      <c r="G361" s="405" t="str">
        <f t="shared" si="45"/>
        <v>主たる営業所</v>
      </c>
      <c r="H361" s="405" t="str">
        <f t="shared" si="46"/>
        <v>宇佐市大字上元重２５４－１３</v>
      </c>
      <c r="L361" s="403" t="s">
        <v>8258</v>
      </c>
      <c r="M361" s="403" t="s">
        <v>8259</v>
      </c>
      <c r="N361" s="403" t="s">
        <v>2076</v>
      </c>
      <c r="O361" s="403" t="s">
        <v>7084</v>
      </c>
      <c r="P361" s="403" t="s">
        <v>2077</v>
      </c>
      <c r="Q361" s="403" t="s">
        <v>8260</v>
      </c>
      <c r="R361" s="403" t="s">
        <v>18850</v>
      </c>
      <c r="S361" s="403" t="s">
        <v>14578</v>
      </c>
      <c r="T361" s="403" t="s">
        <v>14579</v>
      </c>
      <c r="U361" s="403"/>
      <c r="V361" s="403" t="s">
        <v>23024</v>
      </c>
      <c r="W361" s="403" t="s">
        <v>23024</v>
      </c>
      <c r="X361" s="403" t="s">
        <v>23024</v>
      </c>
      <c r="Y361" s="403" t="s">
        <v>23024</v>
      </c>
    </row>
    <row r="362" spans="1:25">
      <c r="A362" s="363">
        <f t="shared" si="47"/>
        <v>361</v>
      </c>
      <c r="B362" s="363" t="str">
        <f t="shared" si="40"/>
        <v>44</v>
      </c>
      <c r="C362" s="405" t="str">
        <f t="shared" si="41"/>
        <v>第002993号</v>
      </c>
      <c r="D362" s="405" t="str">
        <f t="shared" si="42"/>
        <v>（株）久綱産業</v>
      </c>
      <c r="E362" s="405" t="str">
        <f t="shared" si="43"/>
        <v>代表取締役</v>
      </c>
      <c r="F362" s="405" t="str">
        <f t="shared" si="44"/>
        <v>久綱　信一</v>
      </c>
      <c r="G362" s="405" t="str">
        <f t="shared" si="45"/>
        <v>主たる営業所</v>
      </c>
      <c r="H362" s="405" t="str">
        <f t="shared" si="46"/>
        <v>宇佐市院内町御沓６３０</v>
      </c>
      <c r="L362" s="403" t="s">
        <v>8261</v>
      </c>
      <c r="M362" s="403" t="s">
        <v>8262</v>
      </c>
      <c r="N362" s="403" t="s">
        <v>2078</v>
      </c>
      <c r="O362" s="403" t="s">
        <v>7084</v>
      </c>
      <c r="P362" s="403" t="s">
        <v>2079</v>
      </c>
      <c r="Q362" s="403" t="s">
        <v>8263</v>
      </c>
      <c r="R362" s="403" t="s">
        <v>5415</v>
      </c>
      <c r="S362" s="403" t="s">
        <v>14580</v>
      </c>
      <c r="T362" s="403" t="s">
        <v>14581</v>
      </c>
      <c r="U362" s="403"/>
      <c r="V362" s="403" t="s">
        <v>23024</v>
      </c>
      <c r="W362" s="403" t="s">
        <v>23024</v>
      </c>
      <c r="X362" s="403" t="s">
        <v>23024</v>
      </c>
      <c r="Y362" s="403" t="s">
        <v>23024</v>
      </c>
    </row>
    <row r="363" spans="1:25">
      <c r="A363" s="363">
        <f t="shared" si="47"/>
        <v>362</v>
      </c>
      <c r="B363" s="363" t="str">
        <f t="shared" si="40"/>
        <v>44</v>
      </c>
      <c r="C363" s="405" t="str">
        <f t="shared" si="41"/>
        <v>第003006号</v>
      </c>
      <c r="D363" s="405" t="str">
        <f t="shared" si="42"/>
        <v>（株）佐藤塗工</v>
      </c>
      <c r="E363" s="405" t="str">
        <f t="shared" si="43"/>
        <v>代表取締役</v>
      </c>
      <c r="F363" s="405" t="str">
        <f t="shared" si="44"/>
        <v>佐藤　佳郁</v>
      </c>
      <c r="G363" s="405" t="str">
        <f t="shared" si="45"/>
        <v>主たる営業所</v>
      </c>
      <c r="H363" s="405" t="str">
        <f t="shared" si="46"/>
        <v>大分市徳島１－１－１１</v>
      </c>
      <c r="L363" s="403" t="s">
        <v>8264</v>
      </c>
      <c r="M363" s="403" t="s">
        <v>8265</v>
      </c>
      <c r="N363" s="403" t="s">
        <v>2080</v>
      </c>
      <c r="O363" s="403" t="s">
        <v>7084</v>
      </c>
      <c r="P363" s="403" t="s">
        <v>2081</v>
      </c>
      <c r="Q363" s="403" t="s">
        <v>7515</v>
      </c>
      <c r="R363" s="403" t="s">
        <v>18851</v>
      </c>
      <c r="S363" s="403" t="s">
        <v>14582</v>
      </c>
      <c r="T363" s="403" t="s">
        <v>14583</v>
      </c>
      <c r="U363" s="403"/>
      <c r="V363" s="403" t="s">
        <v>23024</v>
      </c>
      <c r="W363" s="403" t="s">
        <v>23024</v>
      </c>
      <c r="X363" s="403" t="s">
        <v>23024</v>
      </c>
      <c r="Y363" s="403" t="s">
        <v>23024</v>
      </c>
    </row>
    <row r="364" spans="1:25">
      <c r="A364" s="363">
        <f t="shared" si="47"/>
        <v>363</v>
      </c>
      <c r="B364" s="363" t="str">
        <f t="shared" si="40"/>
        <v>44</v>
      </c>
      <c r="C364" s="405" t="str">
        <f t="shared" si="41"/>
        <v>第003027号</v>
      </c>
      <c r="D364" s="405" t="str">
        <f t="shared" si="42"/>
        <v>（株）安達化工機</v>
      </c>
      <c r="E364" s="405" t="str">
        <f t="shared" si="43"/>
        <v>代表取締役</v>
      </c>
      <c r="F364" s="405" t="str">
        <f t="shared" si="44"/>
        <v>安達　葉史</v>
      </c>
      <c r="G364" s="405" t="str">
        <f t="shared" si="45"/>
        <v>主たる営業所</v>
      </c>
      <c r="H364" s="405" t="str">
        <f t="shared" si="46"/>
        <v>大分市大字種具字台の上１３１６－１</v>
      </c>
      <c r="L364" s="403" t="s">
        <v>8266</v>
      </c>
      <c r="M364" s="403" t="s">
        <v>8267</v>
      </c>
      <c r="N364" s="403" t="s">
        <v>2082</v>
      </c>
      <c r="O364" s="403" t="s">
        <v>7084</v>
      </c>
      <c r="P364" s="403" t="s">
        <v>2083</v>
      </c>
      <c r="Q364" s="403" t="s">
        <v>8268</v>
      </c>
      <c r="R364" s="403" t="s">
        <v>18852</v>
      </c>
      <c r="S364" s="403" t="s">
        <v>14584</v>
      </c>
      <c r="T364" s="403" t="s">
        <v>14585</v>
      </c>
      <c r="U364" s="403"/>
      <c r="V364" s="403" t="s">
        <v>23024</v>
      </c>
      <c r="W364" s="403" t="s">
        <v>23024</v>
      </c>
      <c r="X364" s="403" t="s">
        <v>23024</v>
      </c>
      <c r="Y364" s="403" t="s">
        <v>23024</v>
      </c>
    </row>
    <row r="365" spans="1:25">
      <c r="A365" s="363">
        <f t="shared" si="47"/>
        <v>364</v>
      </c>
      <c r="B365" s="363" t="str">
        <f t="shared" si="40"/>
        <v>44</v>
      </c>
      <c r="C365" s="405" t="str">
        <f t="shared" si="41"/>
        <v>第003052号</v>
      </c>
      <c r="D365" s="405" t="str">
        <f t="shared" si="42"/>
        <v>後藤体器（株）</v>
      </c>
      <c r="E365" s="405" t="str">
        <f t="shared" si="43"/>
        <v>代表取締役</v>
      </c>
      <c r="F365" s="405" t="str">
        <f t="shared" si="44"/>
        <v>後藤　芳正</v>
      </c>
      <c r="G365" s="405" t="str">
        <f t="shared" si="45"/>
        <v>主たる営業所</v>
      </c>
      <c r="H365" s="405" t="str">
        <f t="shared" si="46"/>
        <v>大分市角子南１－２－１８</v>
      </c>
      <c r="L365" s="403" t="s">
        <v>8269</v>
      </c>
      <c r="M365" s="403" t="s">
        <v>8270</v>
      </c>
      <c r="N365" s="403" t="s">
        <v>2084</v>
      </c>
      <c r="O365" s="403" t="s">
        <v>7084</v>
      </c>
      <c r="P365" s="403" t="s">
        <v>2085</v>
      </c>
      <c r="Q365" s="403" t="s">
        <v>8271</v>
      </c>
      <c r="R365" s="403" t="s">
        <v>18853</v>
      </c>
      <c r="S365" s="403" t="s">
        <v>14586</v>
      </c>
      <c r="T365" s="403" t="s">
        <v>14587</v>
      </c>
      <c r="U365" s="403"/>
      <c r="V365" s="403" t="s">
        <v>23024</v>
      </c>
      <c r="W365" s="403" t="s">
        <v>23024</v>
      </c>
      <c r="X365" s="403" t="s">
        <v>23024</v>
      </c>
      <c r="Y365" s="403" t="s">
        <v>23024</v>
      </c>
    </row>
    <row r="366" spans="1:25">
      <c r="A366" s="363">
        <f t="shared" si="47"/>
        <v>365</v>
      </c>
      <c r="B366" s="363" t="str">
        <f t="shared" si="40"/>
        <v>44</v>
      </c>
      <c r="C366" s="405" t="str">
        <f t="shared" si="41"/>
        <v>第003078号</v>
      </c>
      <c r="D366" s="405" t="str">
        <f t="shared" si="42"/>
        <v>（有）真崎組</v>
      </c>
      <c r="E366" s="405" t="str">
        <f t="shared" si="43"/>
        <v>代表取締役</v>
      </c>
      <c r="F366" s="405" t="str">
        <f t="shared" si="44"/>
        <v>真崎　誠</v>
      </c>
      <c r="G366" s="405" t="str">
        <f t="shared" si="45"/>
        <v>主たる営業所</v>
      </c>
      <c r="H366" s="405" t="str">
        <f t="shared" si="46"/>
        <v>由布市湯布院町川南１８０－４</v>
      </c>
      <c r="L366" s="403" t="s">
        <v>8272</v>
      </c>
      <c r="M366" s="403" t="s">
        <v>8273</v>
      </c>
      <c r="N366" s="403" t="s">
        <v>5284</v>
      </c>
      <c r="O366" s="403" t="s">
        <v>7084</v>
      </c>
      <c r="P366" s="403" t="s">
        <v>5297</v>
      </c>
      <c r="Q366" s="403" t="s">
        <v>7452</v>
      </c>
      <c r="R366" s="403" t="s">
        <v>18854</v>
      </c>
      <c r="S366" s="403" t="s">
        <v>14588</v>
      </c>
      <c r="T366" s="403" t="s">
        <v>14589</v>
      </c>
      <c r="U366" s="403"/>
      <c r="V366" s="403" t="s">
        <v>23024</v>
      </c>
      <c r="W366" s="403" t="s">
        <v>23024</v>
      </c>
      <c r="X366" s="403" t="s">
        <v>23024</v>
      </c>
      <c r="Y366" s="403" t="s">
        <v>23024</v>
      </c>
    </row>
    <row r="367" spans="1:25">
      <c r="A367" s="363">
        <f t="shared" si="47"/>
        <v>366</v>
      </c>
      <c r="B367" s="363" t="str">
        <f t="shared" si="40"/>
        <v>44</v>
      </c>
      <c r="C367" s="405" t="str">
        <f t="shared" si="41"/>
        <v>第003105号</v>
      </c>
      <c r="D367" s="405" t="str">
        <f t="shared" si="42"/>
        <v>安部文化工業（株）</v>
      </c>
      <c r="E367" s="405" t="str">
        <f t="shared" si="43"/>
        <v>代表取締役</v>
      </c>
      <c r="F367" s="405" t="str">
        <f t="shared" si="44"/>
        <v>佐藤　卓二</v>
      </c>
      <c r="G367" s="405" t="str">
        <f t="shared" si="45"/>
        <v>主たる営業所</v>
      </c>
      <c r="H367" s="405" t="str">
        <f t="shared" si="46"/>
        <v>大分市花園２－２－１８</v>
      </c>
      <c r="L367" s="403" t="s">
        <v>8274</v>
      </c>
      <c r="M367" s="403" t="s">
        <v>8275</v>
      </c>
      <c r="N367" s="403" t="s">
        <v>2086</v>
      </c>
      <c r="O367" s="403" t="s">
        <v>7084</v>
      </c>
      <c r="P367" s="403" t="s">
        <v>2087</v>
      </c>
      <c r="Q367" s="403" t="s">
        <v>7428</v>
      </c>
      <c r="R367" s="403" t="s">
        <v>18855</v>
      </c>
      <c r="S367" s="403" t="s">
        <v>14590</v>
      </c>
      <c r="T367" s="403" t="s">
        <v>14591</v>
      </c>
      <c r="U367" s="403"/>
      <c r="V367" s="403" t="s">
        <v>23024</v>
      </c>
      <c r="W367" s="403" t="s">
        <v>23024</v>
      </c>
      <c r="X367" s="403" t="s">
        <v>23024</v>
      </c>
      <c r="Y367" s="403" t="s">
        <v>23024</v>
      </c>
    </row>
    <row r="368" spans="1:25">
      <c r="A368" s="363">
        <f t="shared" si="47"/>
        <v>367</v>
      </c>
      <c r="B368" s="363" t="str">
        <f t="shared" si="40"/>
        <v>44</v>
      </c>
      <c r="C368" s="405" t="str">
        <f t="shared" si="41"/>
        <v>第003110号</v>
      </c>
      <c r="D368" s="405" t="str">
        <f t="shared" si="42"/>
        <v>扶桑工業（株）</v>
      </c>
      <c r="E368" s="405" t="str">
        <f t="shared" si="43"/>
        <v>代表取締役</v>
      </c>
      <c r="F368" s="405" t="str">
        <f t="shared" si="44"/>
        <v>龍泉寺　寿隆</v>
      </c>
      <c r="G368" s="405" t="str">
        <f t="shared" si="45"/>
        <v>主たる営業所</v>
      </c>
      <c r="H368" s="405" t="str">
        <f t="shared" si="46"/>
        <v>大分市高城本町５－３１</v>
      </c>
      <c r="L368" s="403" t="s">
        <v>8276</v>
      </c>
      <c r="M368" s="403" t="s">
        <v>8277</v>
      </c>
      <c r="N368" s="403" t="s">
        <v>2088</v>
      </c>
      <c r="O368" s="403" t="s">
        <v>7084</v>
      </c>
      <c r="P368" s="403" t="s">
        <v>18856</v>
      </c>
      <c r="Q368" s="403" t="s">
        <v>8278</v>
      </c>
      <c r="R368" s="403" t="s">
        <v>18857</v>
      </c>
      <c r="S368" s="403" t="s">
        <v>14592</v>
      </c>
      <c r="T368" s="403" t="s">
        <v>14593</v>
      </c>
      <c r="U368" s="403"/>
      <c r="V368" s="403" t="s">
        <v>23024</v>
      </c>
      <c r="W368" s="403" t="s">
        <v>23024</v>
      </c>
      <c r="X368" s="403" t="s">
        <v>23024</v>
      </c>
      <c r="Y368" s="403" t="s">
        <v>23024</v>
      </c>
    </row>
    <row r="369" spans="1:25">
      <c r="A369" s="363">
        <f t="shared" si="47"/>
        <v>368</v>
      </c>
      <c r="B369" s="363" t="str">
        <f t="shared" si="40"/>
        <v>44</v>
      </c>
      <c r="C369" s="405" t="str">
        <f t="shared" si="41"/>
        <v>第003140号</v>
      </c>
      <c r="D369" s="405" t="str">
        <f t="shared" si="42"/>
        <v>（株）三起電通</v>
      </c>
      <c r="E369" s="405" t="str">
        <f t="shared" si="43"/>
        <v>代表取締役</v>
      </c>
      <c r="F369" s="405" t="str">
        <f t="shared" si="44"/>
        <v>柴尾　英樹</v>
      </c>
      <c r="G369" s="405" t="str">
        <f t="shared" si="45"/>
        <v>主たる営業所</v>
      </c>
      <c r="H369" s="405" t="str">
        <f t="shared" si="46"/>
        <v>大分市原新町３－７</v>
      </c>
      <c r="L369" s="403" t="s">
        <v>8279</v>
      </c>
      <c r="M369" s="403" t="s">
        <v>8280</v>
      </c>
      <c r="N369" s="403" t="s">
        <v>2089</v>
      </c>
      <c r="O369" s="403" t="s">
        <v>7084</v>
      </c>
      <c r="P369" s="403" t="s">
        <v>2090</v>
      </c>
      <c r="Q369" s="403" t="s">
        <v>7582</v>
      </c>
      <c r="R369" s="403" t="s">
        <v>18858</v>
      </c>
      <c r="S369" s="403" t="s">
        <v>14594</v>
      </c>
      <c r="T369" s="403" t="s">
        <v>14595</v>
      </c>
      <c r="U369" s="403"/>
      <c r="V369" s="403" t="s">
        <v>23024</v>
      </c>
      <c r="W369" s="403" t="s">
        <v>23024</v>
      </c>
      <c r="X369" s="403" t="s">
        <v>23024</v>
      </c>
      <c r="Y369" s="403" t="s">
        <v>23024</v>
      </c>
    </row>
    <row r="370" spans="1:25">
      <c r="A370" s="363">
        <f t="shared" si="47"/>
        <v>369</v>
      </c>
      <c r="B370" s="363" t="str">
        <f t="shared" si="40"/>
        <v>44</v>
      </c>
      <c r="C370" s="405" t="str">
        <f t="shared" si="41"/>
        <v>第003141号</v>
      </c>
      <c r="D370" s="405" t="str">
        <f t="shared" si="42"/>
        <v>（株）ＳＫｐｌｕｓ</v>
      </c>
      <c r="E370" s="405" t="str">
        <f t="shared" si="43"/>
        <v>代表取締役</v>
      </c>
      <c r="F370" s="405" t="str">
        <f t="shared" si="44"/>
        <v>幸松　美鈴</v>
      </c>
      <c r="G370" s="405" t="str">
        <f t="shared" si="45"/>
        <v>主たる営業所</v>
      </c>
      <c r="H370" s="405" t="str">
        <f t="shared" si="46"/>
        <v>大分市光吉新町４－９－３</v>
      </c>
      <c r="L370" s="403" t="s">
        <v>8281</v>
      </c>
      <c r="M370" s="403" t="s">
        <v>8282</v>
      </c>
      <c r="N370" s="403" t="s">
        <v>2091</v>
      </c>
      <c r="O370" s="403" t="s">
        <v>7084</v>
      </c>
      <c r="P370" s="403" t="s">
        <v>2092</v>
      </c>
      <c r="Q370" s="403" t="s">
        <v>18859</v>
      </c>
      <c r="R370" s="403" t="s">
        <v>18860</v>
      </c>
      <c r="S370" s="403" t="s">
        <v>14596</v>
      </c>
      <c r="T370" s="403" t="s">
        <v>18861</v>
      </c>
      <c r="U370" s="403"/>
      <c r="V370" s="403" t="s">
        <v>23024</v>
      </c>
      <c r="W370" s="403" t="s">
        <v>23024</v>
      </c>
      <c r="X370" s="403" t="s">
        <v>23024</v>
      </c>
      <c r="Y370" s="403" t="s">
        <v>23024</v>
      </c>
    </row>
    <row r="371" spans="1:25">
      <c r="A371" s="363">
        <f t="shared" si="47"/>
        <v>370</v>
      </c>
      <c r="B371" s="363" t="str">
        <f t="shared" si="40"/>
        <v>44</v>
      </c>
      <c r="C371" s="405" t="str">
        <f t="shared" si="41"/>
        <v>第003146号</v>
      </c>
      <c r="D371" s="405" t="str">
        <f t="shared" si="42"/>
        <v>（株）山南工業</v>
      </c>
      <c r="E371" s="405" t="str">
        <f t="shared" si="43"/>
        <v>代表取締役</v>
      </c>
      <c r="F371" s="405" t="str">
        <f t="shared" si="44"/>
        <v>山南　眞一</v>
      </c>
      <c r="G371" s="405" t="str">
        <f t="shared" si="45"/>
        <v>主たる営業所</v>
      </c>
      <c r="H371" s="405" t="str">
        <f t="shared" si="46"/>
        <v>大分市三川新町１－３－４５</v>
      </c>
      <c r="L371" s="403" t="s">
        <v>8284</v>
      </c>
      <c r="M371" s="403" t="s">
        <v>8285</v>
      </c>
      <c r="N371" s="403" t="s">
        <v>2093</v>
      </c>
      <c r="O371" s="403" t="s">
        <v>7084</v>
      </c>
      <c r="P371" s="403" t="s">
        <v>2094</v>
      </c>
      <c r="Q371" s="403" t="s">
        <v>8286</v>
      </c>
      <c r="R371" s="403" t="s">
        <v>18862</v>
      </c>
      <c r="S371" s="403" t="s">
        <v>14598</v>
      </c>
      <c r="T371" s="403" t="s">
        <v>14599</v>
      </c>
      <c r="U371" s="403"/>
      <c r="V371" s="403" t="s">
        <v>23024</v>
      </c>
      <c r="W371" s="403" t="s">
        <v>23024</v>
      </c>
      <c r="X371" s="403" t="s">
        <v>23024</v>
      </c>
      <c r="Y371" s="403" t="s">
        <v>23024</v>
      </c>
    </row>
    <row r="372" spans="1:25">
      <c r="A372" s="363">
        <f t="shared" si="47"/>
        <v>371</v>
      </c>
      <c r="B372" s="363" t="str">
        <f t="shared" si="40"/>
        <v>44</v>
      </c>
      <c r="C372" s="405" t="str">
        <f t="shared" si="41"/>
        <v>第003162号</v>
      </c>
      <c r="D372" s="405" t="str">
        <f t="shared" si="42"/>
        <v>（株）ユーエイ</v>
      </c>
      <c r="E372" s="405" t="str">
        <f t="shared" si="43"/>
        <v>代表取締役</v>
      </c>
      <c r="F372" s="405" t="str">
        <f t="shared" si="44"/>
        <v>濱崎　光章</v>
      </c>
      <c r="G372" s="405" t="str">
        <f t="shared" si="45"/>
        <v>主たる営業所</v>
      </c>
      <c r="H372" s="405" t="str">
        <f t="shared" si="46"/>
        <v>大分市大字羽田７８８－１</v>
      </c>
      <c r="L372" s="403" t="s">
        <v>8287</v>
      </c>
      <c r="M372" s="403" t="s">
        <v>8288</v>
      </c>
      <c r="N372" s="403" t="s">
        <v>2095</v>
      </c>
      <c r="O372" s="403" t="s">
        <v>7084</v>
      </c>
      <c r="P372" s="403" t="s">
        <v>5298</v>
      </c>
      <c r="Q372" s="403" t="s">
        <v>8289</v>
      </c>
      <c r="R372" s="403" t="s">
        <v>18863</v>
      </c>
      <c r="S372" s="403" t="s">
        <v>14600</v>
      </c>
      <c r="T372" s="403" t="s">
        <v>14601</v>
      </c>
      <c r="U372" s="403"/>
      <c r="V372" s="403" t="s">
        <v>23024</v>
      </c>
      <c r="W372" s="403" t="s">
        <v>23024</v>
      </c>
      <c r="X372" s="403" t="s">
        <v>23024</v>
      </c>
      <c r="Y372" s="403" t="s">
        <v>23024</v>
      </c>
    </row>
    <row r="373" spans="1:25">
      <c r="A373" s="363">
        <f t="shared" si="47"/>
        <v>372</v>
      </c>
      <c r="B373" s="363" t="str">
        <f t="shared" si="40"/>
        <v>44</v>
      </c>
      <c r="C373" s="405" t="str">
        <f t="shared" si="41"/>
        <v>第003216号</v>
      </c>
      <c r="D373" s="405" t="str">
        <f t="shared" si="42"/>
        <v>（有）寺司工業</v>
      </c>
      <c r="E373" s="405" t="str">
        <f t="shared" si="43"/>
        <v>代表取締役</v>
      </c>
      <c r="F373" s="405" t="str">
        <f t="shared" si="44"/>
        <v>大野　あかね</v>
      </c>
      <c r="G373" s="405" t="str">
        <f t="shared" si="45"/>
        <v>主たる営業所</v>
      </c>
      <c r="H373" s="405" t="str">
        <f t="shared" si="46"/>
        <v>大分市大字城原４２－１</v>
      </c>
      <c r="L373" s="403" t="s">
        <v>8290</v>
      </c>
      <c r="M373" s="403" t="s">
        <v>8291</v>
      </c>
      <c r="N373" s="403" t="s">
        <v>2096</v>
      </c>
      <c r="O373" s="403" t="s">
        <v>7084</v>
      </c>
      <c r="P373" s="403" t="s">
        <v>2097</v>
      </c>
      <c r="Q373" s="403" t="s">
        <v>8292</v>
      </c>
      <c r="R373" s="403" t="s">
        <v>18864</v>
      </c>
      <c r="S373" s="403" t="s">
        <v>14602</v>
      </c>
      <c r="T373" s="403" t="s">
        <v>14603</v>
      </c>
      <c r="U373" s="403"/>
      <c r="V373" s="403" t="s">
        <v>23024</v>
      </c>
      <c r="W373" s="403" t="s">
        <v>23024</v>
      </c>
      <c r="X373" s="403" t="s">
        <v>23024</v>
      </c>
      <c r="Y373" s="403" t="s">
        <v>23024</v>
      </c>
    </row>
    <row r="374" spans="1:25">
      <c r="A374" s="363">
        <f t="shared" si="47"/>
        <v>373</v>
      </c>
      <c r="B374" s="363" t="str">
        <f t="shared" si="40"/>
        <v>44</v>
      </c>
      <c r="C374" s="405" t="str">
        <f t="shared" si="41"/>
        <v>第003224号</v>
      </c>
      <c r="D374" s="405" t="str">
        <f t="shared" si="42"/>
        <v>旭計装（株）</v>
      </c>
      <c r="E374" s="405" t="str">
        <f t="shared" si="43"/>
        <v>代表取締役</v>
      </c>
      <c r="F374" s="405" t="str">
        <f t="shared" si="44"/>
        <v>楢木　皓也</v>
      </c>
      <c r="G374" s="405" t="str">
        <f t="shared" si="45"/>
        <v>主たる営業所</v>
      </c>
      <c r="H374" s="405" t="str">
        <f t="shared" si="46"/>
        <v>大分市向原東１－６－７</v>
      </c>
      <c r="L374" s="403" t="s">
        <v>8293</v>
      </c>
      <c r="M374" s="403" t="s">
        <v>8294</v>
      </c>
      <c r="N374" s="403" t="s">
        <v>2098</v>
      </c>
      <c r="O374" s="403" t="s">
        <v>7084</v>
      </c>
      <c r="P374" s="403" t="s">
        <v>18865</v>
      </c>
      <c r="Q374" s="403" t="s">
        <v>7336</v>
      </c>
      <c r="R374" s="403" t="s">
        <v>18866</v>
      </c>
      <c r="S374" s="403" t="s">
        <v>14604</v>
      </c>
      <c r="T374" s="403" t="s">
        <v>14605</v>
      </c>
      <c r="U374" s="403"/>
      <c r="V374" s="403" t="s">
        <v>23024</v>
      </c>
      <c r="W374" s="403" t="s">
        <v>23024</v>
      </c>
      <c r="X374" s="403" t="s">
        <v>23024</v>
      </c>
      <c r="Y374" s="403" t="s">
        <v>23024</v>
      </c>
    </row>
    <row r="375" spans="1:25">
      <c r="A375" s="363">
        <f t="shared" si="47"/>
        <v>374</v>
      </c>
      <c r="B375" s="363" t="str">
        <f t="shared" si="40"/>
        <v>44</v>
      </c>
      <c r="C375" s="405" t="str">
        <f t="shared" si="41"/>
        <v>第003227号</v>
      </c>
      <c r="D375" s="405" t="str">
        <f t="shared" si="42"/>
        <v>大熊電設（株）</v>
      </c>
      <c r="E375" s="405" t="str">
        <f t="shared" si="43"/>
        <v>代表取締役</v>
      </c>
      <c r="F375" s="405" t="str">
        <f t="shared" si="44"/>
        <v>立花　学</v>
      </c>
      <c r="G375" s="405" t="str">
        <f t="shared" si="45"/>
        <v>主たる営業所</v>
      </c>
      <c r="H375" s="405" t="str">
        <f t="shared" si="46"/>
        <v>大分市大字光吉字ヲサテ４５６－２</v>
      </c>
      <c r="L375" s="403" t="s">
        <v>8295</v>
      </c>
      <c r="M375" s="403" t="s">
        <v>8296</v>
      </c>
      <c r="N375" s="403" t="s">
        <v>2099</v>
      </c>
      <c r="O375" s="403" t="s">
        <v>7084</v>
      </c>
      <c r="P375" s="403" t="s">
        <v>2100</v>
      </c>
      <c r="Q375" s="403" t="s">
        <v>8297</v>
      </c>
      <c r="R375" s="403" t="s">
        <v>18867</v>
      </c>
      <c r="S375" s="403" t="s">
        <v>14606</v>
      </c>
      <c r="T375" s="403" t="s">
        <v>14607</v>
      </c>
      <c r="U375" s="403"/>
      <c r="V375" s="403" t="s">
        <v>23024</v>
      </c>
      <c r="W375" s="403" t="s">
        <v>23024</v>
      </c>
      <c r="X375" s="403" t="s">
        <v>23024</v>
      </c>
      <c r="Y375" s="403" t="s">
        <v>23024</v>
      </c>
    </row>
    <row r="376" spans="1:25">
      <c r="A376" s="363">
        <f t="shared" si="47"/>
        <v>375</v>
      </c>
      <c r="B376" s="363" t="str">
        <f t="shared" si="40"/>
        <v>44</v>
      </c>
      <c r="C376" s="405" t="str">
        <f t="shared" si="41"/>
        <v>第003239号</v>
      </c>
      <c r="D376" s="405" t="str">
        <f t="shared" si="42"/>
        <v>大栄建設工業（株）</v>
      </c>
      <c r="E376" s="405" t="str">
        <f t="shared" si="43"/>
        <v>代表取締役</v>
      </c>
      <c r="F376" s="405" t="str">
        <f t="shared" si="44"/>
        <v>谷崎　昇</v>
      </c>
      <c r="G376" s="405" t="str">
        <f t="shared" si="45"/>
        <v>主たる営業所</v>
      </c>
      <c r="H376" s="405" t="str">
        <f t="shared" si="46"/>
        <v>大分市大字廻栖野２１９５</v>
      </c>
      <c r="L376" s="403" t="s">
        <v>8298</v>
      </c>
      <c r="M376" s="403" t="s">
        <v>8299</v>
      </c>
      <c r="N376" s="403" t="s">
        <v>2101</v>
      </c>
      <c r="O376" s="403" t="s">
        <v>7084</v>
      </c>
      <c r="P376" s="403" t="s">
        <v>5299</v>
      </c>
      <c r="Q376" s="403" t="s">
        <v>8300</v>
      </c>
      <c r="R376" s="403" t="s">
        <v>5416</v>
      </c>
      <c r="S376" s="403" t="s">
        <v>14608</v>
      </c>
      <c r="T376" s="403" t="s">
        <v>14609</v>
      </c>
      <c r="U376" s="403"/>
      <c r="V376" s="403" t="s">
        <v>23024</v>
      </c>
      <c r="W376" s="403" t="s">
        <v>23024</v>
      </c>
      <c r="X376" s="403" t="s">
        <v>23024</v>
      </c>
      <c r="Y376" s="403" t="s">
        <v>23024</v>
      </c>
    </row>
    <row r="377" spans="1:25">
      <c r="A377" s="363">
        <f t="shared" si="47"/>
        <v>376</v>
      </c>
      <c r="B377" s="363" t="str">
        <f t="shared" si="40"/>
        <v>44</v>
      </c>
      <c r="C377" s="405" t="str">
        <f t="shared" si="41"/>
        <v>第003298号</v>
      </c>
      <c r="D377" s="405" t="str">
        <f t="shared" si="42"/>
        <v>（株）温水器産業</v>
      </c>
      <c r="E377" s="405" t="str">
        <f t="shared" si="43"/>
        <v>代表取締役</v>
      </c>
      <c r="F377" s="405" t="str">
        <f t="shared" si="44"/>
        <v>和田　英樹</v>
      </c>
      <c r="G377" s="405" t="str">
        <f t="shared" si="45"/>
        <v>主たる営業所</v>
      </c>
      <c r="H377" s="405" t="str">
        <f t="shared" si="46"/>
        <v>大分市賀来北１－１６－１３</v>
      </c>
      <c r="L377" s="403" t="s">
        <v>8301</v>
      </c>
      <c r="M377" s="403" t="s">
        <v>8302</v>
      </c>
      <c r="N377" s="403" t="s">
        <v>2102</v>
      </c>
      <c r="O377" s="403" t="s">
        <v>7084</v>
      </c>
      <c r="P377" s="403" t="s">
        <v>2103</v>
      </c>
      <c r="Q377" s="403" t="s">
        <v>8303</v>
      </c>
      <c r="R377" s="403" t="s">
        <v>18868</v>
      </c>
      <c r="S377" s="403" t="s">
        <v>14610</v>
      </c>
      <c r="T377" s="403" t="s">
        <v>14611</v>
      </c>
      <c r="U377" s="403"/>
      <c r="V377" s="403" t="s">
        <v>23024</v>
      </c>
      <c r="W377" s="403" t="s">
        <v>23024</v>
      </c>
      <c r="X377" s="403" t="s">
        <v>23024</v>
      </c>
      <c r="Y377" s="403" t="s">
        <v>23024</v>
      </c>
    </row>
    <row r="378" spans="1:25">
      <c r="A378" s="363">
        <f t="shared" si="47"/>
        <v>377</v>
      </c>
      <c r="B378" s="363" t="str">
        <f t="shared" si="40"/>
        <v>44</v>
      </c>
      <c r="C378" s="405" t="str">
        <f t="shared" si="41"/>
        <v>第003300号</v>
      </c>
      <c r="D378" s="405" t="str">
        <f t="shared" si="42"/>
        <v>大分サンダイン（株）</v>
      </c>
      <c r="E378" s="405" t="str">
        <f t="shared" si="43"/>
        <v>代表取締役</v>
      </c>
      <c r="F378" s="405" t="str">
        <f t="shared" si="44"/>
        <v>伊東　聡</v>
      </c>
      <c r="G378" s="405" t="str">
        <f t="shared" si="45"/>
        <v>主たる営業所</v>
      </c>
      <c r="H378" s="405" t="str">
        <f t="shared" si="46"/>
        <v>大分市森町西１－１－２３</v>
      </c>
      <c r="L378" s="403" t="s">
        <v>8304</v>
      </c>
      <c r="M378" s="403" t="s">
        <v>8305</v>
      </c>
      <c r="N378" s="403" t="s">
        <v>2104</v>
      </c>
      <c r="O378" s="403" t="s">
        <v>7084</v>
      </c>
      <c r="P378" s="403" t="s">
        <v>2105</v>
      </c>
      <c r="Q378" s="403" t="s">
        <v>8306</v>
      </c>
      <c r="R378" s="403" t="s">
        <v>18869</v>
      </c>
      <c r="S378" s="403" t="s">
        <v>14612</v>
      </c>
      <c r="T378" s="403" t="s">
        <v>14613</v>
      </c>
      <c r="U378" s="403"/>
      <c r="V378" s="403" t="s">
        <v>23024</v>
      </c>
      <c r="W378" s="403" t="s">
        <v>23024</v>
      </c>
      <c r="X378" s="403" t="s">
        <v>23024</v>
      </c>
      <c r="Y378" s="403" t="s">
        <v>23024</v>
      </c>
    </row>
    <row r="379" spans="1:25">
      <c r="A379" s="363">
        <f t="shared" si="47"/>
        <v>378</v>
      </c>
      <c r="B379" s="363" t="str">
        <f t="shared" si="40"/>
        <v>44</v>
      </c>
      <c r="C379" s="405" t="str">
        <f t="shared" si="41"/>
        <v>第003309号</v>
      </c>
      <c r="D379" s="405" t="str">
        <f t="shared" si="42"/>
        <v>（株）日建工業</v>
      </c>
      <c r="E379" s="405" t="str">
        <f t="shared" si="43"/>
        <v>代表取締役</v>
      </c>
      <c r="F379" s="405" t="str">
        <f t="shared" si="44"/>
        <v>小野　禎章</v>
      </c>
      <c r="G379" s="405" t="str">
        <f t="shared" si="45"/>
        <v>主たる営業所</v>
      </c>
      <c r="H379" s="405" t="str">
        <f t="shared" si="46"/>
        <v>大分市大字東上野２５６５－２</v>
      </c>
      <c r="L379" s="404" t="s">
        <v>8307</v>
      </c>
      <c r="M379" s="404" t="s">
        <v>8308</v>
      </c>
      <c r="N379" s="404" t="s">
        <v>2106</v>
      </c>
      <c r="O379" s="404" t="s">
        <v>7084</v>
      </c>
      <c r="P379" s="404" t="s">
        <v>5300</v>
      </c>
      <c r="Q379" s="404" t="s">
        <v>8309</v>
      </c>
      <c r="R379" s="404" t="s">
        <v>18870</v>
      </c>
      <c r="S379" s="404" t="s">
        <v>14614</v>
      </c>
      <c r="T379" s="404" t="s">
        <v>14615</v>
      </c>
      <c r="U379" s="404"/>
      <c r="V379" s="404" t="s">
        <v>23024</v>
      </c>
      <c r="W379" s="404" t="s">
        <v>23024</v>
      </c>
      <c r="X379" s="404" t="s">
        <v>23024</v>
      </c>
      <c r="Y379" s="404" t="s">
        <v>23024</v>
      </c>
    </row>
    <row r="380" spans="1:25">
      <c r="A380" s="363">
        <f t="shared" si="47"/>
        <v>379</v>
      </c>
      <c r="B380" s="363" t="str">
        <f t="shared" si="40"/>
        <v>44</v>
      </c>
      <c r="C380" s="405" t="str">
        <f t="shared" si="41"/>
        <v>第003312号</v>
      </c>
      <c r="D380" s="405" t="str">
        <f t="shared" si="42"/>
        <v>（株）小野設備工業</v>
      </c>
      <c r="E380" s="405" t="str">
        <f t="shared" si="43"/>
        <v>代表取締役</v>
      </c>
      <c r="F380" s="405" t="str">
        <f t="shared" si="44"/>
        <v>小野　剛</v>
      </c>
      <c r="G380" s="405" t="str">
        <f t="shared" si="45"/>
        <v>主たる営業所</v>
      </c>
      <c r="H380" s="405" t="str">
        <f t="shared" si="46"/>
        <v>大分市大字金谷迫６３４</v>
      </c>
      <c r="L380" s="402" t="s">
        <v>8310</v>
      </c>
      <c r="M380" s="402" t="s">
        <v>8311</v>
      </c>
      <c r="N380" s="402" t="s">
        <v>2107</v>
      </c>
      <c r="O380" s="402" t="s">
        <v>7084</v>
      </c>
      <c r="P380" s="402" t="s">
        <v>2108</v>
      </c>
      <c r="Q380" s="402" t="s">
        <v>8312</v>
      </c>
      <c r="R380" s="402" t="s">
        <v>5417</v>
      </c>
      <c r="S380" s="402" t="s">
        <v>14616</v>
      </c>
      <c r="T380" s="402" t="s">
        <v>14617</v>
      </c>
      <c r="U380" s="402"/>
      <c r="V380" s="402" t="s">
        <v>23024</v>
      </c>
      <c r="W380" s="402" t="s">
        <v>23024</v>
      </c>
      <c r="X380" s="402" t="s">
        <v>23024</v>
      </c>
      <c r="Y380" s="402" t="s">
        <v>23024</v>
      </c>
    </row>
    <row r="381" spans="1:25">
      <c r="A381" s="363">
        <f t="shared" si="47"/>
        <v>380</v>
      </c>
      <c r="B381" s="363" t="str">
        <f t="shared" si="40"/>
        <v>44</v>
      </c>
      <c r="C381" s="405" t="str">
        <f t="shared" si="41"/>
        <v>第003322号</v>
      </c>
      <c r="D381" s="405" t="str">
        <f t="shared" si="42"/>
        <v>東九州電設（株）</v>
      </c>
      <c r="E381" s="405" t="str">
        <f t="shared" si="43"/>
        <v>代表取締役</v>
      </c>
      <c r="F381" s="405" t="str">
        <f t="shared" si="44"/>
        <v>木村　誠</v>
      </c>
      <c r="G381" s="405" t="str">
        <f t="shared" si="45"/>
        <v>主たる営業所</v>
      </c>
      <c r="H381" s="405" t="str">
        <f t="shared" si="46"/>
        <v>大分市向原東１－１０－１２</v>
      </c>
      <c r="L381" s="403" t="s">
        <v>8313</v>
      </c>
      <c r="M381" s="403" t="s">
        <v>8314</v>
      </c>
      <c r="N381" s="403" t="s">
        <v>2109</v>
      </c>
      <c r="O381" s="403" t="s">
        <v>7084</v>
      </c>
      <c r="P381" s="403" t="s">
        <v>2110</v>
      </c>
      <c r="Q381" s="403" t="s">
        <v>7336</v>
      </c>
      <c r="R381" s="403" t="s">
        <v>18871</v>
      </c>
      <c r="S381" s="403" t="s">
        <v>14618</v>
      </c>
      <c r="T381" s="403" t="s">
        <v>14619</v>
      </c>
      <c r="U381" s="403"/>
      <c r="V381" s="403" t="s">
        <v>23024</v>
      </c>
      <c r="W381" s="403" t="s">
        <v>23024</v>
      </c>
      <c r="X381" s="403" t="s">
        <v>23024</v>
      </c>
      <c r="Y381" s="403" t="s">
        <v>23024</v>
      </c>
    </row>
    <row r="382" spans="1:25">
      <c r="A382" s="363">
        <f t="shared" si="47"/>
        <v>381</v>
      </c>
      <c r="B382" s="363" t="str">
        <f t="shared" si="40"/>
        <v>44</v>
      </c>
      <c r="C382" s="405" t="str">
        <f t="shared" si="41"/>
        <v>第003335号</v>
      </c>
      <c r="D382" s="405" t="str">
        <f t="shared" si="42"/>
        <v>（有）三又建設工業</v>
      </c>
      <c r="E382" s="405" t="str">
        <f t="shared" si="43"/>
        <v>代表取締役</v>
      </c>
      <c r="F382" s="405" t="str">
        <f t="shared" si="44"/>
        <v>三又　和宏</v>
      </c>
      <c r="G382" s="405" t="str">
        <f t="shared" si="45"/>
        <v>主たる営業所</v>
      </c>
      <c r="H382" s="405" t="str">
        <f t="shared" si="46"/>
        <v>大分市大字賀来８３－１</v>
      </c>
      <c r="L382" s="403" t="s">
        <v>8315</v>
      </c>
      <c r="M382" s="403" t="s">
        <v>8316</v>
      </c>
      <c r="N382" s="403" t="s">
        <v>2111</v>
      </c>
      <c r="O382" s="403" t="s">
        <v>7084</v>
      </c>
      <c r="P382" s="403" t="s">
        <v>2112</v>
      </c>
      <c r="Q382" s="403" t="s">
        <v>9687</v>
      </c>
      <c r="R382" s="403" t="s">
        <v>18872</v>
      </c>
      <c r="S382" s="403" t="s">
        <v>14620</v>
      </c>
      <c r="T382" s="403" t="s">
        <v>14621</v>
      </c>
      <c r="U382" s="403"/>
      <c r="V382" s="403" t="s">
        <v>23024</v>
      </c>
      <c r="W382" s="403" t="s">
        <v>23024</v>
      </c>
      <c r="X382" s="403" t="s">
        <v>23024</v>
      </c>
      <c r="Y382" s="403" t="s">
        <v>23024</v>
      </c>
    </row>
    <row r="383" spans="1:25">
      <c r="A383" s="363">
        <f t="shared" si="47"/>
        <v>382</v>
      </c>
      <c r="B383" s="363" t="str">
        <f t="shared" si="40"/>
        <v>44</v>
      </c>
      <c r="C383" s="405" t="str">
        <f t="shared" si="41"/>
        <v>第003344号</v>
      </c>
      <c r="D383" s="405" t="str">
        <f t="shared" si="42"/>
        <v>（有）たきお水道</v>
      </c>
      <c r="E383" s="405" t="str">
        <f t="shared" si="43"/>
        <v>代表取締役</v>
      </c>
      <c r="F383" s="405" t="str">
        <f t="shared" si="44"/>
        <v>鶴田　敬</v>
      </c>
      <c r="G383" s="405" t="str">
        <f t="shared" si="45"/>
        <v>主たる営業所</v>
      </c>
      <c r="H383" s="405" t="str">
        <f t="shared" si="46"/>
        <v>大分市大字津守１２３５－１</v>
      </c>
      <c r="L383" s="403" t="s">
        <v>8317</v>
      </c>
      <c r="M383" s="403" t="s">
        <v>8318</v>
      </c>
      <c r="N383" s="403" t="s">
        <v>2113</v>
      </c>
      <c r="O383" s="403" t="s">
        <v>7084</v>
      </c>
      <c r="P383" s="403" t="s">
        <v>2114</v>
      </c>
      <c r="Q383" s="403" t="s">
        <v>7756</v>
      </c>
      <c r="R383" s="403" t="s">
        <v>18873</v>
      </c>
      <c r="S383" s="403" t="s">
        <v>14622</v>
      </c>
      <c r="T383" s="403" t="s">
        <v>14623</v>
      </c>
      <c r="U383" s="403"/>
      <c r="V383" s="403" t="s">
        <v>23024</v>
      </c>
      <c r="W383" s="403" t="s">
        <v>23024</v>
      </c>
      <c r="X383" s="403" t="s">
        <v>23024</v>
      </c>
      <c r="Y383" s="403" t="s">
        <v>23024</v>
      </c>
    </row>
    <row r="384" spans="1:25">
      <c r="A384" s="363">
        <f t="shared" si="47"/>
        <v>383</v>
      </c>
      <c r="B384" s="363" t="str">
        <f t="shared" si="40"/>
        <v>44</v>
      </c>
      <c r="C384" s="405" t="str">
        <f t="shared" si="41"/>
        <v>第003349号</v>
      </c>
      <c r="D384" s="405" t="str">
        <f t="shared" si="42"/>
        <v>（株）東九</v>
      </c>
      <c r="E384" s="405" t="str">
        <f t="shared" si="43"/>
        <v>代表取締役社長</v>
      </c>
      <c r="F384" s="405" t="str">
        <f t="shared" si="44"/>
        <v>安東　眞喜男</v>
      </c>
      <c r="G384" s="405" t="str">
        <f t="shared" si="45"/>
        <v>主たる営業所</v>
      </c>
      <c r="H384" s="405" t="str">
        <f t="shared" si="46"/>
        <v>大分市大字田尻４７－１</v>
      </c>
      <c r="L384" s="403" t="s">
        <v>8319</v>
      </c>
      <c r="M384" s="403" t="s">
        <v>8320</v>
      </c>
      <c r="N384" s="403" t="s">
        <v>2115</v>
      </c>
      <c r="O384" s="403" t="s">
        <v>7083</v>
      </c>
      <c r="P384" s="403" t="s">
        <v>2116</v>
      </c>
      <c r="Q384" s="403" t="s">
        <v>8321</v>
      </c>
      <c r="R384" s="403" t="s">
        <v>18874</v>
      </c>
      <c r="S384" s="403" t="s">
        <v>14624</v>
      </c>
      <c r="T384" s="403" t="s">
        <v>14625</v>
      </c>
      <c r="U384" s="403"/>
      <c r="V384" s="403" t="s">
        <v>23024</v>
      </c>
      <c r="W384" s="403" t="s">
        <v>23024</v>
      </c>
      <c r="X384" s="403" t="s">
        <v>23024</v>
      </c>
      <c r="Y384" s="403" t="s">
        <v>23024</v>
      </c>
    </row>
    <row r="385" spans="1:25">
      <c r="A385" s="363">
        <f t="shared" si="47"/>
        <v>384</v>
      </c>
      <c r="B385" s="363" t="str">
        <f t="shared" si="40"/>
        <v>44</v>
      </c>
      <c r="C385" s="405" t="str">
        <f t="shared" si="41"/>
        <v>第003350号</v>
      </c>
      <c r="D385" s="405" t="str">
        <f t="shared" si="42"/>
        <v>（有）システムフナイ</v>
      </c>
      <c r="E385" s="405" t="str">
        <f t="shared" si="43"/>
        <v>代表取締役</v>
      </c>
      <c r="F385" s="405" t="str">
        <f t="shared" si="44"/>
        <v>大仲　晴光</v>
      </c>
      <c r="G385" s="405" t="str">
        <f t="shared" si="45"/>
        <v>主たる営業所</v>
      </c>
      <c r="H385" s="405" t="str">
        <f t="shared" si="46"/>
        <v>大分市大字政所２８６０－１</v>
      </c>
      <c r="L385" s="403" t="s">
        <v>8322</v>
      </c>
      <c r="M385" s="403" t="s">
        <v>8323</v>
      </c>
      <c r="N385" s="403" t="s">
        <v>2117</v>
      </c>
      <c r="O385" s="403" t="s">
        <v>7084</v>
      </c>
      <c r="P385" s="403" t="s">
        <v>2118</v>
      </c>
      <c r="Q385" s="403" t="s">
        <v>8324</v>
      </c>
      <c r="R385" s="403" t="s">
        <v>18875</v>
      </c>
      <c r="S385" s="403" t="s">
        <v>14626</v>
      </c>
      <c r="T385" s="403" t="s">
        <v>14627</v>
      </c>
      <c r="U385" s="403"/>
      <c r="V385" s="403" t="s">
        <v>23024</v>
      </c>
      <c r="W385" s="403" t="s">
        <v>23024</v>
      </c>
      <c r="X385" s="403" t="s">
        <v>23024</v>
      </c>
      <c r="Y385" s="403" t="s">
        <v>23024</v>
      </c>
    </row>
    <row r="386" spans="1:25">
      <c r="A386" s="363">
        <f t="shared" si="47"/>
        <v>385</v>
      </c>
      <c r="B386" s="363" t="str">
        <f t="shared" ref="B386:B449" si="48">LEFT(L386,2)</f>
        <v>44</v>
      </c>
      <c r="C386" s="405" t="str">
        <f t="shared" ref="C386:C449" si="49">IF(B386="","","第"&amp;RIGHT(L386,6)&amp;"号")</f>
        <v>第003356号</v>
      </c>
      <c r="D386" s="405" t="str">
        <f t="shared" ref="D386:D449" si="50">N386</f>
        <v>（株）大分ワコー</v>
      </c>
      <c r="E386" s="405" t="str">
        <f t="shared" ref="E386:E449" si="51">IF(V386="　",O386,"")</f>
        <v>代表取締役社長</v>
      </c>
      <c r="F386" s="405" t="str">
        <f t="shared" ref="F386:F449" si="52">IF(V386="　",P386,W386)</f>
        <v>工藤　浩二</v>
      </c>
      <c r="G386" s="405" t="str">
        <f t="shared" ref="G386:G449" si="53">IF(V386="　","主たる営業所",V386)</f>
        <v>主たる営業所</v>
      </c>
      <c r="H386" s="405" t="str">
        <f t="shared" ref="H386:H449" si="54">IF(V386="　",R386,Y386)</f>
        <v>大分市花園１－８－１４</v>
      </c>
      <c r="L386" s="403" t="s">
        <v>8325</v>
      </c>
      <c r="M386" s="403" t="s">
        <v>8326</v>
      </c>
      <c r="N386" s="403" t="s">
        <v>2119</v>
      </c>
      <c r="O386" s="403" t="s">
        <v>7083</v>
      </c>
      <c r="P386" s="403" t="s">
        <v>2120</v>
      </c>
      <c r="Q386" s="403" t="s">
        <v>7428</v>
      </c>
      <c r="R386" s="403" t="s">
        <v>18876</v>
      </c>
      <c r="S386" s="403" t="s">
        <v>14628</v>
      </c>
      <c r="T386" s="403" t="s">
        <v>14629</v>
      </c>
      <c r="U386" s="403"/>
      <c r="V386" s="403" t="s">
        <v>23024</v>
      </c>
      <c r="W386" s="403" t="s">
        <v>23024</v>
      </c>
      <c r="X386" s="403" t="s">
        <v>23024</v>
      </c>
      <c r="Y386" s="403" t="s">
        <v>23024</v>
      </c>
    </row>
    <row r="387" spans="1:25">
      <c r="A387" s="363">
        <f t="shared" ref="A387:A450" si="55">IF(B387="","",A386+1)</f>
        <v>386</v>
      </c>
      <c r="B387" s="363" t="str">
        <f t="shared" si="48"/>
        <v>44</v>
      </c>
      <c r="C387" s="405" t="str">
        <f t="shared" si="49"/>
        <v>第003391号</v>
      </c>
      <c r="D387" s="405" t="str">
        <f t="shared" si="50"/>
        <v>（株）賀来設備</v>
      </c>
      <c r="E387" s="405" t="str">
        <f t="shared" si="51"/>
        <v>代表取締役</v>
      </c>
      <c r="F387" s="405" t="str">
        <f t="shared" si="52"/>
        <v>安部　正憲</v>
      </c>
      <c r="G387" s="405" t="str">
        <f t="shared" si="53"/>
        <v>主たる営業所</v>
      </c>
      <c r="H387" s="405" t="str">
        <f t="shared" si="54"/>
        <v>大分市大字中尾８６４</v>
      </c>
      <c r="L387" s="403" t="s">
        <v>8327</v>
      </c>
      <c r="M387" s="403" t="s">
        <v>8328</v>
      </c>
      <c r="N387" s="403" t="s">
        <v>2121</v>
      </c>
      <c r="O387" s="403" t="s">
        <v>7084</v>
      </c>
      <c r="P387" s="403" t="s">
        <v>2122</v>
      </c>
      <c r="Q387" s="403" t="s">
        <v>8329</v>
      </c>
      <c r="R387" s="403" t="s">
        <v>5418</v>
      </c>
      <c r="S387" s="403" t="s">
        <v>14630</v>
      </c>
      <c r="T387" s="403" t="s">
        <v>14631</v>
      </c>
      <c r="U387" s="403"/>
      <c r="V387" s="403" t="s">
        <v>23024</v>
      </c>
      <c r="W387" s="403" t="s">
        <v>23024</v>
      </c>
      <c r="X387" s="403" t="s">
        <v>23024</v>
      </c>
      <c r="Y387" s="403" t="s">
        <v>23024</v>
      </c>
    </row>
    <row r="388" spans="1:25">
      <c r="A388" s="363">
        <f t="shared" si="55"/>
        <v>387</v>
      </c>
      <c r="B388" s="363" t="str">
        <f t="shared" si="48"/>
        <v>44</v>
      </c>
      <c r="C388" s="405" t="str">
        <f t="shared" si="49"/>
        <v>第003427号</v>
      </c>
      <c r="D388" s="405" t="str">
        <f t="shared" si="50"/>
        <v>小手川電業（株）</v>
      </c>
      <c r="E388" s="405" t="str">
        <f t="shared" si="51"/>
        <v>代表取締役</v>
      </c>
      <c r="F388" s="405" t="str">
        <f t="shared" si="52"/>
        <v>小手川　秀則</v>
      </c>
      <c r="G388" s="405" t="str">
        <f t="shared" si="53"/>
        <v>主たる営業所</v>
      </c>
      <c r="H388" s="405" t="str">
        <f t="shared" si="54"/>
        <v>大分市大字関園６５７</v>
      </c>
      <c r="L388" s="403" t="s">
        <v>8330</v>
      </c>
      <c r="M388" s="403" t="s">
        <v>8331</v>
      </c>
      <c r="N388" s="403" t="s">
        <v>2123</v>
      </c>
      <c r="O388" s="403" t="s">
        <v>7084</v>
      </c>
      <c r="P388" s="403" t="s">
        <v>2124</v>
      </c>
      <c r="Q388" s="403" t="s">
        <v>8332</v>
      </c>
      <c r="R388" s="403" t="s">
        <v>5419</v>
      </c>
      <c r="S388" s="403" t="s">
        <v>14632</v>
      </c>
      <c r="T388" s="403" t="s">
        <v>14633</v>
      </c>
      <c r="U388" s="403"/>
      <c r="V388" s="403" t="s">
        <v>23024</v>
      </c>
      <c r="W388" s="403" t="s">
        <v>23024</v>
      </c>
      <c r="X388" s="403" t="s">
        <v>23024</v>
      </c>
      <c r="Y388" s="403" t="s">
        <v>23024</v>
      </c>
    </row>
    <row r="389" spans="1:25">
      <c r="A389" s="363">
        <f t="shared" si="55"/>
        <v>388</v>
      </c>
      <c r="B389" s="363" t="str">
        <f t="shared" si="48"/>
        <v>44</v>
      </c>
      <c r="C389" s="405" t="str">
        <f t="shared" si="49"/>
        <v>第003436号</v>
      </c>
      <c r="D389" s="405" t="str">
        <f t="shared" si="50"/>
        <v>（有）和尚工業</v>
      </c>
      <c r="E389" s="405" t="str">
        <f t="shared" si="51"/>
        <v>代表取締役</v>
      </c>
      <c r="F389" s="405" t="str">
        <f t="shared" si="52"/>
        <v>平松　大亮</v>
      </c>
      <c r="G389" s="405" t="str">
        <f t="shared" si="53"/>
        <v>主たる営業所</v>
      </c>
      <c r="H389" s="405" t="str">
        <f t="shared" si="54"/>
        <v>大分市下郡中央３－３－１５</v>
      </c>
      <c r="L389" s="403" t="s">
        <v>8333</v>
      </c>
      <c r="M389" s="403" t="s">
        <v>8334</v>
      </c>
      <c r="N389" s="403" t="s">
        <v>2125</v>
      </c>
      <c r="O389" s="403" t="s">
        <v>7084</v>
      </c>
      <c r="P389" s="403" t="s">
        <v>18877</v>
      </c>
      <c r="Q389" s="403" t="s">
        <v>8335</v>
      </c>
      <c r="R389" s="403" t="s">
        <v>18878</v>
      </c>
      <c r="S389" s="403" t="s">
        <v>14634</v>
      </c>
      <c r="T389" s="403" t="s">
        <v>14635</v>
      </c>
      <c r="U389" s="403"/>
      <c r="V389" s="403" t="s">
        <v>23024</v>
      </c>
      <c r="W389" s="403" t="s">
        <v>23024</v>
      </c>
      <c r="X389" s="403" t="s">
        <v>23024</v>
      </c>
      <c r="Y389" s="403" t="s">
        <v>23024</v>
      </c>
    </row>
    <row r="390" spans="1:25">
      <c r="A390" s="363">
        <f t="shared" si="55"/>
        <v>389</v>
      </c>
      <c r="B390" s="363" t="str">
        <f t="shared" si="48"/>
        <v>44</v>
      </c>
      <c r="C390" s="405" t="str">
        <f t="shared" si="49"/>
        <v>第003440号</v>
      </c>
      <c r="D390" s="405" t="str">
        <f t="shared" si="50"/>
        <v>ニノミヤ産業（株）</v>
      </c>
      <c r="E390" s="405" t="str">
        <f t="shared" si="51"/>
        <v>代表取締役</v>
      </c>
      <c r="F390" s="405" t="str">
        <f t="shared" si="52"/>
        <v>久保　慎一</v>
      </c>
      <c r="G390" s="405" t="str">
        <f t="shared" si="53"/>
        <v>主たる営業所</v>
      </c>
      <c r="H390" s="405" t="str">
        <f t="shared" si="54"/>
        <v>大分市乙津港町２－８－３７</v>
      </c>
      <c r="L390" s="403" t="s">
        <v>8336</v>
      </c>
      <c r="M390" s="403" t="s">
        <v>8337</v>
      </c>
      <c r="N390" s="403" t="s">
        <v>2126</v>
      </c>
      <c r="O390" s="403" t="s">
        <v>7084</v>
      </c>
      <c r="P390" s="403" t="s">
        <v>2127</v>
      </c>
      <c r="Q390" s="403" t="s">
        <v>7425</v>
      </c>
      <c r="R390" s="403" t="s">
        <v>18879</v>
      </c>
      <c r="S390" s="403" t="s">
        <v>14636</v>
      </c>
      <c r="T390" s="403" t="s">
        <v>14637</v>
      </c>
      <c r="U390" s="403"/>
      <c r="V390" s="403" t="s">
        <v>23024</v>
      </c>
      <c r="W390" s="403" t="s">
        <v>23024</v>
      </c>
      <c r="X390" s="403" t="s">
        <v>23024</v>
      </c>
      <c r="Y390" s="403" t="s">
        <v>23024</v>
      </c>
    </row>
    <row r="391" spans="1:25">
      <c r="A391" s="363">
        <f t="shared" si="55"/>
        <v>390</v>
      </c>
      <c r="B391" s="363" t="str">
        <f t="shared" si="48"/>
        <v>44</v>
      </c>
      <c r="C391" s="405" t="str">
        <f t="shared" si="49"/>
        <v>第003490号</v>
      </c>
      <c r="D391" s="405" t="str">
        <f t="shared" si="50"/>
        <v>（有）九州舞台</v>
      </c>
      <c r="E391" s="405" t="str">
        <f t="shared" si="51"/>
        <v>代表取締役</v>
      </c>
      <c r="F391" s="405" t="str">
        <f t="shared" si="52"/>
        <v>首藤　汎行</v>
      </c>
      <c r="G391" s="405" t="str">
        <f t="shared" si="53"/>
        <v>主たる営業所</v>
      </c>
      <c r="H391" s="405" t="str">
        <f t="shared" si="54"/>
        <v>大分市中春日町１４－２９</v>
      </c>
      <c r="L391" s="403" t="s">
        <v>8338</v>
      </c>
      <c r="M391" s="403" t="s">
        <v>8339</v>
      </c>
      <c r="N391" s="403" t="s">
        <v>2128</v>
      </c>
      <c r="O391" s="403" t="s">
        <v>7084</v>
      </c>
      <c r="P391" s="403" t="s">
        <v>2129</v>
      </c>
      <c r="Q391" s="403" t="s">
        <v>7534</v>
      </c>
      <c r="R391" s="403" t="s">
        <v>18880</v>
      </c>
      <c r="S391" s="403" t="s">
        <v>14638</v>
      </c>
      <c r="T391" s="403" t="s">
        <v>14639</v>
      </c>
      <c r="U391" s="403"/>
      <c r="V391" s="403" t="s">
        <v>23024</v>
      </c>
      <c r="W391" s="403" t="s">
        <v>23024</v>
      </c>
      <c r="X391" s="403" t="s">
        <v>23024</v>
      </c>
      <c r="Y391" s="403" t="s">
        <v>23024</v>
      </c>
    </row>
    <row r="392" spans="1:25">
      <c r="A392" s="363">
        <f t="shared" si="55"/>
        <v>391</v>
      </c>
      <c r="B392" s="363" t="str">
        <f t="shared" si="48"/>
        <v>44</v>
      </c>
      <c r="C392" s="405" t="str">
        <f t="shared" si="49"/>
        <v>第003502号</v>
      </c>
      <c r="D392" s="405" t="str">
        <f t="shared" si="50"/>
        <v>（株）金子組</v>
      </c>
      <c r="E392" s="405" t="str">
        <f t="shared" si="51"/>
        <v>代表取締役</v>
      </c>
      <c r="F392" s="405" t="str">
        <f t="shared" si="52"/>
        <v>神元　英樹</v>
      </c>
      <c r="G392" s="405" t="str">
        <f t="shared" si="53"/>
        <v>主たる営業所</v>
      </c>
      <c r="H392" s="405" t="str">
        <f t="shared" si="54"/>
        <v>別府市天満町２－３９</v>
      </c>
      <c r="L392" s="403" t="s">
        <v>8340</v>
      </c>
      <c r="M392" s="403" t="s">
        <v>8341</v>
      </c>
      <c r="N392" s="403" t="s">
        <v>2130</v>
      </c>
      <c r="O392" s="403" t="s">
        <v>7084</v>
      </c>
      <c r="P392" s="403" t="s">
        <v>2131</v>
      </c>
      <c r="Q392" s="403" t="s">
        <v>8342</v>
      </c>
      <c r="R392" s="403" t="s">
        <v>18881</v>
      </c>
      <c r="S392" s="403" t="s">
        <v>14640</v>
      </c>
      <c r="T392" s="403" t="s">
        <v>14641</v>
      </c>
      <c r="U392" s="403"/>
      <c r="V392" s="403" t="s">
        <v>23024</v>
      </c>
      <c r="W392" s="403" t="s">
        <v>23024</v>
      </c>
      <c r="X392" s="403" t="s">
        <v>23024</v>
      </c>
      <c r="Y392" s="403" t="s">
        <v>23024</v>
      </c>
    </row>
    <row r="393" spans="1:25">
      <c r="A393" s="363">
        <f t="shared" si="55"/>
        <v>392</v>
      </c>
      <c r="B393" s="363" t="str">
        <f t="shared" si="48"/>
        <v>44</v>
      </c>
      <c r="C393" s="405" t="str">
        <f t="shared" si="49"/>
        <v>第003508号</v>
      </c>
      <c r="D393" s="405" t="str">
        <f t="shared" si="50"/>
        <v>（有）つるみ工業</v>
      </c>
      <c r="E393" s="405" t="str">
        <f t="shared" si="51"/>
        <v>代表取締役</v>
      </c>
      <c r="F393" s="405" t="str">
        <f t="shared" si="52"/>
        <v>井上　伸一</v>
      </c>
      <c r="G393" s="405" t="str">
        <f t="shared" si="53"/>
        <v>主たる営業所</v>
      </c>
      <c r="H393" s="405" t="str">
        <f t="shared" si="54"/>
        <v>杵築市大字大内３４２５</v>
      </c>
      <c r="L393" s="403" t="s">
        <v>8343</v>
      </c>
      <c r="M393" s="403" t="s">
        <v>8344</v>
      </c>
      <c r="N393" s="403" t="s">
        <v>2132</v>
      </c>
      <c r="O393" s="403" t="s">
        <v>7084</v>
      </c>
      <c r="P393" s="403" t="s">
        <v>2133</v>
      </c>
      <c r="Q393" s="403" t="s">
        <v>7631</v>
      </c>
      <c r="R393" s="403" t="s">
        <v>5420</v>
      </c>
      <c r="S393" s="403" t="s">
        <v>14642</v>
      </c>
      <c r="T393" s="403" t="s">
        <v>14643</v>
      </c>
      <c r="U393" s="403"/>
      <c r="V393" s="403" t="s">
        <v>23024</v>
      </c>
      <c r="W393" s="403" t="s">
        <v>23024</v>
      </c>
      <c r="X393" s="403" t="s">
        <v>23024</v>
      </c>
      <c r="Y393" s="403" t="s">
        <v>23024</v>
      </c>
    </row>
    <row r="394" spans="1:25">
      <c r="A394" s="363">
        <f t="shared" si="55"/>
        <v>393</v>
      </c>
      <c r="B394" s="363" t="str">
        <f t="shared" si="48"/>
        <v>44</v>
      </c>
      <c r="C394" s="405" t="str">
        <f t="shared" si="49"/>
        <v>第003567号</v>
      </c>
      <c r="D394" s="405" t="str">
        <f t="shared" si="50"/>
        <v>（有）森本建設</v>
      </c>
      <c r="E394" s="405" t="str">
        <f t="shared" si="51"/>
        <v>代表取締役</v>
      </c>
      <c r="F394" s="405" t="str">
        <f t="shared" si="52"/>
        <v>森本　勝実</v>
      </c>
      <c r="G394" s="405" t="str">
        <f t="shared" si="53"/>
        <v>主たる営業所</v>
      </c>
      <c r="H394" s="405" t="str">
        <f t="shared" si="54"/>
        <v>別府市大字鉄輪２９６－５（２階１号室）</v>
      </c>
      <c r="L394" s="403" t="s">
        <v>8345</v>
      </c>
      <c r="M394" s="403" t="s">
        <v>8346</v>
      </c>
      <c r="N394" s="403" t="s">
        <v>2134</v>
      </c>
      <c r="O394" s="403" t="s">
        <v>7084</v>
      </c>
      <c r="P394" s="403" t="s">
        <v>2135</v>
      </c>
      <c r="Q394" s="403" t="s">
        <v>8347</v>
      </c>
      <c r="R394" s="403" t="s">
        <v>18882</v>
      </c>
      <c r="S394" s="403" t="s">
        <v>14644</v>
      </c>
      <c r="T394" s="403" t="s">
        <v>14645</v>
      </c>
      <c r="U394" s="403"/>
      <c r="V394" s="403" t="s">
        <v>23024</v>
      </c>
      <c r="W394" s="403" t="s">
        <v>23024</v>
      </c>
      <c r="X394" s="403" t="s">
        <v>23024</v>
      </c>
      <c r="Y394" s="403" t="s">
        <v>23024</v>
      </c>
    </row>
    <row r="395" spans="1:25">
      <c r="A395" s="363">
        <f t="shared" si="55"/>
        <v>394</v>
      </c>
      <c r="B395" s="363" t="str">
        <f t="shared" si="48"/>
        <v>44</v>
      </c>
      <c r="C395" s="405" t="str">
        <f t="shared" si="49"/>
        <v>第003589号</v>
      </c>
      <c r="D395" s="405" t="str">
        <f t="shared" si="50"/>
        <v>（有）松尾建設</v>
      </c>
      <c r="E395" s="405" t="str">
        <f t="shared" si="51"/>
        <v>代表取締役</v>
      </c>
      <c r="F395" s="405" t="str">
        <f t="shared" si="52"/>
        <v>松尾　大造</v>
      </c>
      <c r="G395" s="405" t="str">
        <f t="shared" si="53"/>
        <v>主たる営業所</v>
      </c>
      <c r="H395" s="405" t="str">
        <f t="shared" si="54"/>
        <v>別府市原町８－３</v>
      </c>
      <c r="L395" s="403" t="s">
        <v>8348</v>
      </c>
      <c r="M395" s="403" t="s">
        <v>8349</v>
      </c>
      <c r="N395" s="403" t="s">
        <v>2136</v>
      </c>
      <c r="O395" s="403" t="s">
        <v>7084</v>
      </c>
      <c r="P395" s="403" t="s">
        <v>2137</v>
      </c>
      <c r="Q395" s="403" t="s">
        <v>7585</v>
      </c>
      <c r="R395" s="403" t="s">
        <v>18883</v>
      </c>
      <c r="S395" s="403" t="s">
        <v>14646</v>
      </c>
      <c r="T395" s="403" t="s">
        <v>14647</v>
      </c>
      <c r="U395" s="403"/>
      <c r="V395" s="403" t="s">
        <v>23024</v>
      </c>
      <c r="W395" s="403" t="s">
        <v>23024</v>
      </c>
      <c r="X395" s="403" t="s">
        <v>23024</v>
      </c>
      <c r="Y395" s="403" t="s">
        <v>23024</v>
      </c>
    </row>
    <row r="396" spans="1:25">
      <c r="A396" s="363">
        <f t="shared" si="55"/>
        <v>395</v>
      </c>
      <c r="B396" s="363" t="str">
        <f t="shared" si="48"/>
        <v>44</v>
      </c>
      <c r="C396" s="405" t="str">
        <f t="shared" si="49"/>
        <v>第003635号</v>
      </c>
      <c r="D396" s="405" t="str">
        <f t="shared" si="50"/>
        <v>（株）藤良建設</v>
      </c>
      <c r="E396" s="405" t="str">
        <f t="shared" si="51"/>
        <v>代表取締役</v>
      </c>
      <c r="F396" s="405" t="str">
        <f t="shared" si="52"/>
        <v>後藤　良規</v>
      </c>
      <c r="G396" s="405" t="str">
        <f t="shared" si="53"/>
        <v>主たる営業所</v>
      </c>
      <c r="H396" s="405" t="str">
        <f t="shared" si="54"/>
        <v>別府市堀田町２７－４８</v>
      </c>
      <c r="L396" s="403" t="s">
        <v>8350</v>
      </c>
      <c r="M396" s="403" t="s">
        <v>8351</v>
      </c>
      <c r="N396" s="403" t="s">
        <v>2138</v>
      </c>
      <c r="O396" s="403" t="s">
        <v>7084</v>
      </c>
      <c r="P396" s="403" t="s">
        <v>2139</v>
      </c>
      <c r="Q396" s="403" t="s">
        <v>8352</v>
      </c>
      <c r="R396" s="403" t="s">
        <v>18884</v>
      </c>
      <c r="S396" s="403" t="s">
        <v>14648</v>
      </c>
      <c r="T396" s="403" t="s">
        <v>14649</v>
      </c>
      <c r="U396" s="403"/>
      <c r="V396" s="403" t="s">
        <v>23024</v>
      </c>
      <c r="W396" s="403" t="s">
        <v>23024</v>
      </c>
      <c r="X396" s="403" t="s">
        <v>23024</v>
      </c>
      <c r="Y396" s="403" t="s">
        <v>23024</v>
      </c>
    </row>
    <row r="397" spans="1:25">
      <c r="A397" s="363">
        <f t="shared" si="55"/>
        <v>396</v>
      </c>
      <c r="B397" s="363" t="str">
        <f t="shared" si="48"/>
        <v>44</v>
      </c>
      <c r="C397" s="405" t="str">
        <f t="shared" si="49"/>
        <v>第003640号</v>
      </c>
      <c r="D397" s="405" t="str">
        <f t="shared" si="50"/>
        <v>（株）中村</v>
      </c>
      <c r="E397" s="405" t="str">
        <f t="shared" si="51"/>
        <v>代表取締役</v>
      </c>
      <c r="F397" s="405" t="str">
        <f t="shared" si="52"/>
        <v>中村　年久</v>
      </c>
      <c r="G397" s="405" t="str">
        <f t="shared" si="53"/>
        <v>主たる営業所</v>
      </c>
      <c r="H397" s="405" t="str">
        <f t="shared" si="54"/>
        <v>別府市上野口町２２－７</v>
      </c>
      <c r="L397" s="403" t="s">
        <v>8353</v>
      </c>
      <c r="M397" s="403" t="s">
        <v>8354</v>
      </c>
      <c r="N397" s="403" t="s">
        <v>2140</v>
      </c>
      <c r="O397" s="403" t="s">
        <v>7084</v>
      </c>
      <c r="P397" s="403" t="s">
        <v>2141</v>
      </c>
      <c r="Q397" s="403" t="s">
        <v>8355</v>
      </c>
      <c r="R397" s="403" t="s">
        <v>18885</v>
      </c>
      <c r="S397" s="403" t="s">
        <v>14650</v>
      </c>
      <c r="T397" s="403" t="s">
        <v>14651</v>
      </c>
      <c r="U397" s="403"/>
      <c r="V397" s="403" t="s">
        <v>23024</v>
      </c>
      <c r="W397" s="403" t="s">
        <v>23024</v>
      </c>
      <c r="X397" s="403" t="s">
        <v>23024</v>
      </c>
      <c r="Y397" s="403" t="s">
        <v>23024</v>
      </c>
    </row>
    <row r="398" spans="1:25">
      <c r="A398" s="363">
        <f t="shared" si="55"/>
        <v>397</v>
      </c>
      <c r="B398" s="363" t="str">
        <f t="shared" si="48"/>
        <v>44</v>
      </c>
      <c r="C398" s="405" t="str">
        <f t="shared" si="49"/>
        <v>第003656号</v>
      </c>
      <c r="D398" s="405" t="str">
        <f t="shared" si="50"/>
        <v>上杉建設工業（株）</v>
      </c>
      <c r="E398" s="405" t="str">
        <f t="shared" si="51"/>
        <v>代表取締役</v>
      </c>
      <c r="F398" s="405" t="str">
        <f t="shared" si="52"/>
        <v>上杉　和子</v>
      </c>
      <c r="G398" s="405" t="str">
        <f t="shared" si="53"/>
        <v>主たる営業所</v>
      </c>
      <c r="H398" s="405" t="str">
        <f t="shared" si="54"/>
        <v>杵築市大字相原２０６</v>
      </c>
      <c r="L398" s="403" t="s">
        <v>8356</v>
      </c>
      <c r="M398" s="403" t="s">
        <v>8357</v>
      </c>
      <c r="N398" s="403" t="s">
        <v>2142</v>
      </c>
      <c r="O398" s="403" t="s">
        <v>7084</v>
      </c>
      <c r="P398" s="403" t="s">
        <v>2143</v>
      </c>
      <c r="Q398" s="403" t="s">
        <v>8358</v>
      </c>
      <c r="R398" s="403" t="s">
        <v>5421</v>
      </c>
      <c r="S398" s="403" t="s">
        <v>14652</v>
      </c>
      <c r="T398" s="403" t="s">
        <v>14653</v>
      </c>
      <c r="U398" s="403"/>
      <c r="V398" s="403" t="s">
        <v>23024</v>
      </c>
      <c r="W398" s="403" t="s">
        <v>23024</v>
      </c>
      <c r="X398" s="403" t="s">
        <v>23024</v>
      </c>
      <c r="Y398" s="403" t="s">
        <v>23024</v>
      </c>
    </row>
    <row r="399" spans="1:25">
      <c r="A399" s="363">
        <f t="shared" si="55"/>
        <v>398</v>
      </c>
      <c r="B399" s="363" t="str">
        <f t="shared" si="48"/>
        <v>44</v>
      </c>
      <c r="C399" s="405" t="str">
        <f t="shared" si="49"/>
        <v>第003657号</v>
      </c>
      <c r="D399" s="405" t="str">
        <f t="shared" si="50"/>
        <v>旗手建築</v>
      </c>
      <c r="E399" s="405" t="str">
        <f t="shared" si="51"/>
        <v>事業主</v>
      </c>
      <c r="F399" s="405" t="str">
        <f t="shared" si="52"/>
        <v>旗手　博</v>
      </c>
      <c r="G399" s="405" t="str">
        <f t="shared" si="53"/>
        <v>主たる営業所</v>
      </c>
      <c r="H399" s="405" t="str">
        <f t="shared" si="54"/>
        <v>速見郡日出町２５６０－４</v>
      </c>
      <c r="L399" s="403" t="s">
        <v>8359</v>
      </c>
      <c r="M399" s="403" t="s">
        <v>8360</v>
      </c>
      <c r="N399" s="403" t="s">
        <v>2144</v>
      </c>
      <c r="O399" s="403" t="s">
        <v>7088</v>
      </c>
      <c r="P399" s="403" t="s">
        <v>2145</v>
      </c>
      <c r="Q399" s="403" t="s">
        <v>7628</v>
      </c>
      <c r="R399" s="403" t="s">
        <v>18886</v>
      </c>
      <c r="S399" s="403" t="s">
        <v>14654</v>
      </c>
      <c r="T399" s="403" t="s">
        <v>14654</v>
      </c>
      <c r="U399" s="403"/>
      <c r="V399" s="403" t="s">
        <v>23024</v>
      </c>
      <c r="W399" s="403" t="s">
        <v>23024</v>
      </c>
      <c r="X399" s="403" t="s">
        <v>23024</v>
      </c>
      <c r="Y399" s="403" t="s">
        <v>23024</v>
      </c>
    </row>
    <row r="400" spans="1:25">
      <c r="A400" s="363">
        <f t="shared" si="55"/>
        <v>399</v>
      </c>
      <c r="B400" s="363" t="str">
        <f t="shared" si="48"/>
        <v>44</v>
      </c>
      <c r="C400" s="405" t="str">
        <f t="shared" si="49"/>
        <v>第003659号</v>
      </c>
      <c r="D400" s="405" t="str">
        <f t="shared" si="50"/>
        <v>（株）信和</v>
      </c>
      <c r="E400" s="405" t="str">
        <f t="shared" si="51"/>
        <v>代表取締役</v>
      </c>
      <c r="F400" s="405" t="str">
        <f t="shared" si="52"/>
        <v>清家　和子</v>
      </c>
      <c r="G400" s="405" t="str">
        <f t="shared" si="53"/>
        <v>主たる営業所</v>
      </c>
      <c r="H400" s="405" t="str">
        <f t="shared" si="54"/>
        <v>別府市千代町６－３</v>
      </c>
      <c r="L400" s="403" t="s">
        <v>8361</v>
      </c>
      <c r="M400" s="403" t="s">
        <v>8362</v>
      </c>
      <c r="N400" s="403" t="s">
        <v>2146</v>
      </c>
      <c r="O400" s="403" t="s">
        <v>7084</v>
      </c>
      <c r="P400" s="403" t="s">
        <v>2147</v>
      </c>
      <c r="Q400" s="403" t="s">
        <v>8363</v>
      </c>
      <c r="R400" s="403" t="s">
        <v>18887</v>
      </c>
      <c r="S400" s="403" t="s">
        <v>14655</v>
      </c>
      <c r="T400" s="403" t="s">
        <v>14656</v>
      </c>
      <c r="U400" s="403"/>
      <c r="V400" s="403" t="s">
        <v>23024</v>
      </c>
      <c r="W400" s="403" t="s">
        <v>23024</v>
      </c>
      <c r="X400" s="403" t="s">
        <v>23024</v>
      </c>
      <c r="Y400" s="403" t="s">
        <v>23024</v>
      </c>
    </row>
    <row r="401" spans="1:25">
      <c r="A401" s="363">
        <f t="shared" si="55"/>
        <v>400</v>
      </c>
      <c r="B401" s="363" t="str">
        <f t="shared" si="48"/>
        <v>44</v>
      </c>
      <c r="C401" s="405" t="str">
        <f t="shared" si="49"/>
        <v>第003680号</v>
      </c>
      <c r="D401" s="405" t="str">
        <f t="shared" si="50"/>
        <v>松田建築（有）</v>
      </c>
      <c r="E401" s="405" t="str">
        <f t="shared" si="51"/>
        <v>代表取締役</v>
      </c>
      <c r="F401" s="405" t="str">
        <f t="shared" si="52"/>
        <v>松田　正一</v>
      </c>
      <c r="G401" s="405" t="str">
        <f t="shared" si="53"/>
        <v>主たる営業所</v>
      </c>
      <c r="H401" s="405" t="str">
        <f t="shared" si="54"/>
        <v>別府市大字野田５７－３</v>
      </c>
      <c r="L401" s="403" t="s">
        <v>8364</v>
      </c>
      <c r="M401" s="403" t="s">
        <v>8365</v>
      </c>
      <c r="N401" s="403" t="s">
        <v>2148</v>
      </c>
      <c r="O401" s="403" t="s">
        <v>7084</v>
      </c>
      <c r="P401" s="403" t="s">
        <v>2149</v>
      </c>
      <c r="Q401" s="403" t="s">
        <v>8366</v>
      </c>
      <c r="R401" s="403" t="s">
        <v>18888</v>
      </c>
      <c r="S401" s="403" t="s">
        <v>14657</v>
      </c>
      <c r="T401" s="403" t="s">
        <v>14658</v>
      </c>
      <c r="U401" s="403"/>
      <c r="V401" s="403" t="s">
        <v>23024</v>
      </c>
      <c r="W401" s="403" t="s">
        <v>23024</v>
      </c>
      <c r="X401" s="403" t="s">
        <v>23024</v>
      </c>
      <c r="Y401" s="403" t="s">
        <v>23024</v>
      </c>
    </row>
    <row r="402" spans="1:25">
      <c r="A402" s="363">
        <f t="shared" si="55"/>
        <v>401</v>
      </c>
      <c r="B402" s="363" t="str">
        <f t="shared" si="48"/>
        <v>44</v>
      </c>
      <c r="C402" s="405" t="str">
        <f t="shared" si="49"/>
        <v>第003682号</v>
      </c>
      <c r="D402" s="405" t="str">
        <f t="shared" si="50"/>
        <v>高石土木（株）</v>
      </c>
      <c r="E402" s="405" t="str">
        <f t="shared" si="51"/>
        <v>代表取締役</v>
      </c>
      <c r="F402" s="405" t="str">
        <f t="shared" si="52"/>
        <v>山名　賢明</v>
      </c>
      <c r="G402" s="405" t="str">
        <f t="shared" si="53"/>
        <v>主たる営業所</v>
      </c>
      <c r="H402" s="405" t="str">
        <f t="shared" si="54"/>
        <v>別府市青山町６－２７</v>
      </c>
      <c r="L402" s="403" t="s">
        <v>8367</v>
      </c>
      <c r="M402" s="403" t="s">
        <v>8368</v>
      </c>
      <c r="N402" s="403" t="s">
        <v>2150</v>
      </c>
      <c r="O402" s="403" t="s">
        <v>7084</v>
      </c>
      <c r="P402" s="403" t="s">
        <v>2151</v>
      </c>
      <c r="Q402" s="403" t="s">
        <v>8369</v>
      </c>
      <c r="R402" s="403" t="s">
        <v>18889</v>
      </c>
      <c r="S402" s="403" t="s">
        <v>14659</v>
      </c>
      <c r="T402" s="403" t="s">
        <v>14660</v>
      </c>
      <c r="U402" s="403"/>
      <c r="V402" s="403" t="s">
        <v>23024</v>
      </c>
      <c r="W402" s="403" t="s">
        <v>23024</v>
      </c>
      <c r="X402" s="403" t="s">
        <v>23024</v>
      </c>
      <c r="Y402" s="403" t="s">
        <v>23024</v>
      </c>
    </row>
    <row r="403" spans="1:25">
      <c r="A403" s="363">
        <f t="shared" si="55"/>
        <v>402</v>
      </c>
      <c r="B403" s="363" t="str">
        <f t="shared" si="48"/>
        <v>44</v>
      </c>
      <c r="C403" s="405" t="str">
        <f t="shared" si="49"/>
        <v>第003683号</v>
      </c>
      <c r="D403" s="405" t="str">
        <f t="shared" si="50"/>
        <v>（株）森工機</v>
      </c>
      <c r="E403" s="405" t="str">
        <f t="shared" si="51"/>
        <v>代表取締役</v>
      </c>
      <c r="F403" s="405" t="str">
        <f t="shared" si="52"/>
        <v>森　憲司</v>
      </c>
      <c r="G403" s="405" t="str">
        <f t="shared" si="53"/>
        <v>主たる営業所</v>
      </c>
      <c r="H403" s="405" t="str">
        <f t="shared" si="54"/>
        <v>別府市荘園町３７－８</v>
      </c>
      <c r="L403" s="403" t="s">
        <v>8370</v>
      </c>
      <c r="M403" s="403" t="s">
        <v>8371</v>
      </c>
      <c r="N403" s="403" t="s">
        <v>2152</v>
      </c>
      <c r="O403" s="403" t="s">
        <v>7084</v>
      </c>
      <c r="P403" s="403" t="s">
        <v>2153</v>
      </c>
      <c r="Q403" s="403" t="s">
        <v>8372</v>
      </c>
      <c r="R403" s="403" t="s">
        <v>18890</v>
      </c>
      <c r="S403" s="403" t="s">
        <v>14661</v>
      </c>
      <c r="T403" s="403" t="s">
        <v>14662</v>
      </c>
      <c r="U403" s="403"/>
      <c r="V403" s="403" t="s">
        <v>23024</v>
      </c>
      <c r="W403" s="403" t="s">
        <v>23024</v>
      </c>
      <c r="X403" s="403" t="s">
        <v>23024</v>
      </c>
      <c r="Y403" s="403" t="s">
        <v>23024</v>
      </c>
    </row>
    <row r="404" spans="1:25">
      <c r="A404" s="363">
        <f t="shared" si="55"/>
        <v>403</v>
      </c>
      <c r="B404" s="363" t="str">
        <f t="shared" si="48"/>
        <v>44</v>
      </c>
      <c r="C404" s="405" t="str">
        <f t="shared" si="49"/>
        <v>第003687号</v>
      </c>
      <c r="D404" s="405" t="str">
        <f t="shared" si="50"/>
        <v>（株）平野工務店</v>
      </c>
      <c r="E404" s="405" t="str">
        <f t="shared" si="51"/>
        <v>代表取締役</v>
      </c>
      <c r="F404" s="405" t="str">
        <f t="shared" si="52"/>
        <v>平野　英壽</v>
      </c>
      <c r="G404" s="405" t="str">
        <f t="shared" si="53"/>
        <v>主たる営業所</v>
      </c>
      <c r="H404" s="405" t="str">
        <f t="shared" si="54"/>
        <v>別府市石垣東８－２－１７</v>
      </c>
      <c r="L404" s="403" t="s">
        <v>8373</v>
      </c>
      <c r="M404" s="403" t="s">
        <v>8374</v>
      </c>
      <c r="N404" s="403" t="s">
        <v>2154</v>
      </c>
      <c r="O404" s="403" t="s">
        <v>7084</v>
      </c>
      <c r="P404" s="403" t="s">
        <v>2155</v>
      </c>
      <c r="Q404" s="403" t="s">
        <v>7363</v>
      </c>
      <c r="R404" s="403" t="s">
        <v>18891</v>
      </c>
      <c r="S404" s="403" t="s">
        <v>14663</v>
      </c>
      <c r="T404" s="403" t="s">
        <v>14664</v>
      </c>
      <c r="U404" s="403"/>
      <c r="V404" s="403" t="s">
        <v>23024</v>
      </c>
      <c r="W404" s="403" t="s">
        <v>23024</v>
      </c>
      <c r="X404" s="403" t="s">
        <v>23024</v>
      </c>
      <c r="Y404" s="403" t="s">
        <v>23024</v>
      </c>
    </row>
    <row r="405" spans="1:25">
      <c r="A405" s="363">
        <f t="shared" si="55"/>
        <v>404</v>
      </c>
      <c r="B405" s="363" t="str">
        <f t="shared" si="48"/>
        <v>44</v>
      </c>
      <c r="C405" s="405" t="str">
        <f t="shared" si="49"/>
        <v>第003734号</v>
      </c>
      <c r="D405" s="405" t="str">
        <f t="shared" si="50"/>
        <v>（株）大分通信</v>
      </c>
      <c r="E405" s="405" t="str">
        <f t="shared" si="51"/>
        <v>代表取締役</v>
      </c>
      <c r="F405" s="405" t="str">
        <f t="shared" si="52"/>
        <v>川野　和広</v>
      </c>
      <c r="G405" s="405" t="str">
        <f t="shared" si="53"/>
        <v>主たる営業所</v>
      </c>
      <c r="H405" s="405" t="str">
        <f t="shared" si="54"/>
        <v>日田市天瀬町合田３１０９－１２</v>
      </c>
      <c r="L405" s="403" t="s">
        <v>8375</v>
      </c>
      <c r="M405" s="403" t="s">
        <v>8376</v>
      </c>
      <c r="N405" s="403" t="s">
        <v>2156</v>
      </c>
      <c r="O405" s="403" t="s">
        <v>7084</v>
      </c>
      <c r="P405" s="403" t="s">
        <v>2157</v>
      </c>
      <c r="Q405" s="403" t="s">
        <v>8377</v>
      </c>
      <c r="R405" s="403" t="s">
        <v>18892</v>
      </c>
      <c r="S405" s="403" t="s">
        <v>14665</v>
      </c>
      <c r="T405" s="403" t="s">
        <v>14666</v>
      </c>
      <c r="U405" s="403"/>
      <c r="V405" s="403" t="s">
        <v>23024</v>
      </c>
      <c r="W405" s="403" t="s">
        <v>23024</v>
      </c>
      <c r="X405" s="403" t="s">
        <v>23024</v>
      </c>
      <c r="Y405" s="403" t="s">
        <v>23024</v>
      </c>
    </row>
    <row r="406" spans="1:25">
      <c r="A406" s="363">
        <f t="shared" si="55"/>
        <v>405</v>
      </c>
      <c r="B406" s="363" t="str">
        <f t="shared" si="48"/>
        <v>44</v>
      </c>
      <c r="C406" s="405" t="str">
        <f t="shared" si="49"/>
        <v>第003742号</v>
      </c>
      <c r="D406" s="405" t="str">
        <f t="shared" si="50"/>
        <v>（有）藤本商会</v>
      </c>
      <c r="E406" s="405" t="str">
        <f t="shared" si="51"/>
        <v>代表取締役</v>
      </c>
      <c r="F406" s="405" t="str">
        <f t="shared" si="52"/>
        <v>山下　和子</v>
      </c>
      <c r="G406" s="405" t="str">
        <f t="shared" si="53"/>
        <v>主たる営業所</v>
      </c>
      <c r="H406" s="405" t="str">
        <f t="shared" si="54"/>
        <v>杵築市大字大内４５９１</v>
      </c>
      <c r="L406" s="403" t="s">
        <v>8378</v>
      </c>
      <c r="M406" s="403" t="s">
        <v>8379</v>
      </c>
      <c r="N406" s="403" t="s">
        <v>2158</v>
      </c>
      <c r="O406" s="403" t="s">
        <v>7084</v>
      </c>
      <c r="P406" s="403" t="s">
        <v>2159</v>
      </c>
      <c r="Q406" s="403" t="s">
        <v>7631</v>
      </c>
      <c r="R406" s="403" t="s">
        <v>5422</v>
      </c>
      <c r="S406" s="403" t="s">
        <v>14667</v>
      </c>
      <c r="T406" s="403" t="s">
        <v>14668</v>
      </c>
      <c r="U406" s="403"/>
      <c r="V406" s="403" t="s">
        <v>23024</v>
      </c>
      <c r="W406" s="403" t="s">
        <v>23024</v>
      </c>
      <c r="X406" s="403" t="s">
        <v>23024</v>
      </c>
      <c r="Y406" s="403" t="s">
        <v>23024</v>
      </c>
    </row>
    <row r="407" spans="1:25">
      <c r="A407" s="363">
        <f t="shared" si="55"/>
        <v>406</v>
      </c>
      <c r="B407" s="363" t="str">
        <f t="shared" si="48"/>
        <v>44</v>
      </c>
      <c r="C407" s="405" t="str">
        <f t="shared" si="49"/>
        <v>第003743号</v>
      </c>
      <c r="D407" s="405" t="str">
        <f t="shared" si="50"/>
        <v>（有）城組</v>
      </c>
      <c r="E407" s="405" t="str">
        <f t="shared" si="51"/>
        <v>代表取締役</v>
      </c>
      <c r="F407" s="405" t="str">
        <f t="shared" si="52"/>
        <v>城　英哲</v>
      </c>
      <c r="G407" s="405" t="str">
        <f t="shared" si="53"/>
        <v>主たる営業所</v>
      </c>
      <c r="H407" s="405" t="str">
        <f t="shared" si="54"/>
        <v>速見郡日出町大字大神１２５５－４</v>
      </c>
      <c r="L407" s="403" t="s">
        <v>8380</v>
      </c>
      <c r="M407" s="403" t="s">
        <v>8381</v>
      </c>
      <c r="N407" s="403" t="s">
        <v>2160</v>
      </c>
      <c r="O407" s="403" t="s">
        <v>7084</v>
      </c>
      <c r="P407" s="403" t="s">
        <v>2161</v>
      </c>
      <c r="Q407" s="403" t="s">
        <v>8382</v>
      </c>
      <c r="R407" s="403" t="s">
        <v>18893</v>
      </c>
      <c r="S407" s="403" t="s">
        <v>14669</v>
      </c>
      <c r="T407" s="403" t="s">
        <v>14670</v>
      </c>
      <c r="U407" s="403"/>
      <c r="V407" s="403" t="s">
        <v>23024</v>
      </c>
      <c r="W407" s="403" t="s">
        <v>23024</v>
      </c>
      <c r="X407" s="403" t="s">
        <v>23024</v>
      </c>
      <c r="Y407" s="403" t="s">
        <v>23024</v>
      </c>
    </row>
    <row r="408" spans="1:25">
      <c r="A408" s="363">
        <f t="shared" si="55"/>
        <v>407</v>
      </c>
      <c r="B408" s="363" t="str">
        <f t="shared" si="48"/>
        <v>44</v>
      </c>
      <c r="C408" s="405" t="str">
        <f t="shared" si="49"/>
        <v>第003748号</v>
      </c>
      <c r="D408" s="405" t="str">
        <f t="shared" si="50"/>
        <v>渡辺建設（株）</v>
      </c>
      <c r="E408" s="405" t="str">
        <f t="shared" si="51"/>
        <v>代表取締役</v>
      </c>
      <c r="F408" s="405" t="str">
        <f t="shared" si="52"/>
        <v>渡邉　朋子</v>
      </c>
      <c r="G408" s="405" t="str">
        <f t="shared" si="53"/>
        <v>主たる営業所</v>
      </c>
      <c r="H408" s="405" t="str">
        <f t="shared" si="54"/>
        <v>杵築市山香町大字久木野尾２０２７</v>
      </c>
      <c r="L408" s="403" t="s">
        <v>8383</v>
      </c>
      <c r="M408" s="403" t="s">
        <v>8384</v>
      </c>
      <c r="N408" s="403" t="s">
        <v>2162</v>
      </c>
      <c r="O408" s="403" t="s">
        <v>7084</v>
      </c>
      <c r="P408" s="403" t="s">
        <v>2163</v>
      </c>
      <c r="Q408" s="403" t="s">
        <v>8385</v>
      </c>
      <c r="R408" s="403" t="s">
        <v>5423</v>
      </c>
      <c r="S408" s="403" t="s">
        <v>14671</v>
      </c>
      <c r="T408" s="403" t="s">
        <v>14672</v>
      </c>
      <c r="U408" s="403"/>
      <c r="V408" s="403" t="s">
        <v>23024</v>
      </c>
      <c r="W408" s="403" t="s">
        <v>23024</v>
      </c>
      <c r="X408" s="403" t="s">
        <v>23024</v>
      </c>
      <c r="Y408" s="403" t="s">
        <v>23024</v>
      </c>
    </row>
    <row r="409" spans="1:25">
      <c r="A409" s="363">
        <f t="shared" si="55"/>
        <v>408</v>
      </c>
      <c r="B409" s="363" t="str">
        <f t="shared" si="48"/>
        <v>44</v>
      </c>
      <c r="C409" s="405" t="str">
        <f t="shared" si="49"/>
        <v>第003769号</v>
      </c>
      <c r="D409" s="405" t="str">
        <f t="shared" si="50"/>
        <v>（有）園田電機商会</v>
      </c>
      <c r="E409" s="405" t="str">
        <f t="shared" si="51"/>
        <v>代表取締役</v>
      </c>
      <c r="F409" s="405" t="str">
        <f t="shared" si="52"/>
        <v>園田　政広</v>
      </c>
      <c r="G409" s="405" t="str">
        <f t="shared" si="53"/>
        <v>主たる営業所</v>
      </c>
      <c r="H409" s="405" t="str">
        <f t="shared" si="54"/>
        <v>別府市大字北石垣１３６０－１</v>
      </c>
      <c r="L409" s="403" t="s">
        <v>8386</v>
      </c>
      <c r="M409" s="403" t="s">
        <v>8387</v>
      </c>
      <c r="N409" s="403" t="s">
        <v>2164</v>
      </c>
      <c r="O409" s="403" t="s">
        <v>7084</v>
      </c>
      <c r="P409" s="403" t="s">
        <v>2165</v>
      </c>
      <c r="Q409" s="403" t="s">
        <v>8388</v>
      </c>
      <c r="R409" s="403" t="s">
        <v>18894</v>
      </c>
      <c r="S409" s="403" t="s">
        <v>14673</v>
      </c>
      <c r="T409" s="403" t="s">
        <v>14674</v>
      </c>
      <c r="U409" s="403"/>
      <c r="V409" s="403" t="s">
        <v>23024</v>
      </c>
      <c r="W409" s="403" t="s">
        <v>23024</v>
      </c>
      <c r="X409" s="403" t="s">
        <v>23024</v>
      </c>
      <c r="Y409" s="403" t="s">
        <v>23024</v>
      </c>
    </row>
    <row r="410" spans="1:25">
      <c r="A410" s="363">
        <f t="shared" si="55"/>
        <v>409</v>
      </c>
      <c r="B410" s="363" t="str">
        <f t="shared" si="48"/>
        <v>44</v>
      </c>
      <c r="C410" s="405" t="str">
        <f t="shared" si="49"/>
        <v>第003777号</v>
      </c>
      <c r="D410" s="405" t="str">
        <f t="shared" si="50"/>
        <v>（有）梶原土木工業</v>
      </c>
      <c r="E410" s="405" t="str">
        <f t="shared" si="51"/>
        <v>代表取締役</v>
      </c>
      <c r="F410" s="405" t="str">
        <f t="shared" si="52"/>
        <v>神元　江美子</v>
      </c>
      <c r="G410" s="405" t="str">
        <f t="shared" si="53"/>
        <v>主たる営業所</v>
      </c>
      <c r="H410" s="405" t="str">
        <f t="shared" si="54"/>
        <v>別府市天満町２－３</v>
      </c>
      <c r="L410" s="403" t="s">
        <v>8389</v>
      </c>
      <c r="M410" s="403" t="s">
        <v>8390</v>
      </c>
      <c r="N410" s="403" t="s">
        <v>2166</v>
      </c>
      <c r="O410" s="403" t="s">
        <v>7084</v>
      </c>
      <c r="P410" s="403" t="s">
        <v>2167</v>
      </c>
      <c r="Q410" s="403" t="s">
        <v>8342</v>
      </c>
      <c r="R410" s="403" t="s">
        <v>18895</v>
      </c>
      <c r="S410" s="403" t="s">
        <v>14675</v>
      </c>
      <c r="T410" s="403" t="s">
        <v>14641</v>
      </c>
      <c r="U410" s="403"/>
      <c r="V410" s="403" t="s">
        <v>23024</v>
      </c>
      <c r="W410" s="403" t="s">
        <v>23024</v>
      </c>
      <c r="X410" s="403" t="s">
        <v>23024</v>
      </c>
      <c r="Y410" s="403" t="s">
        <v>23024</v>
      </c>
    </row>
    <row r="411" spans="1:25">
      <c r="A411" s="363">
        <f t="shared" si="55"/>
        <v>410</v>
      </c>
      <c r="B411" s="363" t="str">
        <f t="shared" si="48"/>
        <v>44</v>
      </c>
      <c r="C411" s="405" t="str">
        <f t="shared" si="49"/>
        <v>第003792号</v>
      </c>
      <c r="D411" s="405" t="str">
        <f t="shared" si="50"/>
        <v>（株）大分みらい建設</v>
      </c>
      <c r="E411" s="405" t="str">
        <f t="shared" si="51"/>
        <v>代表取締役</v>
      </c>
      <c r="F411" s="405" t="str">
        <f t="shared" si="52"/>
        <v>三浦　寿雄</v>
      </c>
      <c r="G411" s="405" t="str">
        <f t="shared" si="53"/>
        <v>主たる営業所</v>
      </c>
      <c r="H411" s="405" t="str">
        <f t="shared" si="54"/>
        <v>別府市石垣東８－１－１３</v>
      </c>
      <c r="L411" s="403" t="s">
        <v>8391</v>
      </c>
      <c r="M411" s="403" t="s">
        <v>8392</v>
      </c>
      <c r="N411" s="403" t="s">
        <v>2168</v>
      </c>
      <c r="O411" s="403" t="s">
        <v>7084</v>
      </c>
      <c r="P411" s="403" t="s">
        <v>2169</v>
      </c>
      <c r="Q411" s="403" t="s">
        <v>7363</v>
      </c>
      <c r="R411" s="403" t="s">
        <v>18896</v>
      </c>
      <c r="S411" s="403" t="s">
        <v>14676</v>
      </c>
      <c r="T411" s="403" t="s">
        <v>14677</v>
      </c>
      <c r="U411" s="403"/>
      <c r="V411" s="403" t="s">
        <v>23024</v>
      </c>
      <c r="W411" s="403" t="s">
        <v>23024</v>
      </c>
      <c r="X411" s="403" t="s">
        <v>23024</v>
      </c>
      <c r="Y411" s="403" t="s">
        <v>23024</v>
      </c>
    </row>
    <row r="412" spans="1:25">
      <c r="A412" s="363">
        <f t="shared" si="55"/>
        <v>411</v>
      </c>
      <c r="B412" s="363" t="str">
        <f t="shared" si="48"/>
        <v>44</v>
      </c>
      <c r="C412" s="405" t="str">
        <f t="shared" si="49"/>
        <v>第003794号</v>
      </c>
      <c r="D412" s="405" t="str">
        <f t="shared" si="50"/>
        <v>（株）木元電設</v>
      </c>
      <c r="E412" s="405" t="str">
        <f t="shared" si="51"/>
        <v>代表取締役</v>
      </c>
      <c r="F412" s="405" t="str">
        <f t="shared" si="52"/>
        <v>林　浩行</v>
      </c>
      <c r="G412" s="405" t="str">
        <f t="shared" si="53"/>
        <v>主たる営業所</v>
      </c>
      <c r="H412" s="405" t="str">
        <f t="shared" si="54"/>
        <v>杵築市大字猪尾６４－５</v>
      </c>
      <c r="L412" s="403" t="s">
        <v>8393</v>
      </c>
      <c r="M412" s="403" t="s">
        <v>8394</v>
      </c>
      <c r="N412" s="403" t="s">
        <v>2170</v>
      </c>
      <c r="O412" s="403" t="s">
        <v>7084</v>
      </c>
      <c r="P412" s="403" t="s">
        <v>2171</v>
      </c>
      <c r="Q412" s="403" t="s">
        <v>8395</v>
      </c>
      <c r="R412" s="403" t="s">
        <v>18897</v>
      </c>
      <c r="S412" s="403" t="s">
        <v>14678</v>
      </c>
      <c r="T412" s="403" t="s">
        <v>14679</v>
      </c>
      <c r="U412" s="403"/>
      <c r="V412" s="403" t="s">
        <v>23024</v>
      </c>
      <c r="W412" s="403" t="s">
        <v>23024</v>
      </c>
      <c r="X412" s="403" t="s">
        <v>23024</v>
      </c>
      <c r="Y412" s="403" t="s">
        <v>23024</v>
      </c>
    </row>
    <row r="413" spans="1:25">
      <c r="A413" s="363">
        <f t="shared" si="55"/>
        <v>412</v>
      </c>
      <c r="B413" s="363" t="str">
        <f t="shared" si="48"/>
        <v>44</v>
      </c>
      <c r="C413" s="405" t="str">
        <f t="shared" si="49"/>
        <v>第003799号</v>
      </c>
      <c r="D413" s="405" t="str">
        <f t="shared" si="50"/>
        <v>（有）山香水道</v>
      </c>
      <c r="E413" s="405" t="str">
        <f t="shared" si="51"/>
        <v>代表取締役</v>
      </c>
      <c r="F413" s="405" t="str">
        <f t="shared" si="52"/>
        <v>児玉　美津雄</v>
      </c>
      <c r="G413" s="405" t="str">
        <f t="shared" si="53"/>
        <v>主たる営業所</v>
      </c>
      <c r="H413" s="405" t="str">
        <f t="shared" si="54"/>
        <v>杵築市山香町大字野原４２１８</v>
      </c>
      <c r="L413" s="403" t="s">
        <v>8396</v>
      </c>
      <c r="M413" s="403" t="s">
        <v>8397</v>
      </c>
      <c r="N413" s="403" t="s">
        <v>2172</v>
      </c>
      <c r="O413" s="403" t="s">
        <v>7084</v>
      </c>
      <c r="P413" s="403" t="s">
        <v>2173</v>
      </c>
      <c r="Q413" s="403" t="s">
        <v>8398</v>
      </c>
      <c r="R413" s="403" t="s">
        <v>5424</v>
      </c>
      <c r="S413" s="403" t="s">
        <v>14680</v>
      </c>
      <c r="T413" s="403" t="s">
        <v>14681</v>
      </c>
      <c r="U413" s="403"/>
      <c r="V413" s="403" t="s">
        <v>23024</v>
      </c>
      <c r="W413" s="403" t="s">
        <v>23024</v>
      </c>
      <c r="X413" s="403" t="s">
        <v>23024</v>
      </c>
      <c r="Y413" s="403" t="s">
        <v>23024</v>
      </c>
    </row>
    <row r="414" spans="1:25">
      <c r="A414" s="363">
        <f t="shared" si="55"/>
        <v>413</v>
      </c>
      <c r="B414" s="363" t="str">
        <f t="shared" si="48"/>
        <v>44</v>
      </c>
      <c r="C414" s="405" t="str">
        <f t="shared" si="49"/>
        <v>第003810号</v>
      </c>
      <c r="D414" s="405" t="str">
        <f t="shared" si="50"/>
        <v>（有）阿部工業</v>
      </c>
      <c r="E414" s="405" t="str">
        <f t="shared" si="51"/>
        <v>代表取締役</v>
      </c>
      <c r="F414" s="405" t="str">
        <f t="shared" si="52"/>
        <v>阿部　鉄也</v>
      </c>
      <c r="G414" s="405" t="str">
        <f t="shared" si="53"/>
        <v>主たる営業所</v>
      </c>
      <c r="H414" s="405" t="str">
        <f t="shared" si="54"/>
        <v>速見郡日出町大字豊岡１２１６－１０</v>
      </c>
      <c r="L414" s="403" t="s">
        <v>8399</v>
      </c>
      <c r="M414" s="403" t="s">
        <v>8400</v>
      </c>
      <c r="N414" s="403" t="s">
        <v>2175</v>
      </c>
      <c r="O414" s="403" t="s">
        <v>7084</v>
      </c>
      <c r="P414" s="403" t="s">
        <v>2176</v>
      </c>
      <c r="Q414" s="403" t="s">
        <v>8401</v>
      </c>
      <c r="R414" s="403" t="s">
        <v>18898</v>
      </c>
      <c r="S414" s="403" t="s">
        <v>14682</v>
      </c>
      <c r="T414" s="403" t="s">
        <v>14683</v>
      </c>
      <c r="U414" s="403"/>
      <c r="V414" s="403" t="s">
        <v>23024</v>
      </c>
      <c r="W414" s="403" t="s">
        <v>23024</v>
      </c>
      <c r="X414" s="403" t="s">
        <v>23024</v>
      </c>
      <c r="Y414" s="403" t="s">
        <v>23024</v>
      </c>
    </row>
    <row r="415" spans="1:25">
      <c r="A415" s="363">
        <f t="shared" si="55"/>
        <v>414</v>
      </c>
      <c r="B415" s="363" t="str">
        <f t="shared" si="48"/>
        <v>44</v>
      </c>
      <c r="C415" s="405" t="str">
        <f t="shared" si="49"/>
        <v>第003830号</v>
      </c>
      <c r="D415" s="405" t="str">
        <f t="shared" si="50"/>
        <v>（株）上野建設</v>
      </c>
      <c r="E415" s="405" t="str">
        <f t="shared" si="51"/>
        <v>代表取締役</v>
      </c>
      <c r="F415" s="405" t="str">
        <f t="shared" si="52"/>
        <v>上野　公則</v>
      </c>
      <c r="G415" s="405" t="str">
        <f t="shared" si="53"/>
        <v>主たる営業所</v>
      </c>
      <c r="H415" s="405" t="str">
        <f t="shared" si="54"/>
        <v>速見郡日出町大字藤原５８８２－４</v>
      </c>
      <c r="L415" s="403" t="s">
        <v>8402</v>
      </c>
      <c r="M415" s="403" t="s">
        <v>8403</v>
      </c>
      <c r="N415" s="403" t="s">
        <v>2177</v>
      </c>
      <c r="O415" s="403" t="s">
        <v>7084</v>
      </c>
      <c r="P415" s="403" t="s">
        <v>2178</v>
      </c>
      <c r="Q415" s="403" t="s">
        <v>7619</v>
      </c>
      <c r="R415" s="403" t="s">
        <v>18899</v>
      </c>
      <c r="S415" s="403" t="s">
        <v>14684</v>
      </c>
      <c r="T415" s="403" t="s">
        <v>14685</v>
      </c>
      <c r="U415" s="403"/>
      <c r="V415" s="403" t="s">
        <v>23024</v>
      </c>
      <c r="W415" s="403" t="s">
        <v>23024</v>
      </c>
      <c r="X415" s="403" t="s">
        <v>23024</v>
      </c>
      <c r="Y415" s="403" t="s">
        <v>23024</v>
      </c>
    </row>
    <row r="416" spans="1:25">
      <c r="A416" s="363">
        <f t="shared" si="55"/>
        <v>415</v>
      </c>
      <c r="B416" s="363" t="str">
        <f t="shared" si="48"/>
        <v>44</v>
      </c>
      <c r="C416" s="405" t="str">
        <f t="shared" si="49"/>
        <v>第003842号</v>
      </c>
      <c r="D416" s="405" t="str">
        <f t="shared" si="50"/>
        <v>和光熱設工業（株）</v>
      </c>
      <c r="E416" s="405" t="str">
        <f t="shared" si="51"/>
        <v>代表取締役</v>
      </c>
      <c r="F416" s="405" t="str">
        <f t="shared" si="52"/>
        <v>志賀　敏夫</v>
      </c>
      <c r="G416" s="405" t="str">
        <f t="shared" si="53"/>
        <v>主たる営業所</v>
      </c>
      <c r="H416" s="405" t="str">
        <f t="shared" si="54"/>
        <v>別府市鶴見２－５－３４</v>
      </c>
      <c r="L416" s="403" t="s">
        <v>8404</v>
      </c>
      <c r="M416" s="403" t="s">
        <v>8405</v>
      </c>
      <c r="N416" s="403" t="s">
        <v>2179</v>
      </c>
      <c r="O416" s="403" t="s">
        <v>7084</v>
      </c>
      <c r="P416" s="403" t="s">
        <v>2180</v>
      </c>
      <c r="Q416" s="403" t="s">
        <v>7605</v>
      </c>
      <c r="R416" s="403" t="s">
        <v>18900</v>
      </c>
      <c r="S416" s="403" t="s">
        <v>14686</v>
      </c>
      <c r="T416" s="403" t="s">
        <v>14687</v>
      </c>
      <c r="U416" s="403"/>
      <c r="V416" s="403" t="s">
        <v>23024</v>
      </c>
      <c r="W416" s="403" t="s">
        <v>23024</v>
      </c>
      <c r="X416" s="403" t="s">
        <v>23024</v>
      </c>
      <c r="Y416" s="403" t="s">
        <v>23024</v>
      </c>
    </row>
    <row r="417" spans="1:25">
      <c r="A417" s="363">
        <f t="shared" si="55"/>
        <v>416</v>
      </c>
      <c r="B417" s="363" t="str">
        <f t="shared" si="48"/>
        <v>44</v>
      </c>
      <c r="C417" s="405" t="str">
        <f t="shared" si="49"/>
        <v>第003845号</v>
      </c>
      <c r="D417" s="405" t="str">
        <f t="shared" si="50"/>
        <v>（有）園興業</v>
      </c>
      <c r="E417" s="405" t="str">
        <f t="shared" si="51"/>
        <v>代表取締役</v>
      </c>
      <c r="F417" s="405" t="str">
        <f t="shared" si="52"/>
        <v>緒方　純二</v>
      </c>
      <c r="G417" s="405" t="str">
        <f t="shared" si="53"/>
        <v>主たる営業所</v>
      </c>
      <c r="H417" s="405" t="str">
        <f t="shared" si="54"/>
        <v>杵築市山香町日指１６６</v>
      </c>
      <c r="L417" s="403" t="s">
        <v>8406</v>
      </c>
      <c r="M417" s="403" t="s">
        <v>8407</v>
      </c>
      <c r="N417" s="403" t="s">
        <v>2181</v>
      </c>
      <c r="O417" s="403" t="s">
        <v>7084</v>
      </c>
      <c r="P417" s="403" t="s">
        <v>5227</v>
      </c>
      <c r="Q417" s="403" t="s">
        <v>8408</v>
      </c>
      <c r="R417" s="403" t="s">
        <v>5425</v>
      </c>
      <c r="S417" s="403" t="s">
        <v>14688</v>
      </c>
      <c r="T417" s="403" t="s">
        <v>14689</v>
      </c>
      <c r="U417" s="403"/>
      <c r="V417" s="403" t="s">
        <v>23024</v>
      </c>
      <c r="W417" s="403" t="s">
        <v>23024</v>
      </c>
      <c r="X417" s="403" t="s">
        <v>23024</v>
      </c>
      <c r="Y417" s="403" t="s">
        <v>23024</v>
      </c>
    </row>
    <row r="418" spans="1:25">
      <c r="A418" s="363">
        <f t="shared" si="55"/>
        <v>417</v>
      </c>
      <c r="B418" s="363" t="str">
        <f t="shared" si="48"/>
        <v>44</v>
      </c>
      <c r="C418" s="405" t="str">
        <f t="shared" si="49"/>
        <v>第003850号</v>
      </c>
      <c r="D418" s="405" t="str">
        <f t="shared" si="50"/>
        <v>（有）山脇金物店</v>
      </c>
      <c r="E418" s="405" t="str">
        <f t="shared" si="51"/>
        <v>代表取締役</v>
      </c>
      <c r="F418" s="405" t="str">
        <f t="shared" si="52"/>
        <v>中尾　眞幸</v>
      </c>
      <c r="G418" s="405" t="str">
        <f t="shared" si="53"/>
        <v>主たる営業所</v>
      </c>
      <c r="H418" s="405" t="str">
        <f t="shared" si="54"/>
        <v>別府市野口元町３－３３</v>
      </c>
      <c r="L418" s="403" t="s">
        <v>8409</v>
      </c>
      <c r="M418" s="403" t="s">
        <v>8410</v>
      </c>
      <c r="N418" s="403" t="s">
        <v>2182</v>
      </c>
      <c r="O418" s="403" t="s">
        <v>7084</v>
      </c>
      <c r="P418" s="403" t="s">
        <v>2183</v>
      </c>
      <c r="Q418" s="403" t="s">
        <v>8411</v>
      </c>
      <c r="R418" s="403" t="s">
        <v>18901</v>
      </c>
      <c r="S418" s="403" t="s">
        <v>14690</v>
      </c>
      <c r="T418" s="403" t="s">
        <v>14691</v>
      </c>
      <c r="U418" s="403"/>
      <c r="V418" s="403" t="s">
        <v>23024</v>
      </c>
      <c r="W418" s="403" t="s">
        <v>23024</v>
      </c>
      <c r="X418" s="403" t="s">
        <v>23024</v>
      </c>
      <c r="Y418" s="403" t="s">
        <v>23024</v>
      </c>
    </row>
    <row r="419" spans="1:25">
      <c r="A419" s="363">
        <f t="shared" si="55"/>
        <v>418</v>
      </c>
      <c r="B419" s="363" t="str">
        <f t="shared" si="48"/>
        <v>44</v>
      </c>
      <c r="C419" s="405" t="str">
        <f t="shared" si="49"/>
        <v>第003858号</v>
      </c>
      <c r="D419" s="405" t="str">
        <f t="shared" si="50"/>
        <v>横井建設（有）</v>
      </c>
      <c r="E419" s="405" t="str">
        <f t="shared" si="51"/>
        <v>代表取締役</v>
      </c>
      <c r="F419" s="405" t="str">
        <f t="shared" si="52"/>
        <v>横井　健一</v>
      </c>
      <c r="G419" s="405" t="str">
        <f t="shared" si="53"/>
        <v>主たる営業所</v>
      </c>
      <c r="H419" s="405" t="str">
        <f t="shared" si="54"/>
        <v>別府市古市町８８１－１８２</v>
      </c>
      <c r="L419" s="403" t="s">
        <v>8412</v>
      </c>
      <c r="M419" s="403" t="s">
        <v>8413</v>
      </c>
      <c r="N419" s="403" t="s">
        <v>2184</v>
      </c>
      <c r="O419" s="403" t="s">
        <v>7084</v>
      </c>
      <c r="P419" s="403" t="s">
        <v>2185</v>
      </c>
      <c r="Q419" s="403" t="s">
        <v>8414</v>
      </c>
      <c r="R419" s="403" t="s">
        <v>18902</v>
      </c>
      <c r="S419" s="403" t="s">
        <v>14692</v>
      </c>
      <c r="T419" s="403" t="s">
        <v>14693</v>
      </c>
      <c r="U419" s="403"/>
      <c r="V419" s="403" t="s">
        <v>23024</v>
      </c>
      <c r="W419" s="403" t="s">
        <v>23024</v>
      </c>
      <c r="X419" s="403" t="s">
        <v>23024</v>
      </c>
      <c r="Y419" s="403" t="s">
        <v>23024</v>
      </c>
    </row>
    <row r="420" spans="1:25">
      <c r="A420" s="363">
        <f t="shared" si="55"/>
        <v>419</v>
      </c>
      <c r="B420" s="363" t="str">
        <f t="shared" si="48"/>
        <v>44</v>
      </c>
      <c r="C420" s="405" t="str">
        <f t="shared" si="49"/>
        <v>第003862号</v>
      </c>
      <c r="D420" s="405" t="str">
        <f t="shared" si="50"/>
        <v>（有）野中電機</v>
      </c>
      <c r="E420" s="405" t="str">
        <f t="shared" si="51"/>
        <v>代表取締役</v>
      </c>
      <c r="F420" s="405" t="str">
        <f t="shared" si="52"/>
        <v>野中　紀徳</v>
      </c>
      <c r="G420" s="405" t="str">
        <f t="shared" si="53"/>
        <v>主たる営業所</v>
      </c>
      <c r="H420" s="405" t="str">
        <f t="shared" si="54"/>
        <v>速見郡日出町３１３７－５</v>
      </c>
      <c r="L420" s="403" t="s">
        <v>8415</v>
      </c>
      <c r="M420" s="403" t="s">
        <v>8416</v>
      </c>
      <c r="N420" s="403" t="s">
        <v>2186</v>
      </c>
      <c r="O420" s="403" t="s">
        <v>7084</v>
      </c>
      <c r="P420" s="403" t="s">
        <v>2187</v>
      </c>
      <c r="Q420" s="403" t="s">
        <v>7628</v>
      </c>
      <c r="R420" s="403" t="s">
        <v>18903</v>
      </c>
      <c r="S420" s="403" t="s">
        <v>14694</v>
      </c>
      <c r="T420" s="403" t="s">
        <v>14695</v>
      </c>
      <c r="U420" s="403"/>
      <c r="V420" s="403" t="s">
        <v>23024</v>
      </c>
      <c r="W420" s="403" t="s">
        <v>23024</v>
      </c>
      <c r="X420" s="403" t="s">
        <v>23024</v>
      </c>
      <c r="Y420" s="403" t="s">
        <v>23024</v>
      </c>
    </row>
    <row r="421" spans="1:25">
      <c r="A421" s="363">
        <f t="shared" si="55"/>
        <v>420</v>
      </c>
      <c r="B421" s="363" t="str">
        <f t="shared" si="48"/>
        <v>44</v>
      </c>
      <c r="C421" s="405" t="str">
        <f t="shared" si="49"/>
        <v>第003883号</v>
      </c>
      <c r="D421" s="405" t="str">
        <f t="shared" si="50"/>
        <v>（株）大島電設</v>
      </c>
      <c r="E421" s="405" t="str">
        <f t="shared" si="51"/>
        <v>代表取締役</v>
      </c>
      <c r="F421" s="405" t="str">
        <f t="shared" si="52"/>
        <v>大島　弘樹</v>
      </c>
      <c r="G421" s="405" t="str">
        <f t="shared" si="53"/>
        <v>主たる営業所</v>
      </c>
      <c r="H421" s="405" t="str">
        <f t="shared" si="54"/>
        <v>別府市新港町１－１８</v>
      </c>
      <c r="L421" s="403" t="s">
        <v>8417</v>
      </c>
      <c r="M421" s="403" t="s">
        <v>8418</v>
      </c>
      <c r="N421" s="403" t="s">
        <v>2188</v>
      </c>
      <c r="O421" s="403" t="s">
        <v>7084</v>
      </c>
      <c r="P421" s="403" t="s">
        <v>2189</v>
      </c>
      <c r="Q421" s="403" t="s">
        <v>8419</v>
      </c>
      <c r="R421" s="403" t="s">
        <v>18904</v>
      </c>
      <c r="S421" s="403" t="s">
        <v>14696</v>
      </c>
      <c r="T421" s="403" t="s">
        <v>14697</v>
      </c>
      <c r="U421" s="403"/>
      <c r="V421" s="403" t="s">
        <v>23024</v>
      </c>
      <c r="W421" s="403" t="s">
        <v>23024</v>
      </c>
      <c r="X421" s="403" t="s">
        <v>23024</v>
      </c>
      <c r="Y421" s="403" t="s">
        <v>23024</v>
      </c>
    </row>
    <row r="422" spans="1:25">
      <c r="A422" s="363">
        <f t="shared" si="55"/>
        <v>421</v>
      </c>
      <c r="B422" s="363" t="str">
        <f t="shared" si="48"/>
        <v>44</v>
      </c>
      <c r="C422" s="405" t="str">
        <f t="shared" si="49"/>
        <v>第003891号</v>
      </c>
      <c r="D422" s="405" t="str">
        <f t="shared" si="50"/>
        <v>（有）佐藤建設</v>
      </c>
      <c r="E422" s="405" t="str">
        <f t="shared" si="51"/>
        <v>代表取締役</v>
      </c>
      <c r="F422" s="405" t="str">
        <f t="shared" si="52"/>
        <v>佐藤　武彦</v>
      </c>
      <c r="G422" s="405" t="str">
        <f t="shared" si="53"/>
        <v>主たる営業所</v>
      </c>
      <c r="H422" s="405" t="str">
        <f t="shared" si="54"/>
        <v>杵築市山香町大字日指２７８０</v>
      </c>
      <c r="L422" s="403" t="s">
        <v>8420</v>
      </c>
      <c r="M422" s="403" t="s">
        <v>8421</v>
      </c>
      <c r="N422" s="403" t="s">
        <v>2174</v>
      </c>
      <c r="O422" s="403" t="s">
        <v>7084</v>
      </c>
      <c r="P422" s="403" t="s">
        <v>2190</v>
      </c>
      <c r="Q422" s="403" t="s">
        <v>8408</v>
      </c>
      <c r="R422" s="403" t="s">
        <v>5426</v>
      </c>
      <c r="S422" s="403" t="s">
        <v>14698</v>
      </c>
      <c r="T422" s="403" t="s">
        <v>14699</v>
      </c>
      <c r="U422" s="403"/>
      <c r="V422" s="403" t="s">
        <v>23024</v>
      </c>
      <c r="W422" s="403" t="s">
        <v>23024</v>
      </c>
      <c r="X422" s="403" t="s">
        <v>23024</v>
      </c>
      <c r="Y422" s="403" t="s">
        <v>23024</v>
      </c>
    </row>
    <row r="423" spans="1:25">
      <c r="A423" s="363">
        <f t="shared" si="55"/>
        <v>422</v>
      </c>
      <c r="B423" s="363" t="str">
        <f t="shared" si="48"/>
        <v>44</v>
      </c>
      <c r="C423" s="405" t="str">
        <f t="shared" si="49"/>
        <v>第003900号</v>
      </c>
      <c r="D423" s="405" t="str">
        <f t="shared" si="50"/>
        <v>（有）吉弘建設</v>
      </c>
      <c r="E423" s="405" t="str">
        <f t="shared" si="51"/>
        <v>代表取締役</v>
      </c>
      <c r="F423" s="405" t="str">
        <f t="shared" si="52"/>
        <v>吉弘　秀二</v>
      </c>
      <c r="G423" s="405" t="str">
        <f t="shared" si="53"/>
        <v>主たる営業所</v>
      </c>
      <c r="H423" s="405" t="str">
        <f t="shared" si="54"/>
        <v>速見郡日出町大字川崎５０１－１</v>
      </c>
      <c r="L423" s="403" t="s">
        <v>8422</v>
      </c>
      <c r="M423" s="403" t="s">
        <v>8423</v>
      </c>
      <c r="N423" s="403" t="s">
        <v>2191</v>
      </c>
      <c r="O423" s="403" t="s">
        <v>7084</v>
      </c>
      <c r="P423" s="403" t="s">
        <v>2192</v>
      </c>
      <c r="Q423" s="403" t="s">
        <v>7590</v>
      </c>
      <c r="R423" s="403" t="s">
        <v>18905</v>
      </c>
      <c r="S423" s="403" t="s">
        <v>14700</v>
      </c>
      <c r="T423" s="403" t="s">
        <v>14701</v>
      </c>
      <c r="U423" s="403"/>
      <c r="V423" s="403" t="s">
        <v>23024</v>
      </c>
      <c r="W423" s="403" t="s">
        <v>23024</v>
      </c>
      <c r="X423" s="403" t="s">
        <v>23024</v>
      </c>
      <c r="Y423" s="403" t="s">
        <v>23024</v>
      </c>
    </row>
    <row r="424" spans="1:25">
      <c r="A424" s="363">
        <f t="shared" si="55"/>
        <v>423</v>
      </c>
      <c r="B424" s="363" t="str">
        <f t="shared" si="48"/>
        <v>44</v>
      </c>
      <c r="C424" s="405" t="str">
        <f t="shared" si="49"/>
        <v>第003924号</v>
      </c>
      <c r="D424" s="405" t="str">
        <f t="shared" si="50"/>
        <v>（有）藤建設</v>
      </c>
      <c r="E424" s="405" t="str">
        <f t="shared" si="51"/>
        <v>代表取締役</v>
      </c>
      <c r="F424" s="405" t="str">
        <f t="shared" si="52"/>
        <v>藤近　幸憲</v>
      </c>
      <c r="G424" s="405" t="str">
        <f t="shared" si="53"/>
        <v>主たる営業所</v>
      </c>
      <c r="H424" s="405" t="str">
        <f t="shared" si="54"/>
        <v>杵築市山香町大字野原９０５</v>
      </c>
      <c r="L424" s="403" t="s">
        <v>8424</v>
      </c>
      <c r="M424" s="403" t="s">
        <v>7460</v>
      </c>
      <c r="N424" s="403" t="s">
        <v>2193</v>
      </c>
      <c r="O424" s="403" t="s">
        <v>7084</v>
      </c>
      <c r="P424" s="403" t="s">
        <v>2194</v>
      </c>
      <c r="Q424" s="403" t="s">
        <v>8398</v>
      </c>
      <c r="R424" s="403" t="s">
        <v>5427</v>
      </c>
      <c r="S424" s="403" t="s">
        <v>14702</v>
      </c>
      <c r="T424" s="403" t="s">
        <v>14703</v>
      </c>
      <c r="U424" s="403"/>
      <c r="V424" s="403" t="s">
        <v>23024</v>
      </c>
      <c r="W424" s="403" t="s">
        <v>23024</v>
      </c>
      <c r="X424" s="403" t="s">
        <v>23024</v>
      </c>
      <c r="Y424" s="403" t="s">
        <v>23024</v>
      </c>
    </row>
    <row r="425" spans="1:25">
      <c r="A425" s="363">
        <f t="shared" si="55"/>
        <v>424</v>
      </c>
      <c r="B425" s="363" t="str">
        <f t="shared" si="48"/>
        <v>44</v>
      </c>
      <c r="C425" s="405" t="str">
        <f t="shared" si="49"/>
        <v>第003939号</v>
      </c>
      <c r="D425" s="405" t="str">
        <f t="shared" si="50"/>
        <v>（株）高原建設</v>
      </c>
      <c r="E425" s="405" t="str">
        <f t="shared" si="51"/>
        <v>代表取締役</v>
      </c>
      <c r="F425" s="405" t="str">
        <f t="shared" si="52"/>
        <v>高原　勝太郎</v>
      </c>
      <c r="G425" s="405" t="str">
        <f t="shared" si="53"/>
        <v>主たる営業所</v>
      </c>
      <c r="H425" s="405" t="str">
        <f t="shared" si="54"/>
        <v>杵築市大字中２０９</v>
      </c>
      <c r="L425" s="403" t="s">
        <v>8425</v>
      </c>
      <c r="M425" s="403" t="s">
        <v>8426</v>
      </c>
      <c r="N425" s="403" t="s">
        <v>2195</v>
      </c>
      <c r="O425" s="403" t="s">
        <v>7084</v>
      </c>
      <c r="P425" s="403" t="s">
        <v>2196</v>
      </c>
      <c r="Q425" s="403" t="s">
        <v>8427</v>
      </c>
      <c r="R425" s="403" t="s">
        <v>5428</v>
      </c>
      <c r="S425" s="403" t="s">
        <v>14704</v>
      </c>
      <c r="T425" s="403" t="s">
        <v>14705</v>
      </c>
      <c r="U425" s="403"/>
      <c r="V425" s="403" t="s">
        <v>23024</v>
      </c>
      <c r="W425" s="403" t="s">
        <v>23024</v>
      </c>
      <c r="X425" s="403" t="s">
        <v>23024</v>
      </c>
      <c r="Y425" s="403" t="s">
        <v>23024</v>
      </c>
    </row>
    <row r="426" spans="1:25">
      <c r="A426" s="363">
        <f t="shared" si="55"/>
        <v>425</v>
      </c>
      <c r="B426" s="363" t="str">
        <f t="shared" si="48"/>
        <v>44</v>
      </c>
      <c r="C426" s="405" t="str">
        <f t="shared" si="49"/>
        <v>第003950号</v>
      </c>
      <c r="D426" s="405" t="str">
        <f t="shared" si="50"/>
        <v>（有）三光電機</v>
      </c>
      <c r="E426" s="405" t="str">
        <f t="shared" si="51"/>
        <v>代表取締役</v>
      </c>
      <c r="F426" s="405" t="str">
        <f t="shared" si="52"/>
        <v>上田　和則</v>
      </c>
      <c r="G426" s="405" t="str">
        <f t="shared" si="53"/>
        <v>主たる営業所</v>
      </c>
      <c r="H426" s="405" t="str">
        <f t="shared" si="54"/>
        <v>別府市光町１５－２</v>
      </c>
      <c r="L426" s="403" t="s">
        <v>8428</v>
      </c>
      <c r="M426" s="403" t="s">
        <v>8429</v>
      </c>
      <c r="N426" s="403" t="s">
        <v>2198</v>
      </c>
      <c r="O426" s="403" t="s">
        <v>7084</v>
      </c>
      <c r="P426" s="403" t="s">
        <v>2199</v>
      </c>
      <c r="Q426" s="403" t="s">
        <v>7600</v>
      </c>
      <c r="R426" s="403" t="s">
        <v>18906</v>
      </c>
      <c r="S426" s="403" t="s">
        <v>14706</v>
      </c>
      <c r="T426" s="403" t="s">
        <v>14707</v>
      </c>
      <c r="U426" s="403"/>
      <c r="V426" s="403" t="s">
        <v>23024</v>
      </c>
      <c r="W426" s="403" t="s">
        <v>23024</v>
      </c>
      <c r="X426" s="403" t="s">
        <v>23024</v>
      </c>
      <c r="Y426" s="403" t="s">
        <v>23024</v>
      </c>
    </row>
    <row r="427" spans="1:25">
      <c r="A427" s="363">
        <f t="shared" si="55"/>
        <v>426</v>
      </c>
      <c r="B427" s="363" t="str">
        <f t="shared" si="48"/>
        <v>44</v>
      </c>
      <c r="C427" s="405" t="str">
        <f t="shared" si="49"/>
        <v>第003975号</v>
      </c>
      <c r="D427" s="405" t="str">
        <f t="shared" si="50"/>
        <v>（有）山本組</v>
      </c>
      <c r="E427" s="405" t="str">
        <f t="shared" si="51"/>
        <v>代表取締役</v>
      </c>
      <c r="F427" s="405" t="str">
        <f t="shared" si="52"/>
        <v>山本　活裕</v>
      </c>
      <c r="G427" s="405" t="str">
        <f t="shared" si="53"/>
        <v>主たる営業所</v>
      </c>
      <c r="H427" s="405" t="str">
        <f t="shared" si="54"/>
        <v>杵築市大字守江３０３７</v>
      </c>
      <c r="L427" s="403" t="s">
        <v>8430</v>
      </c>
      <c r="M427" s="403" t="s">
        <v>8431</v>
      </c>
      <c r="N427" s="403" t="s">
        <v>2200</v>
      </c>
      <c r="O427" s="403" t="s">
        <v>7084</v>
      </c>
      <c r="P427" s="403" t="s">
        <v>2201</v>
      </c>
      <c r="Q427" s="403" t="s">
        <v>8432</v>
      </c>
      <c r="R427" s="403" t="s">
        <v>5429</v>
      </c>
      <c r="S427" s="403" t="s">
        <v>14708</v>
      </c>
      <c r="T427" s="403" t="s">
        <v>14709</v>
      </c>
      <c r="U427" s="403"/>
      <c r="V427" s="403" t="s">
        <v>23024</v>
      </c>
      <c r="W427" s="403" t="s">
        <v>23024</v>
      </c>
      <c r="X427" s="403" t="s">
        <v>23024</v>
      </c>
      <c r="Y427" s="403" t="s">
        <v>23024</v>
      </c>
    </row>
    <row r="428" spans="1:25">
      <c r="A428" s="363">
        <f t="shared" si="55"/>
        <v>427</v>
      </c>
      <c r="B428" s="363" t="str">
        <f t="shared" si="48"/>
        <v>44</v>
      </c>
      <c r="C428" s="405" t="str">
        <f t="shared" si="49"/>
        <v>第003976号</v>
      </c>
      <c r="D428" s="405" t="str">
        <f t="shared" si="50"/>
        <v>（有）サンエイ</v>
      </c>
      <c r="E428" s="405" t="str">
        <f t="shared" si="51"/>
        <v>代表取締役</v>
      </c>
      <c r="F428" s="405" t="str">
        <f t="shared" si="52"/>
        <v>久綱　信一</v>
      </c>
      <c r="G428" s="405" t="str">
        <f t="shared" si="53"/>
        <v>主たる営業所</v>
      </c>
      <c r="H428" s="405" t="str">
        <f t="shared" si="54"/>
        <v>杵築市山香町大字久木野尾３１６５－１</v>
      </c>
      <c r="L428" s="403" t="s">
        <v>8433</v>
      </c>
      <c r="M428" s="403" t="s">
        <v>8434</v>
      </c>
      <c r="N428" s="403" t="s">
        <v>2202</v>
      </c>
      <c r="O428" s="403" t="s">
        <v>7084</v>
      </c>
      <c r="P428" s="403" t="s">
        <v>2079</v>
      </c>
      <c r="Q428" s="403" t="s">
        <v>8385</v>
      </c>
      <c r="R428" s="403" t="s">
        <v>18907</v>
      </c>
      <c r="S428" s="403" t="s">
        <v>14710</v>
      </c>
      <c r="T428" s="403" t="s">
        <v>14711</v>
      </c>
      <c r="U428" s="403"/>
      <c r="V428" s="403" t="s">
        <v>23024</v>
      </c>
      <c r="W428" s="403" t="s">
        <v>23024</v>
      </c>
      <c r="X428" s="403" t="s">
        <v>23024</v>
      </c>
      <c r="Y428" s="403" t="s">
        <v>23024</v>
      </c>
    </row>
    <row r="429" spans="1:25">
      <c r="A429" s="363">
        <f t="shared" si="55"/>
        <v>428</v>
      </c>
      <c r="B429" s="363" t="str">
        <f t="shared" si="48"/>
        <v>44</v>
      </c>
      <c r="C429" s="405" t="str">
        <f t="shared" si="49"/>
        <v>第003994号</v>
      </c>
      <c r="D429" s="405" t="str">
        <f t="shared" si="50"/>
        <v>（有）梶原松風園</v>
      </c>
      <c r="E429" s="405" t="str">
        <f t="shared" si="51"/>
        <v>代表取締役</v>
      </c>
      <c r="F429" s="405" t="str">
        <f t="shared" si="52"/>
        <v>梶原　稔三</v>
      </c>
      <c r="G429" s="405" t="str">
        <f t="shared" si="53"/>
        <v>主たる営業所</v>
      </c>
      <c r="H429" s="405" t="str">
        <f t="shared" si="54"/>
        <v>別府市石垣西８－１－５３</v>
      </c>
      <c r="L429" s="403" t="s">
        <v>8436</v>
      </c>
      <c r="M429" s="403" t="s">
        <v>8437</v>
      </c>
      <c r="N429" s="403" t="s">
        <v>2203</v>
      </c>
      <c r="O429" s="403" t="s">
        <v>7084</v>
      </c>
      <c r="P429" s="403" t="s">
        <v>2204</v>
      </c>
      <c r="Q429" s="403" t="s">
        <v>8438</v>
      </c>
      <c r="R429" s="403" t="s">
        <v>18908</v>
      </c>
      <c r="S429" s="403" t="s">
        <v>14712</v>
      </c>
      <c r="T429" s="403" t="s">
        <v>14713</v>
      </c>
      <c r="U429" s="403"/>
      <c r="V429" s="403" t="s">
        <v>23024</v>
      </c>
      <c r="W429" s="403" t="s">
        <v>23024</v>
      </c>
      <c r="X429" s="403" t="s">
        <v>23024</v>
      </c>
      <c r="Y429" s="403" t="s">
        <v>23024</v>
      </c>
    </row>
    <row r="430" spans="1:25">
      <c r="A430" s="363">
        <f t="shared" si="55"/>
        <v>429</v>
      </c>
      <c r="B430" s="363" t="str">
        <f t="shared" si="48"/>
        <v>44</v>
      </c>
      <c r="C430" s="405" t="str">
        <f t="shared" si="49"/>
        <v>第003999号</v>
      </c>
      <c r="D430" s="405" t="str">
        <f t="shared" si="50"/>
        <v>（有）富来造園土木</v>
      </c>
      <c r="E430" s="405" t="str">
        <f t="shared" si="51"/>
        <v>代表取締役</v>
      </c>
      <c r="F430" s="405" t="str">
        <f t="shared" si="52"/>
        <v>富来　孝之</v>
      </c>
      <c r="G430" s="405" t="str">
        <f t="shared" si="53"/>
        <v>主たる営業所</v>
      </c>
      <c r="H430" s="405" t="str">
        <f t="shared" si="54"/>
        <v>杵築市大字日野８３２</v>
      </c>
      <c r="L430" s="403" t="s">
        <v>8439</v>
      </c>
      <c r="M430" s="403" t="s">
        <v>8440</v>
      </c>
      <c r="N430" s="403" t="s">
        <v>2205</v>
      </c>
      <c r="O430" s="403" t="s">
        <v>7084</v>
      </c>
      <c r="P430" s="403" t="s">
        <v>2206</v>
      </c>
      <c r="Q430" s="403" t="s">
        <v>8441</v>
      </c>
      <c r="R430" s="403" t="s">
        <v>5430</v>
      </c>
      <c r="S430" s="403" t="s">
        <v>14714</v>
      </c>
      <c r="T430" s="403" t="s">
        <v>14715</v>
      </c>
      <c r="U430" s="403"/>
      <c r="V430" s="403" t="s">
        <v>23024</v>
      </c>
      <c r="W430" s="403" t="s">
        <v>23024</v>
      </c>
      <c r="X430" s="403" t="s">
        <v>23024</v>
      </c>
      <c r="Y430" s="403" t="s">
        <v>23024</v>
      </c>
    </row>
    <row r="431" spans="1:25">
      <c r="A431" s="363">
        <f t="shared" si="55"/>
        <v>430</v>
      </c>
      <c r="B431" s="363" t="str">
        <f t="shared" si="48"/>
        <v>44</v>
      </c>
      <c r="C431" s="405" t="str">
        <f t="shared" si="49"/>
        <v>第004016号</v>
      </c>
      <c r="D431" s="405" t="str">
        <f t="shared" si="50"/>
        <v>（有）姫野工務店</v>
      </c>
      <c r="E431" s="405" t="str">
        <f t="shared" si="51"/>
        <v>代表取締役</v>
      </c>
      <c r="F431" s="405" t="str">
        <f t="shared" si="52"/>
        <v>小野　晶紀</v>
      </c>
      <c r="G431" s="405" t="str">
        <f t="shared" si="53"/>
        <v>主たる営業所</v>
      </c>
      <c r="H431" s="405" t="str">
        <f t="shared" si="54"/>
        <v>大分市花津留２－１９－１０</v>
      </c>
      <c r="L431" s="403" t="s">
        <v>8442</v>
      </c>
      <c r="M431" s="403" t="s">
        <v>8443</v>
      </c>
      <c r="N431" s="403" t="s">
        <v>2207</v>
      </c>
      <c r="O431" s="403" t="s">
        <v>7084</v>
      </c>
      <c r="P431" s="403" t="s">
        <v>2208</v>
      </c>
      <c r="Q431" s="403" t="s">
        <v>7383</v>
      </c>
      <c r="R431" s="403" t="s">
        <v>18909</v>
      </c>
      <c r="S431" s="403" t="s">
        <v>14716</v>
      </c>
      <c r="T431" s="403" t="s">
        <v>14717</v>
      </c>
      <c r="U431" s="403"/>
      <c r="V431" s="403" t="s">
        <v>23024</v>
      </c>
      <c r="W431" s="403" t="s">
        <v>23024</v>
      </c>
      <c r="X431" s="403" t="s">
        <v>23024</v>
      </c>
      <c r="Y431" s="403" t="s">
        <v>23024</v>
      </c>
    </row>
    <row r="432" spans="1:25">
      <c r="A432" s="363">
        <f t="shared" si="55"/>
        <v>431</v>
      </c>
      <c r="B432" s="363" t="str">
        <f t="shared" si="48"/>
        <v>44</v>
      </c>
      <c r="C432" s="405" t="str">
        <f t="shared" si="49"/>
        <v>第004029号</v>
      </c>
      <c r="D432" s="405" t="str">
        <f t="shared" si="50"/>
        <v>（株）オカモト</v>
      </c>
      <c r="E432" s="405" t="str">
        <f t="shared" si="51"/>
        <v>代表取締役</v>
      </c>
      <c r="F432" s="405" t="str">
        <f t="shared" si="52"/>
        <v>岡本　代一</v>
      </c>
      <c r="G432" s="405" t="str">
        <f t="shared" si="53"/>
        <v>主たる営業所</v>
      </c>
      <c r="H432" s="405" t="str">
        <f t="shared" si="54"/>
        <v>大分市大字佐賀関２２６９</v>
      </c>
      <c r="L432" s="403" t="s">
        <v>8444</v>
      </c>
      <c r="M432" s="403" t="s">
        <v>8445</v>
      </c>
      <c r="N432" s="403" t="s">
        <v>2209</v>
      </c>
      <c r="O432" s="403" t="s">
        <v>7084</v>
      </c>
      <c r="P432" s="403" t="s">
        <v>2210</v>
      </c>
      <c r="Q432" s="403" t="s">
        <v>7750</v>
      </c>
      <c r="R432" s="403" t="s">
        <v>5431</v>
      </c>
      <c r="S432" s="403" t="s">
        <v>14718</v>
      </c>
      <c r="T432" s="403" t="s">
        <v>14719</v>
      </c>
      <c r="U432" s="403"/>
      <c r="V432" s="403" t="s">
        <v>23024</v>
      </c>
      <c r="W432" s="403" t="s">
        <v>23024</v>
      </c>
      <c r="X432" s="403" t="s">
        <v>23024</v>
      </c>
      <c r="Y432" s="403" t="s">
        <v>23024</v>
      </c>
    </row>
    <row r="433" spans="1:25">
      <c r="A433" s="363">
        <f t="shared" si="55"/>
        <v>432</v>
      </c>
      <c r="B433" s="363" t="str">
        <f t="shared" si="48"/>
        <v>44</v>
      </c>
      <c r="C433" s="405" t="str">
        <f t="shared" si="49"/>
        <v>第004033号</v>
      </c>
      <c r="D433" s="405" t="str">
        <f t="shared" si="50"/>
        <v>（有）二村鈑金工作所</v>
      </c>
      <c r="E433" s="405" t="str">
        <f t="shared" si="51"/>
        <v>代表取締役</v>
      </c>
      <c r="F433" s="405" t="str">
        <f t="shared" si="52"/>
        <v>二村　貴</v>
      </c>
      <c r="G433" s="405" t="str">
        <f t="shared" si="53"/>
        <v>主たる営業所</v>
      </c>
      <c r="H433" s="405" t="str">
        <f t="shared" si="54"/>
        <v>臼杵市大字諏訪６４２－３</v>
      </c>
      <c r="L433" s="403" t="s">
        <v>8446</v>
      </c>
      <c r="M433" s="403" t="s">
        <v>8447</v>
      </c>
      <c r="N433" s="403" t="s">
        <v>2211</v>
      </c>
      <c r="O433" s="403" t="s">
        <v>7084</v>
      </c>
      <c r="P433" s="403" t="s">
        <v>2212</v>
      </c>
      <c r="Q433" s="403" t="s">
        <v>7788</v>
      </c>
      <c r="R433" s="403" t="s">
        <v>18910</v>
      </c>
      <c r="S433" s="403" t="s">
        <v>14720</v>
      </c>
      <c r="T433" s="403" t="s">
        <v>14721</v>
      </c>
      <c r="U433" s="403"/>
      <c r="V433" s="403" t="s">
        <v>23024</v>
      </c>
      <c r="W433" s="403" t="s">
        <v>23024</v>
      </c>
      <c r="X433" s="403" t="s">
        <v>23024</v>
      </c>
      <c r="Y433" s="403" t="s">
        <v>23024</v>
      </c>
    </row>
    <row r="434" spans="1:25">
      <c r="A434" s="363">
        <f t="shared" si="55"/>
        <v>433</v>
      </c>
      <c r="B434" s="363" t="str">
        <f t="shared" si="48"/>
        <v>44</v>
      </c>
      <c r="C434" s="405" t="str">
        <f t="shared" si="49"/>
        <v>第004037号</v>
      </c>
      <c r="D434" s="405" t="str">
        <f t="shared" si="50"/>
        <v>（有）川本建設</v>
      </c>
      <c r="E434" s="405" t="str">
        <f t="shared" si="51"/>
        <v>代表取締役</v>
      </c>
      <c r="F434" s="405" t="str">
        <f t="shared" si="52"/>
        <v>牧　政治</v>
      </c>
      <c r="G434" s="405" t="str">
        <f t="shared" si="53"/>
        <v>主たる営業所</v>
      </c>
      <c r="H434" s="405" t="str">
        <f t="shared" si="54"/>
        <v>津久見市千怒３４８８－２</v>
      </c>
      <c r="L434" s="403" t="s">
        <v>8448</v>
      </c>
      <c r="M434" s="403" t="s">
        <v>8449</v>
      </c>
      <c r="N434" s="403" t="s">
        <v>2213</v>
      </c>
      <c r="O434" s="403" t="s">
        <v>7084</v>
      </c>
      <c r="P434" s="403" t="s">
        <v>2214</v>
      </c>
      <c r="Q434" s="403" t="s">
        <v>7814</v>
      </c>
      <c r="R434" s="403" t="s">
        <v>18911</v>
      </c>
      <c r="S434" s="403" t="s">
        <v>14722</v>
      </c>
      <c r="T434" s="403" t="s">
        <v>14723</v>
      </c>
      <c r="U434" s="403"/>
      <c r="V434" s="403" t="s">
        <v>23024</v>
      </c>
      <c r="W434" s="403" t="s">
        <v>23024</v>
      </c>
      <c r="X434" s="403" t="s">
        <v>23024</v>
      </c>
      <c r="Y434" s="403" t="s">
        <v>23024</v>
      </c>
    </row>
    <row r="435" spans="1:25">
      <c r="A435" s="363">
        <f t="shared" si="55"/>
        <v>434</v>
      </c>
      <c r="B435" s="363" t="str">
        <f t="shared" si="48"/>
        <v>44</v>
      </c>
      <c r="C435" s="405" t="str">
        <f t="shared" si="49"/>
        <v>第004045号</v>
      </c>
      <c r="D435" s="405" t="str">
        <f t="shared" si="50"/>
        <v>（株）麻生電業</v>
      </c>
      <c r="E435" s="405" t="str">
        <f t="shared" si="51"/>
        <v>代表取締役</v>
      </c>
      <c r="F435" s="405" t="str">
        <f t="shared" si="52"/>
        <v>麻生　勇</v>
      </c>
      <c r="G435" s="405" t="str">
        <f t="shared" si="53"/>
        <v>主たる営業所</v>
      </c>
      <c r="H435" s="405" t="str">
        <f t="shared" si="54"/>
        <v>津久見市中央町２－１９</v>
      </c>
      <c r="L435" s="403" t="s">
        <v>8450</v>
      </c>
      <c r="M435" s="403" t="s">
        <v>8451</v>
      </c>
      <c r="N435" s="403" t="s">
        <v>2215</v>
      </c>
      <c r="O435" s="403" t="s">
        <v>7084</v>
      </c>
      <c r="P435" s="403" t="s">
        <v>2216</v>
      </c>
      <c r="Q435" s="403" t="s">
        <v>7811</v>
      </c>
      <c r="R435" s="403" t="s">
        <v>18912</v>
      </c>
      <c r="S435" s="403" t="s">
        <v>14724</v>
      </c>
      <c r="T435" s="403" t="s">
        <v>14725</v>
      </c>
      <c r="U435" s="403"/>
      <c r="V435" s="403" t="s">
        <v>23024</v>
      </c>
      <c r="W435" s="403" t="s">
        <v>23024</v>
      </c>
      <c r="X435" s="403" t="s">
        <v>23024</v>
      </c>
      <c r="Y435" s="403" t="s">
        <v>23024</v>
      </c>
    </row>
    <row r="436" spans="1:25">
      <c r="A436" s="363">
        <f t="shared" si="55"/>
        <v>435</v>
      </c>
      <c r="B436" s="363" t="str">
        <f t="shared" si="48"/>
        <v>44</v>
      </c>
      <c r="C436" s="405" t="str">
        <f t="shared" si="49"/>
        <v>第004058号</v>
      </c>
      <c r="D436" s="405" t="str">
        <f t="shared" si="50"/>
        <v>（有）九州電設</v>
      </c>
      <c r="E436" s="405" t="str">
        <f t="shared" si="51"/>
        <v>代表取締役</v>
      </c>
      <c r="F436" s="405" t="str">
        <f t="shared" si="52"/>
        <v>渡辺　武</v>
      </c>
      <c r="G436" s="405" t="str">
        <f t="shared" si="53"/>
        <v>主たる営業所</v>
      </c>
      <c r="H436" s="405" t="str">
        <f t="shared" si="54"/>
        <v>津久見市地蔵町１１－７</v>
      </c>
      <c r="L436" s="403" t="s">
        <v>8452</v>
      </c>
      <c r="M436" s="403" t="s">
        <v>8453</v>
      </c>
      <c r="N436" s="403" t="s">
        <v>2217</v>
      </c>
      <c r="O436" s="403" t="s">
        <v>7084</v>
      </c>
      <c r="P436" s="403" t="s">
        <v>5301</v>
      </c>
      <c r="Q436" s="403" t="s">
        <v>7753</v>
      </c>
      <c r="R436" s="403" t="s">
        <v>18913</v>
      </c>
      <c r="S436" s="403" t="s">
        <v>14726</v>
      </c>
      <c r="T436" s="403" t="s">
        <v>14727</v>
      </c>
      <c r="U436" s="403"/>
      <c r="V436" s="403" t="s">
        <v>23024</v>
      </c>
      <c r="W436" s="403" t="s">
        <v>23024</v>
      </c>
      <c r="X436" s="403" t="s">
        <v>23024</v>
      </c>
      <c r="Y436" s="403" t="s">
        <v>23024</v>
      </c>
    </row>
    <row r="437" spans="1:25">
      <c r="A437" s="363">
        <f t="shared" si="55"/>
        <v>436</v>
      </c>
      <c r="B437" s="363" t="str">
        <f t="shared" si="48"/>
        <v>44</v>
      </c>
      <c r="C437" s="405" t="str">
        <f t="shared" si="49"/>
        <v>第004099号</v>
      </c>
      <c r="D437" s="405" t="str">
        <f t="shared" si="50"/>
        <v>（株）ヤクテツ</v>
      </c>
      <c r="E437" s="405" t="str">
        <f t="shared" si="51"/>
        <v>代表取締役</v>
      </c>
      <c r="F437" s="405" t="str">
        <f t="shared" si="52"/>
        <v>柴山　安生</v>
      </c>
      <c r="G437" s="405" t="str">
        <f t="shared" si="53"/>
        <v>主たる営業所</v>
      </c>
      <c r="H437" s="405" t="str">
        <f t="shared" si="54"/>
        <v>津久見市大字堅浦１３８１－１</v>
      </c>
      <c r="L437" s="403" t="s">
        <v>8454</v>
      </c>
      <c r="M437" s="403" t="s">
        <v>8455</v>
      </c>
      <c r="N437" s="403" t="s">
        <v>2218</v>
      </c>
      <c r="O437" s="403" t="s">
        <v>7084</v>
      </c>
      <c r="P437" s="403" t="s">
        <v>2219</v>
      </c>
      <c r="Q437" s="403" t="s">
        <v>8456</v>
      </c>
      <c r="R437" s="403" t="s">
        <v>18914</v>
      </c>
      <c r="S437" s="403" t="s">
        <v>14728</v>
      </c>
      <c r="T437" s="403" t="s">
        <v>14729</v>
      </c>
      <c r="U437" s="403"/>
      <c r="V437" s="403" t="s">
        <v>23024</v>
      </c>
      <c r="W437" s="403" t="s">
        <v>23024</v>
      </c>
      <c r="X437" s="403" t="s">
        <v>23024</v>
      </c>
      <c r="Y437" s="403" t="s">
        <v>23024</v>
      </c>
    </row>
    <row r="438" spans="1:25">
      <c r="A438" s="363">
        <f t="shared" si="55"/>
        <v>437</v>
      </c>
      <c r="B438" s="363" t="str">
        <f t="shared" si="48"/>
        <v>44</v>
      </c>
      <c r="C438" s="405" t="str">
        <f t="shared" si="49"/>
        <v>第004112号</v>
      </c>
      <c r="D438" s="405" t="str">
        <f t="shared" si="50"/>
        <v>（有）新和建設</v>
      </c>
      <c r="E438" s="405" t="str">
        <f t="shared" si="51"/>
        <v>代表取締役</v>
      </c>
      <c r="F438" s="405" t="str">
        <f t="shared" si="52"/>
        <v>野中　有紀</v>
      </c>
      <c r="G438" s="405" t="str">
        <f t="shared" si="53"/>
        <v>主たる営業所</v>
      </c>
      <c r="H438" s="405" t="str">
        <f t="shared" si="54"/>
        <v>佐伯市城南町１０－２０</v>
      </c>
      <c r="L438" s="403" t="s">
        <v>8457</v>
      </c>
      <c r="M438" s="403" t="s">
        <v>8458</v>
      </c>
      <c r="N438" s="403" t="s">
        <v>2220</v>
      </c>
      <c r="O438" s="403" t="s">
        <v>7084</v>
      </c>
      <c r="P438" s="403" t="s">
        <v>2221</v>
      </c>
      <c r="Q438" s="403" t="s">
        <v>8459</v>
      </c>
      <c r="R438" s="403" t="s">
        <v>18915</v>
      </c>
      <c r="S438" s="403" t="s">
        <v>14730</v>
      </c>
      <c r="T438" s="403" t="s">
        <v>14731</v>
      </c>
      <c r="U438" s="403"/>
      <c r="V438" s="403" t="s">
        <v>23024</v>
      </c>
      <c r="W438" s="403" t="s">
        <v>23024</v>
      </c>
      <c r="X438" s="403" t="s">
        <v>23024</v>
      </c>
      <c r="Y438" s="403" t="s">
        <v>23024</v>
      </c>
    </row>
    <row r="439" spans="1:25">
      <c r="A439" s="363">
        <f t="shared" si="55"/>
        <v>438</v>
      </c>
      <c r="B439" s="363" t="str">
        <f t="shared" si="48"/>
        <v>44</v>
      </c>
      <c r="C439" s="405" t="str">
        <f t="shared" si="49"/>
        <v>第004181号</v>
      </c>
      <c r="D439" s="405" t="str">
        <f t="shared" si="50"/>
        <v>中川電設工業（株）</v>
      </c>
      <c r="E439" s="405" t="str">
        <f t="shared" si="51"/>
        <v>代表取締役</v>
      </c>
      <c r="F439" s="405" t="str">
        <f t="shared" si="52"/>
        <v>中川　大輔</v>
      </c>
      <c r="G439" s="405" t="str">
        <f t="shared" si="53"/>
        <v>主たる営業所</v>
      </c>
      <c r="H439" s="405" t="str">
        <f t="shared" si="54"/>
        <v>佐伯市大字鶴望２２９５－３</v>
      </c>
      <c r="L439" s="403" t="s">
        <v>8461</v>
      </c>
      <c r="M439" s="403" t="s">
        <v>8462</v>
      </c>
      <c r="N439" s="403" t="s">
        <v>2222</v>
      </c>
      <c r="O439" s="403" t="s">
        <v>7084</v>
      </c>
      <c r="P439" s="403" t="s">
        <v>2223</v>
      </c>
      <c r="Q439" s="403" t="s">
        <v>8463</v>
      </c>
      <c r="R439" s="403" t="s">
        <v>18916</v>
      </c>
      <c r="S439" s="403" t="s">
        <v>14732</v>
      </c>
      <c r="T439" s="403" t="s">
        <v>14733</v>
      </c>
      <c r="U439" s="403"/>
      <c r="V439" s="403" t="s">
        <v>23024</v>
      </c>
      <c r="W439" s="403" t="s">
        <v>23024</v>
      </c>
      <c r="X439" s="403" t="s">
        <v>23024</v>
      </c>
      <c r="Y439" s="403" t="s">
        <v>23024</v>
      </c>
    </row>
    <row r="440" spans="1:25">
      <c r="A440" s="363">
        <f t="shared" si="55"/>
        <v>439</v>
      </c>
      <c r="B440" s="363" t="str">
        <f t="shared" si="48"/>
        <v>44</v>
      </c>
      <c r="C440" s="405" t="str">
        <f t="shared" si="49"/>
        <v>第004187号</v>
      </c>
      <c r="D440" s="405" t="str">
        <f t="shared" si="50"/>
        <v>（有）川元建設工業</v>
      </c>
      <c r="E440" s="405" t="str">
        <f t="shared" si="51"/>
        <v>代表取締役</v>
      </c>
      <c r="F440" s="405" t="str">
        <f t="shared" si="52"/>
        <v>川元　キミ子</v>
      </c>
      <c r="G440" s="405" t="str">
        <f t="shared" si="53"/>
        <v>主たる営業所</v>
      </c>
      <c r="H440" s="405" t="str">
        <f t="shared" si="54"/>
        <v>佐伯市上浦大字最勝海浦３６８０</v>
      </c>
      <c r="L440" s="403" t="s">
        <v>8464</v>
      </c>
      <c r="M440" s="403" t="s">
        <v>8465</v>
      </c>
      <c r="N440" s="403" t="s">
        <v>2224</v>
      </c>
      <c r="O440" s="403" t="s">
        <v>7084</v>
      </c>
      <c r="P440" s="403" t="s">
        <v>2225</v>
      </c>
      <c r="Q440" s="403" t="s">
        <v>8466</v>
      </c>
      <c r="R440" s="403" t="s">
        <v>5432</v>
      </c>
      <c r="S440" s="403" t="s">
        <v>14734</v>
      </c>
      <c r="T440" s="403" t="s">
        <v>14735</v>
      </c>
      <c r="U440" s="403"/>
      <c r="V440" s="403" t="s">
        <v>23024</v>
      </c>
      <c r="W440" s="403" t="s">
        <v>23024</v>
      </c>
      <c r="X440" s="403" t="s">
        <v>23024</v>
      </c>
      <c r="Y440" s="403" t="s">
        <v>23024</v>
      </c>
    </row>
    <row r="441" spans="1:25">
      <c r="A441" s="363">
        <f t="shared" si="55"/>
        <v>440</v>
      </c>
      <c r="B441" s="363" t="str">
        <f t="shared" si="48"/>
        <v>44</v>
      </c>
      <c r="C441" s="405" t="str">
        <f t="shared" si="49"/>
        <v>第004194号</v>
      </c>
      <c r="D441" s="405" t="str">
        <f t="shared" si="50"/>
        <v>（株）南九建設</v>
      </c>
      <c r="E441" s="405" t="str">
        <f t="shared" si="51"/>
        <v>代表取締役</v>
      </c>
      <c r="F441" s="405" t="str">
        <f t="shared" si="52"/>
        <v>佐藤　優</v>
      </c>
      <c r="G441" s="405" t="str">
        <f t="shared" si="53"/>
        <v>主たる営業所</v>
      </c>
      <c r="H441" s="405" t="str">
        <f t="shared" si="54"/>
        <v>佐伯市女島２－９０３０</v>
      </c>
      <c r="L441" s="403" t="s">
        <v>8467</v>
      </c>
      <c r="M441" s="403" t="s">
        <v>8468</v>
      </c>
      <c r="N441" s="403" t="s">
        <v>2226</v>
      </c>
      <c r="O441" s="403" t="s">
        <v>7084</v>
      </c>
      <c r="P441" s="403" t="s">
        <v>2227</v>
      </c>
      <c r="Q441" s="403" t="s">
        <v>7842</v>
      </c>
      <c r="R441" s="403" t="s">
        <v>18917</v>
      </c>
      <c r="S441" s="403" t="s">
        <v>14736</v>
      </c>
      <c r="T441" s="403" t="s">
        <v>14737</v>
      </c>
      <c r="U441" s="403"/>
      <c r="V441" s="403" t="s">
        <v>23024</v>
      </c>
      <c r="W441" s="403" t="s">
        <v>23024</v>
      </c>
      <c r="X441" s="403" t="s">
        <v>23024</v>
      </c>
      <c r="Y441" s="403" t="s">
        <v>23024</v>
      </c>
    </row>
    <row r="442" spans="1:25">
      <c r="A442" s="363">
        <f t="shared" si="55"/>
        <v>441</v>
      </c>
      <c r="B442" s="363" t="str">
        <f t="shared" si="48"/>
        <v>44</v>
      </c>
      <c r="C442" s="405" t="str">
        <f t="shared" si="49"/>
        <v>第004200号</v>
      </c>
      <c r="D442" s="405" t="str">
        <f t="shared" si="50"/>
        <v>庄司建設工業（有）</v>
      </c>
      <c r="E442" s="405" t="str">
        <f t="shared" si="51"/>
        <v>代表取締役</v>
      </c>
      <c r="F442" s="405" t="str">
        <f t="shared" si="52"/>
        <v>三又　和歌</v>
      </c>
      <c r="G442" s="405" t="str">
        <f t="shared" si="53"/>
        <v>主たる営業所</v>
      </c>
      <c r="H442" s="405" t="str">
        <f t="shared" si="54"/>
        <v>佐伯市大字鶴望２５４９－１</v>
      </c>
      <c r="L442" s="404" t="s">
        <v>8469</v>
      </c>
      <c r="M442" s="404" t="s">
        <v>8470</v>
      </c>
      <c r="N442" s="404" t="s">
        <v>2228</v>
      </c>
      <c r="O442" s="404" t="s">
        <v>7084</v>
      </c>
      <c r="P442" s="404" t="s">
        <v>18918</v>
      </c>
      <c r="Q442" s="404" t="s">
        <v>8463</v>
      </c>
      <c r="R442" s="404" t="s">
        <v>18919</v>
      </c>
      <c r="S442" s="404" t="s">
        <v>14738</v>
      </c>
      <c r="T442" s="404" t="s">
        <v>14739</v>
      </c>
      <c r="U442" s="404"/>
      <c r="V442" s="404" t="s">
        <v>23024</v>
      </c>
      <c r="W442" s="404" t="s">
        <v>23024</v>
      </c>
      <c r="X442" s="404" t="s">
        <v>23024</v>
      </c>
      <c r="Y442" s="404" t="s">
        <v>23024</v>
      </c>
    </row>
    <row r="443" spans="1:25">
      <c r="A443" s="363">
        <f t="shared" si="55"/>
        <v>442</v>
      </c>
      <c r="B443" s="363" t="str">
        <f t="shared" si="48"/>
        <v>44</v>
      </c>
      <c r="C443" s="405" t="str">
        <f t="shared" si="49"/>
        <v>第004212号</v>
      </c>
      <c r="D443" s="405" t="str">
        <f t="shared" si="50"/>
        <v>（株）香川建設</v>
      </c>
      <c r="E443" s="405" t="str">
        <f t="shared" si="51"/>
        <v>代表取締役</v>
      </c>
      <c r="F443" s="405" t="str">
        <f t="shared" si="52"/>
        <v>二田　教正</v>
      </c>
      <c r="G443" s="405" t="str">
        <f t="shared" si="53"/>
        <v>主たる営業所</v>
      </c>
      <c r="H443" s="405" t="str">
        <f t="shared" si="54"/>
        <v>佐伯市大字稲垣１２７８</v>
      </c>
      <c r="L443" s="402" t="s">
        <v>8471</v>
      </c>
      <c r="M443" s="402" t="s">
        <v>8472</v>
      </c>
      <c r="N443" s="402" t="s">
        <v>2229</v>
      </c>
      <c r="O443" s="402" t="s">
        <v>7084</v>
      </c>
      <c r="P443" s="402" t="s">
        <v>2230</v>
      </c>
      <c r="Q443" s="402" t="s">
        <v>8473</v>
      </c>
      <c r="R443" s="402" t="s">
        <v>5433</v>
      </c>
      <c r="S443" s="402" t="s">
        <v>14740</v>
      </c>
      <c r="T443" s="402" t="s">
        <v>14741</v>
      </c>
      <c r="U443" s="402"/>
      <c r="V443" s="402" t="s">
        <v>23024</v>
      </c>
      <c r="W443" s="402" t="s">
        <v>23024</v>
      </c>
      <c r="X443" s="402" t="s">
        <v>23024</v>
      </c>
      <c r="Y443" s="402" t="s">
        <v>23024</v>
      </c>
    </row>
    <row r="444" spans="1:25">
      <c r="A444" s="363">
        <f t="shared" si="55"/>
        <v>443</v>
      </c>
      <c r="B444" s="363" t="str">
        <f t="shared" si="48"/>
        <v>44</v>
      </c>
      <c r="C444" s="405" t="str">
        <f t="shared" si="49"/>
        <v>第004213号</v>
      </c>
      <c r="D444" s="405" t="str">
        <f t="shared" si="50"/>
        <v>和上建設工業（有）</v>
      </c>
      <c r="E444" s="405" t="str">
        <f t="shared" si="51"/>
        <v>代表取締役</v>
      </c>
      <c r="F444" s="405" t="str">
        <f t="shared" si="52"/>
        <v>増尾　孝徳</v>
      </c>
      <c r="G444" s="405" t="str">
        <f t="shared" si="53"/>
        <v>主たる営業所</v>
      </c>
      <c r="H444" s="405" t="str">
        <f t="shared" si="54"/>
        <v>佐伯市蒲江大字猪串浦４２８</v>
      </c>
      <c r="L444" s="403" t="s">
        <v>8474</v>
      </c>
      <c r="M444" s="403" t="s">
        <v>8475</v>
      </c>
      <c r="N444" s="403" t="s">
        <v>2231</v>
      </c>
      <c r="O444" s="403" t="s">
        <v>7084</v>
      </c>
      <c r="P444" s="403" t="s">
        <v>2232</v>
      </c>
      <c r="Q444" s="403" t="s">
        <v>8476</v>
      </c>
      <c r="R444" s="403" t="s">
        <v>5434</v>
      </c>
      <c r="S444" s="403" t="s">
        <v>14742</v>
      </c>
      <c r="T444" s="403" t="s">
        <v>14743</v>
      </c>
      <c r="U444" s="403"/>
      <c r="V444" s="403" t="s">
        <v>23024</v>
      </c>
      <c r="W444" s="403" t="s">
        <v>23024</v>
      </c>
      <c r="X444" s="403" t="s">
        <v>23024</v>
      </c>
      <c r="Y444" s="403" t="s">
        <v>23024</v>
      </c>
    </row>
    <row r="445" spans="1:25">
      <c r="A445" s="363">
        <f t="shared" si="55"/>
        <v>444</v>
      </c>
      <c r="B445" s="363" t="str">
        <f t="shared" si="48"/>
        <v>44</v>
      </c>
      <c r="C445" s="405" t="str">
        <f t="shared" si="49"/>
        <v>第004220号</v>
      </c>
      <c r="D445" s="405" t="str">
        <f t="shared" si="50"/>
        <v>（有）早瀬造園</v>
      </c>
      <c r="E445" s="405" t="str">
        <f t="shared" si="51"/>
        <v>代表取締役</v>
      </c>
      <c r="F445" s="405" t="str">
        <f t="shared" si="52"/>
        <v>関　秀樹</v>
      </c>
      <c r="G445" s="405" t="str">
        <f t="shared" si="53"/>
        <v>主たる営業所</v>
      </c>
      <c r="H445" s="405" t="str">
        <f t="shared" si="54"/>
        <v>佐伯市大字長谷６６９８</v>
      </c>
      <c r="L445" s="403" t="s">
        <v>8477</v>
      </c>
      <c r="M445" s="403" t="s">
        <v>8478</v>
      </c>
      <c r="N445" s="403" t="s">
        <v>2233</v>
      </c>
      <c r="O445" s="403" t="s">
        <v>7084</v>
      </c>
      <c r="P445" s="403" t="s">
        <v>2234</v>
      </c>
      <c r="Q445" s="403" t="s">
        <v>8479</v>
      </c>
      <c r="R445" s="403" t="s">
        <v>5435</v>
      </c>
      <c r="S445" s="403" t="s">
        <v>14744</v>
      </c>
      <c r="T445" s="403" t="s">
        <v>14745</v>
      </c>
      <c r="U445" s="403"/>
      <c r="V445" s="403" t="s">
        <v>23024</v>
      </c>
      <c r="W445" s="403" t="s">
        <v>23024</v>
      </c>
      <c r="X445" s="403" t="s">
        <v>23024</v>
      </c>
      <c r="Y445" s="403" t="s">
        <v>23024</v>
      </c>
    </row>
    <row r="446" spans="1:25">
      <c r="A446" s="363">
        <f t="shared" si="55"/>
        <v>445</v>
      </c>
      <c r="B446" s="363" t="str">
        <f t="shared" si="48"/>
        <v>44</v>
      </c>
      <c r="C446" s="405" t="str">
        <f t="shared" si="49"/>
        <v>第004225号</v>
      </c>
      <c r="D446" s="405" t="str">
        <f t="shared" si="50"/>
        <v>（株）疋田建築</v>
      </c>
      <c r="E446" s="405" t="str">
        <f t="shared" si="51"/>
        <v>代表取締役</v>
      </c>
      <c r="F446" s="405" t="str">
        <f t="shared" si="52"/>
        <v>疋田　寛子</v>
      </c>
      <c r="G446" s="405" t="str">
        <f t="shared" si="53"/>
        <v>主たる営業所</v>
      </c>
      <c r="H446" s="405" t="str">
        <f t="shared" si="54"/>
        <v>佐伯市大字長谷１０３２６－１０</v>
      </c>
      <c r="L446" s="403" t="s">
        <v>8480</v>
      </c>
      <c r="M446" s="403" t="s">
        <v>8481</v>
      </c>
      <c r="N446" s="403" t="s">
        <v>2235</v>
      </c>
      <c r="O446" s="403" t="s">
        <v>7084</v>
      </c>
      <c r="P446" s="403" t="s">
        <v>2236</v>
      </c>
      <c r="Q446" s="403" t="s">
        <v>8479</v>
      </c>
      <c r="R446" s="403" t="s">
        <v>18920</v>
      </c>
      <c r="S446" s="403" t="s">
        <v>14746</v>
      </c>
      <c r="T446" s="403" t="s">
        <v>14747</v>
      </c>
      <c r="U446" s="403"/>
      <c r="V446" s="403" t="s">
        <v>23024</v>
      </c>
      <c r="W446" s="403" t="s">
        <v>23024</v>
      </c>
      <c r="X446" s="403" t="s">
        <v>23024</v>
      </c>
      <c r="Y446" s="403" t="s">
        <v>23024</v>
      </c>
    </row>
    <row r="447" spans="1:25">
      <c r="A447" s="363">
        <f t="shared" si="55"/>
        <v>446</v>
      </c>
      <c r="B447" s="363" t="str">
        <f t="shared" si="48"/>
        <v>44</v>
      </c>
      <c r="C447" s="405" t="str">
        <f t="shared" si="49"/>
        <v>第004234号</v>
      </c>
      <c r="D447" s="405" t="str">
        <f t="shared" si="50"/>
        <v>（株）佐々木建設</v>
      </c>
      <c r="E447" s="405" t="str">
        <f t="shared" si="51"/>
        <v>代表取締役</v>
      </c>
      <c r="F447" s="405" t="str">
        <f t="shared" si="52"/>
        <v>佐々木　高明</v>
      </c>
      <c r="G447" s="405" t="str">
        <f t="shared" si="53"/>
        <v>主たる営業所</v>
      </c>
      <c r="H447" s="405" t="str">
        <f t="shared" si="54"/>
        <v>佐伯市宇目大字小野市４９８５－２</v>
      </c>
      <c r="L447" s="403" t="s">
        <v>8482</v>
      </c>
      <c r="M447" s="403" t="s">
        <v>7674</v>
      </c>
      <c r="N447" s="403" t="s">
        <v>2237</v>
      </c>
      <c r="O447" s="403" t="s">
        <v>7084</v>
      </c>
      <c r="P447" s="403" t="s">
        <v>2238</v>
      </c>
      <c r="Q447" s="403" t="s">
        <v>8483</v>
      </c>
      <c r="R447" s="403" t="s">
        <v>18921</v>
      </c>
      <c r="S447" s="403" t="s">
        <v>14748</v>
      </c>
      <c r="T447" s="403" t="s">
        <v>14749</v>
      </c>
      <c r="U447" s="403"/>
      <c r="V447" s="403" t="s">
        <v>23024</v>
      </c>
      <c r="W447" s="403" t="s">
        <v>23024</v>
      </c>
      <c r="X447" s="403" t="s">
        <v>23024</v>
      </c>
      <c r="Y447" s="403" t="s">
        <v>23024</v>
      </c>
    </row>
    <row r="448" spans="1:25">
      <c r="A448" s="363">
        <f t="shared" si="55"/>
        <v>447</v>
      </c>
      <c r="B448" s="363" t="str">
        <f t="shared" si="48"/>
        <v>44</v>
      </c>
      <c r="C448" s="405" t="str">
        <f t="shared" si="49"/>
        <v>第004237号</v>
      </c>
      <c r="D448" s="405" t="str">
        <f t="shared" si="50"/>
        <v>（株）明建</v>
      </c>
      <c r="E448" s="405" t="str">
        <f t="shared" si="51"/>
        <v>代表取締役</v>
      </c>
      <c r="F448" s="405" t="str">
        <f t="shared" si="52"/>
        <v>御手洗　哲也</v>
      </c>
      <c r="G448" s="405" t="str">
        <f t="shared" si="53"/>
        <v>主たる営業所</v>
      </c>
      <c r="H448" s="405" t="str">
        <f t="shared" si="54"/>
        <v>佐伯市弥生大字井崎１３８７－１</v>
      </c>
      <c r="L448" s="403" t="s">
        <v>8484</v>
      </c>
      <c r="M448" s="403" t="s">
        <v>8485</v>
      </c>
      <c r="N448" s="403" t="s">
        <v>2239</v>
      </c>
      <c r="O448" s="403" t="s">
        <v>7084</v>
      </c>
      <c r="P448" s="403" t="s">
        <v>18922</v>
      </c>
      <c r="Q448" s="403" t="s">
        <v>8486</v>
      </c>
      <c r="R448" s="403" t="s">
        <v>18923</v>
      </c>
      <c r="S448" s="403" t="s">
        <v>14750</v>
      </c>
      <c r="T448" s="403" t="s">
        <v>14751</v>
      </c>
      <c r="U448" s="403"/>
      <c r="V448" s="403" t="s">
        <v>23024</v>
      </c>
      <c r="W448" s="403" t="s">
        <v>23024</v>
      </c>
      <c r="X448" s="403" t="s">
        <v>23024</v>
      </c>
      <c r="Y448" s="403" t="s">
        <v>23024</v>
      </c>
    </row>
    <row r="449" spans="1:25">
      <c r="A449" s="363">
        <f t="shared" si="55"/>
        <v>448</v>
      </c>
      <c r="B449" s="363" t="str">
        <f t="shared" si="48"/>
        <v>44</v>
      </c>
      <c r="C449" s="405" t="str">
        <f t="shared" si="49"/>
        <v>第004240号</v>
      </c>
      <c r="D449" s="405" t="str">
        <f t="shared" si="50"/>
        <v>後藤建築</v>
      </c>
      <c r="E449" s="405" t="str">
        <f t="shared" si="51"/>
        <v>事業主</v>
      </c>
      <c r="F449" s="405" t="str">
        <f t="shared" si="52"/>
        <v>後藤　孫一</v>
      </c>
      <c r="G449" s="405" t="str">
        <f t="shared" si="53"/>
        <v>主たる営業所</v>
      </c>
      <c r="H449" s="405" t="str">
        <f t="shared" si="54"/>
        <v>佐伯市弥生大字山梨子６７４</v>
      </c>
      <c r="L449" s="403" t="s">
        <v>8487</v>
      </c>
      <c r="M449" s="403" t="s">
        <v>8488</v>
      </c>
      <c r="N449" s="403" t="s">
        <v>2240</v>
      </c>
      <c r="O449" s="403" t="s">
        <v>7088</v>
      </c>
      <c r="P449" s="403" t="s">
        <v>2241</v>
      </c>
      <c r="Q449" s="403" t="s">
        <v>8489</v>
      </c>
      <c r="R449" s="403" t="s">
        <v>5436</v>
      </c>
      <c r="S449" s="403" t="s">
        <v>14752</v>
      </c>
      <c r="T449" s="403" t="s">
        <v>14753</v>
      </c>
      <c r="U449" s="403"/>
      <c r="V449" s="403" t="s">
        <v>23024</v>
      </c>
      <c r="W449" s="403" t="s">
        <v>23024</v>
      </c>
      <c r="X449" s="403" t="s">
        <v>23024</v>
      </c>
      <c r="Y449" s="403" t="s">
        <v>23024</v>
      </c>
    </row>
    <row r="450" spans="1:25">
      <c r="A450" s="363">
        <f t="shared" si="55"/>
        <v>449</v>
      </c>
      <c r="B450" s="363" t="str">
        <f t="shared" ref="B450:B513" si="56">LEFT(L450,2)</f>
        <v>44</v>
      </c>
      <c r="C450" s="405" t="str">
        <f t="shared" ref="C450:C513" si="57">IF(B450="","","第"&amp;RIGHT(L450,6)&amp;"号")</f>
        <v>第004244号</v>
      </c>
      <c r="D450" s="405" t="str">
        <f t="shared" ref="D450:D513" si="58">N450</f>
        <v>幸栄建設（株）</v>
      </c>
      <c r="E450" s="405" t="str">
        <f t="shared" ref="E450:E513" si="59">IF(V450="　",O450,"")</f>
        <v>代表取締役</v>
      </c>
      <c r="F450" s="405" t="str">
        <f t="shared" ref="F450:F513" si="60">IF(V450="　",P450,W450)</f>
        <v>広瀬　智明</v>
      </c>
      <c r="G450" s="405" t="str">
        <f t="shared" ref="G450:G513" si="61">IF(V450="　","主たる営業所",V450)</f>
        <v>主たる営業所</v>
      </c>
      <c r="H450" s="405" t="str">
        <f t="shared" ref="H450:H513" si="62">IF(V450="　",R450,Y450)</f>
        <v>佐伯市大字池田１９０７－２</v>
      </c>
      <c r="L450" s="403" t="s">
        <v>8490</v>
      </c>
      <c r="M450" s="403" t="s">
        <v>8491</v>
      </c>
      <c r="N450" s="403" t="s">
        <v>2242</v>
      </c>
      <c r="O450" s="403" t="s">
        <v>7084</v>
      </c>
      <c r="P450" s="403" t="s">
        <v>2243</v>
      </c>
      <c r="Q450" s="403" t="s">
        <v>7888</v>
      </c>
      <c r="R450" s="403" t="s">
        <v>18924</v>
      </c>
      <c r="S450" s="403" t="s">
        <v>14754</v>
      </c>
      <c r="T450" s="403" t="s">
        <v>14754</v>
      </c>
      <c r="U450" s="403"/>
      <c r="V450" s="403" t="s">
        <v>23024</v>
      </c>
      <c r="W450" s="403" t="s">
        <v>23024</v>
      </c>
      <c r="X450" s="403" t="s">
        <v>23024</v>
      </c>
      <c r="Y450" s="403" t="s">
        <v>23024</v>
      </c>
    </row>
    <row r="451" spans="1:25">
      <c r="A451" s="363">
        <f t="shared" ref="A451:A514" si="63">IF(B451="","",A450+1)</f>
        <v>450</v>
      </c>
      <c r="B451" s="363" t="str">
        <f t="shared" si="56"/>
        <v>44</v>
      </c>
      <c r="C451" s="405" t="str">
        <f t="shared" si="57"/>
        <v>第004250号</v>
      </c>
      <c r="D451" s="405" t="str">
        <f t="shared" si="58"/>
        <v>藤栄建設（株）</v>
      </c>
      <c r="E451" s="405" t="str">
        <f t="shared" si="59"/>
        <v>代表取締役</v>
      </c>
      <c r="F451" s="405" t="str">
        <f t="shared" si="60"/>
        <v>近藤　弘幸</v>
      </c>
      <c r="G451" s="405" t="str">
        <f t="shared" si="61"/>
        <v>主たる営業所</v>
      </c>
      <c r="H451" s="405" t="str">
        <f t="shared" si="62"/>
        <v>佐伯市弥生大字江良１８６８－１</v>
      </c>
      <c r="L451" s="403" t="s">
        <v>8493</v>
      </c>
      <c r="M451" s="403" t="s">
        <v>8494</v>
      </c>
      <c r="N451" s="403" t="s">
        <v>2244</v>
      </c>
      <c r="O451" s="403" t="s">
        <v>7084</v>
      </c>
      <c r="P451" s="403" t="s">
        <v>2245</v>
      </c>
      <c r="Q451" s="403" t="s">
        <v>7882</v>
      </c>
      <c r="R451" s="403" t="s">
        <v>18925</v>
      </c>
      <c r="S451" s="403" t="s">
        <v>14755</v>
      </c>
      <c r="T451" s="403" t="s">
        <v>14756</v>
      </c>
      <c r="U451" s="403"/>
      <c r="V451" s="403" t="s">
        <v>23024</v>
      </c>
      <c r="W451" s="403" t="s">
        <v>23024</v>
      </c>
      <c r="X451" s="403" t="s">
        <v>23024</v>
      </c>
      <c r="Y451" s="403" t="s">
        <v>23024</v>
      </c>
    </row>
    <row r="452" spans="1:25">
      <c r="A452" s="363">
        <f t="shared" si="63"/>
        <v>451</v>
      </c>
      <c r="B452" s="363" t="str">
        <f t="shared" si="56"/>
        <v>44</v>
      </c>
      <c r="C452" s="405" t="str">
        <f t="shared" si="57"/>
        <v>第004260号</v>
      </c>
      <c r="D452" s="405" t="str">
        <f t="shared" si="58"/>
        <v>（有）つるみ水道工事</v>
      </c>
      <c r="E452" s="405" t="str">
        <f t="shared" si="59"/>
        <v>代表取締役</v>
      </c>
      <c r="F452" s="405" t="str">
        <f t="shared" si="60"/>
        <v>清水　靖宣</v>
      </c>
      <c r="G452" s="405" t="str">
        <f t="shared" si="61"/>
        <v>主たる営業所</v>
      </c>
      <c r="H452" s="405" t="str">
        <f t="shared" si="62"/>
        <v>佐伯市大字長谷９０９９</v>
      </c>
      <c r="L452" s="403" t="s">
        <v>8495</v>
      </c>
      <c r="M452" s="403" t="s">
        <v>8496</v>
      </c>
      <c r="N452" s="403" t="s">
        <v>2246</v>
      </c>
      <c r="O452" s="403" t="s">
        <v>7084</v>
      </c>
      <c r="P452" s="403" t="s">
        <v>2247</v>
      </c>
      <c r="Q452" s="403" t="s">
        <v>8479</v>
      </c>
      <c r="R452" s="403" t="s">
        <v>5437</v>
      </c>
      <c r="S452" s="403" t="s">
        <v>14757</v>
      </c>
      <c r="T452" s="403" t="s">
        <v>14758</v>
      </c>
      <c r="U452" s="403"/>
      <c r="V452" s="403" t="s">
        <v>23024</v>
      </c>
      <c r="W452" s="403" t="s">
        <v>23024</v>
      </c>
      <c r="X452" s="403" t="s">
        <v>23024</v>
      </c>
      <c r="Y452" s="403" t="s">
        <v>23024</v>
      </c>
    </row>
    <row r="453" spans="1:25">
      <c r="A453" s="363">
        <f t="shared" si="63"/>
        <v>452</v>
      </c>
      <c r="B453" s="363" t="str">
        <f t="shared" si="56"/>
        <v>44</v>
      </c>
      <c r="C453" s="405" t="str">
        <f t="shared" si="57"/>
        <v>第004270号</v>
      </c>
      <c r="D453" s="405" t="str">
        <f t="shared" si="58"/>
        <v>安達建築</v>
      </c>
      <c r="E453" s="405" t="str">
        <f t="shared" si="59"/>
        <v>事業主</v>
      </c>
      <c r="F453" s="405" t="str">
        <f t="shared" si="60"/>
        <v>安達　一男</v>
      </c>
      <c r="G453" s="405" t="str">
        <f t="shared" si="61"/>
        <v>主たる営業所</v>
      </c>
      <c r="H453" s="405" t="str">
        <f t="shared" si="62"/>
        <v>佐伯市鶴見大字吹浦４０８－２</v>
      </c>
      <c r="L453" s="403" t="s">
        <v>8497</v>
      </c>
      <c r="M453" s="403" t="s">
        <v>8498</v>
      </c>
      <c r="N453" s="403" t="s">
        <v>2248</v>
      </c>
      <c r="O453" s="403" t="s">
        <v>7088</v>
      </c>
      <c r="P453" s="403" t="s">
        <v>2249</v>
      </c>
      <c r="Q453" s="403" t="s">
        <v>7833</v>
      </c>
      <c r="R453" s="403" t="s">
        <v>18926</v>
      </c>
      <c r="S453" s="403" t="s">
        <v>14759</v>
      </c>
      <c r="T453" s="403" t="s">
        <v>14759</v>
      </c>
      <c r="U453" s="403"/>
      <c r="V453" s="403" t="s">
        <v>23024</v>
      </c>
      <c r="W453" s="403" t="s">
        <v>23024</v>
      </c>
      <c r="X453" s="403" t="s">
        <v>23024</v>
      </c>
      <c r="Y453" s="403" t="s">
        <v>23024</v>
      </c>
    </row>
    <row r="454" spans="1:25">
      <c r="A454" s="363">
        <f t="shared" si="63"/>
        <v>453</v>
      </c>
      <c r="B454" s="363" t="str">
        <f t="shared" si="56"/>
        <v>44</v>
      </c>
      <c r="C454" s="405" t="str">
        <f t="shared" si="57"/>
        <v>第004280号</v>
      </c>
      <c r="D454" s="405" t="str">
        <f t="shared" si="58"/>
        <v>（株）佐伯環境センター</v>
      </c>
      <c r="E454" s="405" t="str">
        <f t="shared" si="59"/>
        <v>代表取締役</v>
      </c>
      <c r="F454" s="405" t="str">
        <f t="shared" si="60"/>
        <v>安部　秀昭</v>
      </c>
      <c r="G454" s="405" t="str">
        <f t="shared" si="61"/>
        <v>主たる営業所</v>
      </c>
      <c r="H454" s="405" t="str">
        <f t="shared" si="62"/>
        <v>佐伯市女島３－１０３８３－１</v>
      </c>
      <c r="L454" s="403" t="s">
        <v>8499</v>
      </c>
      <c r="M454" s="403" t="s">
        <v>8500</v>
      </c>
      <c r="N454" s="403" t="s">
        <v>2250</v>
      </c>
      <c r="O454" s="403" t="s">
        <v>7084</v>
      </c>
      <c r="P454" s="403" t="s">
        <v>2251</v>
      </c>
      <c r="Q454" s="403" t="s">
        <v>7842</v>
      </c>
      <c r="R454" s="403" t="s">
        <v>18927</v>
      </c>
      <c r="S454" s="403" t="s">
        <v>14760</v>
      </c>
      <c r="T454" s="403" t="s">
        <v>14761</v>
      </c>
      <c r="U454" s="403"/>
      <c r="V454" s="403" t="s">
        <v>23024</v>
      </c>
      <c r="W454" s="403" t="s">
        <v>23024</v>
      </c>
      <c r="X454" s="403" t="s">
        <v>23024</v>
      </c>
      <c r="Y454" s="403" t="s">
        <v>23024</v>
      </c>
    </row>
    <row r="455" spans="1:25">
      <c r="A455" s="363">
        <f t="shared" si="63"/>
        <v>454</v>
      </c>
      <c r="B455" s="363" t="str">
        <f t="shared" si="56"/>
        <v>44</v>
      </c>
      <c r="C455" s="405" t="str">
        <f t="shared" si="57"/>
        <v>第004285号</v>
      </c>
      <c r="D455" s="405" t="str">
        <f t="shared" si="58"/>
        <v>佐伯建工（株）</v>
      </c>
      <c r="E455" s="405" t="str">
        <f t="shared" si="59"/>
        <v>代表取締役</v>
      </c>
      <c r="F455" s="405" t="str">
        <f t="shared" si="60"/>
        <v>神野　広志</v>
      </c>
      <c r="G455" s="405" t="str">
        <f t="shared" si="61"/>
        <v>主たる営業所</v>
      </c>
      <c r="H455" s="405" t="str">
        <f t="shared" si="62"/>
        <v>佐伯市大字海崎８４２－１２</v>
      </c>
      <c r="L455" s="403" t="s">
        <v>8501</v>
      </c>
      <c r="M455" s="403" t="s">
        <v>8502</v>
      </c>
      <c r="N455" s="403" t="s">
        <v>2252</v>
      </c>
      <c r="O455" s="403" t="s">
        <v>7084</v>
      </c>
      <c r="P455" s="403" t="s">
        <v>5228</v>
      </c>
      <c r="Q455" s="403" t="s">
        <v>7845</v>
      </c>
      <c r="R455" s="403" t="s">
        <v>18928</v>
      </c>
      <c r="S455" s="403" t="s">
        <v>14762</v>
      </c>
      <c r="T455" s="403" t="s">
        <v>14763</v>
      </c>
      <c r="U455" s="403"/>
      <c r="V455" s="403" t="s">
        <v>23024</v>
      </c>
      <c r="W455" s="403" t="s">
        <v>23024</v>
      </c>
      <c r="X455" s="403" t="s">
        <v>23024</v>
      </c>
      <c r="Y455" s="403" t="s">
        <v>23024</v>
      </c>
    </row>
    <row r="456" spans="1:25">
      <c r="A456" s="363">
        <f t="shared" si="63"/>
        <v>455</v>
      </c>
      <c r="B456" s="363" t="str">
        <f t="shared" si="56"/>
        <v>44</v>
      </c>
      <c r="C456" s="405" t="str">
        <f t="shared" si="57"/>
        <v>第004289号</v>
      </c>
      <c r="D456" s="405" t="str">
        <f t="shared" si="58"/>
        <v>（株）石丸建材社</v>
      </c>
      <c r="E456" s="405" t="str">
        <f t="shared" si="59"/>
        <v>代表取締役</v>
      </c>
      <c r="F456" s="405" t="str">
        <f t="shared" si="60"/>
        <v>石丸　洋子</v>
      </c>
      <c r="G456" s="405" t="str">
        <f t="shared" si="61"/>
        <v>主たる営業所</v>
      </c>
      <c r="H456" s="405" t="str">
        <f t="shared" si="62"/>
        <v>佐伯市向島１－９－２７</v>
      </c>
      <c r="L456" s="403" t="s">
        <v>8503</v>
      </c>
      <c r="M456" s="403" t="s">
        <v>8504</v>
      </c>
      <c r="N456" s="403" t="s">
        <v>2253</v>
      </c>
      <c r="O456" s="403" t="s">
        <v>7084</v>
      </c>
      <c r="P456" s="403" t="s">
        <v>2254</v>
      </c>
      <c r="Q456" s="403" t="s">
        <v>8505</v>
      </c>
      <c r="R456" s="403" t="s">
        <v>18929</v>
      </c>
      <c r="S456" s="403" t="s">
        <v>14764</v>
      </c>
      <c r="T456" s="403" t="s">
        <v>14765</v>
      </c>
      <c r="U456" s="403"/>
      <c r="V456" s="403" t="s">
        <v>23024</v>
      </c>
      <c r="W456" s="403" t="s">
        <v>23024</v>
      </c>
      <c r="X456" s="403" t="s">
        <v>23024</v>
      </c>
      <c r="Y456" s="403" t="s">
        <v>23024</v>
      </c>
    </row>
    <row r="457" spans="1:25">
      <c r="A457" s="363">
        <f t="shared" si="63"/>
        <v>456</v>
      </c>
      <c r="B457" s="363" t="str">
        <f t="shared" si="56"/>
        <v>44</v>
      </c>
      <c r="C457" s="405" t="str">
        <f t="shared" si="57"/>
        <v>第004318号</v>
      </c>
      <c r="D457" s="405" t="str">
        <f t="shared" si="58"/>
        <v>磯田緑地</v>
      </c>
      <c r="E457" s="405" t="str">
        <f t="shared" si="59"/>
        <v>代表者</v>
      </c>
      <c r="F457" s="405" t="str">
        <f t="shared" si="60"/>
        <v>磯田　佐一</v>
      </c>
      <c r="G457" s="405" t="str">
        <f t="shared" si="61"/>
        <v>主たる営業所</v>
      </c>
      <c r="H457" s="405" t="str">
        <f t="shared" si="62"/>
        <v>佐伯市米水津大字色利浦１２４９</v>
      </c>
      <c r="L457" s="403" t="s">
        <v>8506</v>
      </c>
      <c r="M457" s="403" t="s">
        <v>8507</v>
      </c>
      <c r="N457" s="403" t="s">
        <v>2255</v>
      </c>
      <c r="O457" s="403" t="s">
        <v>7086</v>
      </c>
      <c r="P457" s="403" t="s">
        <v>2256</v>
      </c>
      <c r="Q457" s="403" t="s">
        <v>8460</v>
      </c>
      <c r="R457" s="403" t="s">
        <v>5438</v>
      </c>
      <c r="S457" s="403" t="s">
        <v>14766</v>
      </c>
      <c r="T457" s="403" t="s">
        <v>14766</v>
      </c>
      <c r="U457" s="403"/>
      <c r="V457" s="403" t="s">
        <v>23024</v>
      </c>
      <c r="W457" s="403" t="s">
        <v>23024</v>
      </c>
      <c r="X457" s="403" t="s">
        <v>23024</v>
      </c>
      <c r="Y457" s="403" t="s">
        <v>23024</v>
      </c>
    </row>
    <row r="458" spans="1:25">
      <c r="A458" s="363">
        <f t="shared" si="63"/>
        <v>457</v>
      </c>
      <c r="B458" s="363" t="str">
        <f t="shared" si="56"/>
        <v>44</v>
      </c>
      <c r="C458" s="405" t="str">
        <f t="shared" si="57"/>
        <v>第004319号</v>
      </c>
      <c r="D458" s="405" t="str">
        <f t="shared" si="58"/>
        <v>（有）野村建設</v>
      </c>
      <c r="E458" s="405" t="str">
        <f t="shared" si="59"/>
        <v>代表取締役</v>
      </c>
      <c r="F458" s="405" t="str">
        <f t="shared" si="60"/>
        <v>野村　隆之</v>
      </c>
      <c r="G458" s="405" t="str">
        <f t="shared" si="61"/>
        <v>主たる営業所</v>
      </c>
      <c r="H458" s="405" t="str">
        <f t="shared" si="62"/>
        <v>佐伯市中の島２－１９－２３</v>
      </c>
      <c r="L458" s="403" t="s">
        <v>8508</v>
      </c>
      <c r="M458" s="403" t="s">
        <v>8213</v>
      </c>
      <c r="N458" s="403" t="s">
        <v>2257</v>
      </c>
      <c r="O458" s="403" t="s">
        <v>7084</v>
      </c>
      <c r="P458" s="403" t="s">
        <v>2258</v>
      </c>
      <c r="Q458" s="403" t="s">
        <v>7874</v>
      </c>
      <c r="R458" s="403" t="s">
        <v>18930</v>
      </c>
      <c r="S458" s="403" t="s">
        <v>14767</v>
      </c>
      <c r="T458" s="403" t="s">
        <v>14768</v>
      </c>
      <c r="U458" s="403"/>
      <c r="V458" s="403" t="s">
        <v>23024</v>
      </c>
      <c r="W458" s="403" t="s">
        <v>23024</v>
      </c>
      <c r="X458" s="403" t="s">
        <v>23024</v>
      </c>
      <c r="Y458" s="403" t="s">
        <v>23024</v>
      </c>
    </row>
    <row r="459" spans="1:25">
      <c r="A459" s="363">
        <f t="shared" si="63"/>
        <v>458</v>
      </c>
      <c r="B459" s="363" t="str">
        <f t="shared" si="56"/>
        <v>44</v>
      </c>
      <c r="C459" s="405" t="str">
        <f t="shared" si="57"/>
        <v>第004322号</v>
      </c>
      <c r="D459" s="405" t="str">
        <f t="shared" si="58"/>
        <v>（株）武生テック</v>
      </c>
      <c r="E459" s="405" t="str">
        <f t="shared" si="59"/>
        <v>代表取締役</v>
      </c>
      <c r="F459" s="405" t="str">
        <f t="shared" si="60"/>
        <v>武生　政也</v>
      </c>
      <c r="G459" s="405" t="str">
        <f t="shared" si="61"/>
        <v>主たる営業所</v>
      </c>
      <c r="H459" s="405" t="str">
        <f t="shared" si="62"/>
        <v>佐伯市蒲江大字蒲江浦３５５３－７</v>
      </c>
      <c r="L459" s="403" t="s">
        <v>8509</v>
      </c>
      <c r="M459" s="403" t="s">
        <v>8510</v>
      </c>
      <c r="N459" s="403" t="s">
        <v>2259</v>
      </c>
      <c r="O459" s="403" t="s">
        <v>7084</v>
      </c>
      <c r="P459" s="403" t="s">
        <v>2260</v>
      </c>
      <c r="Q459" s="403" t="s">
        <v>7864</v>
      </c>
      <c r="R459" s="403" t="s">
        <v>18931</v>
      </c>
      <c r="S459" s="403" t="s">
        <v>14769</v>
      </c>
      <c r="T459" s="403" t="s">
        <v>18932</v>
      </c>
      <c r="U459" s="403"/>
      <c r="V459" s="403" t="s">
        <v>23024</v>
      </c>
      <c r="W459" s="403" t="s">
        <v>23024</v>
      </c>
      <c r="X459" s="403" t="s">
        <v>23024</v>
      </c>
      <c r="Y459" s="403" t="s">
        <v>23024</v>
      </c>
    </row>
    <row r="460" spans="1:25">
      <c r="A460" s="363">
        <f t="shared" si="63"/>
        <v>459</v>
      </c>
      <c r="B460" s="363" t="str">
        <f t="shared" si="56"/>
        <v>44</v>
      </c>
      <c r="C460" s="405" t="str">
        <f t="shared" si="57"/>
        <v>第004331号</v>
      </c>
      <c r="D460" s="405" t="str">
        <f t="shared" si="58"/>
        <v>吉良電設（有）</v>
      </c>
      <c r="E460" s="405" t="str">
        <f t="shared" si="59"/>
        <v>代表取締役</v>
      </c>
      <c r="F460" s="405" t="str">
        <f t="shared" si="60"/>
        <v>吉良　剛誉</v>
      </c>
      <c r="G460" s="405" t="str">
        <f t="shared" si="61"/>
        <v>主たる営業所</v>
      </c>
      <c r="H460" s="405" t="str">
        <f t="shared" si="62"/>
        <v>佐伯市中の島２－２１－２３</v>
      </c>
      <c r="L460" s="403" t="s">
        <v>8511</v>
      </c>
      <c r="M460" s="403" t="s">
        <v>8512</v>
      </c>
      <c r="N460" s="403" t="s">
        <v>2261</v>
      </c>
      <c r="O460" s="403" t="s">
        <v>7084</v>
      </c>
      <c r="P460" s="403" t="s">
        <v>5229</v>
      </c>
      <c r="Q460" s="403" t="s">
        <v>7874</v>
      </c>
      <c r="R460" s="403" t="s">
        <v>18933</v>
      </c>
      <c r="S460" s="403" t="s">
        <v>14770</v>
      </c>
      <c r="T460" s="403" t="s">
        <v>14771</v>
      </c>
      <c r="U460" s="403"/>
      <c r="V460" s="403" t="s">
        <v>23024</v>
      </c>
      <c r="W460" s="403" t="s">
        <v>23024</v>
      </c>
      <c r="X460" s="403" t="s">
        <v>23024</v>
      </c>
      <c r="Y460" s="403" t="s">
        <v>23024</v>
      </c>
    </row>
    <row r="461" spans="1:25">
      <c r="A461" s="363">
        <f t="shared" si="63"/>
        <v>460</v>
      </c>
      <c r="B461" s="363" t="str">
        <f t="shared" si="56"/>
        <v>44</v>
      </c>
      <c r="C461" s="405" t="str">
        <f t="shared" si="57"/>
        <v>第004339号</v>
      </c>
      <c r="D461" s="405" t="str">
        <f t="shared" si="58"/>
        <v>（株）盛田組</v>
      </c>
      <c r="E461" s="405" t="str">
        <f t="shared" si="59"/>
        <v>代表取締役</v>
      </c>
      <c r="F461" s="405" t="str">
        <f t="shared" si="60"/>
        <v>盛田　浩史</v>
      </c>
      <c r="G461" s="405" t="str">
        <f t="shared" si="61"/>
        <v>主たる営業所</v>
      </c>
      <c r="H461" s="405" t="str">
        <f t="shared" si="62"/>
        <v>佐伯市弥生大字小田１０８９－２</v>
      </c>
      <c r="L461" s="403" t="s">
        <v>8513</v>
      </c>
      <c r="M461" s="403" t="s">
        <v>8514</v>
      </c>
      <c r="N461" s="403" t="s">
        <v>2262</v>
      </c>
      <c r="O461" s="403" t="s">
        <v>7084</v>
      </c>
      <c r="P461" s="403" t="s">
        <v>2263</v>
      </c>
      <c r="Q461" s="403" t="s">
        <v>8515</v>
      </c>
      <c r="R461" s="403" t="s">
        <v>18934</v>
      </c>
      <c r="S461" s="403" t="s">
        <v>14772</v>
      </c>
      <c r="T461" s="403" t="s">
        <v>14773</v>
      </c>
      <c r="U461" s="403"/>
      <c r="V461" s="403" t="s">
        <v>23024</v>
      </c>
      <c r="W461" s="403" t="s">
        <v>23024</v>
      </c>
      <c r="X461" s="403" t="s">
        <v>23024</v>
      </c>
      <c r="Y461" s="403" t="s">
        <v>23024</v>
      </c>
    </row>
    <row r="462" spans="1:25">
      <c r="A462" s="363">
        <f t="shared" si="63"/>
        <v>461</v>
      </c>
      <c r="B462" s="363" t="str">
        <f t="shared" si="56"/>
        <v>44</v>
      </c>
      <c r="C462" s="405" t="str">
        <f t="shared" si="57"/>
        <v>第004343号</v>
      </c>
      <c r="D462" s="405" t="str">
        <f t="shared" si="58"/>
        <v>（有）御手洗水道工事</v>
      </c>
      <c r="E462" s="405" t="str">
        <f t="shared" si="59"/>
        <v>代表取締役</v>
      </c>
      <c r="F462" s="405" t="str">
        <f t="shared" si="60"/>
        <v>御手洗　慎太郎</v>
      </c>
      <c r="G462" s="405" t="str">
        <f t="shared" si="61"/>
        <v>主たる営業所</v>
      </c>
      <c r="H462" s="405" t="str">
        <f t="shared" si="62"/>
        <v>佐伯市大字長良４７２０－２</v>
      </c>
      <c r="L462" s="403" t="s">
        <v>8516</v>
      </c>
      <c r="M462" s="403" t="s">
        <v>8517</v>
      </c>
      <c r="N462" s="403" t="s">
        <v>2264</v>
      </c>
      <c r="O462" s="403" t="s">
        <v>7084</v>
      </c>
      <c r="P462" s="403" t="s">
        <v>2265</v>
      </c>
      <c r="Q462" s="403" t="s">
        <v>8518</v>
      </c>
      <c r="R462" s="403" t="s">
        <v>18935</v>
      </c>
      <c r="S462" s="403" t="s">
        <v>14774</v>
      </c>
      <c r="T462" s="403" t="s">
        <v>14775</v>
      </c>
      <c r="U462" s="403"/>
      <c r="V462" s="403" t="s">
        <v>23024</v>
      </c>
      <c r="W462" s="403" t="s">
        <v>23024</v>
      </c>
      <c r="X462" s="403" t="s">
        <v>23024</v>
      </c>
      <c r="Y462" s="403" t="s">
        <v>23024</v>
      </c>
    </row>
    <row r="463" spans="1:25">
      <c r="A463" s="363">
        <f t="shared" si="63"/>
        <v>462</v>
      </c>
      <c r="B463" s="363" t="str">
        <f t="shared" si="56"/>
        <v>44</v>
      </c>
      <c r="C463" s="405" t="str">
        <f t="shared" si="57"/>
        <v>第004344号</v>
      </c>
      <c r="D463" s="405" t="str">
        <f t="shared" si="58"/>
        <v>（有）住吉工業</v>
      </c>
      <c r="E463" s="405" t="str">
        <f t="shared" si="59"/>
        <v>代表取締役</v>
      </c>
      <c r="F463" s="405" t="str">
        <f t="shared" si="60"/>
        <v>山本　正明</v>
      </c>
      <c r="G463" s="405" t="str">
        <f t="shared" si="61"/>
        <v>主たる営業所</v>
      </c>
      <c r="H463" s="405" t="str">
        <f t="shared" si="62"/>
        <v>佐伯市大字長谷５７２７</v>
      </c>
      <c r="L463" s="403" t="s">
        <v>8519</v>
      </c>
      <c r="M463" s="403" t="s">
        <v>8520</v>
      </c>
      <c r="N463" s="403" t="s">
        <v>2266</v>
      </c>
      <c r="O463" s="403" t="s">
        <v>7084</v>
      </c>
      <c r="P463" s="403" t="s">
        <v>2267</v>
      </c>
      <c r="Q463" s="403" t="s">
        <v>8479</v>
      </c>
      <c r="R463" s="403" t="s">
        <v>5439</v>
      </c>
      <c r="S463" s="403" t="s">
        <v>14776</v>
      </c>
      <c r="T463" s="403" t="s">
        <v>14777</v>
      </c>
      <c r="U463" s="403"/>
      <c r="V463" s="403" t="s">
        <v>23024</v>
      </c>
      <c r="W463" s="403" t="s">
        <v>23024</v>
      </c>
      <c r="X463" s="403" t="s">
        <v>23024</v>
      </c>
      <c r="Y463" s="403" t="s">
        <v>23024</v>
      </c>
    </row>
    <row r="464" spans="1:25">
      <c r="A464" s="363">
        <f t="shared" si="63"/>
        <v>463</v>
      </c>
      <c r="B464" s="363" t="str">
        <f t="shared" si="56"/>
        <v>44</v>
      </c>
      <c r="C464" s="405" t="str">
        <f t="shared" si="57"/>
        <v>第004349号</v>
      </c>
      <c r="D464" s="405" t="str">
        <f t="shared" si="58"/>
        <v>（株）イワモト</v>
      </c>
      <c r="E464" s="405" t="str">
        <f t="shared" si="59"/>
        <v>代表取締役</v>
      </c>
      <c r="F464" s="405" t="str">
        <f t="shared" si="60"/>
        <v>岩本　雅朗</v>
      </c>
      <c r="G464" s="405" t="str">
        <f t="shared" si="61"/>
        <v>主たる営業所</v>
      </c>
      <c r="H464" s="405" t="str">
        <f t="shared" si="62"/>
        <v>佐伯市西浜１０８３４－６５</v>
      </c>
      <c r="L464" s="403" t="s">
        <v>8521</v>
      </c>
      <c r="M464" s="403" t="s">
        <v>8522</v>
      </c>
      <c r="N464" s="403" t="s">
        <v>2268</v>
      </c>
      <c r="O464" s="403" t="s">
        <v>7084</v>
      </c>
      <c r="P464" s="403" t="s">
        <v>2269</v>
      </c>
      <c r="Q464" s="403" t="s">
        <v>8523</v>
      </c>
      <c r="R464" s="403" t="s">
        <v>18936</v>
      </c>
      <c r="S464" s="403" t="s">
        <v>14778</v>
      </c>
      <c r="T464" s="403" t="s">
        <v>14779</v>
      </c>
      <c r="U464" s="403"/>
      <c r="V464" s="403" t="s">
        <v>23024</v>
      </c>
      <c r="W464" s="403" t="s">
        <v>23024</v>
      </c>
      <c r="X464" s="403" t="s">
        <v>23024</v>
      </c>
      <c r="Y464" s="403" t="s">
        <v>23024</v>
      </c>
    </row>
    <row r="465" spans="1:25">
      <c r="A465" s="363">
        <f t="shared" si="63"/>
        <v>464</v>
      </c>
      <c r="B465" s="363" t="str">
        <f t="shared" si="56"/>
        <v>44</v>
      </c>
      <c r="C465" s="405" t="str">
        <f t="shared" si="57"/>
        <v>第004366号</v>
      </c>
      <c r="D465" s="405" t="str">
        <f t="shared" si="58"/>
        <v>本杉建設（有）</v>
      </c>
      <c r="E465" s="405" t="str">
        <f t="shared" si="59"/>
        <v>代表取締役</v>
      </c>
      <c r="F465" s="405" t="str">
        <f t="shared" si="60"/>
        <v>本杉　能光</v>
      </c>
      <c r="G465" s="405" t="str">
        <f t="shared" si="61"/>
        <v>主たる営業所</v>
      </c>
      <c r="H465" s="405" t="str">
        <f t="shared" si="62"/>
        <v>佐伯市上灘９８０４－８６</v>
      </c>
      <c r="L465" s="403" t="s">
        <v>8525</v>
      </c>
      <c r="M465" s="403" t="s">
        <v>8526</v>
      </c>
      <c r="N465" s="403" t="s">
        <v>2270</v>
      </c>
      <c r="O465" s="403" t="s">
        <v>7084</v>
      </c>
      <c r="P465" s="403" t="s">
        <v>2271</v>
      </c>
      <c r="Q465" s="403" t="s">
        <v>8527</v>
      </c>
      <c r="R465" s="403" t="s">
        <v>18937</v>
      </c>
      <c r="S465" s="403" t="s">
        <v>14780</v>
      </c>
      <c r="T465" s="403" t="s">
        <v>14781</v>
      </c>
      <c r="U465" s="403"/>
      <c r="V465" s="403" t="s">
        <v>23024</v>
      </c>
      <c r="W465" s="403" t="s">
        <v>23024</v>
      </c>
      <c r="X465" s="403" t="s">
        <v>23024</v>
      </c>
      <c r="Y465" s="403" t="s">
        <v>23024</v>
      </c>
    </row>
    <row r="466" spans="1:25">
      <c r="A466" s="363">
        <f t="shared" si="63"/>
        <v>465</v>
      </c>
      <c r="B466" s="363" t="str">
        <f t="shared" si="56"/>
        <v>44</v>
      </c>
      <c r="C466" s="405" t="str">
        <f t="shared" si="57"/>
        <v>第004373号</v>
      </c>
      <c r="D466" s="405" t="str">
        <f t="shared" si="58"/>
        <v>（有）阿部電設工事</v>
      </c>
      <c r="E466" s="405" t="str">
        <f t="shared" si="59"/>
        <v>代表取締役</v>
      </c>
      <c r="F466" s="405" t="str">
        <f t="shared" si="60"/>
        <v>阿部　志郎</v>
      </c>
      <c r="G466" s="405" t="str">
        <f t="shared" si="61"/>
        <v>主たる営業所</v>
      </c>
      <c r="H466" s="405" t="str">
        <f t="shared" si="62"/>
        <v>佐伯市大字上岡１５０７</v>
      </c>
      <c r="L466" s="403" t="s">
        <v>8528</v>
      </c>
      <c r="M466" s="403" t="s">
        <v>8529</v>
      </c>
      <c r="N466" s="403" t="s">
        <v>2272</v>
      </c>
      <c r="O466" s="403" t="s">
        <v>7084</v>
      </c>
      <c r="P466" s="403" t="s">
        <v>2273</v>
      </c>
      <c r="Q466" s="403" t="s">
        <v>8530</v>
      </c>
      <c r="R466" s="403" t="s">
        <v>5440</v>
      </c>
      <c r="S466" s="403" t="s">
        <v>14782</v>
      </c>
      <c r="T466" s="403" t="s">
        <v>14783</v>
      </c>
      <c r="U466" s="403"/>
      <c r="V466" s="403" t="s">
        <v>23024</v>
      </c>
      <c r="W466" s="403" t="s">
        <v>23024</v>
      </c>
      <c r="X466" s="403" t="s">
        <v>23024</v>
      </c>
      <c r="Y466" s="403" t="s">
        <v>23024</v>
      </c>
    </row>
    <row r="467" spans="1:25">
      <c r="A467" s="363">
        <f t="shared" si="63"/>
        <v>466</v>
      </c>
      <c r="B467" s="363" t="str">
        <f t="shared" si="56"/>
        <v>44</v>
      </c>
      <c r="C467" s="405" t="str">
        <f t="shared" si="57"/>
        <v>第004377号</v>
      </c>
      <c r="D467" s="405" t="str">
        <f t="shared" si="58"/>
        <v>（有）広瀬電気工事</v>
      </c>
      <c r="E467" s="405" t="str">
        <f t="shared" si="59"/>
        <v>代表取締役</v>
      </c>
      <c r="F467" s="405" t="str">
        <f t="shared" si="60"/>
        <v>広瀬　充</v>
      </c>
      <c r="G467" s="405" t="str">
        <f t="shared" si="61"/>
        <v>主たる営業所</v>
      </c>
      <c r="H467" s="405" t="str">
        <f t="shared" si="62"/>
        <v>佐伯市大字上岡１３４６－５</v>
      </c>
      <c r="L467" s="403" t="s">
        <v>8531</v>
      </c>
      <c r="M467" s="403" t="s">
        <v>8532</v>
      </c>
      <c r="N467" s="403" t="s">
        <v>2274</v>
      </c>
      <c r="O467" s="403" t="s">
        <v>7084</v>
      </c>
      <c r="P467" s="403" t="s">
        <v>2275</v>
      </c>
      <c r="Q467" s="403" t="s">
        <v>8530</v>
      </c>
      <c r="R467" s="403" t="s">
        <v>18938</v>
      </c>
      <c r="S467" s="403" t="s">
        <v>14784</v>
      </c>
      <c r="T467" s="403" t="s">
        <v>14785</v>
      </c>
      <c r="U467" s="403"/>
      <c r="V467" s="403" t="s">
        <v>23024</v>
      </c>
      <c r="W467" s="403" t="s">
        <v>23024</v>
      </c>
      <c r="X467" s="403" t="s">
        <v>23024</v>
      </c>
      <c r="Y467" s="403" t="s">
        <v>23024</v>
      </c>
    </row>
    <row r="468" spans="1:25">
      <c r="A468" s="363">
        <f t="shared" si="63"/>
        <v>467</v>
      </c>
      <c r="B468" s="363" t="str">
        <f t="shared" si="56"/>
        <v>44</v>
      </c>
      <c r="C468" s="405" t="str">
        <f t="shared" si="57"/>
        <v>第004384号</v>
      </c>
      <c r="D468" s="405" t="str">
        <f t="shared" si="58"/>
        <v>山田建設（株）</v>
      </c>
      <c r="E468" s="405" t="str">
        <f t="shared" si="59"/>
        <v>代表取締役</v>
      </c>
      <c r="F468" s="405" t="str">
        <f t="shared" si="60"/>
        <v>山田　重信</v>
      </c>
      <c r="G468" s="405" t="str">
        <f t="shared" si="61"/>
        <v>主たる営業所</v>
      </c>
      <c r="H468" s="405" t="str">
        <f t="shared" si="62"/>
        <v>佐伯市米水津大字浦代浦４００－１</v>
      </c>
      <c r="L468" s="403" t="s">
        <v>8533</v>
      </c>
      <c r="M468" s="403" t="s">
        <v>7570</v>
      </c>
      <c r="N468" s="403" t="s">
        <v>2276</v>
      </c>
      <c r="O468" s="403" t="s">
        <v>7084</v>
      </c>
      <c r="P468" s="403" t="s">
        <v>2277</v>
      </c>
      <c r="Q468" s="403" t="s">
        <v>8534</v>
      </c>
      <c r="R468" s="403" t="s">
        <v>18939</v>
      </c>
      <c r="S468" s="403" t="s">
        <v>14786</v>
      </c>
      <c r="T468" s="403" t="s">
        <v>14787</v>
      </c>
      <c r="U468" s="403"/>
      <c r="V468" s="403" t="s">
        <v>23024</v>
      </c>
      <c r="W468" s="403" t="s">
        <v>23024</v>
      </c>
      <c r="X468" s="403" t="s">
        <v>23024</v>
      </c>
      <c r="Y468" s="403" t="s">
        <v>23024</v>
      </c>
    </row>
    <row r="469" spans="1:25">
      <c r="A469" s="363">
        <f t="shared" si="63"/>
        <v>468</v>
      </c>
      <c r="B469" s="363" t="str">
        <f t="shared" si="56"/>
        <v>44</v>
      </c>
      <c r="C469" s="405" t="str">
        <f t="shared" si="57"/>
        <v>第004391号</v>
      </c>
      <c r="D469" s="405" t="str">
        <f t="shared" si="58"/>
        <v>（有）椎原塗装</v>
      </c>
      <c r="E469" s="405" t="str">
        <f t="shared" si="59"/>
        <v>代表取締役</v>
      </c>
      <c r="F469" s="405" t="str">
        <f t="shared" si="60"/>
        <v>椎原　武文</v>
      </c>
      <c r="G469" s="405" t="str">
        <f t="shared" si="61"/>
        <v>主たる営業所</v>
      </c>
      <c r="H469" s="405" t="str">
        <f t="shared" si="62"/>
        <v>佐伯市大字鶴望２５８１－５</v>
      </c>
      <c r="L469" s="403" t="s">
        <v>8535</v>
      </c>
      <c r="M469" s="403" t="s">
        <v>8536</v>
      </c>
      <c r="N469" s="403" t="s">
        <v>2278</v>
      </c>
      <c r="O469" s="403" t="s">
        <v>7084</v>
      </c>
      <c r="P469" s="403" t="s">
        <v>2279</v>
      </c>
      <c r="Q469" s="403" t="s">
        <v>8463</v>
      </c>
      <c r="R469" s="403" t="s">
        <v>18940</v>
      </c>
      <c r="S469" s="403" t="s">
        <v>14788</v>
      </c>
      <c r="T469" s="403" t="s">
        <v>14789</v>
      </c>
      <c r="U469" s="403"/>
      <c r="V469" s="403" t="s">
        <v>23024</v>
      </c>
      <c r="W469" s="403" t="s">
        <v>23024</v>
      </c>
      <c r="X469" s="403" t="s">
        <v>23024</v>
      </c>
      <c r="Y469" s="403" t="s">
        <v>23024</v>
      </c>
    </row>
    <row r="470" spans="1:25">
      <c r="A470" s="363">
        <f t="shared" si="63"/>
        <v>469</v>
      </c>
      <c r="B470" s="363" t="str">
        <f t="shared" si="56"/>
        <v>44</v>
      </c>
      <c r="C470" s="405" t="str">
        <f t="shared" si="57"/>
        <v>第004399号</v>
      </c>
      <c r="D470" s="405" t="str">
        <f t="shared" si="58"/>
        <v>（有）和光重機</v>
      </c>
      <c r="E470" s="405" t="str">
        <f t="shared" si="59"/>
        <v>代表取締役</v>
      </c>
      <c r="F470" s="405" t="str">
        <f t="shared" si="60"/>
        <v>柴田　昭義</v>
      </c>
      <c r="G470" s="405" t="str">
        <f t="shared" si="61"/>
        <v>主たる営業所</v>
      </c>
      <c r="H470" s="405" t="str">
        <f t="shared" si="62"/>
        <v>佐伯市直川大字下直見１９７１</v>
      </c>
      <c r="L470" s="403" t="s">
        <v>8537</v>
      </c>
      <c r="M470" s="403" t="s">
        <v>8538</v>
      </c>
      <c r="N470" s="403" t="s">
        <v>2280</v>
      </c>
      <c r="O470" s="403" t="s">
        <v>7084</v>
      </c>
      <c r="P470" s="403" t="s">
        <v>2281</v>
      </c>
      <c r="Q470" s="403" t="s">
        <v>8539</v>
      </c>
      <c r="R470" s="403" t="s">
        <v>5441</v>
      </c>
      <c r="S470" s="403" t="s">
        <v>14790</v>
      </c>
      <c r="T470" s="403" t="s">
        <v>14791</v>
      </c>
      <c r="U470" s="403"/>
      <c r="V470" s="403" t="s">
        <v>23024</v>
      </c>
      <c r="W470" s="403" t="s">
        <v>23024</v>
      </c>
      <c r="X470" s="403" t="s">
        <v>23024</v>
      </c>
      <c r="Y470" s="403" t="s">
        <v>23024</v>
      </c>
    </row>
    <row r="471" spans="1:25">
      <c r="A471" s="363">
        <f t="shared" si="63"/>
        <v>470</v>
      </c>
      <c r="B471" s="363" t="str">
        <f t="shared" si="56"/>
        <v>44</v>
      </c>
      <c r="C471" s="405" t="str">
        <f t="shared" si="57"/>
        <v>第004400号</v>
      </c>
      <c r="D471" s="405" t="str">
        <f t="shared" si="58"/>
        <v>（株）ヤマト冨永工務店</v>
      </c>
      <c r="E471" s="405" t="str">
        <f t="shared" si="59"/>
        <v>代表取締役</v>
      </c>
      <c r="F471" s="405" t="str">
        <f t="shared" si="60"/>
        <v>冨永　斉子</v>
      </c>
      <c r="G471" s="405" t="str">
        <f t="shared" si="61"/>
        <v>主たる営業所</v>
      </c>
      <c r="H471" s="405" t="str">
        <f t="shared" si="62"/>
        <v>佐伯市弥生大字大坂本３６</v>
      </c>
      <c r="L471" s="403" t="s">
        <v>8540</v>
      </c>
      <c r="M471" s="403" t="s">
        <v>8541</v>
      </c>
      <c r="N471" s="403" t="s">
        <v>2282</v>
      </c>
      <c r="O471" s="403" t="s">
        <v>7084</v>
      </c>
      <c r="P471" s="403" t="s">
        <v>2283</v>
      </c>
      <c r="Q471" s="403" t="s">
        <v>8542</v>
      </c>
      <c r="R471" s="403" t="s">
        <v>5442</v>
      </c>
      <c r="S471" s="403" t="s">
        <v>14792</v>
      </c>
      <c r="T471" s="403" t="s">
        <v>14793</v>
      </c>
      <c r="U471" s="403"/>
      <c r="V471" s="403" t="s">
        <v>23024</v>
      </c>
      <c r="W471" s="403" t="s">
        <v>23024</v>
      </c>
      <c r="X471" s="403" t="s">
        <v>23024</v>
      </c>
      <c r="Y471" s="403" t="s">
        <v>23024</v>
      </c>
    </row>
    <row r="472" spans="1:25">
      <c r="A472" s="363">
        <f t="shared" si="63"/>
        <v>471</v>
      </c>
      <c r="B472" s="363" t="str">
        <f t="shared" si="56"/>
        <v>44</v>
      </c>
      <c r="C472" s="405" t="str">
        <f t="shared" si="57"/>
        <v>第004421号</v>
      </c>
      <c r="D472" s="405" t="str">
        <f t="shared" si="58"/>
        <v>（株）渡辺工務店</v>
      </c>
      <c r="E472" s="405" t="str">
        <f t="shared" si="59"/>
        <v>代表取締役</v>
      </c>
      <c r="F472" s="405" t="str">
        <f t="shared" si="60"/>
        <v>渡辺　修司</v>
      </c>
      <c r="G472" s="405" t="str">
        <f t="shared" si="61"/>
        <v>主たる営業所</v>
      </c>
      <c r="H472" s="405" t="str">
        <f t="shared" si="62"/>
        <v>日田市大字北豆田１７３３－１１</v>
      </c>
      <c r="L472" s="403" t="s">
        <v>8543</v>
      </c>
      <c r="M472" s="403" t="s">
        <v>8544</v>
      </c>
      <c r="N472" s="403" t="s">
        <v>2284</v>
      </c>
      <c r="O472" s="403" t="s">
        <v>7084</v>
      </c>
      <c r="P472" s="403" t="s">
        <v>2285</v>
      </c>
      <c r="Q472" s="403" t="s">
        <v>8022</v>
      </c>
      <c r="R472" s="403" t="s">
        <v>18941</v>
      </c>
      <c r="S472" s="403" t="s">
        <v>14794</v>
      </c>
      <c r="T472" s="403" t="s">
        <v>14795</v>
      </c>
      <c r="U472" s="403"/>
      <c r="V472" s="403" t="s">
        <v>23024</v>
      </c>
      <c r="W472" s="403" t="s">
        <v>23024</v>
      </c>
      <c r="X472" s="403" t="s">
        <v>23024</v>
      </c>
      <c r="Y472" s="403" t="s">
        <v>23024</v>
      </c>
    </row>
    <row r="473" spans="1:25">
      <c r="A473" s="363">
        <f t="shared" si="63"/>
        <v>472</v>
      </c>
      <c r="B473" s="363" t="str">
        <f t="shared" si="56"/>
        <v>44</v>
      </c>
      <c r="C473" s="405" t="str">
        <f t="shared" si="57"/>
        <v>第004435号</v>
      </c>
      <c r="D473" s="405" t="str">
        <f t="shared" si="58"/>
        <v>日野建設（有）</v>
      </c>
      <c r="E473" s="405" t="str">
        <f t="shared" si="59"/>
        <v>代表取締役</v>
      </c>
      <c r="F473" s="405" t="str">
        <f t="shared" si="60"/>
        <v>日野　敏彦</v>
      </c>
      <c r="G473" s="405" t="str">
        <f t="shared" si="61"/>
        <v>主たる営業所</v>
      </c>
      <c r="H473" s="405" t="str">
        <f t="shared" si="62"/>
        <v>日田市大字求来里２０９７－２</v>
      </c>
      <c r="L473" s="403" t="s">
        <v>8545</v>
      </c>
      <c r="M473" s="403" t="s">
        <v>8546</v>
      </c>
      <c r="N473" s="403" t="s">
        <v>2286</v>
      </c>
      <c r="O473" s="403" t="s">
        <v>7084</v>
      </c>
      <c r="P473" s="403" t="s">
        <v>2287</v>
      </c>
      <c r="Q473" s="403" t="s">
        <v>8547</v>
      </c>
      <c r="R473" s="403" t="s">
        <v>18942</v>
      </c>
      <c r="S473" s="403" t="s">
        <v>14796</v>
      </c>
      <c r="T473" s="403" t="s">
        <v>14797</v>
      </c>
      <c r="U473" s="403"/>
      <c r="V473" s="403" t="s">
        <v>23024</v>
      </c>
      <c r="W473" s="403" t="s">
        <v>23024</v>
      </c>
      <c r="X473" s="403" t="s">
        <v>23024</v>
      </c>
      <c r="Y473" s="403" t="s">
        <v>23024</v>
      </c>
    </row>
    <row r="474" spans="1:25">
      <c r="A474" s="363">
        <f t="shared" si="63"/>
        <v>473</v>
      </c>
      <c r="B474" s="363" t="str">
        <f t="shared" si="56"/>
        <v>44</v>
      </c>
      <c r="C474" s="405" t="str">
        <f t="shared" si="57"/>
        <v>第004451号</v>
      </c>
      <c r="D474" s="405" t="str">
        <f t="shared" si="58"/>
        <v>（株）大日電機</v>
      </c>
      <c r="E474" s="405" t="str">
        <f t="shared" si="59"/>
        <v>代表取締役</v>
      </c>
      <c r="F474" s="405" t="str">
        <f t="shared" si="60"/>
        <v>濱田　明隆</v>
      </c>
      <c r="G474" s="405" t="str">
        <f t="shared" si="61"/>
        <v>主たる営業所</v>
      </c>
      <c r="H474" s="405" t="str">
        <f t="shared" si="62"/>
        <v>日田市大字高瀬１２４８－２</v>
      </c>
      <c r="L474" s="403" t="s">
        <v>8548</v>
      </c>
      <c r="M474" s="403" t="s">
        <v>8549</v>
      </c>
      <c r="N474" s="403" t="s">
        <v>2288</v>
      </c>
      <c r="O474" s="403" t="s">
        <v>7084</v>
      </c>
      <c r="P474" s="403" t="s">
        <v>18943</v>
      </c>
      <c r="Q474" s="403" t="s">
        <v>7297</v>
      </c>
      <c r="R474" s="403" t="s">
        <v>18944</v>
      </c>
      <c r="S474" s="403" t="s">
        <v>14798</v>
      </c>
      <c r="T474" s="403" t="s">
        <v>14799</v>
      </c>
      <c r="U474" s="403"/>
      <c r="V474" s="403" t="s">
        <v>23024</v>
      </c>
      <c r="W474" s="403" t="s">
        <v>23024</v>
      </c>
      <c r="X474" s="403" t="s">
        <v>23024</v>
      </c>
      <c r="Y474" s="403" t="s">
        <v>23024</v>
      </c>
    </row>
    <row r="475" spans="1:25">
      <c r="A475" s="363">
        <f t="shared" si="63"/>
        <v>474</v>
      </c>
      <c r="B475" s="363" t="str">
        <f t="shared" si="56"/>
        <v>44</v>
      </c>
      <c r="C475" s="405" t="str">
        <f t="shared" si="57"/>
        <v>第004452号</v>
      </c>
      <c r="D475" s="405" t="str">
        <f t="shared" si="58"/>
        <v>（株）インテリア春</v>
      </c>
      <c r="E475" s="405" t="str">
        <f t="shared" si="59"/>
        <v>代表取締役</v>
      </c>
      <c r="F475" s="405" t="str">
        <f t="shared" si="60"/>
        <v>野村　猛</v>
      </c>
      <c r="G475" s="405" t="str">
        <f t="shared" si="61"/>
        <v>主たる営業所</v>
      </c>
      <c r="H475" s="405" t="str">
        <f t="shared" si="62"/>
        <v>日田市大字渡里２５－８</v>
      </c>
      <c r="L475" s="403" t="s">
        <v>8550</v>
      </c>
      <c r="M475" s="403" t="s">
        <v>8551</v>
      </c>
      <c r="N475" s="403" t="s">
        <v>2289</v>
      </c>
      <c r="O475" s="403" t="s">
        <v>7084</v>
      </c>
      <c r="P475" s="403" t="s">
        <v>18945</v>
      </c>
      <c r="Q475" s="403" t="s">
        <v>8035</v>
      </c>
      <c r="R475" s="403" t="s">
        <v>18946</v>
      </c>
      <c r="S475" s="403" t="s">
        <v>14800</v>
      </c>
      <c r="T475" s="403" t="s">
        <v>14801</v>
      </c>
      <c r="U475" s="403"/>
      <c r="V475" s="403" t="s">
        <v>23024</v>
      </c>
      <c r="W475" s="403" t="s">
        <v>23024</v>
      </c>
      <c r="X475" s="403" t="s">
        <v>23024</v>
      </c>
      <c r="Y475" s="403" t="s">
        <v>23024</v>
      </c>
    </row>
    <row r="476" spans="1:25">
      <c r="A476" s="363">
        <f t="shared" si="63"/>
        <v>475</v>
      </c>
      <c r="B476" s="363" t="str">
        <f t="shared" si="56"/>
        <v>44</v>
      </c>
      <c r="C476" s="405" t="str">
        <f t="shared" si="57"/>
        <v>第004467号</v>
      </c>
      <c r="D476" s="405" t="str">
        <f t="shared" si="58"/>
        <v>（株）下徳産業</v>
      </c>
      <c r="E476" s="405" t="str">
        <f t="shared" si="59"/>
        <v>代表取締役</v>
      </c>
      <c r="F476" s="405" t="str">
        <f t="shared" si="60"/>
        <v>千原　和明</v>
      </c>
      <c r="G476" s="405" t="str">
        <f t="shared" si="61"/>
        <v>主たる営業所</v>
      </c>
      <c r="H476" s="405" t="str">
        <f t="shared" si="62"/>
        <v>日田市大字有田３１９－１２</v>
      </c>
      <c r="L476" s="403" t="s">
        <v>8552</v>
      </c>
      <c r="M476" s="403" t="s">
        <v>8553</v>
      </c>
      <c r="N476" s="403" t="s">
        <v>2290</v>
      </c>
      <c r="O476" s="403" t="s">
        <v>7084</v>
      </c>
      <c r="P476" s="403" t="s">
        <v>2291</v>
      </c>
      <c r="Q476" s="403" t="s">
        <v>8029</v>
      </c>
      <c r="R476" s="403" t="s">
        <v>18947</v>
      </c>
      <c r="S476" s="403" t="s">
        <v>14802</v>
      </c>
      <c r="T476" s="403" t="s">
        <v>14803</v>
      </c>
      <c r="U476" s="403"/>
      <c r="V476" s="403" t="s">
        <v>23024</v>
      </c>
      <c r="W476" s="403" t="s">
        <v>23024</v>
      </c>
      <c r="X476" s="403" t="s">
        <v>23024</v>
      </c>
      <c r="Y476" s="403" t="s">
        <v>23024</v>
      </c>
    </row>
    <row r="477" spans="1:25">
      <c r="A477" s="363">
        <f t="shared" si="63"/>
        <v>476</v>
      </c>
      <c r="B477" s="363" t="str">
        <f t="shared" si="56"/>
        <v>44</v>
      </c>
      <c r="C477" s="405" t="str">
        <f t="shared" si="57"/>
        <v>第004476号</v>
      </c>
      <c r="D477" s="405" t="str">
        <f t="shared" si="58"/>
        <v>水郷土木（株）</v>
      </c>
      <c r="E477" s="405" t="str">
        <f t="shared" si="59"/>
        <v>代表取締役</v>
      </c>
      <c r="F477" s="405" t="str">
        <f t="shared" si="60"/>
        <v>池永　秀昭</v>
      </c>
      <c r="G477" s="405" t="str">
        <f t="shared" si="61"/>
        <v>主たる営業所</v>
      </c>
      <c r="H477" s="405" t="str">
        <f t="shared" si="62"/>
        <v>日田市大字十二町６４６－１１</v>
      </c>
      <c r="L477" s="403" t="s">
        <v>8554</v>
      </c>
      <c r="M477" s="403" t="s">
        <v>8555</v>
      </c>
      <c r="N477" s="403" t="s">
        <v>2292</v>
      </c>
      <c r="O477" s="403" t="s">
        <v>7084</v>
      </c>
      <c r="P477" s="403" t="s">
        <v>2293</v>
      </c>
      <c r="Q477" s="403" t="s">
        <v>8556</v>
      </c>
      <c r="R477" s="403" t="s">
        <v>18948</v>
      </c>
      <c r="S477" s="403" t="s">
        <v>14804</v>
      </c>
      <c r="T477" s="403" t="s">
        <v>14805</v>
      </c>
      <c r="U477" s="403"/>
      <c r="V477" s="403" t="s">
        <v>23024</v>
      </c>
      <c r="W477" s="403" t="s">
        <v>23024</v>
      </c>
      <c r="X477" s="403" t="s">
        <v>23024</v>
      </c>
      <c r="Y477" s="403" t="s">
        <v>23024</v>
      </c>
    </row>
    <row r="478" spans="1:25">
      <c r="A478" s="363">
        <f t="shared" si="63"/>
        <v>477</v>
      </c>
      <c r="B478" s="363" t="str">
        <f t="shared" si="56"/>
        <v>44</v>
      </c>
      <c r="C478" s="405" t="str">
        <f t="shared" si="57"/>
        <v>第004486号</v>
      </c>
      <c r="D478" s="405" t="str">
        <f t="shared" si="58"/>
        <v>（株）堀土木</v>
      </c>
      <c r="E478" s="405" t="str">
        <f t="shared" si="59"/>
        <v>代表取締役</v>
      </c>
      <c r="F478" s="405" t="str">
        <f t="shared" si="60"/>
        <v>堀　秀暢</v>
      </c>
      <c r="G478" s="405" t="str">
        <f t="shared" si="61"/>
        <v>主たる営業所</v>
      </c>
      <c r="H478" s="405" t="str">
        <f t="shared" si="62"/>
        <v>日田市大字友田３７６２</v>
      </c>
      <c r="L478" s="403" t="s">
        <v>8557</v>
      </c>
      <c r="M478" s="403" t="s">
        <v>8558</v>
      </c>
      <c r="N478" s="403" t="s">
        <v>2294</v>
      </c>
      <c r="O478" s="403" t="s">
        <v>7084</v>
      </c>
      <c r="P478" s="403" t="s">
        <v>2295</v>
      </c>
      <c r="Q478" s="403" t="s">
        <v>8059</v>
      </c>
      <c r="R478" s="403" t="s">
        <v>5443</v>
      </c>
      <c r="S478" s="403" t="s">
        <v>14806</v>
      </c>
      <c r="T478" s="403" t="s">
        <v>14807</v>
      </c>
      <c r="U478" s="403"/>
      <c r="V478" s="403" t="s">
        <v>23024</v>
      </c>
      <c r="W478" s="403" t="s">
        <v>23024</v>
      </c>
      <c r="X478" s="403" t="s">
        <v>23024</v>
      </c>
      <c r="Y478" s="403" t="s">
        <v>23024</v>
      </c>
    </row>
    <row r="479" spans="1:25">
      <c r="A479" s="363">
        <f t="shared" si="63"/>
        <v>478</v>
      </c>
      <c r="B479" s="363" t="str">
        <f t="shared" si="56"/>
        <v>44</v>
      </c>
      <c r="C479" s="405" t="str">
        <f t="shared" si="57"/>
        <v>第004491号</v>
      </c>
      <c r="D479" s="405" t="str">
        <f t="shared" si="58"/>
        <v>河津建設（株）</v>
      </c>
      <c r="E479" s="405" t="str">
        <f t="shared" si="59"/>
        <v>代表取締役</v>
      </c>
      <c r="F479" s="405" t="str">
        <f t="shared" si="60"/>
        <v>河津　賢太郎</v>
      </c>
      <c r="G479" s="405" t="str">
        <f t="shared" si="61"/>
        <v>主たる営業所</v>
      </c>
      <c r="H479" s="405" t="str">
        <f t="shared" si="62"/>
        <v>日田市三芳小渕町１５１</v>
      </c>
      <c r="L479" s="403" t="s">
        <v>8559</v>
      </c>
      <c r="M479" s="403" t="s">
        <v>8560</v>
      </c>
      <c r="N479" s="403" t="s">
        <v>2296</v>
      </c>
      <c r="O479" s="403" t="s">
        <v>7084</v>
      </c>
      <c r="P479" s="403" t="s">
        <v>2297</v>
      </c>
      <c r="Q479" s="403" t="s">
        <v>8025</v>
      </c>
      <c r="R479" s="403" t="s">
        <v>5444</v>
      </c>
      <c r="S479" s="403" t="s">
        <v>14808</v>
      </c>
      <c r="T479" s="403" t="s">
        <v>14809</v>
      </c>
      <c r="U479" s="403"/>
      <c r="V479" s="403" t="s">
        <v>23024</v>
      </c>
      <c r="W479" s="403" t="s">
        <v>23024</v>
      </c>
      <c r="X479" s="403" t="s">
        <v>23024</v>
      </c>
      <c r="Y479" s="403" t="s">
        <v>23024</v>
      </c>
    </row>
    <row r="480" spans="1:25">
      <c r="A480" s="363">
        <f t="shared" si="63"/>
        <v>479</v>
      </c>
      <c r="B480" s="363" t="str">
        <f t="shared" si="56"/>
        <v>44</v>
      </c>
      <c r="C480" s="405" t="str">
        <f t="shared" si="57"/>
        <v>第004495号</v>
      </c>
      <c r="D480" s="405" t="str">
        <f t="shared" si="58"/>
        <v>（有）笹倉工務店</v>
      </c>
      <c r="E480" s="405" t="str">
        <f t="shared" si="59"/>
        <v>代表取締役</v>
      </c>
      <c r="F480" s="405" t="str">
        <f t="shared" si="60"/>
        <v>笹倉　英樹</v>
      </c>
      <c r="G480" s="405" t="str">
        <f t="shared" si="61"/>
        <v>主たる営業所</v>
      </c>
      <c r="H480" s="405" t="str">
        <f t="shared" si="62"/>
        <v>日田市大字庄手３７０－３</v>
      </c>
      <c r="L480" s="403" t="s">
        <v>8561</v>
      </c>
      <c r="M480" s="403" t="s">
        <v>8562</v>
      </c>
      <c r="N480" s="403" t="s">
        <v>2298</v>
      </c>
      <c r="O480" s="403" t="s">
        <v>7084</v>
      </c>
      <c r="P480" s="403" t="s">
        <v>2299</v>
      </c>
      <c r="Q480" s="403" t="s">
        <v>8056</v>
      </c>
      <c r="R480" s="403" t="s">
        <v>18949</v>
      </c>
      <c r="S480" s="403" t="s">
        <v>14810</v>
      </c>
      <c r="T480" s="403" t="s">
        <v>14811</v>
      </c>
      <c r="U480" s="403"/>
      <c r="V480" s="403" t="s">
        <v>23024</v>
      </c>
      <c r="W480" s="403" t="s">
        <v>23024</v>
      </c>
      <c r="X480" s="403" t="s">
        <v>23024</v>
      </c>
      <c r="Y480" s="403" t="s">
        <v>23024</v>
      </c>
    </row>
    <row r="481" spans="1:25">
      <c r="A481" s="363">
        <f t="shared" si="63"/>
        <v>480</v>
      </c>
      <c r="B481" s="363" t="str">
        <f t="shared" si="56"/>
        <v>44</v>
      </c>
      <c r="C481" s="405" t="str">
        <f t="shared" si="57"/>
        <v>第004504号</v>
      </c>
      <c r="D481" s="405" t="str">
        <f t="shared" si="58"/>
        <v>安養寺建設（有）</v>
      </c>
      <c r="E481" s="405" t="str">
        <f t="shared" si="59"/>
        <v>代表取締役</v>
      </c>
      <c r="F481" s="405" t="str">
        <f t="shared" si="60"/>
        <v>安養寺　哲矢</v>
      </c>
      <c r="G481" s="405" t="str">
        <f t="shared" si="61"/>
        <v>主たる営業所</v>
      </c>
      <c r="H481" s="405" t="str">
        <f t="shared" si="62"/>
        <v>日田市大字高瀬１５４８－３</v>
      </c>
      <c r="L481" s="403" t="s">
        <v>8563</v>
      </c>
      <c r="M481" s="403" t="s">
        <v>8564</v>
      </c>
      <c r="N481" s="403" t="s">
        <v>2300</v>
      </c>
      <c r="O481" s="403" t="s">
        <v>7084</v>
      </c>
      <c r="P481" s="403" t="s">
        <v>2301</v>
      </c>
      <c r="Q481" s="403" t="s">
        <v>8565</v>
      </c>
      <c r="R481" s="403" t="s">
        <v>18950</v>
      </c>
      <c r="S481" s="403" t="s">
        <v>14812</v>
      </c>
      <c r="T481" s="403" t="s">
        <v>14813</v>
      </c>
      <c r="U481" s="403"/>
      <c r="V481" s="403" t="s">
        <v>23024</v>
      </c>
      <c r="W481" s="403" t="s">
        <v>23024</v>
      </c>
      <c r="X481" s="403" t="s">
        <v>23024</v>
      </c>
      <c r="Y481" s="403" t="s">
        <v>23024</v>
      </c>
    </row>
    <row r="482" spans="1:25">
      <c r="A482" s="363">
        <f t="shared" si="63"/>
        <v>481</v>
      </c>
      <c r="B482" s="363" t="str">
        <f t="shared" si="56"/>
        <v>44</v>
      </c>
      <c r="C482" s="405" t="str">
        <f t="shared" si="57"/>
        <v>第004506号</v>
      </c>
      <c r="D482" s="405" t="str">
        <f t="shared" si="58"/>
        <v>（有）松野土木</v>
      </c>
      <c r="E482" s="405" t="str">
        <f t="shared" si="59"/>
        <v>代表取締役</v>
      </c>
      <c r="F482" s="405" t="str">
        <f t="shared" si="60"/>
        <v>松野　忠</v>
      </c>
      <c r="G482" s="405" t="str">
        <f t="shared" si="61"/>
        <v>主たる営業所</v>
      </c>
      <c r="H482" s="405" t="str">
        <f t="shared" si="62"/>
        <v>日田市中津江村栃野１２５２－１</v>
      </c>
      <c r="L482" s="403" t="s">
        <v>8566</v>
      </c>
      <c r="M482" s="403" t="s">
        <v>8567</v>
      </c>
      <c r="N482" s="403" t="s">
        <v>2302</v>
      </c>
      <c r="O482" s="403" t="s">
        <v>7084</v>
      </c>
      <c r="P482" s="403" t="s">
        <v>2303</v>
      </c>
      <c r="Q482" s="403" t="s">
        <v>7300</v>
      </c>
      <c r="R482" s="403" t="s">
        <v>18951</v>
      </c>
      <c r="S482" s="403" t="s">
        <v>14814</v>
      </c>
      <c r="T482" s="403" t="s">
        <v>14815</v>
      </c>
      <c r="U482" s="403"/>
      <c r="V482" s="403" t="s">
        <v>23024</v>
      </c>
      <c r="W482" s="403" t="s">
        <v>23024</v>
      </c>
      <c r="X482" s="403" t="s">
        <v>23024</v>
      </c>
      <c r="Y482" s="403" t="s">
        <v>23024</v>
      </c>
    </row>
    <row r="483" spans="1:25">
      <c r="A483" s="363">
        <f t="shared" si="63"/>
        <v>482</v>
      </c>
      <c r="B483" s="363" t="str">
        <f t="shared" si="56"/>
        <v>44</v>
      </c>
      <c r="C483" s="405" t="str">
        <f t="shared" si="57"/>
        <v>第004525号</v>
      </c>
      <c r="D483" s="405" t="str">
        <f t="shared" si="58"/>
        <v>（株）日本シャッター産業</v>
      </c>
      <c r="E483" s="405" t="str">
        <f t="shared" si="59"/>
        <v>代表取締役</v>
      </c>
      <c r="F483" s="405" t="str">
        <f t="shared" si="60"/>
        <v>吉光　康朗</v>
      </c>
      <c r="G483" s="405" t="str">
        <f t="shared" si="61"/>
        <v>主たる営業所</v>
      </c>
      <c r="H483" s="405" t="str">
        <f t="shared" si="62"/>
        <v>日田市大字北豆田１７３３－２４</v>
      </c>
      <c r="L483" s="403" t="s">
        <v>8568</v>
      </c>
      <c r="M483" s="403" t="s">
        <v>8569</v>
      </c>
      <c r="N483" s="403" t="s">
        <v>2304</v>
      </c>
      <c r="O483" s="403" t="s">
        <v>7084</v>
      </c>
      <c r="P483" s="403" t="s">
        <v>5230</v>
      </c>
      <c r="Q483" s="403" t="s">
        <v>8570</v>
      </c>
      <c r="R483" s="403" t="s">
        <v>18952</v>
      </c>
      <c r="S483" s="403" t="s">
        <v>14816</v>
      </c>
      <c r="T483" s="403" t="s">
        <v>14817</v>
      </c>
      <c r="U483" s="403"/>
      <c r="V483" s="403" t="s">
        <v>23024</v>
      </c>
      <c r="W483" s="403" t="s">
        <v>23024</v>
      </c>
      <c r="X483" s="403" t="s">
        <v>23024</v>
      </c>
      <c r="Y483" s="403" t="s">
        <v>23024</v>
      </c>
    </row>
    <row r="484" spans="1:25">
      <c r="A484" s="363">
        <f t="shared" si="63"/>
        <v>483</v>
      </c>
      <c r="B484" s="363" t="str">
        <f t="shared" si="56"/>
        <v>44</v>
      </c>
      <c r="C484" s="405" t="str">
        <f t="shared" si="57"/>
        <v>第004526号</v>
      </c>
      <c r="D484" s="405" t="str">
        <f t="shared" si="58"/>
        <v>（有）緑地管理事業団</v>
      </c>
      <c r="E484" s="405" t="str">
        <f t="shared" si="59"/>
        <v>代表取締役</v>
      </c>
      <c r="F484" s="405" t="str">
        <f t="shared" si="60"/>
        <v>河津　千穂</v>
      </c>
      <c r="G484" s="405" t="str">
        <f t="shared" si="61"/>
        <v>主たる営業所</v>
      </c>
      <c r="H484" s="405" t="str">
        <f t="shared" si="62"/>
        <v>日田市大字石井３６９－８</v>
      </c>
      <c r="L484" s="403" t="s">
        <v>8571</v>
      </c>
      <c r="M484" s="403" t="s">
        <v>8572</v>
      </c>
      <c r="N484" s="403" t="s">
        <v>2305</v>
      </c>
      <c r="O484" s="403" t="s">
        <v>7084</v>
      </c>
      <c r="P484" s="403" t="s">
        <v>18953</v>
      </c>
      <c r="Q484" s="403" t="s">
        <v>8573</v>
      </c>
      <c r="R484" s="403" t="s">
        <v>18954</v>
      </c>
      <c r="S484" s="403" t="s">
        <v>14818</v>
      </c>
      <c r="T484" s="403" t="s">
        <v>14818</v>
      </c>
      <c r="U484" s="403"/>
      <c r="V484" s="403" t="s">
        <v>23024</v>
      </c>
      <c r="W484" s="403" t="s">
        <v>23024</v>
      </c>
      <c r="X484" s="403" t="s">
        <v>23024</v>
      </c>
      <c r="Y484" s="403" t="s">
        <v>23024</v>
      </c>
    </row>
    <row r="485" spans="1:25">
      <c r="A485" s="363">
        <f t="shared" si="63"/>
        <v>484</v>
      </c>
      <c r="B485" s="363" t="str">
        <f t="shared" si="56"/>
        <v>44</v>
      </c>
      <c r="C485" s="405" t="str">
        <f t="shared" si="57"/>
        <v>第004540号</v>
      </c>
      <c r="D485" s="405" t="str">
        <f t="shared" si="58"/>
        <v>小山フェンス（株）</v>
      </c>
      <c r="E485" s="405" t="str">
        <f t="shared" si="59"/>
        <v>代表取締役</v>
      </c>
      <c r="F485" s="405" t="str">
        <f t="shared" si="60"/>
        <v>小山　英世</v>
      </c>
      <c r="G485" s="405" t="str">
        <f t="shared" si="61"/>
        <v>主たる営業所</v>
      </c>
      <c r="H485" s="405" t="str">
        <f t="shared" si="62"/>
        <v>日田市上城内町９１４－３</v>
      </c>
      <c r="L485" s="403" t="s">
        <v>8574</v>
      </c>
      <c r="M485" s="403" t="s">
        <v>8575</v>
      </c>
      <c r="N485" s="403" t="s">
        <v>2306</v>
      </c>
      <c r="O485" s="403" t="s">
        <v>7084</v>
      </c>
      <c r="P485" s="403" t="s">
        <v>2307</v>
      </c>
      <c r="Q485" s="403" t="s">
        <v>8066</v>
      </c>
      <c r="R485" s="403" t="s">
        <v>18955</v>
      </c>
      <c r="S485" s="403" t="s">
        <v>14819</v>
      </c>
      <c r="T485" s="403" t="s">
        <v>14820</v>
      </c>
      <c r="U485" s="403"/>
      <c r="V485" s="403" t="s">
        <v>23024</v>
      </c>
      <c r="W485" s="403" t="s">
        <v>23024</v>
      </c>
      <c r="X485" s="403" t="s">
        <v>23024</v>
      </c>
      <c r="Y485" s="403" t="s">
        <v>23024</v>
      </c>
    </row>
    <row r="486" spans="1:25">
      <c r="A486" s="363">
        <f t="shared" si="63"/>
        <v>485</v>
      </c>
      <c r="B486" s="363" t="str">
        <f t="shared" si="56"/>
        <v>44</v>
      </c>
      <c r="C486" s="405" t="str">
        <f t="shared" si="57"/>
        <v>第004541号</v>
      </c>
      <c r="D486" s="405" t="str">
        <f t="shared" si="58"/>
        <v>（有）東雲板金工業所</v>
      </c>
      <c r="E486" s="405" t="str">
        <f t="shared" si="59"/>
        <v>代表取締役</v>
      </c>
      <c r="F486" s="405" t="str">
        <f t="shared" si="60"/>
        <v>東雲　啓祐</v>
      </c>
      <c r="G486" s="405" t="str">
        <f t="shared" si="61"/>
        <v>主たる営業所</v>
      </c>
      <c r="H486" s="405" t="str">
        <f t="shared" si="62"/>
        <v>日田市大字日高町１４５６－３</v>
      </c>
      <c r="L486" s="403" t="s">
        <v>8576</v>
      </c>
      <c r="M486" s="403" t="s">
        <v>8577</v>
      </c>
      <c r="N486" s="403" t="s">
        <v>2308</v>
      </c>
      <c r="O486" s="403" t="s">
        <v>7084</v>
      </c>
      <c r="P486" s="403" t="s">
        <v>2309</v>
      </c>
      <c r="Q486" s="403" t="s">
        <v>8578</v>
      </c>
      <c r="R486" s="403" t="s">
        <v>18956</v>
      </c>
      <c r="S486" s="403" t="s">
        <v>14821</v>
      </c>
      <c r="T486" s="403" t="s">
        <v>14822</v>
      </c>
      <c r="U486" s="403"/>
      <c r="V486" s="403" t="s">
        <v>23024</v>
      </c>
      <c r="W486" s="403" t="s">
        <v>23024</v>
      </c>
      <c r="X486" s="403" t="s">
        <v>23024</v>
      </c>
      <c r="Y486" s="403" t="s">
        <v>23024</v>
      </c>
    </row>
    <row r="487" spans="1:25">
      <c r="A487" s="363">
        <f t="shared" si="63"/>
        <v>486</v>
      </c>
      <c r="B487" s="363" t="str">
        <f t="shared" si="56"/>
        <v>44</v>
      </c>
      <c r="C487" s="405" t="str">
        <f t="shared" si="57"/>
        <v>第004545号</v>
      </c>
      <c r="D487" s="405" t="str">
        <f t="shared" si="58"/>
        <v>（株）ひたでんき</v>
      </c>
      <c r="E487" s="405" t="str">
        <f t="shared" si="59"/>
        <v>代表取締役</v>
      </c>
      <c r="F487" s="405" t="str">
        <f t="shared" si="60"/>
        <v>森山　聡一朗</v>
      </c>
      <c r="G487" s="405" t="str">
        <f t="shared" si="61"/>
        <v>主たる営業所</v>
      </c>
      <c r="H487" s="405" t="str">
        <f t="shared" si="62"/>
        <v>日田市丸山１－３－１５</v>
      </c>
      <c r="L487" s="403" t="s">
        <v>8579</v>
      </c>
      <c r="M487" s="403" t="s">
        <v>8580</v>
      </c>
      <c r="N487" s="403" t="s">
        <v>2310</v>
      </c>
      <c r="O487" s="403" t="s">
        <v>7084</v>
      </c>
      <c r="P487" s="403" t="s">
        <v>2311</v>
      </c>
      <c r="Q487" s="403" t="s">
        <v>8581</v>
      </c>
      <c r="R487" s="403" t="s">
        <v>18957</v>
      </c>
      <c r="S487" s="403" t="s">
        <v>14823</v>
      </c>
      <c r="T487" s="403" t="s">
        <v>14824</v>
      </c>
      <c r="U487" s="403"/>
      <c r="V487" s="403" t="s">
        <v>23024</v>
      </c>
      <c r="W487" s="403" t="s">
        <v>23024</v>
      </c>
      <c r="X487" s="403" t="s">
        <v>23024</v>
      </c>
      <c r="Y487" s="403" t="s">
        <v>23024</v>
      </c>
    </row>
    <row r="488" spans="1:25">
      <c r="A488" s="363">
        <f t="shared" si="63"/>
        <v>487</v>
      </c>
      <c r="B488" s="363" t="str">
        <f t="shared" si="56"/>
        <v>44</v>
      </c>
      <c r="C488" s="405" t="str">
        <f t="shared" si="57"/>
        <v>第004564号</v>
      </c>
      <c r="D488" s="405" t="str">
        <f t="shared" si="58"/>
        <v>（株）梶原塗装社</v>
      </c>
      <c r="E488" s="405" t="str">
        <f t="shared" si="59"/>
        <v>代表取締役</v>
      </c>
      <c r="F488" s="405" t="str">
        <f t="shared" si="60"/>
        <v>梶原　久美</v>
      </c>
      <c r="G488" s="405" t="str">
        <f t="shared" si="61"/>
        <v>主たる営業所</v>
      </c>
      <c r="H488" s="405" t="str">
        <f t="shared" si="62"/>
        <v>日田市城町１－３－６</v>
      </c>
      <c r="L488" s="403" t="s">
        <v>8582</v>
      </c>
      <c r="M488" s="403" t="s">
        <v>8583</v>
      </c>
      <c r="N488" s="403" t="s">
        <v>2312</v>
      </c>
      <c r="O488" s="403" t="s">
        <v>7084</v>
      </c>
      <c r="P488" s="403" t="s">
        <v>2313</v>
      </c>
      <c r="Q488" s="403" t="s">
        <v>8019</v>
      </c>
      <c r="R488" s="403" t="s">
        <v>18958</v>
      </c>
      <c r="S488" s="403" t="s">
        <v>14825</v>
      </c>
      <c r="T488" s="403" t="s">
        <v>14826</v>
      </c>
      <c r="U488" s="403"/>
      <c r="V488" s="403" t="s">
        <v>23024</v>
      </c>
      <c r="W488" s="403" t="s">
        <v>23024</v>
      </c>
      <c r="X488" s="403" t="s">
        <v>23024</v>
      </c>
      <c r="Y488" s="403" t="s">
        <v>23024</v>
      </c>
    </row>
    <row r="489" spans="1:25">
      <c r="A489" s="363">
        <f t="shared" si="63"/>
        <v>488</v>
      </c>
      <c r="B489" s="363" t="str">
        <f t="shared" si="56"/>
        <v>44</v>
      </c>
      <c r="C489" s="405" t="str">
        <f t="shared" si="57"/>
        <v>第004571号</v>
      </c>
      <c r="D489" s="405" t="str">
        <f t="shared" si="58"/>
        <v>（有）藤原建設</v>
      </c>
      <c r="E489" s="405" t="str">
        <f t="shared" si="59"/>
        <v>代表取締役</v>
      </c>
      <c r="F489" s="405" t="str">
        <f t="shared" si="60"/>
        <v>藤原　広幸</v>
      </c>
      <c r="G489" s="405" t="str">
        <f t="shared" si="61"/>
        <v>主たる営業所</v>
      </c>
      <c r="H489" s="405" t="str">
        <f t="shared" si="62"/>
        <v>日田市天瀬町本城８１８</v>
      </c>
      <c r="L489" s="403" t="s">
        <v>8584</v>
      </c>
      <c r="M489" s="403" t="s">
        <v>8585</v>
      </c>
      <c r="N489" s="403" t="s">
        <v>2314</v>
      </c>
      <c r="O489" s="403" t="s">
        <v>7084</v>
      </c>
      <c r="P489" s="403" t="s">
        <v>2197</v>
      </c>
      <c r="Q489" s="403" t="s">
        <v>8586</v>
      </c>
      <c r="R489" s="403" t="s">
        <v>5445</v>
      </c>
      <c r="S489" s="403" t="s">
        <v>14827</v>
      </c>
      <c r="T489" s="403" t="s">
        <v>14828</v>
      </c>
      <c r="U489" s="403"/>
      <c r="V489" s="403" t="s">
        <v>23024</v>
      </c>
      <c r="W489" s="403" t="s">
        <v>23024</v>
      </c>
      <c r="X489" s="403" t="s">
        <v>23024</v>
      </c>
      <c r="Y489" s="403" t="s">
        <v>23024</v>
      </c>
    </row>
    <row r="490" spans="1:25">
      <c r="A490" s="363">
        <f t="shared" si="63"/>
        <v>489</v>
      </c>
      <c r="B490" s="363" t="str">
        <f t="shared" si="56"/>
        <v>44</v>
      </c>
      <c r="C490" s="405" t="str">
        <f t="shared" si="57"/>
        <v>第004600号</v>
      </c>
      <c r="D490" s="405" t="str">
        <f t="shared" si="58"/>
        <v>（有）道路施設</v>
      </c>
      <c r="E490" s="405" t="str">
        <f t="shared" si="59"/>
        <v>代表取締役</v>
      </c>
      <c r="F490" s="405" t="str">
        <f t="shared" si="60"/>
        <v>金子　達之</v>
      </c>
      <c r="G490" s="405" t="str">
        <f t="shared" si="61"/>
        <v>主たる営業所</v>
      </c>
      <c r="H490" s="405" t="str">
        <f t="shared" si="62"/>
        <v>日田市大字日高１９８４－１</v>
      </c>
      <c r="L490" s="403" t="s">
        <v>8587</v>
      </c>
      <c r="M490" s="403" t="s">
        <v>8588</v>
      </c>
      <c r="N490" s="403" t="s">
        <v>2315</v>
      </c>
      <c r="O490" s="403" t="s">
        <v>7084</v>
      </c>
      <c r="P490" s="403" t="s">
        <v>2316</v>
      </c>
      <c r="Q490" s="403" t="s">
        <v>8589</v>
      </c>
      <c r="R490" s="403" t="s">
        <v>18959</v>
      </c>
      <c r="S490" s="403" t="s">
        <v>14829</v>
      </c>
      <c r="T490" s="403" t="s">
        <v>14830</v>
      </c>
      <c r="U490" s="403"/>
      <c r="V490" s="403" t="s">
        <v>23024</v>
      </c>
      <c r="W490" s="403" t="s">
        <v>23024</v>
      </c>
      <c r="X490" s="403" t="s">
        <v>23024</v>
      </c>
      <c r="Y490" s="403" t="s">
        <v>23024</v>
      </c>
    </row>
    <row r="491" spans="1:25">
      <c r="A491" s="363">
        <f t="shared" si="63"/>
        <v>490</v>
      </c>
      <c r="B491" s="363" t="str">
        <f t="shared" si="56"/>
        <v>44</v>
      </c>
      <c r="C491" s="405" t="str">
        <f t="shared" si="57"/>
        <v>第004608号</v>
      </c>
      <c r="D491" s="405" t="str">
        <f t="shared" si="58"/>
        <v>（有）玖珠工務店</v>
      </c>
      <c r="E491" s="405" t="str">
        <f t="shared" si="59"/>
        <v>代表取締役</v>
      </c>
      <c r="F491" s="405" t="str">
        <f t="shared" si="60"/>
        <v>園田　美砂子</v>
      </c>
      <c r="G491" s="405" t="str">
        <f t="shared" si="61"/>
        <v>主たる営業所</v>
      </c>
      <c r="H491" s="405" t="str">
        <f t="shared" si="62"/>
        <v>玖珠郡玖珠町大字綾垣１５３８</v>
      </c>
      <c r="L491" s="403" t="s">
        <v>8590</v>
      </c>
      <c r="M491" s="403" t="s">
        <v>8591</v>
      </c>
      <c r="N491" s="403" t="s">
        <v>2317</v>
      </c>
      <c r="O491" s="403" t="s">
        <v>7084</v>
      </c>
      <c r="P491" s="403" t="s">
        <v>2318</v>
      </c>
      <c r="Q491" s="403" t="s">
        <v>7996</v>
      </c>
      <c r="R491" s="403" t="s">
        <v>5384</v>
      </c>
      <c r="S491" s="403" t="s">
        <v>14831</v>
      </c>
      <c r="T491" s="403" t="s">
        <v>14391</v>
      </c>
      <c r="U491" s="403"/>
      <c r="V491" s="403" t="s">
        <v>23024</v>
      </c>
      <c r="W491" s="403" t="s">
        <v>23024</v>
      </c>
      <c r="X491" s="403" t="s">
        <v>23024</v>
      </c>
      <c r="Y491" s="403" t="s">
        <v>23024</v>
      </c>
    </row>
    <row r="492" spans="1:25">
      <c r="A492" s="363">
        <f t="shared" si="63"/>
        <v>491</v>
      </c>
      <c r="B492" s="363" t="str">
        <f t="shared" si="56"/>
        <v>44</v>
      </c>
      <c r="C492" s="405" t="str">
        <f t="shared" si="57"/>
        <v>第004610号</v>
      </c>
      <c r="D492" s="405" t="str">
        <f t="shared" si="58"/>
        <v>（株）宇佐建設</v>
      </c>
      <c r="E492" s="405" t="str">
        <f t="shared" si="59"/>
        <v>代表取締役</v>
      </c>
      <c r="F492" s="405" t="str">
        <f t="shared" si="60"/>
        <v>宇佐　睦生</v>
      </c>
      <c r="G492" s="405" t="str">
        <f t="shared" si="61"/>
        <v>主たる営業所</v>
      </c>
      <c r="H492" s="405" t="str">
        <f t="shared" si="62"/>
        <v>玖珠郡玖珠町大字大隈７８</v>
      </c>
      <c r="L492" s="403" t="s">
        <v>8592</v>
      </c>
      <c r="M492" s="403" t="s">
        <v>8180</v>
      </c>
      <c r="N492" s="403" t="s">
        <v>2016</v>
      </c>
      <c r="O492" s="403" t="s">
        <v>7084</v>
      </c>
      <c r="P492" s="403" t="s">
        <v>2319</v>
      </c>
      <c r="Q492" s="403" t="s">
        <v>7985</v>
      </c>
      <c r="R492" s="403" t="s">
        <v>5446</v>
      </c>
      <c r="S492" s="403" t="s">
        <v>14832</v>
      </c>
      <c r="T492" s="403" t="s">
        <v>14833</v>
      </c>
      <c r="U492" s="403"/>
      <c r="V492" s="403" t="s">
        <v>23024</v>
      </c>
      <c r="W492" s="403" t="s">
        <v>23024</v>
      </c>
      <c r="X492" s="403" t="s">
        <v>23024</v>
      </c>
      <c r="Y492" s="403" t="s">
        <v>23024</v>
      </c>
    </row>
    <row r="493" spans="1:25">
      <c r="A493" s="363">
        <f t="shared" si="63"/>
        <v>492</v>
      </c>
      <c r="B493" s="363" t="str">
        <f t="shared" si="56"/>
        <v>44</v>
      </c>
      <c r="C493" s="405" t="str">
        <f t="shared" si="57"/>
        <v>第004630号</v>
      </c>
      <c r="D493" s="405" t="str">
        <f t="shared" si="58"/>
        <v>（株）久大電設</v>
      </c>
      <c r="E493" s="405" t="str">
        <f t="shared" si="59"/>
        <v>代表取締役</v>
      </c>
      <c r="F493" s="405" t="str">
        <f t="shared" si="60"/>
        <v>穴井　将太</v>
      </c>
      <c r="G493" s="405" t="str">
        <f t="shared" si="61"/>
        <v>主たる営業所</v>
      </c>
      <c r="H493" s="405" t="str">
        <f t="shared" si="62"/>
        <v>玖珠郡玖珠町大字塚脇４７６</v>
      </c>
      <c r="L493" s="403" t="s">
        <v>8593</v>
      </c>
      <c r="M493" s="403" t="s">
        <v>8594</v>
      </c>
      <c r="N493" s="403" t="s">
        <v>2320</v>
      </c>
      <c r="O493" s="403" t="s">
        <v>7084</v>
      </c>
      <c r="P493" s="403" t="s">
        <v>2321</v>
      </c>
      <c r="Q493" s="403" t="s">
        <v>8595</v>
      </c>
      <c r="R493" s="403" t="s">
        <v>5447</v>
      </c>
      <c r="S493" s="403" t="s">
        <v>14834</v>
      </c>
      <c r="T493" s="403" t="s">
        <v>14835</v>
      </c>
      <c r="U493" s="403"/>
      <c r="V493" s="403" t="s">
        <v>23024</v>
      </c>
      <c r="W493" s="403" t="s">
        <v>23024</v>
      </c>
      <c r="X493" s="403" t="s">
        <v>23024</v>
      </c>
      <c r="Y493" s="403" t="s">
        <v>23024</v>
      </c>
    </row>
    <row r="494" spans="1:25">
      <c r="A494" s="363">
        <f t="shared" si="63"/>
        <v>493</v>
      </c>
      <c r="B494" s="363" t="str">
        <f t="shared" si="56"/>
        <v>44</v>
      </c>
      <c r="C494" s="405" t="str">
        <f t="shared" si="57"/>
        <v>第004639号</v>
      </c>
      <c r="D494" s="405" t="str">
        <f t="shared" si="58"/>
        <v>玖珠電気工事（有）</v>
      </c>
      <c r="E494" s="405" t="str">
        <f t="shared" si="59"/>
        <v>取締役社長</v>
      </c>
      <c r="F494" s="405" t="str">
        <f t="shared" si="60"/>
        <v>野上　文和</v>
      </c>
      <c r="G494" s="405" t="str">
        <f t="shared" si="61"/>
        <v>主たる営業所</v>
      </c>
      <c r="H494" s="405" t="str">
        <f t="shared" si="62"/>
        <v>玖珠郡九重町大字右田３０４５</v>
      </c>
      <c r="L494" s="403" t="s">
        <v>8596</v>
      </c>
      <c r="M494" s="403" t="s">
        <v>8597</v>
      </c>
      <c r="N494" s="403" t="s">
        <v>2322</v>
      </c>
      <c r="O494" s="403" t="s">
        <v>7089</v>
      </c>
      <c r="P494" s="403" t="s">
        <v>2323</v>
      </c>
      <c r="Q494" s="403" t="s">
        <v>7974</v>
      </c>
      <c r="R494" s="403" t="s">
        <v>5448</v>
      </c>
      <c r="S494" s="403" t="s">
        <v>14836</v>
      </c>
      <c r="T494" s="403" t="s">
        <v>14837</v>
      </c>
      <c r="U494" s="403"/>
      <c r="V494" s="403" t="s">
        <v>23024</v>
      </c>
      <c r="W494" s="403" t="s">
        <v>23024</v>
      </c>
      <c r="X494" s="403" t="s">
        <v>23024</v>
      </c>
      <c r="Y494" s="403" t="s">
        <v>23024</v>
      </c>
    </row>
    <row r="495" spans="1:25">
      <c r="A495" s="363">
        <f t="shared" si="63"/>
        <v>494</v>
      </c>
      <c r="B495" s="363" t="str">
        <f t="shared" si="56"/>
        <v>44</v>
      </c>
      <c r="C495" s="405" t="str">
        <f t="shared" si="57"/>
        <v>第004644号</v>
      </c>
      <c r="D495" s="405" t="str">
        <f t="shared" si="58"/>
        <v>中央建設（株）</v>
      </c>
      <c r="E495" s="405" t="str">
        <f t="shared" si="59"/>
        <v>代表取締役</v>
      </c>
      <c r="F495" s="405" t="str">
        <f t="shared" si="60"/>
        <v>穴井　博敏</v>
      </c>
      <c r="G495" s="405" t="str">
        <f t="shared" si="61"/>
        <v>主たる営業所</v>
      </c>
      <c r="H495" s="405" t="str">
        <f t="shared" si="62"/>
        <v>玖珠郡玖珠町大字帆足２０３７－２</v>
      </c>
      <c r="L495" s="403" t="s">
        <v>8598</v>
      </c>
      <c r="M495" s="403" t="s">
        <v>7964</v>
      </c>
      <c r="N495" s="403" t="s">
        <v>2324</v>
      </c>
      <c r="O495" s="403" t="s">
        <v>7084</v>
      </c>
      <c r="P495" s="403" t="s">
        <v>2325</v>
      </c>
      <c r="Q495" s="403" t="s">
        <v>7988</v>
      </c>
      <c r="R495" s="403" t="s">
        <v>18960</v>
      </c>
      <c r="S495" s="403" t="s">
        <v>14838</v>
      </c>
      <c r="T495" s="403" t="s">
        <v>14839</v>
      </c>
      <c r="U495" s="403"/>
      <c r="V495" s="403" t="s">
        <v>23024</v>
      </c>
      <c r="W495" s="403" t="s">
        <v>23024</v>
      </c>
      <c r="X495" s="403" t="s">
        <v>23024</v>
      </c>
      <c r="Y495" s="403" t="s">
        <v>23024</v>
      </c>
    </row>
    <row r="496" spans="1:25">
      <c r="A496" s="363">
        <f t="shared" si="63"/>
        <v>495</v>
      </c>
      <c r="B496" s="363" t="str">
        <f t="shared" si="56"/>
        <v>44</v>
      </c>
      <c r="C496" s="405" t="str">
        <f t="shared" si="57"/>
        <v>第004662号</v>
      </c>
      <c r="D496" s="405" t="str">
        <f t="shared" si="58"/>
        <v>（有）辛島組</v>
      </c>
      <c r="E496" s="405" t="str">
        <f t="shared" si="59"/>
        <v>代表取締役</v>
      </c>
      <c r="F496" s="405" t="str">
        <f t="shared" si="60"/>
        <v>辛嶋　良英</v>
      </c>
      <c r="G496" s="405" t="str">
        <f t="shared" si="61"/>
        <v>主たる営業所</v>
      </c>
      <c r="H496" s="405" t="str">
        <f t="shared" si="62"/>
        <v>玖珠郡九重町大字田野１５１５</v>
      </c>
      <c r="L496" s="403" t="s">
        <v>8599</v>
      </c>
      <c r="M496" s="403" t="s">
        <v>8600</v>
      </c>
      <c r="N496" s="403" t="s">
        <v>2326</v>
      </c>
      <c r="O496" s="403" t="s">
        <v>7084</v>
      </c>
      <c r="P496" s="403" t="s">
        <v>2327</v>
      </c>
      <c r="Q496" s="403" t="s">
        <v>7980</v>
      </c>
      <c r="R496" s="403" t="s">
        <v>5449</v>
      </c>
      <c r="S496" s="403" t="s">
        <v>14840</v>
      </c>
      <c r="T496" s="403" t="s">
        <v>14841</v>
      </c>
      <c r="U496" s="403"/>
      <c r="V496" s="403" t="s">
        <v>23024</v>
      </c>
      <c r="W496" s="403" t="s">
        <v>23024</v>
      </c>
      <c r="X496" s="403" t="s">
        <v>23024</v>
      </c>
      <c r="Y496" s="403" t="s">
        <v>23024</v>
      </c>
    </row>
    <row r="497" spans="1:25">
      <c r="A497" s="363">
        <f t="shared" si="63"/>
        <v>496</v>
      </c>
      <c r="B497" s="363" t="str">
        <f t="shared" si="56"/>
        <v>44</v>
      </c>
      <c r="C497" s="405" t="str">
        <f t="shared" si="57"/>
        <v>第004665号</v>
      </c>
      <c r="D497" s="405" t="str">
        <f t="shared" si="58"/>
        <v>（有）梅野組</v>
      </c>
      <c r="E497" s="405" t="str">
        <f t="shared" si="59"/>
        <v>代表取締役</v>
      </c>
      <c r="F497" s="405" t="str">
        <f t="shared" si="60"/>
        <v>大堀　真稿</v>
      </c>
      <c r="G497" s="405" t="str">
        <f t="shared" si="61"/>
        <v>主たる営業所</v>
      </c>
      <c r="H497" s="405" t="str">
        <f t="shared" si="62"/>
        <v>玖珠郡玖珠町大字綾垣１１８６</v>
      </c>
      <c r="L497" s="403" t="s">
        <v>8601</v>
      </c>
      <c r="M497" s="403" t="s">
        <v>8602</v>
      </c>
      <c r="N497" s="403" t="s">
        <v>2328</v>
      </c>
      <c r="O497" s="403" t="s">
        <v>7084</v>
      </c>
      <c r="P497" s="403" t="s">
        <v>2329</v>
      </c>
      <c r="Q497" s="403" t="s">
        <v>7996</v>
      </c>
      <c r="R497" s="403" t="s">
        <v>5450</v>
      </c>
      <c r="S497" s="403" t="s">
        <v>14842</v>
      </c>
      <c r="T497" s="403" t="s">
        <v>14843</v>
      </c>
      <c r="U497" s="403"/>
      <c r="V497" s="403" t="s">
        <v>23024</v>
      </c>
      <c r="W497" s="403" t="s">
        <v>23024</v>
      </c>
      <c r="X497" s="403" t="s">
        <v>23024</v>
      </c>
      <c r="Y497" s="403" t="s">
        <v>23024</v>
      </c>
    </row>
    <row r="498" spans="1:25">
      <c r="A498" s="363">
        <f t="shared" si="63"/>
        <v>497</v>
      </c>
      <c r="B498" s="363" t="str">
        <f t="shared" si="56"/>
        <v>44</v>
      </c>
      <c r="C498" s="405" t="str">
        <f t="shared" si="57"/>
        <v>第004678号</v>
      </c>
      <c r="D498" s="405" t="str">
        <f t="shared" si="58"/>
        <v>（有）吉武建設</v>
      </c>
      <c r="E498" s="405" t="str">
        <f t="shared" si="59"/>
        <v>代表取締役</v>
      </c>
      <c r="F498" s="405" t="str">
        <f t="shared" si="60"/>
        <v>吉武　勝広</v>
      </c>
      <c r="G498" s="405" t="str">
        <f t="shared" si="61"/>
        <v>主たる営業所</v>
      </c>
      <c r="H498" s="405" t="str">
        <f t="shared" si="62"/>
        <v>玖珠郡九重町大字松木４２６４－１</v>
      </c>
      <c r="L498" s="403" t="s">
        <v>8603</v>
      </c>
      <c r="M498" s="403" t="s">
        <v>8604</v>
      </c>
      <c r="N498" s="403" t="s">
        <v>2330</v>
      </c>
      <c r="O498" s="403" t="s">
        <v>7084</v>
      </c>
      <c r="P498" s="403" t="s">
        <v>2331</v>
      </c>
      <c r="Q498" s="403" t="s">
        <v>8605</v>
      </c>
      <c r="R498" s="403" t="s">
        <v>18961</v>
      </c>
      <c r="S498" s="403" t="s">
        <v>14844</v>
      </c>
      <c r="T498" s="403" t="s">
        <v>14845</v>
      </c>
      <c r="U498" s="403"/>
      <c r="V498" s="403" t="s">
        <v>23024</v>
      </c>
      <c r="W498" s="403" t="s">
        <v>23024</v>
      </c>
      <c r="X498" s="403" t="s">
        <v>23024</v>
      </c>
      <c r="Y498" s="403" t="s">
        <v>23024</v>
      </c>
    </row>
    <row r="499" spans="1:25">
      <c r="A499" s="363">
        <f t="shared" si="63"/>
        <v>498</v>
      </c>
      <c r="B499" s="363" t="str">
        <f t="shared" si="56"/>
        <v>44</v>
      </c>
      <c r="C499" s="405" t="str">
        <f t="shared" si="57"/>
        <v>第004680号</v>
      </c>
      <c r="D499" s="405" t="str">
        <f t="shared" si="58"/>
        <v>（有）麻生商店</v>
      </c>
      <c r="E499" s="405" t="str">
        <f t="shared" si="59"/>
        <v>代表取締役</v>
      </c>
      <c r="F499" s="405" t="str">
        <f t="shared" si="60"/>
        <v>穴井　文憲</v>
      </c>
      <c r="G499" s="405" t="str">
        <f t="shared" si="61"/>
        <v>主たる営業所</v>
      </c>
      <c r="H499" s="405" t="str">
        <f t="shared" si="62"/>
        <v>玖珠郡玖珠町大字大隈３０７－６</v>
      </c>
      <c r="L499" s="403" t="s">
        <v>8606</v>
      </c>
      <c r="M499" s="403" t="s">
        <v>8607</v>
      </c>
      <c r="N499" s="403" t="s">
        <v>2332</v>
      </c>
      <c r="O499" s="403" t="s">
        <v>7084</v>
      </c>
      <c r="P499" s="403" t="s">
        <v>2333</v>
      </c>
      <c r="Q499" s="403" t="s">
        <v>7985</v>
      </c>
      <c r="R499" s="403" t="s">
        <v>18962</v>
      </c>
      <c r="S499" s="403" t="s">
        <v>14846</v>
      </c>
      <c r="T499" s="403" t="s">
        <v>14847</v>
      </c>
      <c r="U499" s="403"/>
      <c r="V499" s="403" t="s">
        <v>23024</v>
      </c>
      <c r="W499" s="403" t="s">
        <v>23024</v>
      </c>
      <c r="X499" s="403" t="s">
        <v>23024</v>
      </c>
      <c r="Y499" s="403" t="s">
        <v>23024</v>
      </c>
    </row>
    <row r="500" spans="1:25">
      <c r="A500" s="363">
        <f t="shared" si="63"/>
        <v>499</v>
      </c>
      <c r="B500" s="363" t="str">
        <f t="shared" si="56"/>
        <v>44</v>
      </c>
      <c r="C500" s="405" t="str">
        <f t="shared" si="57"/>
        <v>第004696号</v>
      </c>
      <c r="D500" s="405" t="str">
        <f t="shared" si="58"/>
        <v>（有）横山組</v>
      </c>
      <c r="E500" s="405" t="str">
        <f t="shared" si="59"/>
        <v>代表取締役</v>
      </c>
      <c r="F500" s="405" t="str">
        <f t="shared" si="60"/>
        <v>横山　徳行</v>
      </c>
      <c r="G500" s="405" t="str">
        <f t="shared" si="61"/>
        <v>主たる営業所</v>
      </c>
      <c r="H500" s="405" t="str">
        <f t="shared" si="62"/>
        <v>玖珠郡玖珠町大字古後３１４７</v>
      </c>
      <c r="L500" s="403" t="s">
        <v>8608</v>
      </c>
      <c r="M500" s="403" t="s">
        <v>8609</v>
      </c>
      <c r="N500" s="403" t="s">
        <v>2334</v>
      </c>
      <c r="O500" s="403" t="s">
        <v>7084</v>
      </c>
      <c r="P500" s="403" t="s">
        <v>2335</v>
      </c>
      <c r="Q500" s="403" t="s">
        <v>8610</v>
      </c>
      <c r="R500" s="403" t="s">
        <v>5451</v>
      </c>
      <c r="S500" s="403" t="s">
        <v>14848</v>
      </c>
      <c r="T500" s="403" t="s">
        <v>14849</v>
      </c>
      <c r="U500" s="403"/>
      <c r="V500" s="403" t="s">
        <v>23024</v>
      </c>
      <c r="W500" s="403" t="s">
        <v>23024</v>
      </c>
      <c r="X500" s="403" t="s">
        <v>23024</v>
      </c>
      <c r="Y500" s="403" t="s">
        <v>23024</v>
      </c>
    </row>
    <row r="501" spans="1:25">
      <c r="A501" s="363">
        <f t="shared" si="63"/>
        <v>500</v>
      </c>
      <c r="B501" s="363" t="str">
        <f t="shared" si="56"/>
        <v>44</v>
      </c>
      <c r="C501" s="405" t="str">
        <f t="shared" si="57"/>
        <v>第004698号</v>
      </c>
      <c r="D501" s="405" t="str">
        <f t="shared" si="58"/>
        <v>（有）敷津工務店</v>
      </c>
      <c r="E501" s="405" t="str">
        <f t="shared" si="59"/>
        <v>取締役</v>
      </c>
      <c r="F501" s="405" t="str">
        <f t="shared" si="60"/>
        <v>敷津　和也</v>
      </c>
      <c r="G501" s="405" t="str">
        <f t="shared" si="61"/>
        <v>主たる営業所</v>
      </c>
      <c r="H501" s="405" t="str">
        <f t="shared" si="62"/>
        <v>玖珠郡玖珠町大字大隈１４９５－１</v>
      </c>
      <c r="L501" s="403" t="s">
        <v>8611</v>
      </c>
      <c r="M501" s="403" t="s">
        <v>8612</v>
      </c>
      <c r="N501" s="403" t="s">
        <v>2336</v>
      </c>
      <c r="O501" s="403" t="s">
        <v>7085</v>
      </c>
      <c r="P501" s="403" t="s">
        <v>2337</v>
      </c>
      <c r="Q501" s="403" t="s">
        <v>7985</v>
      </c>
      <c r="R501" s="403" t="s">
        <v>18963</v>
      </c>
      <c r="S501" s="403" t="s">
        <v>14850</v>
      </c>
      <c r="T501" s="403" t="s">
        <v>14851</v>
      </c>
      <c r="U501" s="403"/>
      <c r="V501" s="403" t="s">
        <v>23024</v>
      </c>
      <c r="W501" s="403" t="s">
        <v>23024</v>
      </c>
      <c r="X501" s="403" t="s">
        <v>23024</v>
      </c>
      <c r="Y501" s="403" t="s">
        <v>23024</v>
      </c>
    </row>
    <row r="502" spans="1:25">
      <c r="A502" s="363">
        <f t="shared" si="63"/>
        <v>501</v>
      </c>
      <c r="B502" s="363" t="str">
        <f t="shared" si="56"/>
        <v>44</v>
      </c>
      <c r="C502" s="405" t="str">
        <f t="shared" si="57"/>
        <v>第004704号</v>
      </c>
      <c r="D502" s="405" t="str">
        <f t="shared" si="58"/>
        <v>（有）セト工業</v>
      </c>
      <c r="E502" s="405" t="str">
        <f t="shared" si="59"/>
        <v>代表取締役</v>
      </c>
      <c r="F502" s="405" t="str">
        <f t="shared" si="60"/>
        <v>千原　正雄</v>
      </c>
      <c r="G502" s="405" t="str">
        <f t="shared" si="61"/>
        <v>主たる営業所</v>
      </c>
      <c r="H502" s="405" t="str">
        <f t="shared" si="62"/>
        <v>日田市大字有田３１９－１２</v>
      </c>
      <c r="L502" s="403" t="s">
        <v>8613</v>
      </c>
      <c r="M502" s="403" t="s">
        <v>8614</v>
      </c>
      <c r="N502" s="403" t="s">
        <v>2338</v>
      </c>
      <c r="O502" s="403" t="s">
        <v>7084</v>
      </c>
      <c r="P502" s="403" t="s">
        <v>2339</v>
      </c>
      <c r="Q502" s="403" t="s">
        <v>8029</v>
      </c>
      <c r="R502" s="403" t="s">
        <v>18947</v>
      </c>
      <c r="S502" s="403" t="s">
        <v>14852</v>
      </c>
      <c r="T502" s="403" t="s">
        <v>14853</v>
      </c>
      <c r="U502" s="403"/>
      <c r="V502" s="403" t="s">
        <v>23024</v>
      </c>
      <c r="W502" s="403" t="s">
        <v>23024</v>
      </c>
      <c r="X502" s="403" t="s">
        <v>23024</v>
      </c>
      <c r="Y502" s="403" t="s">
        <v>23024</v>
      </c>
    </row>
    <row r="503" spans="1:25">
      <c r="A503" s="363">
        <f t="shared" si="63"/>
        <v>502</v>
      </c>
      <c r="B503" s="363" t="str">
        <f t="shared" si="56"/>
        <v>44</v>
      </c>
      <c r="C503" s="405" t="str">
        <f t="shared" si="57"/>
        <v>第004708号</v>
      </c>
      <c r="D503" s="405" t="str">
        <f t="shared" si="58"/>
        <v>（有）田川建設</v>
      </c>
      <c r="E503" s="405" t="str">
        <f t="shared" si="59"/>
        <v>代表取締役</v>
      </c>
      <c r="F503" s="405" t="str">
        <f t="shared" si="60"/>
        <v>田川　慎一郎</v>
      </c>
      <c r="G503" s="405" t="str">
        <f t="shared" si="61"/>
        <v>主たる営業所</v>
      </c>
      <c r="H503" s="405" t="str">
        <f t="shared" si="62"/>
        <v>玖珠郡九重町大字田野２４１５－６２９</v>
      </c>
      <c r="L503" s="403" t="s">
        <v>8615</v>
      </c>
      <c r="M503" s="403" t="s">
        <v>8616</v>
      </c>
      <c r="N503" s="403" t="s">
        <v>2340</v>
      </c>
      <c r="O503" s="403" t="s">
        <v>7084</v>
      </c>
      <c r="P503" s="403" t="s">
        <v>2341</v>
      </c>
      <c r="Q503" s="403" t="s">
        <v>7980</v>
      </c>
      <c r="R503" s="403" t="s">
        <v>18964</v>
      </c>
      <c r="S503" s="403" t="s">
        <v>14854</v>
      </c>
      <c r="T503" s="403" t="s">
        <v>14855</v>
      </c>
      <c r="U503" s="403"/>
      <c r="V503" s="403" t="s">
        <v>23024</v>
      </c>
      <c r="W503" s="403" t="s">
        <v>23024</v>
      </c>
      <c r="X503" s="403" t="s">
        <v>23024</v>
      </c>
      <c r="Y503" s="403" t="s">
        <v>23024</v>
      </c>
    </row>
    <row r="504" spans="1:25">
      <c r="A504" s="363">
        <f t="shared" si="63"/>
        <v>503</v>
      </c>
      <c r="B504" s="363" t="str">
        <f t="shared" si="56"/>
        <v>44</v>
      </c>
      <c r="C504" s="405" t="str">
        <f t="shared" si="57"/>
        <v>第004709号</v>
      </c>
      <c r="D504" s="405" t="str">
        <f t="shared" si="58"/>
        <v>（有）高井良建装</v>
      </c>
      <c r="E504" s="405" t="str">
        <f t="shared" si="59"/>
        <v>代表取締役</v>
      </c>
      <c r="F504" s="405" t="str">
        <f t="shared" si="60"/>
        <v>高井良　剛</v>
      </c>
      <c r="G504" s="405" t="str">
        <f t="shared" si="61"/>
        <v>主たる営業所</v>
      </c>
      <c r="H504" s="405" t="str">
        <f t="shared" si="62"/>
        <v>玖珠郡玖珠町大字帆足６１９－２</v>
      </c>
      <c r="L504" s="403" t="s">
        <v>8617</v>
      </c>
      <c r="M504" s="403" t="s">
        <v>8618</v>
      </c>
      <c r="N504" s="403" t="s">
        <v>2342</v>
      </c>
      <c r="O504" s="403" t="s">
        <v>7084</v>
      </c>
      <c r="P504" s="403" t="s">
        <v>2343</v>
      </c>
      <c r="Q504" s="403" t="s">
        <v>7988</v>
      </c>
      <c r="R504" s="403" t="s">
        <v>18965</v>
      </c>
      <c r="S504" s="403" t="s">
        <v>14856</v>
      </c>
      <c r="T504" s="403" t="s">
        <v>14857</v>
      </c>
      <c r="U504" s="403"/>
      <c r="V504" s="403" t="s">
        <v>23024</v>
      </c>
      <c r="W504" s="403" t="s">
        <v>23024</v>
      </c>
      <c r="X504" s="403" t="s">
        <v>23024</v>
      </c>
      <c r="Y504" s="403" t="s">
        <v>23024</v>
      </c>
    </row>
    <row r="505" spans="1:25">
      <c r="A505" s="363">
        <f t="shared" si="63"/>
        <v>504</v>
      </c>
      <c r="B505" s="363" t="str">
        <f t="shared" si="56"/>
        <v>44</v>
      </c>
      <c r="C505" s="405" t="str">
        <f t="shared" si="57"/>
        <v>第004722号</v>
      </c>
      <c r="D505" s="405" t="str">
        <f t="shared" si="58"/>
        <v>奥村土木（株）</v>
      </c>
      <c r="E505" s="405" t="str">
        <f t="shared" si="59"/>
        <v>代表取締役</v>
      </c>
      <c r="F505" s="405" t="str">
        <f t="shared" si="60"/>
        <v>奥村　隆文</v>
      </c>
      <c r="G505" s="405" t="str">
        <f t="shared" si="61"/>
        <v>主たる営業所</v>
      </c>
      <c r="H505" s="405" t="str">
        <f t="shared" si="62"/>
        <v>玖珠郡玖珠町大字戸畑２８４７</v>
      </c>
      <c r="L505" s="404" t="s">
        <v>8619</v>
      </c>
      <c r="M505" s="404" t="s">
        <v>8620</v>
      </c>
      <c r="N505" s="404" t="s">
        <v>2344</v>
      </c>
      <c r="O505" s="404" t="s">
        <v>7084</v>
      </c>
      <c r="P505" s="404" t="s">
        <v>18966</v>
      </c>
      <c r="Q505" s="404" t="s">
        <v>7999</v>
      </c>
      <c r="R505" s="404" t="s">
        <v>5452</v>
      </c>
      <c r="S505" s="404" t="s">
        <v>14858</v>
      </c>
      <c r="T505" s="404" t="s">
        <v>14859</v>
      </c>
      <c r="U505" s="404"/>
      <c r="V505" s="404" t="s">
        <v>23024</v>
      </c>
      <c r="W505" s="404" t="s">
        <v>23024</v>
      </c>
      <c r="X505" s="404" t="s">
        <v>23024</v>
      </c>
      <c r="Y505" s="404" t="s">
        <v>23024</v>
      </c>
    </row>
    <row r="506" spans="1:25">
      <c r="A506" s="363">
        <f t="shared" si="63"/>
        <v>505</v>
      </c>
      <c r="B506" s="363" t="str">
        <f t="shared" si="56"/>
        <v>44</v>
      </c>
      <c r="C506" s="405" t="str">
        <f t="shared" si="57"/>
        <v>第004725号</v>
      </c>
      <c r="D506" s="405" t="str">
        <f t="shared" si="58"/>
        <v>（有）若竹実業</v>
      </c>
      <c r="E506" s="405" t="str">
        <f t="shared" si="59"/>
        <v>代表取締役</v>
      </c>
      <c r="F506" s="405" t="str">
        <f t="shared" si="60"/>
        <v>竹下　周一</v>
      </c>
      <c r="G506" s="405" t="str">
        <f t="shared" si="61"/>
        <v>主たる営業所</v>
      </c>
      <c r="H506" s="405" t="str">
        <f t="shared" si="62"/>
        <v>玖珠郡九重町大字田野１３９３－１</v>
      </c>
      <c r="L506" s="402" t="s">
        <v>8621</v>
      </c>
      <c r="M506" s="402" t="s">
        <v>8622</v>
      </c>
      <c r="N506" s="402" t="s">
        <v>2345</v>
      </c>
      <c r="O506" s="402" t="s">
        <v>7084</v>
      </c>
      <c r="P506" s="402" t="s">
        <v>2346</v>
      </c>
      <c r="Q506" s="402" t="s">
        <v>7980</v>
      </c>
      <c r="R506" s="402" t="s">
        <v>18967</v>
      </c>
      <c r="S506" s="402" t="s">
        <v>14860</v>
      </c>
      <c r="T506" s="402" t="s">
        <v>14861</v>
      </c>
      <c r="U506" s="402"/>
      <c r="V506" s="402" t="s">
        <v>23024</v>
      </c>
      <c r="W506" s="402" t="s">
        <v>23024</v>
      </c>
      <c r="X506" s="402" t="s">
        <v>23024</v>
      </c>
      <c r="Y506" s="402" t="s">
        <v>23024</v>
      </c>
    </row>
    <row r="507" spans="1:25">
      <c r="A507" s="363">
        <f t="shared" si="63"/>
        <v>506</v>
      </c>
      <c r="B507" s="363" t="str">
        <f t="shared" si="56"/>
        <v>44</v>
      </c>
      <c r="C507" s="405" t="str">
        <f t="shared" si="57"/>
        <v>第004727号</v>
      </c>
      <c r="D507" s="405" t="str">
        <f t="shared" si="58"/>
        <v>（有）後藤工務店</v>
      </c>
      <c r="E507" s="405" t="str">
        <f t="shared" si="59"/>
        <v>代表取締役</v>
      </c>
      <c r="F507" s="405" t="str">
        <f t="shared" si="60"/>
        <v>後藤　喜美男</v>
      </c>
      <c r="G507" s="405" t="str">
        <f t="shared" si="61"/>
        <v>主たる営業所</v>
      </c>
      <c r="H507" s="405" t="str">
        <f t="shared" si="62"/>
        <v>玖珠郡玖珠町大字山下１６０６－２</v>
      </c>
      <c r="L507" s="403" t="s">
        <v>8623</v>
      </c>
      <c r="M507" s="403" t="s">
        <v>7599</v>
      </c>
      <c r="N507" s="403" t="s">
        <v>2347</v>
      </c>
      <c r="O507" s="403" t="s">
        <v>7084</v>
      </c>
      <c r="P507" s="403" t="s">
        <v>2348</v>
      </c>
      <c r="Q507" s="403" t="s">
        <v>8008</v>
      </c>
      <c r="R507" s="403" t="s">
        <v>18968</v>
      </c>
      <c r="S507" s="403" t="s">
        <v>14862</v>
      </c>
      <c r="T507" s="403" t="s">
        <v>14863</v>
      </c>
      <c r="U507" s="403"/>
      <c r="V507" s="403" t="s">
        <v>23024</v>
      </c>
      <c r="W507" s="403" t="s">
        <v>23024</v>
      </c>
      <c r="X507" s="403" t="s">
        <v>23024</v>
      </c>
      <c r="Y507" s="403" t="s">
        <v>23024</v>
      </c>
    </row>
    <row r="508" spans="1:25">
      <c r="A508" s="363">
        <f t="shared" si="63"/>
        <v>507</v>
      </c>
      <c r="B508" s="363" t="str">
        <f t="shared" si="56"/>
        <v>44</v>
      </c>
      <c r="C508" s="405" t="str">
        <f t="shared" si="57"/>
        <v>第004729号</v>
      </c>
      <c r="D508" s="405" t="str">
        <f t="shared" si="58"/>
        <v>（有）佐々木建設</v>
      </c>
      <c r="E508" s="405" t="str">
        <f t="shared" si="59"/>
        <v>代表取締役</v>
      </c>
      <c r="F508" s="405" t="str">
        <f t="shared" si="60"/>
        <v>佐々木　昌文</v>
      </c>
      <c r="G508" s="405" t="str">
        <f t="shared" si="61"/>
        <v>主たる営業所</v>
      </c>
      <c r="H508" s="405" t="str">
        <f t="shared" si="62"/>
        <v>玖珠郡玖珠町大字山田２６７０</v>
      </c>
      <c r="L508" s="403" t="s">
        <v>8624</v>
      </c>
      <c r="M508" s="403" t="s">
        <v>7674</v>
      </c>
      <c r="N508" s="403" t="s">
        <v>2349</v>
      </c>
      <c r="O508" s="403" t="s">
        <v>7084</v>
      </c>
      <c r="P508" s="403" t="s">
        <v>2350</v>
      </c>
      <c r="Q508" s="403" t="s">
        <v>8625</v>
      </c>
      <c r="R508" s="403" t="s">
        <v>5453</v>
      </c>
      <c r="S508" s="403" t="s">
        <v>14864</v>
      </c>
      <c r="T508" s="403" t="s">
        <v>14865</v>
      </c>
      <c r="U508" s="403"/>
      <c r="V508" s="403" t="s">
        <v>23024</v>
      </c>
      <c r="W508" s="403" t="s">
        <v>23024</v>
      </c>
      <c r="X508" s="403" t="s">
        <v>23024</v>
      </c>
      <c r="Y508" s="403" t="s">
        <v>23024</v>
      </c>
    </row>
    <row r="509" spans="1:25">
      <c r="A509" s="363">
        <f t="shared" si="63"/>
        <v>508</v>
      </c>
      <c r="B509" s="363" t="str">
        <f t="shared" si="56"/>
        <v>44</v>
      </c>
      <c r="C509" s="405" t="str">
        <f t="shared" si="57"/>
        <v>第004732号</v>
      </c>
      <c r="D509" s="405" t="str">
        <f t="shared" si="58"/>
        <v>東部緑化産業（有）</v>
      </c>
      <c r="E509" s="405" t="str">
        <f t="shared" si="59"/>
        <v>代表取締役</v>
      </c>
      <c r="F509" s="405" t="str">
        <f t="shared" si="60"/>
        <v>馬場　康蔵</v>
      </c>
      <c r="G509" s="405" t="str">
        <f t="shared" si="61"/>
        <v>主たる営業所</v>
      </c>
      <c r="H509" s="405" t="str">
        <f t="shared" si="62"/>
        <v>玖珠郡九重町大字田野２４１５－３１２</v>
      </c>
      <c r="L509" s="403" t="s">
        <v>8626</v>
      </c>
      <c r="M509" s="403" t="s">
        <v>8627</v>
      </c>
      <c r="N509" s="403" t="s">
        <v>2351</v>
      </c>
      <c r="O509" s="403" t="s">
        <v>7084</v>
      </c>
      <c r="P509" s="403" t="s">
        <v>2352</v>
      </c>
      <c r="Q509" s="403" t="s">
        <v>7980</v>
      </c>
      <c r="R509" s="403" t="s">
        <v>18969</v>
      </c>
      <c r="S509" s="403" t="s">
        <v>14866</v>
      </c>
      <c r="T509" s="403" t="s">
        <v>14867</v>
      </c>
      <c r="U509" s="403"/>
      <c r="V509" s="403" t="s">
        <v>23024</v>
      </c>
      <c r="W509" s="403" t="s">
        <v>23024</v>
      </c>
      <c r="X509" s="403" t="s">
        <v>23024</v>
      </c>
      <c r="Y509" s="403" t="s">
        <v>23024</v>
      </c>
    </row>
    <row r="510" spans="1:25">
      <c r="A510" s="363">
        <f t="shared" si="63"/>
        <v>509</v>
      </c>
      <c r="B510" s="363" t="str">
        <f t="shared" si="56"/>
        <v>44</v>
      </c>
      <c r="C510" s="405" t="str">
        <f t="shared" si="57"/>
        <v>第004736号</v>
      </c>
      <c r="D510" s="405" t="str">
        <f t="shared" si="58"/>
        <v>（有）小幡塗装</v>
      </c>
      <c r="E510" s="405" t="str">
        <f t="shared" si="59"/>
        <v>代表取締役</v>
      </c>
      <c r="F510" s="405" t="str">
        <f t="shared" si="60"/>
        <v>小幡　泰弘</v>
      </c>
      <c r="G510" s="405" t="str">
        <f t="shared" si="61"/>
        <v>主たる営業所</v>
      </c>
      <c r="H510" s="405" t="str">
        <f t="shared" si="62"/>
        <v>玖珠郡九重町大字右田４０７６－２</v>
      </c>
      <c r="L510" s="403" t="s">
        <v>8628</v>
      </c>
      <c r="M510" s="403" t="s">
        <v>8629</v>
      </c>
      <c r="N510" s="403" t="s">
        <v>2354</v>
      </c>
      <c r="O510" s="403" t="s">
        <v>7084</v>
      </c>
      <c r="P510" s="403" t="s">
        <v>2355</v>
      </c>
      <c r="Q510" s="403" t="s">
        <v>7974</v>
      </c>
      <c r="R510" s="403" t="s">
        <v>18970</v>
      </c>
      <c r="S510" s="403" t="s">
        <v>14868</v>
      </c>
      <c r="T510" s="403" t="s">
        <v>14869</v>
      </c>
      <c r="U510" s="403"/>
      <c r="V510" s="403" t="s">
        <v>23024</v>
      </c>
      <c r="W510" s="403" t="s">
        <v>23024</v>
      </c>
      <c r="X510" s="403" t="s">
        <v>23024</v>
      </c>
      <c r="Y510" s="403" t="s">
        <v>23024</v>
      </c>
    </row>
    <row r="511" spans="1:25">
      <c r="A511" s="363">
        <f t="shared" si="63"/>
        <v>510</v>
      </c>
      <c r="B511" s="363" t="str">
        <f t="shared" si="56"/>
        <v>44</v>
      </c>
      <c r="C511" s="405" t="str">
        <f t="shared" si="57"/>
        <v>第004738号</v>
      </c>
      <c r="D511" s="405" t="str">
        <f t="shared" si="58"/>
        <v>（株）九重緑化産業</v>
      </c>
      <c r="E511" s="405" t="str">
        <f t="shared" si="59"/>
        <v>代表取締役</v>
      </c>
      <c r="F511" s="405" t="str">
        <f t="shared" si="60"/>
        <v>櫛山　聡</v>
      </c>
      <c r="G511" s="405" t="str">
        <f t="shared" si="61"/>
        <v>主たる営業所</v>
      </c>
      <c r="H511" s="405" t="str">
        <f t="shared" si="62"/>
        <v>玖珠郡九重町大字町田５４７－４</v>
      </c>
      <c r="L511" s="403" t="s">
        <v>8630</v>
      </c>
      <c r="M511" s="403" t="s">
        <v>8631</v>
      </c>
      <c r="N511" s="403" t="s">
        <v>2356</v>
      </c>
      <c r="O511" s="403" t="s">
        <v>7084</v>
      </c>
      <c r="P511" s="403" t="s">
        <v>2357</v>
      </c>
      <c r="Q511" s="403" t="s">
        <v>7977</v>
      </c>
      <c r="R511" s="403" t="s">
        <v>18971</v>
      </c>
      <c r="S511" s="403" t="s">
        <v>14870</v>
      </c>
      <c r="T511" s="403" t="s">
        <v>14871</v>
      </c>
      <c r="U511" s="403"/>
      <c r="V511" s="403" t="s">
        <v>23024</v>
      </c>
      <c r="W511" s="403" t="s">
        <v>23024</v>
      </c>
      <c r="X511" s="403" t="s">
        <v>23024</v>
      </c>
      <c r="Y511" s="403" t="s">
        <v>23024</v>
      </c>
    </row>
    <row r="512" spans="1:25">
      <c r="A512" s="363">
        <f t="shared" si="63"/>
        <v>511</v>
      </c>
      <c r="B512" s="363" t="str">
        <f t="shared" si="56"/>
        <v>44</v>
      </c>
      <c r="C512" s="405" t="str">
        <f t="shared" si="57"/>
        <v>第004741号</v>
      </c>
      <c r="D512" s="405" t="str">
        <f t="shared" si="58"/>
        <v>（有）菅家工務店</v>
      </c>
      <c r="E512" s="405" t="str">
        <f t="shared" si="59"/>
        <v>代表取締役</v>
      </c>
      <c r="F512" s="405" t="str">
        <f t="shared" si="60"/>
        <v>菅家　行敏</v>
      </c>
      <c r="G512" s="405" t="str">
        <f t="shared" si="61"/>
        <v>主たる営業所</v>
      </c>
      <c r="H512" s="405" t="str">
        <f t="shared" si="62"/>
        <v>玖珠郡九重町大字粟野１８０－２</v>
      </c>
      <c r="L512" s="403" t="s">
        <v>8632</v>
      </c>
      <c r="M512" s="403" t="s">
        <v>8633</v>
      </c>
      <c r="N512" s="403" t="s">
        <v>2358</v>
      </c>
      <c r="O512" s="403" t="s">
        <v>7084</v>
      </c>
      <c r="P512" s="403" t="s">
        <v>2359</v>
      </c>
      <c r="Q512" s="403" t="s">
        <v>8634</v>
      </c>
      <c r="R512" s="403" t="s">
        <v>18972</v>
      </c>
      <c r="S512" s="403" t="s">
        <v>14872</v>
      </c>
      <c r="T512" s="403" t="s">
        <v>14873</v>
      </c>
      <c r="U512" s="403"/>
      <c r="V512" s="403" t="s">
        <v>23024</v>
      </c>
      <c r="W512" s="403" t="s">
        <v>23024</v>
      </c>
      <c r="X512" s="403" t="s">
        <v>23024</v>
      </c>
      <c r="Y512" s="403" t="s">
        <v>23024</v>
      </c>
    </row>
    <row r="513" spans="1:25">
      <c r="A513" s="363">
        <f t="shared" si="63"/>
        <v>512</v>
      </c>
      <c r="B513" s="363" t="str">
        <f t="shared" si="56"/>
        <v>44</v>
      </c>
      <c r="C513" s="405" t="str">
        <f t="shared" si="57"/>
        <v>第004801号</v>
      </c>
      <c r="D513" s="405" t="str">
        <f t="shared" si="58"/>
        <v>（株）九建テクノス</v>
      </c>
      <c r="E513" s="405" t="str">
        <f t="shared" si="59"/>
        <v>代表取締役</v>
      </c>
      <c r="F513" s="405" t="str">
        <f t="shared" si="60"/>
        <v>後藤　建夫</v>
      </c>
      <c r="G513" s="405" t="str">
        <f t="shared" si="61"/>
        <v>主たる営業所</v>
      </c>
      <c r="H513" s="405" t="str">
        <f t="shared" si="62"/>
        <v>大分市三佐２－４－１０</v>
      </c>
      <c r="L513" s="403" t="s">
        <v>8635</v>
      </c>
      <c r="M513" s="403" t="s">
        <v>8636</v>
      </c>
      <c r="N513" s="403" t="s">
        <v>2360</v>
      </c>
      <c r="O513" s="403" t="s">
        <v>7084</v>
      </c>
      <c r="P513" s="403" t="s">
        <v>2361</v>
      </c>
      <c r="Q513" s="403" t="s">
        <v>7413</v>
      </c>
      <c r="R513" s="403" t="s">
        <v>18973</v>
      </c>
      <c r="S513" s="403" t="s">
        <v>14874</v>
      </c>
      <c r="T513" s="403" t="s">
        <v>14875</v>
      </c>
      <c r="U513" s="403"/>
      <c r="V513" s="403" t="s">
        <v>23024</v>
      </c>
      <c r="W513" s="403" t="s">
        <v>23024</v>
      </c>
      <c r="X513" s="403" t="s">
        <v>23024</v>
      </c>
      <c r="Y513" s="403" t="s">
        <v>23024</v>
      </c>
    </row>
    <row r="514" spans="1:25">
      <c r="A514" s="363">
        <f t="shared" si="63"/>
        <v>513</v>
      </c>
      <c r="B514" s="363" t="str">
        <f t="shared" ref="B514:B577" si="64">LEFT(L514,2)</f>
        <v>44</v>
      </c>
      <c r="C514" s="405" t="str">
        <f t="shared" ref="C514:C577" si="65">IF(B514="","","第"&amp;RIGHT(L514,6)&amp;"号")</f>
        <v>第004809号</v>
      </c>
      <c r="D514" s="405" t="str">
        <f t="shared" ref="D514:D577" si="66">N514</f>
        <v>衞藤工業（株）</v>
      </c>
      <c r="E514" s="405" t="str">
        <f t="shared" ref="E514:E577" si="67">IF(V514="　",O514,"")</f>
        <v>代表取締役</v>
      </c>
      <c r="F514" s="405" t="str">
        <f t="shared" ref="F514:F577" si="68">IF(V514="　",P514,W514)</f>
        <v>衞藤　正一</v>
      </c>
      <c r="G514" s="405" t="str">
        <f t="shared" ref="G514:G577" si="69">IF(V514="　","主たる営業所",V514)</f>
        <v>主たる営業所</v>
      </c>
      <c r="H514" s="405" t="str">
        <f t="shared" ref="H514:H577" si="70">IF(V514="　",R514,Y514)</f>
        <v>大分市三川下２－７－７</v>
      </c>
      <c r="L514" s="403" t="s">
        <v>8637</v>
      </c>
      <c r="M514" s="403" t="s">
        <v>7602</v>
      </c>
      <c r="N514" s="403" t="s">
        <v>2362</v>
      </c>
      <c r="O514" s="403" t="s">
        <v>7084</v>
      </c>
      <c r="P514" s="403" t="s">
        <v>18974</v>
      </c>
      <c r="Q514" s="403" t="s">
        <v>8638</v>
      </c>
      <c r="R514" s="403" t="s">
        <v>18975</v>
      </c>
      <c r="S514" s="403" t="s">
        <v>14876</v>
      </c>
      <c r="T514" s="403" t="s">
        <v>14877</v>
      </c>
      <c r="U514" s="403"/>
      <c r="V514" s="403" t="s">
        <v>23024</v>
      </c>
      <c r="W514" s="403" t="s">
        <v>23024</v>
      </c>
      <c r="X514" s="403" t="s">
        <v>23024</v>
      </c>
      <c r="Y514" s="403" t="s">
        <v>23024</v>
      </c>
    </row>
    <row r="515" spans="1:25">
      <c r="A515" s="363">
        <f t="shared" ref="A515:A578" si="71">IF(B515="","",A514+1)</f>
        <v>514</v>
      </c>
      <c r="B515" s="363" t="str">
        <f t="shared" si="64"/>
        <v>44</v>
      </c>
      <c r="C515" s="405" t="str">
        <f t="shared" si="65"/>
        <v>第004810号</v>
      </c>
      <c r="D515" s="405" t="str">
        <f t="shared" si="66"/>
        <v>（株）平和建設</v>
      </c>
      <c r="E515" s="405" t="str">
        <f t="shared" si="67"/>
        <v>代表取締役</v>
      </c>
      <c r="F515" s="405" t="str">
        <f t="shared" si="68"/>
        <v>藤田　哲司</v>
      </c>
      <c r="G515" s="405" t="str">
        <f t="shared" si="69"/>
        <v>主たる営業所</v>
      </c>
      <c r="H515" s="405" t="str">
        <f t="shared" si="70"/>
        <v>大分市大字久原７９６－１</v>
      </c>
      <c r="L515" s="403" t="s">
        <v>8639</v>
      </c>
      <c r="M515" s="403" t="s">
        <v>8640</v>
      </c>
      <c r="N515" s="403" t="s">
        <v>2363</v>
      </c>
      <c r="O515" s="403" t="s">
        <v>7084</v>
      </c>
      <c r="P515" s="403" t="s">
        <v>2364</v>
      </c>
      <c r="Q515" s="403" t="s">
        <v>8641</v>
      </c>
      <c r="R515" s="403" t="s">
        <v>18976</v>
      </c>
      <c r="S515" s="403" t="s">
        <v>14878</v>
      </c>
      <c r="T515" s="403" t="s">
        <v>14879</v>
      </c>
      <c r="U515" s="403"/>
      <c r="V515" s="403" t="s">
        <v>23024</v>
      </c>
      <c r="W515" s="403" t="s">
        <v>23024</v>
      </c>
      <c r="X515" s="403" t="s">
        <v>23024</v>
      </c>
      <c r="Y515" s="403" t="s">
        <v>23024</v>
      </c>
    </row>
    <row r="516" spans="1:25">
      <c r="A516" s="363">
        <f t="shared" si="71"/>
        <v>515</v>
      </c>
      <c r="B516" s="363" t="str">
        <f t="shared" si="64"/>
        <v>44</v>
      </c>
      <c r="C516" s="405" t="str">
        <f t="shared" si="65"/>
        <v>第004862号</v>
      </c>
      <c r="D516" s="405" t="str">
        <f t="shared" si="66"/>
        <v>（株）タカハシ</v>
      </c>
      <c r="E516" s="405" t="str">
        <f t="shared" si="67"/>
        <v>代表取締役</v>
      </c>
      <c r="F516" s="405" t="str">
        <f t="shared" si="68"/>
        <v>高橋　八郎</v>
      </c>
      <c r="G516" s="405" t="str">
        <f t="shared" si="69"/>
        <v>主たる営業所</v>
      </c>
      <c r="H516" s="405" t="str">
        <f t="shared" si="70"/>
        <v>大分市大字種具１４０２－１</v>
      </c>
      <c r="L516" s="403" t="s">
        <v>8642</v>
      </c>
      <c r="M516" s="403" t="s">
        <v>8255</v>
      </c>
      <c r="N516" s="403" t="s">
        <v>2365</v>
      </c>
      <c r="O516" s="403" t="s">
        <v>7084</v>
      </c>
      <c r="P516" s="403" t="s">
        <v>2366</v>
      </c>
      <c r="Q516" s="403" t="s">
        <v>8268</v>
      </c>
      <c r="R516" s="403" t="s">
        <v>18977</v>
      </c>
      <c r="S516" s="403" t="s">
        <v>14880</v>
      </c>
      <c r="T516" s="403" t="s">
        <v>14881</v>
      </c>
      <c r="U516" s="403"/>
      <c r="V516" s="403" t="s">
        <v>23024</v>
      </c>
      <c r="W516" s="403" t="s">
        <v>23024</v>
      </c>
      <c r="X516" s="403" t="s">
        <v>23024</v>
      </c>
      <c r="Y516" s="403" t="s">
        <v>23024</v>
      </c>
    </row>
    <row r="517" spans="1:25">
      <c r="A517" s="363">
        <f t="shared" si="71"/>
        <v>516</v>
      </c>
      <c r="B517" s="363" t="str">
        <f t="shared" si="64"/>
        <v>44</v>
      </c>
      <c r="C517" s="405" t="str">
        <f t="shared" si="65"/>
        <v>第004877号</v>
      </c>
      <c r="D517" s="405" t="str">
        <f t="shared" si="66"/>
        <v>（有）内田興産</v>
      </c>
      <c r="E517" s="405" t="str">
        <f t="shared" si="67"/>
        <v>代表取締役</v>
      </c>
      <c r="F517" s="405" t="str">
        <f t="shared" si="68"/>
        <v>内田　雄二</v>
      </c>
      <c r="G517" s="405" t="str">
        <f t="shared" si="69"/>
        <v>主たる営業所</v>
      </c>
      <c r="H517" s="405" t="str">
        <f t="shared" si="70"/>
        <v>大分市大字城原６９２－１</v>
      </c>
      <c r="L517" s="403" t="s">
        <v>8643</v>
      </c>
      <c r="M517" s="403" t="s">
        <v>8644</v>
      </c>
      <c r="N517" s="403" t="s">
        <v>2367</v>
      </c>
      <c r="O517" s="403" t="s">
        <v>7084</v>
      </c>
      <c r="P517" s="403" t="s">
        <v>2368</v>
      </c>
      <c r="Q517" s="403" t="s">
        <v>8292</v>
      </c>
      <c r="R517" s="403" t="s">
        <v>18978</v>
      </c>
      <c r="S517" s="403" t="s">
        <v>14882</v>
      </c>
      <c r="T517" s="403" t="s">
        <v>14883</v>
      </c>
      <c r="U517" s="403"/>
      <c r="V517" s="403" t="s">
        <v>23024</v>
      </c>
      <c r="W517" s="403" t="s">
        <v>23024</v>
      </c>
      <c r="X517" s="403" t="s">
        <v>23024</v>
      </c>
      <c r="Y517" s="403" t="s">
        <v>23024</v>
      </c>
    </row>
    <row r="518" spans="1:25">
      <c r="A518" s="363">
        <f t="shared" si="71"/>
        <v>517</v>
      </c>
      <c r="B518" s="363" t="str">
        <f t="shared" si="64"/>
        <v>44</v>
      </c>
      <c r="C518" s="405" t="str">
        <f t="shared" si="65"/>
        <v>第004879号</v>
      </c>
      <c r="D518" s="405" t="str">
        <f t="shared" si="66"/>
        <v>（株）熊野建設</v>
      </c>
      <c r="E518" s="405" t="str">
        <f t="shared" si="67"/>
        <v>代表取締役</v>
      </c>
      <c r="F518" s="405" t="str">
        <f t="shared" si="68"/>
        <v>佐藤　嘉洋</v>
      </c>
      <c r="G518" s="405" t="str">
        <f t="shared" si="69"/>
        <v>主たる営業所</v>
      </c>
      <c r="H518" s="405" t="str">
        <f t="shared" si="70"/>
        <v>大分市大道町５－４－１４</v>
      </c>
      <c r="L518" s="403" t="s">
        <v>8645</v>
      </c>
      <c r="M518" s="403" t="s">
        <v>8646</v>
      </c>
      <c r="N518" s="403" t="s">
        <v>2369</v>
      </c>
      <c r="O518" s="403" t="s">
        <v>7084</v>
      </c>
      <c r="P518" s="403" t="s">
        <v>2370</v>
      </c>
      <c r="Q518" s="403" t="s">
        <v>8647</v>
      </c>
      <c r="R518" s="403" t="s">
        <v>18979</v>
      </c>
      <c r="S518" s="403" t="s">
        <v>14884</v>
      </c>
      <c r="T518" s="403" t="s">
        <v>14885</v>
      </c>
      <c r="U518" s="403"/>
      <c r="V518" s="403" t="s">
        <v>23024</v>
      </c>
      <c r="W518" s="403" t="s">
        <v>23024</v>
      </c>
      <c r="X518" s="403" t="s">
        <v>23024</v>
      </c>
      <c r="Y518" s="403" t="s">
        <v>23024</v>
      </c>
    </row>
    <row r="519" spans="1:25">
      <c r="A519" s="363">
        <f t="shared" si="71"/>
        <v>518</v>
      </c>
      <c r="B519" s="363" t="str">
        <f t="shared" si="64"/>
        <v>44</v>
      </c>
      <c r="C519" s="405" t="str">
        <f t="shared" si="65"/>
        <v>第004928号</v>
      </c>
      <c r="D519" s="405" t="str">
        <f t="shared" si="66"/>
        <v>（有）ダイワ空調サービス</v>
      </c>
      <c r="E519" s="405" t="str">
        <f t="shared" si="67"/>
        <v>代表取締役</v>
      </c>
      <c r="F519" s="405" t="str">
        <f t="shared" si="68"/>
        <v>東　勇一</v>
      </c>
      <c r="G519" s="405" t="str">
        <f t="shared" si="69"/>
        <v>主たる営業所</v>
      </c>
      <c r="H519" s="405" t="str">
        <f t="shared" si="70"/>
        <v>大分市花高松３－６－３２</v>
      </c>
      <c r="L519" s="403" t="s">
        <v>8648</v>
      </c>
      <c r="M519" s="403" t="s">
        <v>8649</v>
      </c>
      <c r="N519" s="403" t="s">
        <v>2372</v>
      </c>
      <c r="O519" s="403" t="s">
        <v>7084</v>
      </c>
      <c r="P519" s="403" t="s">
        <v>2373</v>
      </c>
      <c r="Q519" s="403" t="s">
        <v>8650</v>
      </c>
      <c r="R519" s="403" t="s">
        <v>18980</v>
      </c>
      <c r="S519" s="403" t="s">
        <v>14886</v>
      </c>
      <c r="T519" s="403" t="s">
        <v>14887</v>
      </c>
      <c r="U519" s="403"/>
      <c r="V519" s="403" t="s">
        <v>23024</v>
      </c>
      <c r="W519" s="403" t="s">
        <v>23024</v>
      </c>
      <c r="X519" s="403" t="s">
        <v>23024</v>
      </c>
      <c r="Y519" s="403" t="s">
        <v>23024</v>
      </c>
    </row>
    <row r="520" spans="1:25">
      <c r="A520" s="363">
        <f t="shared" si="71"/>
        <v>519</v>
      </c>
      <c r="B520" s="363" t="str">
        <f t="shared" si="64"/>
        <v>44</v>
      </c>
      <c r="C520" s="405" t="str">
        <f t="shared" si="65"/>
        <v>第004944号</v>
      </c>
      <c r="D520" s="405" t="str">
        <f t="shared" si="66"/>
        <v>（株）大分東明工業</v>
      </c>
      <c r="E520" s="405" t="str">
        <f t="shared" si="67"/>
        <v>代表取締役</v>
      </c>
      <c r="F520" s="405" t="str">
        <f t="shared" si="68"/>
        <v>田中　鉄雄</v>
      </c>
      <c r="G520" s="405" t="str">
        <f t="shared" si="69"/>
        <v>主たる営業所</v>
      </c>
      <c r="H520" s="405" t="str">
        <f t="shared" si="70"/>
        <v>大分市大字皆春１１０５－８</v>
      </c>
      <c r="L520" s="403" t="s">
        <v>8651</v>
      </c>
      <c r="M520" s="403" t="s">
        <v>8652</v>
      </c>
      <c r="N520" s="403" t="s">
        <v>2374</v>
      </c>
      <c r="O520" s="403" t="s">
        <v>7084</v>
      </c>
      <c r="P520" s="403" t="s">
        <v>2375</v>
      </c>
      <c r="Q520" s="403" t="s">
        <v>7478</v>
      </c>
      <c r="R520" s="403" t="s">
        <v>18981</v>
      </c>
      <c r="S520" s="403" t="s">
        <v>14888</v>
      </c>
      <c r="T520" s="403" t="s">
        <v>14889</v>
      </c>
      <c r="U520" s="403"/>
      <c r="V520" s="403" t="s">
        <v>23024</v>
      </c>
      <c r="W520" s="403" t="s">
        <v>23024</v>
      </c>
      <c r="X520" s="403" t="s">
        <v>23024</v>
      </c>
      <c r="Y520" s="403" t="s">
        <v>23024</v>
      </c>
    </row>
    <row r="521" spans="1:25">
      <c r="A521" s="363">
        <f t="shared" si="71"/>
        <v>520</v>
      </c>
      <c r="B521" s="363" t="str">
        <f t="shared" si="64"/>
        <v>44</v>
      </c>
      <c r="C521" s="405" t="str">
        <f t="shared" si="65"/>
        <v>第004969号</v>
      </c>
      <c r="D521" s="405" t="str">
        <f t="shared" si="66"/>
        <v>日伸テクノ（株）</v>
      </c>
      <c r="E521" s="405" t="str">
        <f t="shared" si="67"/>
        <v>代表取締役</v>
      </c>
      <c r="F521" s="405" t="str">
        <f t="shared" si="68"/>
        <v>土居　一成</v>
      </c>
      <c r="G521" s="405" t="str">
        <f t="shared" si="69"/>
        <v>主たる営業所</v>
      </c>
      <c r="H521" s="405" t="str">
        <f t="shared" si="70"/>
        <v>大分市大字上宗方２２７</v>
      </c>
      <c r="L521" s="403" t="s">
        <v>8653</v>
      </c>
      <c r="M521" s="403" t="s">
        <v>8654</v>
      </c>
      <c r="N521" s="403" t="s">
        <v>2376</v>
      </c>
      <c r="O521" s="403" t="s">
        <v>7084</v>
      </c>
      <c r="P521" s="403" t="s">
        <v>2377</v>
      </c>
      <c r="Q521" s="403" t="s">
        <v>8655</v>
      </c>
      <c r="R521" s="403" t="s">
        <v>5454</v>
      </c>
      <c r="S521" s="403" t="s">
        <v>14890</v>
      </c>
      <c r="T521" s="403" t="s">
        <v>14891</v>
      </c>
      <c r="U521" s="403"/>
      <c r="V521" s="403" t="s">
        <v>23024</v>
      </c>
      <c r="W521" s="403" t="s">
        <v>23024</v>
      </c>
      <c r="X521" s="403" t="s">
        <v>23024</v>
      </c>
      <c r="Y521" s="403" t="s">
        <v>23024</v>
      </c>
    </row>
    <row r="522" spans="1:25">
      <c r="A522" s="363">
        <f t="shared" si="71"/>
        <v>521</v>
      </c>
      <c r="B522" s="363" t="str">
        <f t="shared" si="64"/>
        <v>44</v>
      </c>
      <c r="C522" s="405" t="str">
        <f t="shared" si="65"/>
        <v>第004979号</v>
      </c>
      <c r="D522" s="405" t="str">
        <f t="shared" si="66"/>
        <v>（株）鳥羽鉄工</v>
      </c>
      <c r="E522" s="405" t="str">
        <f t="shared" si="67"/>
        <v>代表取締役</v>
      </c>
      <c r="F522" s="405" t="str">
        <f t="shared" si="68"/>
        <v>岩谷　匠</v>
      </c>
      <c r="G522" s="405" t="str">
        <f t="shared" si="69"/>
        <v>主たる営業所</v>
      </c>
      <c r="H522" s="405" t="str">
        <f t="shared" si="70"/>
        <v>大分市大字下郡３２０７－７</v>
      </c>
      <c r="L522" s="403" t="s">
        <v>8656</v>
      </c>
      <c r="M522" s="403" t="s">
        <v>8657</v>
      </c>
      <c r="N522" s="403" t="s">
        <v>2378</v>
      </c>
      <c r="O522" s="403" t="s">
        <v>7084</v>
      </c>
      <c r="P522" s="403" t="s">
        <v>18982</v>
      </c>
      <c r="Q522" s="403" t="s">
        <v>8658</v>
      </c>
      <c r="R522" s="403" t="s">
        <v>18983</v>
      </c>
      <c r="S522" s="403" t="s">
        <v>14892</v>
      </c>
      <c r="T522" s="403" t="s">
        <v>14893</v>
      </c>
      <c r="U522" s="403"/>
      <c r="V522" s="403" t="s">
        <v>23024</v>
      </c>
      <c r="W522" s="403" t="s">
        <v>23024</v>
      </c>
      <c r="X522" s="403" t="s">
        <v>23024</v>
      </c>
      <c r="Y522" s="403" t="s">
        <v>23024</v>
      </c>
    </row>
    <row r="523" spans="1:25">
      <c r="A523" s="363">
        <f t="shared" si="71"/>
        <v>522</v>
      </c>
      <c r="B523" s="363" t="str">
        <f t="shared" si="64"/>
        <v>44</v>
      </c>
      <c r="C523" s="405" t="str">
        <f t="shared" si="65"/>
        <v>第004988号</v>
      </c>
      <c r="D523" s="405" t="str">
        <f t="shared" si="66"/>
        <v>（株）阿南電設工業</v>
      </c>
      <c r="E523" s="405" t="str">
        <f t="shared" si="67"/>
        <v>代表取締役</v>
      </c>
      <c r="F523" s="405" t="str">
        <f t="shared" si="68"/>
        <v>岩原　正樹</v>
      </c>
      <c r="G523" s="405" t="str">
        <f t="shared" si="69"/>
        <v>主たる営業所</v>
      </c>
      <c r="H523" s="405" t="str">
        <f t="shared" si="70"/>
        <v>大分市大字羽田６７３</v>
      </c>
      <c r="L523" s="403" t="s">
        <v>8659</v>
      </c>
      <c r="M523" s="403" t="s">
        <v>8660</v>
      </c>
      <c r="N523" s="403" t="s">
        <v>2379</v>
      </c>
      <c r="O523" s="403" t="s">
        <v>7084</v>
      </c>
      <c r="P523" s="403" t="s">
        <v>2380</v>
      </c>
      <c r="Q523" s="403" t="s">
        <v>8289</v>
      </c>
      <c r="R523" s="403" t="s">
        <v>5455</v>
      </c>
      <c r="S523" s="403" t="s">
        <v>14894</v>
      </c>
      <c r="T523" s="403" t="s">
        <v>14895</v>
      </c>
      <c r="U523" s="403"/>
      <c r="V523" s="403" t="s">
        <v>23024</v>
      </c>
      <c r="W523" s="403" t="s">
        <v>23024</v>
      </c>
      <c r="X523" s="403" t="s">
        <v>23024</v>
      </c>
      <c r="Y523" s="403" t="s">
        <v>23024</v>
      </c>
    </row>
    <row r="524" spans="1:25">
      <c r="A524" s="363">
        <f t="shared" si="71"/>
        <v>523</v>
      </c>
      <c r="B524" s="363" t="str">
        <f t="shared" si="64"/>
        <v>44</v>
      </c>
      <c r="C524" s="405" t="str">
        <f t="shared" si="65"/>
        <v>第005007号</v>
      </c>
      <c r="D524" s="405" t="str">
        <f t="shared" si="66"/>
        <v>宮脇建設（株）</v>
      </c>
      <c r="E524" s="405" t="str">
        <f t="shared" si="67"/>
        <v>代表取締役</v>
      </c>
      <c r="F524" s="405" t="str">
        <f t="shared" si="68"/>
        <v>宮脇　司</v>
      </c>
      <c r="G524" s="405" t="str">
        <f t="shared" si="69"/>
        <v>主たる営業所</v>
      </c>
      <c r="H524" s="405" t="str">
        <f t="shared" si="70"/>
        <v>大分市大字横尾３８３６－２</v>
      </c>
      <c r="L524" s="403" t="s">
        <v>8661</v>
      </c>
      <c r="M524" s="403" t="s">
        <v>8662</v>
      </c>
      <c r="N524" s="403" t="s">
        <v>2381</v>
      </c>
      <c r="O524" s="403" t="s">
        <v>7084</v>
      </c>
      <c r="P524" s="403" t="s">
        <v>2382</v>
      </c>
      <c r="Q524" s="403" t="s">
        <v>7357</v>
      </c>
      <c r="R524" s="403" t="s">
        <v>18984</v>
      </c>
      <c r="S524" s="403" t="s">
        <v>14896</v>
      </c>
      <c r="T524" s="403" t="s">
        <v>14897</v>
      </c>
      <c r="U524" s="403"/>
      <c r="V524" s="403" t="s">
        <v>23024</v>
      </c>
      <c r="W524" s="403" t="s">
        <v>23024</v>
      </c>
      <c r="X524" s="403" t="s">
        <v>23024</v>
      </c>
      <c r="Y524" s="403" t="s">
        <v>23024</v>
      </c>
    </row>
    <row r="525" spans="1:25">
      <c r="A525" s="363">
        <f t="shared" si="71"/>
        <v>524</v>
      </c>
      <c r="B525" s="363" t="str">
        <f t="shared" si="64"/>
        <v>44</v>
      </c>
      <c r="C525" s="405" t="str">
        <f t="shared" si="65"/>
        <v>第005014号</v>
      </c>
      <c r="D525" s="405" t="str">
        <f t="shared" si="66"/>
        <v>（株）神野工務店</v>
      </c>
      <c r="E525" s="405" t="str">
        <f t="shared" si="67"/>
        <v>代表取締役</v>
      </c>
      <c r="F525" s="405" t="str">
        <f t="shared" si="68"/>
        <v>神野　洋光</v>
      </c>
      <c r="G525" s="405" t="str">
        <f t="shared" si="69"/>
        <v>主たる営業所</v>
      </c>
      <c r="H525" s="405" t="str">
        <f t="shared" si="70"/>
        <v>大分市ひばりヶ丘５－６－９</v>
      </c>
      <c r="L525" s="403" t="s">
        <v>8663</v>
      </c>
      <c r="M525" s="403" t="s">
        <v>8664</v>
      </c>
      <c r="N525" s="403" t="s">
        <v>2383</v>
      </c>
      <c r="O525" s="403" t="s">
        <v>7084</v>
      </c>
      <c r="P525" s="403" t="s">
        <v>2384</v>
      </c>
      <c r="Q525" s="403" t="s">
        <v>8665</v>
      </c>
      <c r="R525" s="403" t="s">
        <v>18985</v>
      </c>
      <c r="S525" s="403" t="s">
        <v>14898</v>
      </c>
      <c r="T525" s="403" t="s">
        <v>14899</v>
      </c>
      <c r="U525" s="403"/>
      <c r="V525" s="403" t="s">
        <v>23024</v>
      </c>
      <c r="W525" s="403" t="s">
        <v>23024</v>
      </c>
      <c r="X525" s="403" t="s">
        <v>23024</v>
      </c>
      <c r="Y525" s="403" t="s">
        <v>23024</v>
      </c>
    </row>
    <row r="526" spans="1:25">
      <c r="A526" s="363">
        <f t="shared" si="71"/>
        <v>525</v>
      </c>
      <c r="B526" s="363" t="str">
        <f t="shared" si="64"/>
        <v>44</v>
      </c>
      <c r="C526" s="405" t="str">
        <f t="shared" si="65"/>
        <v>第005028号</v>
      </c>
      <c r="D526" s="405" t="str">
        <f t="shared" si="66"/>
        <v>大分音響（株）</v>
      </c>
      <c r="E526" s="405" t="str">
        <f t="shared" si="67"/>
        <v>代表取締役</v>
      </c>
      <c r="F526" s="405" t="str">
        <f t="shared" si="68"/>
        <v>亀井　圭司</v>
      </c>
      <c r="G526" s="405" t="str">
        <f t="shared" si="69"/>
        <v>主たる営業所</v>
      </c>
      <c r="H526" s="405" t="str">
        <f t="shared" si="70"/>
        <v>大分市大字上宗方字川下２９６－２</v>
      </c>
      <c r="L526" s="403" t="s">
        <v>8666</v>
      </c>
      <c r="M526" s="403" t="s">
        <v>8667</v>
      </c>
      <c r="N526" s="403" t="s">
        <v>2385</v>
      </c>
      <c r="O526" s="403" t="s">
        <v>7084</v>
      </c>
      <c r="P526" s="403" t="s">
        <v>2386</v>
      </c>
      <c r="Q526" s="403" t="s">
        <v>8655</v>
      </c>
      <c r="R526" s="403" t="s">
        <v>18986</v>
      </c>
      <c r="S526" s="403" t="s">
        <v>14900</v>
      </c>
      <c r="T526" s="403" t="s">
        <v>14901</v>
      </c>
      <c r="U526" s="403"/>
      <c r="V526" s="403" t="s">
        <v>23024</v>
      </c>
      <c r="W526" s="403" t="s">
        <v>23024</v>
      </c>
      <c r="X526" s="403" t="s">
        <v>23024</v>
      </c>
      <c r="Y526" s="403" t="s">
        <v>23024</v>
      </c>
    </row>
    <row r="527" spans="1:25">
      <c r="A527" s="363">
        <f t="shared" si="71"/>
        <v>526</v>
      </c>
      <c r="B527" s="363" t="str">
        <f t="shared" si="64"/>
        <v>44</v>
      </c>
      <c r="C527" s="405" t="str">
        <f t="shared" si="65"/>
        <v>第005046号</v>
      </c>
      <c r="D527" s="405" t="str">
        <f t="shared" si="66"/>
        <v>（株）ダイユウ建設</v>
      </c>
      <c r="E527" s="405" t="str">
        <f t="shared" si="67"/>
        <v>代表取締役</v>
      </c>
      <c r="F527" s="405" t="str">
        <f t="shared" si="68"/>
        <v>後藤　秀樹</v>
      </c>
      <c r="G527" s="405" t="str">
        <f t="shared" si="69"/>
        <v>主たる営業所</v>
      </c>
      <c r="H527" s="405" t="str">
        <f t="shared" si="70"/>
        <v>由布市挾間町赤野８２０－１</v>
      </c>
      <c r="L527" s="403" t="s">
        <v>8668</v>
      </c>
      <c r="M527" s="403" t="s">
        <v>8669</v>
      </c>
      <c r="N527" s="403" t="s">
        <v>2387</v>
      </c>
      <c r="O527" s="403" t="s">
        <v>7084</v>
      </c>
      <c r="P527" s="403" t="s">
        <v>2388</v>
      </c>
      <c r="Q527" s="403" t="s">
        <v>8670</v>
      </c>
      <c r="R527" s="403" t="s">
        <v>18987</v>
      </c>
      <c r="S527" s="403" t="s">
        <v>14902</v>
      </c>
      <c r="T527" s="403" t="s">
        <v>14903</v>
      </c>
      <c r="U527" s="403"/>
      <c r="V527" s="403" t="s">
        <v>23024</v>
      </c>
      <c r="W527" s="403" t="s">
        <v>23024</v>
      </c>
      <c r="X527" s="403" t="s">
        <v>23024</v>
      </c>
      <c r="Y527" s="403" t="s">
        <v>23024</v>
      </c>
    </row>
    <row r="528" spans="1:25">
      <c r="A528" s="363">
        <f t="shared" si="71"/>
        <v>527</v>
      </c>
      <c r="B528" s="363" t="str">
        <f t="shared" si="64"/>
        <v>44</v>
      </c>
      <c r="C528" s="405" t="str">
        <f t="shared" si="65"/>
        <v>第005064号</v>
      </c>
      <c r="D528" s="405" t="str">
        <f t="shared" si="66"/>
        <v>道路企画（株）</v>
      </c>
      <c r="E528" s="405" t="str">
        <f t="shared" si="67"/>
        <v>代表取締役</v>
      </c>
      <c r="F528" s="405" t="str">
        <f t="shared" si="68"/>
        <v>中川　博光</v>
      </c>
      <c r="G528" s="405" t="str">
        <f t="shared" si="69"/>
        <v>主たる営業所</v>
      </c>
      <c r="H528" s="405" t="str">
        <f t="shared" si="70"/>
        <v>日田市大字庄手中釣町４７３－５</v>
      </c>
      <c r="L528" s="403" t="s">
        <v>8671</v>
      </c>
      <c r="M528" s="403" t="s">
        <v>8672</v>
      </c>
      <c r="N528" s="403" t="s">
        <v>2389</v>
      </c>
      <c r="O528" s="403" t="s">
        <v>7084</v>
      </c>
      <c r="P528" s="403" t="s">
        <v>2390</v>
      </c>
      <c r="Q528" s="403" t="s">
        <v>8673</v>
      </c>
      <c r="R528" s="403" t="s">
        <v>18988</v>
      </c>
      <c r="S528" s="403" t="s">
        <v>14904</v>
      </c>
      <c r="T528" s="403" t="s">
        <v>14905</v>
      </c>
      <c r="U528" s="403"/>
      <c r="V528" s="403" t="s">
        <v>23024</v>
      </c>
      <c r="W528" s="403" t="s">
        <v>23024</v>
      </c>
      <c r="X528" s="403" t="s">
        <v>23024</v>
      </c>
      <c r="Y528" s="403" t="s">
        <v>23024</v>
      </c>
    </row>
    <row r="529" spans="1:25">
      <c r="A529" s="363">
        <f t="shared" si="71"/>
        <v>528</v>
      </c>
      <c r="B529" s="363" t="str">
        <f t="shared" si="64"/>
        <v>44</v>
      </c>
      <c r="C529" s="405" t="str">
        <f t="shared" si="65"/>
        <v>第005087号</v>
      </c>
      <c r="D529" s="405" t="str">
        <f t="shared" si="66"/>
        <v>（株）ミヤマ電気</v>
      </c>
      <c r="E529" s="405" t="str">
        <f t="shared" si="67"/>
        <v>代表取締役</v>
      </c>
      <c r="F529" s="405" t="str">
        <f t="shared" si="68"/>
        <v>実山　香代子</v>
      </c>
      <c r="G529" s="405" t="str">
        <f t="shared" si="69"/>
        <v>主たる営業所</v>
      </c>
      <c r="H529" s="405" t="str">
        <f t="shared" si="70"/>
        <v>大分市三川下２－２－２１</v>
      </c>
      <c r="L529" s="403" t="s">
        <v>8674</v>
      </c>
      <c r="M529" s="403" t="s">
        <v>8675</v>
      </c>
      <c r="N529" s="403" t="s">
        <v>2391</v>
      </c>
      <c r="O529" s="403" t="s">
        <v>7084</v>
      </c>
      <c r="P529" s="403" t="s">
        <v>2392</v>
      </c>
      <c r="Q529" s="403" t="s">
        <v>8638</v>
      </c>
      <c r="R529" s="403" t="s">
        <v>18989</v>
      </c>
      <c r="S529" s="403" t="s">
        <v>14906</v>
      </c>
      <c r="T529" s="403" t="s">
        <v>14907</v>
      </c>
      <c r="U529" s="403"/>
      <c r="V529" s="403" t="s">
        <v>23024</v>
      </c>
      <c r="W529" s="403" t="s">
        <v>23024</v>
      </c>
      <c r="X529" s="403" t="s">
        <v>23024</v>
      </c>
      <c r="Y529" s="403" t="s">
        <v>23024</v>
      </c>
    </row>
    <row r="530" spans="1:25">
      <c r="A530" s="363">
        <f t="shared" si="71"/>
        <v>529</v>
      </c>
      <c r="B530" s="363" t="str">
        <f t="shared" si="64"/>
        <v>44</v>
      </c>
      <c r="C530" s="405" t="str">
        <f t="shared" si="65"/>
        <v>第005089号</v>
      </c>
      <c r="D530" s="405" t="str">
        <f t="shared" si="66"/>
        <v>新和重機建設（株）</v>
      </c>
      <c r="E530" s="405" t="str">
        <f t="shared" si="67"/>
        <v>代表取締役</v>
      </c>
      <c r="F530" s="405" t="str">
        <f t="shared" si="68"/>
        <v>完山　和弘</v>
      </c>
      <c r="G530" s="405" t="str">
        <f t="shared" si="69"/>
        <v>主たる営業所</v>
      </c>
      <c r="H530" s="405" t="str">
        <f t="shared" si="70"/>
        <v>大分市大字城原字蓮池２４０４－１</v>
      </c>
      <c r="L530" s="403" t="s">
        <v>8676</v>
      </c>
      <c r="M530" s="403" t="s">
        <v>8677</v>
      </c>
      <c r="N530" s="403" t="s">
        <v>2393</v>
      </c>
      <c r="O530" s="403" t="s">
        <v>7084</v>
      </c>
      <c r="P530" s="403" t="s">
        <v>2394</v>
      </c>
      <c r="Q530" s="403" t="s">
        <v>8292</v>
      </c>
      <c r="R530" s="403" t="s">
        <v>18990</v>
      </c>
      <c r="S530" s="403" t="s">
        <v>14908</v>
      </c>
      <c r="T530" s="403" t="s">
        <v>14909</v>
      </c>
      <c r="U530" s="403"/>
      <c r="V530" s="403" t="s">
        <v>23024</v>
      </c>
      <c r="W530" s="403" t="s">
        <v>23024</v>
      </c>
      <c r="X530" s="403" t="s">
        <v>23024</v>
      </c>
      <c r="Y530" s="403" t="s">
        <v>23024</v>
      </c>
    </row>
    <row r="531" spans="1:25">
      <c r="A531" s="363">
        <f t="shared" si="71"/>
        <v>530</v>
      </c>
      <c r="B531" s="363" t="str">
        <f t="shared" si="64"/>
        <v>44</v>
      </c>
      <c r="C531" s="405" t="str">
        <f t="shared" si="65"/>
        <v>第005093号</v>
      </c>
      <c r="D531" s="405" t="str">
        <f t="shared" si="66"/>
        <v>大分防災工業（株）</v>
      </c>
      <c r="E531" s="405" t="str">
        <f t="shared" si="67"/>
        <v>代表取締役</v>
      </c>
      <c r="F531" s="405" t="str">
        <f t="shared" si="68"/>
        <v>佐藤　健二</v>
      </c>
      <c r="G531" s="405" t="str">
        <f t="shared" si="69"/>
        <v>主たる営業所</v>
      </c>
      <c r="H531" s="405" t="str">
        <f t="shared" si="70"/>
        <v>大分市東原１－３－３</v>
      </c>
      <c r="L531" s="403" t="s">
        <v>8678</v>
      </c>
      <c r="M531" s="403" t="s">
        <v>8679</v>
      </c>
      <c r="N531" s="403" t="s">
        <v>2395</v>
      </c>
      <c r="O531" s="403" t="s">
        <v>7084</v>
      </c>
      <c r="P531" s="403" t="s">
        <v>2396</v>
      </c>
      <c r="Q531" s="403" t="s">
        <v>8680</v>
      </c>
      <c r="R531" s="403" t="s">
        <v>18991</v>
      </c>
      <c r="S531" s="403" t="s">
        <v>14910</v>
      </c>
      <c r="T531" s="403" t="s">
        <v>14911</v>
      </c>
      <c r="U531" s="403"/>
      <c r="V531" s="403" t="s">
        <v>23024</v>
      </c>
      <c r="W531" s="403" t="s">
        <v>23024</v>
      </c>
      <c r="X531" s="403" t="s">
        <v>23024</v>
      </c>
      <c r="Y531" s="403" t="s">
        <v>23024</v>
      </c>
    </row>
    <row r="532" spans="1:25">
      <c r="A532" s="363">
        <f t="shared" si="71"/>
        <v>531</v>
      </c>
      <c r="B532" s="363" t="str">
        <f t="shared" si="64"/>
        <v>44</v>
      </c>
      <c r="C532" s="405" t="str">
        <f t="shared" si="65"/>
        <v>第005094号</v>
      </c>
      <c r="D532" s="405" t="str">
        <f t="shared" si="66"/>
        <v>松栄電設工業（株）</v>
      </c>
      <c r="E532" s="405" t="str">
        <f t="shared" si="67"/>
        <v>代表取締役</v>
      </c>
      <c r="F532" s="405" t="str">
        <f t="shared" si="68"/>
        <v>木村　和由</v>
      </c>
      <c r="G532" s="405" t="str">
        <f t="shared" si="69"/>
        <v>主たる営業所</v>
      </c>
      <c r="H532" s="405" t="str">
        <f t="shared" si="70"/>
        <v>大分市三佐１－１０－１３</v>
      </c>
      <c r="L532" s="403" t="s">
        <v>8681</v>
      </c>
      <c r="M532" s="403" t="s">
        <v>8682</v>
      </c>
      <c r="N532" s="403" t="s">
        <v>2397</v>
      </c>
      <c r="O532" s="403" t="s">
        <v>7084</v>
      </c>
      <c r="P532" s="403" t="s">
        <v>2398</v>
      </c>
      <c r="Q532" s="403" t="s">
        <v>7413</v>
      </c>
      <c r="R532" s="403" t="s">
        <v>18992</v>
      </c>
      <c r="S532" s="403" t="s">
        <v>14912</v>
      </c>
      <c r="T532" s="403" t="s">
        <v>14913</v>
      </c>
      <c r="U532" s="403"/>
      <c r="V532" s="403" t="s">
        <v>23024</v>
      </c>
      <c r="W532" s="403" t="s">
        <v>23024</v>
      </c>
      <c r="X532" s="403" t="s">
        <v>23024</v>
      </c>
      <c r="Y532" s="403" t="s">
        <v>23024</v>
      </c>
    </row>
    <row r="533" spans="1:25">
      <c r="A533" s="363">
        <f t="shared" si="71"/>
        <v>532</v>
      </c>
      <c r="B533" s="363" t="str">
        <f t="shared" si="64"/>
        <v>44</v>
      </c>
      <c r="C533" s="405" t="str">
        <f t="shared" si="65"/>
        <v>第005097号</v>
      </c>
      <c r="D533" s="405" t="str">
        <f t="shared" si="66"/>
        <v>ピーエム工業（株）</v>
      </c>
      <c r="E533" s="405" t="str">
        <f t="shared" si="67"/>
        <v>代表取締役</v>
      </c>
      <c r="F533" s="405" t="str">
        <f t="shared" si="68"/>
        <v>首藤　栄治</v>
      </c>
      <c r="G533" s="405" t="str">
        <f t="shared" si="69"/>
        <v>主たる営業所</v>
      </c>
      <c r="H533" s="405" t="str">
        <f t="shared" si="70"/>
        <v>大分市大字中戸次４７２９－１</v>
      </c>
      <c r="L533" s="403" t="s">
        <v>8683</v>
      </c>
      <c r="M533" s="403" t="s">
        <v>8684</v>
      </c>
      <c r="N533" s="403" t="s">
        <v>2399</v>
      </c>
      <c r="O533" s="403" t="s">
        <v>7084</v>
      </c>
      <c r="P533" s="403" t="s">
        <v>2400</v>
      </c>
      <c r="Q533" s="403" t="s">
        <v>7531</v>
      </c>
      <c r="R533" s="403" t="s">
        <v>18993</v>
      </c>
      <c r="S533" s="403" t="s">
        <v>14914</v>
      </c>
      <c r="T533" s="403" t="s">
        <v>14915</v>
      </c>
      <c r="U533" s="403"/>
      <c r="V533" s="403" t="s">
        <v>23024</v>
      </c>
      <c r="W533" s="403" t="s">
        <v>23024</v>
      </c>
      <c r="X533" s="403" t="s">
        <v>23024</v>
      </c>
      <c r="Y533" s="403" t="s">
        <v>23024</v>
      </c>
    </row>
    <row r="534" spans="1:25">
      <c r="A534" s="363">
        <f t="shared" si="71"/>
        <v>533</v>
      </c>
      <c r="B534" s="363" t="str">
        <f t="shared" si="64"/>
        <v>44</v>
      </c>
      <c r="C534" s="405" t="str">
        <f t="shared" si="65"/>
        <v>第005099号</v>
      </c>
      <c r="D534" s="405" t="str">
        <f t="shared" si="66"/>
        <v>アイワ産業（株）</v>
      </c>
      <c r="E534" s="405" t="str">
        <f t="shared" si="67"/>
        <v>代表取締役</v>
      </c>
      <c r="F534" s="405" t="str">
        <f t="shared" si="68"/>
        <v>森　裕幸</v>
      </c>
      <c r="G534" s="405" t="str">
        <f t="shared" si="69"/>
        <v>主たる営業所</v>
      </c>
      <c r="H534" s="405" t="str">
        <f t="shared" si="70"/>
        <v>大分市大字片島２９９５－５</v>
      </c>
      <c r="L534" s="403" t="s">
        <v>8685</v>
      </c>
      <c r="M534" s="403" t="s">
        <v>8686</v>
      </c>
      <c r="N534" s="403" t="s">
        <v>2401</v>
      </c>
      <c r="O534" s="403" t="s">
        <v>7084</v>
      </c>
      <c r="P534" s="403" t="s">
        <v>2402</v>
      </c>
      <c r="Q534" s="403" t="s">
        <v>8687</v>
      </c>
      <c r="R534" s="403" t="s">
        <v>18994</v>
      </c>
      <c r="S534" s="403" t="s">
        <v>14916</v>
      </c>
      <c r="T534" s="403" t="s">
        <v>14917</v>
      </c>
      <c r="U534" s="403"/>
      <c r="V534" s="403" t="s">
        <v>23024</v>
      </c>
      <c r="W534" s="403" t="s">
        <v>23024</v>
      </c>
      <c r="X534" s="403" t="s">
        <v>23024</v>
      </c>
      <c r="Y534" s="403" t="s">
        <v>23024</v>
      </c>
    </row>
    <row r="535" spans="1:25">
      <c r="A535" s="363">
        <f t="shared" si="71"/>
        <v>534</v>
      </c>
      <c r="B535" s="363" t="str">
        <f t="shared" si="64"/>
        <v>44</v>
      </c>
      <c r="C535" s="405" t="str">
        <f t="shared" si="65"/>
        <v>第005118号</v>
      </c>
      <c r="D535" s="405" t="str">
        <f t="shared" si="66"/>
        <v>（有）藤木木工製作所</v>
      </c>
      <c r="E535" s="405" t="str">
        <f t="shared" si="67"/>
        <v>代表取締役</v>
      </c>
      <c r="F535" s="405" t="str">
        <f t="shared" si="68"/>
        <v>河野　真司</v>
      </c>
      <c r="G535" s="405" t="str">
        <f t="shared" si="69"/>
        <v>主たる営業所</v>
      </c>
      <c r="H535" s="405" t="str">
        <f t="shared" si="70"/>
        <v>大分市大字下郡３０２１－３</v>
      </c>
      <c r="L535" s="403" t="s">
        <v>8688</v>
      </c>
      <c r="M535" s="403" t="s">
        <v>8689</v>
      </c>
      <c r="N535" s="403" t="s">
        <v>2403</v>
      </c>
      <c r="O535" s="403" t="s">
        <v>7084</v>
      </c>
      <c r="P535" s="403" t="s">
        <v>18995</v>
      </c>
      <c r="Q535" s="403" t="s">
        <v>8658</v>
      </c>
      <c r="R535" s="403" t="s">
        <v>18996</v>
      </c>
      <c r="S535" s="403" t="s">
        <v>14918</v>
      </c>
      <c r="T535" s="403" t="s">
        <v>14919</v>
      </c>
      <c r="U535" s="403"/>
      <c r="V535" s="403" t="s">
        <v>23024</v>
      </c>
      <c r="W535" s="403" t="s">
        <v>23024</v>
      </c>
      <c r="X535" s="403" t="s">
        <v>23024</v>
      </c>
      <c r="Y535" s="403" t="s">
        <v>23024</v>
      </c>
    </row>
    <row r="536" spans="1:25">
      <c r="A536" s="363">
        <f t="shared" si="71"/>
        <v>535</v>
      </c>
      <c r="B536" s="363" t="str">
        <f t="shared" si="64"/>
        <v>44</v>
      </c>
      <c r="C536" s="405" t="str">
        <f t="shared" si="65"/>
        <v>第005146号</v>
      </c>
      <c r="D536" s="405" t="str">
        <f t="shared" si="66"/>
        <v>東邦工業（株）</v>
      </c>
      <c r="E536" s="405" t="str">
        <f t="shared" si="67"/>
        <v>代表取締役</v>
      </c>
      <c r="F536" s="405" t="str">
        <f t="shared" si="68"/>
        <v>吉田　邦男</v>
      </c>
      <c r="G536" s="405" t="str">
        <f t="shared" si="69"/>
        <v>主たる営業所</v>
      </c>
      <c r="H536" s="405" t="str">
        <f t="shared" si="70"/>
        <v>大分市西新地１－９－２８</v>
      </c>
      <c r="L536" s="403" t="s">
        <v>8690</v>
      </c>
      <c r="M536" s="403" t="s">
        <v>8691</v>
      </c>
      <c r="N536" s="403" t="s">
        <v>2404</v>
      </c>
      <c r="O536" s="403" t="s">
        <v>7084</v>
      </c>
      <c r="P536" s="403" t="s">
        <v>2405</v>
      </c>
      <c r="Q536" s="403" t="s">
        <v>7339</v>
      </c>
      <c r="R536" s="403" t="s">
        <v>18997</v>
      </c>
      <c r="S536" s="403" t="s">
        <v>14920</v>
      </c>
      <c r="T536" s="403" t="s">
        <v>14921</v>
      </c>
      <c r="U536" s="403"/>
      <c r="V536" s="403" t="s">
        <v>23024</v>
      </c>
      <c r="W536" s="403" t="s">
        <v>23024</v>
      </c>
      <c r="X536" s="403" t="s">
        <v>23024</v>
      </c>
      <c r="Y536" s="403" t="s">
        <v>23024</v>
      </c>
    </row>
    <row r="537" spans="1:25">
      <c r="A537" s="363">
        <f t="shared" si="71"/>
        <v>536</v>
      </c>
      <c r="B537" s="363" t="str">
        <f t="shared" si="64"/>
        <v>44</v>
      </c>
      <c r="C537" s="405" t="str">
        <f t="shared" si="65"/>
        <v>第005151号</v>
      </c>
      <c r="D537" s="405" t="str">
        <f t="shared" si="66"/>
        <v>（有）サンシール工業</v>
      </c>
      <c r="E537" s="405" t="str">
        <f t="shared" si="67"/>
        <v>代表取締役</v>
      </c>
      <c r="F537" s="405" t="str">
        <f t="shared" si="68"/>
        <v>串　彰文</v>
      </c>
      <c r="G537" s="405" t="str">
        <f t="shared" si="69"/>
        <v>主たる営業所</v>
      </c>
      <c r="H537" s="405" t="str">
        <f t="shared" si="70"/>
        <v>大分市大字小池原１６８４－１</v>
      </c>
      <c r="L537" s="403" t="s">
        <v>8692</v>
      </c>
      <c r="M537" s="403" t="s">
        <v>8693</v>
      </c>
      <c r="N537" s="403" t="s">
        <v>2406</v>
      </c>
      <c r="O537" s="403" t="s">
        <v>7084</v>
      </c>
      <c r="P537" s="403" t="s">
        <v>2407</v>
      </c>
      <c r="Q537" s="403" t="s">
        <v>8694</v>
      </c>
      <c r="R537" s="403" t="s">
        <v>18998</v>
      </c>
      <c r="S537" s="403" t="s">
        <v>14922</v>
      </c>
      <c r="T537" s="403" t="s">
        <v>14923</v>
      </c>
      <c r="U537" s="403"/>
      <c r="V537" s="403" t="s">
        <v>23024</v>
      </c>
      <c r="W537" s="403" t="s">
        <v>23024</v>
      </c>
      <c r="X537" s="403" t="s">
        <v>23024</v>
      </c>
      <c r="Y537" s="403" t="s">
        <v>23024</v>
      </c>
    </row>
    <row r="538" spans="1:25">
      <c r="A538" s="363">
        <f t="shared" si="71"/>
        <v>537</v>
      </c>
      <c r="B538" s="363" t="str">
        <f t="shared" si="64"/>
        <v>44</v>
      </c>
      <c r="C538" s="405" t="str">
        <f t="shared" si="65"/>
        <v>第005164号</v>
      </c>
      <c r="D538" s="405" t="str">
        <f t="shared" si="66"/>
        <v>共栄建設（株）</v>
      </c>
      <c r="E538" s="405" t="str">
        <f t="shared" si="67"/>
        <v>代表取締役</v>
      </c>
      <c r="F538" s="405" t="str">
        <f t="shared" si="68"/>
        <v>那賀　照晶</v>
      </c>
      <c r="G538" s="405" t="str">
        <f t="shared" si="69"/>
        <v>主たる営業所</v>
      </c>
      <c r="H538" s="405" t="str">
        <f t="shared" si="70"/>
        <v>大分市大字中戸次４２２７－３</v>
      </c>
      <c r="L538" s="403" t="s">
        <v>8695</v>
      </c>
      <c r="M538" s="403" t="s">
        <v>8696</v>
      </c>
      <c r="N538" s="403" t="s">
        <v>2408</v>
      </c>
      <c r="O538" s="403" t="s">
        <v>7084</v>
      </c>
      <c r="P538" s="403" t="s">
        <v>2409</v>
      </c>
      <c r="Q538" s="403" t="s">
        <v>7531</v>
      </c>
      <c r="R538" s="403" t="s">
        <v>18999</v>
      </c>
      <c r="S538" s="403" t="s">
        <v>14924</v>
      </c>
      <c r="T538" s="403" t="s">
        <v>14924</v>
      </c>
      <c r="U538" s="403"/>
      <c r="V538" s="403" t="s">
        <v>23024</v>
      </c>
      <c r="W538" s="403" t="s">
        <v>23024</v>
      </c>
      <c r="X538" s="403" t="s">
        <v>23024</v>
      </c>
      <c r="Y538" s="403" t="s">
        <v>23024</v>
      </c>
    </row>
    <row r="539" spans="1:25">
      <c r="A539" s="363">
        <f t="shared" si="71"/>
        <v>538</v>
      </c>
      <c r="B539" s="363" t="str">
        <f t="shared" si="64"/>
        <v>44</v>
      </c>
      <c r="C539" s="405" t="str">
        <f t="shared" si="65"/>
        <v>第005203号</v>
      </c>
      <c r="D539" s="405" t="str">
        <f t="shared" si="66"/>
        <v>（株）ミウラ緑化</v>
      </c>
      <c r="E539" s="405" t="str">
        <f t="shared" si="67"/>
        <v>代表取締役</v>
      </c>
      <c r="F539" s="405" t="str">
        <f t="shared" si="68"/>
        <v>三浦　和久</v>
      </c>
      <c r="G539" s="405" t="str">
        <f t="shared" si="69"/>
        <v>主たる営業所</v>
      </c>
      <c r="H539" s="405" t="str">
        <f t="shared" si="70"/>
        <v>大分市横尾東町２－１０－２４</v>
      </c>
      <c r="L539" s="403" t="s">
        <v>8697</v>
      </c>
      <c r="M539" s="403" t="s">
        <v>8698</v>
      </c>
      <c r="N539" s="403" t="s">
        <v>2410</v>
      </c>
      <c r="O539" s="403" t="s">
        <v>7084</v>
      </c>
      <c r="P539" s="403" t="s">
        <v>2411</v>
      </c>
      <c r="Q539" s="403" t="s">
        <v>8699</v>
      </c>
      <c r="R539" s="403" t="s">
        <v>19000</v>
      </c>
      <c r="S539" s="403" t="s">
        <v>14925</v>
      </c>
      <c r="T539" s="403" t="s">
        <v>14926</v>
      </c>
      <c r="U539" s="403"/>
      <c r="V539" s="403" t="s">
        <v>23024</v>
      </c>
      <c r="W539" s="403" t="s">
        <v>23024</v>
      </c>
      <c r="X539" s="403" t="s">
        <v>23024</v>
      </c>
      <c r="Y539" s="403" t="s">
        <v>23024</v>
      </c>
    </row>
    <row r="540" spans="1:25">
      <c r="A540" s="363">
        <f t="shared" si="71"/>
        <v>539</v>
      </c>
      <c r="B540" s="363" t="str">
        <f t="shared" si="64"/>
        <v>44</v>
      </c>
      <c r="C540" s="405" t="str">
        <f t="shared" si="65"/>
        <v>第005207号</v>
      </c>
      <c r="D540" s="405" t="str">
        <f t="shared" si="66"/>
        <v>（株）富士総合防災</v>
      </c>
      <c r="E540" s="405" t="str">
        <f t="shared" si="67"/>
        <v>代表取締役</v>
      </c>
      <c r="F540" s="405" t="str">
        <f t="shared" si="68"/>
        <v>福多　幸生</v>
      </c>
      <c r="G540" s="405" t="str">
        <f t="shared" si="69"/>
        <v>主たる営業所</v>
      </c>
      <c r="H540" s="405" t="str">
        <f t="shared" si="70"/>
        <v>大分市萩原４－４－１９</v>
      </c>
      <c r="L540" s="403" t="s">
        <v>8700</v>
      </c>
      <c r="M540" s="403" t="s">
        <v>8701</v>
      </c>
      <c r="N540" s="403" t="s">
        <v>2412</v>
      </c>
      <c r="O540" s="403" t="s">
        <v>7084</v>
      </c>
      <c r="P540" s="403" t="s">
        <v>2413</v>
      </c>
      <c r="Q540" s="403" t="s">
        <v>7394</v>
      </c>
      <c r="R540" s="403" t="s">
        <v>19001</v>
      </c>
      <c r="S540" s="403" t="s">
        <v>14927</v>
      </c>
      <c r="T540" s="403" t="s">
        <v>14928</v>
      </c>
      <c r="U540" s="403"/>
      <c r="V540" s="403" t="s">
        <v>23024</v>
      </c>
      <c r="W540" s="403" t="s">
        <v>23024</v>
      </c>
      <c r="X540" s="403" t="s">
        <v>23024</v>
      </c>
      <c r="Y540" s="403" t="s">
        <v>23024</v>
      </c>
    </row>
    <row r="541" spans="1:25">
      <c r="A541" s="363">
        <f t="shared" si="71"/>
        <v>540</v>
      </c>
      <c r="B541" s="363" t="str">
        <f t="shared" si="64"/>
        <v>44</v>
      </c>
      <c r="C541" s="405" t="str">
        <f t="shared" si="65"/>
        <v>第005212号</v>
      </c>
      <c r="D541" s="405" t="str">
        <f t="shared" si="66"/>
        <v>法友建設（株）</v>
      </c>
      <c r="E541" s="405" t="str">
        <f t="shared" si="67"/>
        <v>代表取締役</v>
      </c>
      <c r="F541" s="405" t="str">
        <f t="shared" si="68"/>
        <v>岩崎　辰男</v>
      </c>
      <c r="G541" s="405" t="str">
        <f t="shared" si="69"/>
        <v>主たる営業所</v>
      </c>
      <c r="H541" s="405" t="str">
        <f t="shared" si="70"/>
        <v>大分市徳島１－３１８５－２</v>
      </c>
      <c r="L541" s="403" t="s">
        <v>8702</v>
      </c>
      <c r="M541" s="403" t="s">
        <v>8703</v>
      </c>
      <c r="N541" s="403" t="s">
        <v>2414</v>
      </c>
      <c r="O541" s="403" t="s">
        <v>7084</v>
      </c>
      <c r="P541" s="403" t="s">
        <v>5302</v>
      </c>
      <c r="Q541" s="403" t="s">
        <v>7515</v>
      </c>
      <c r="R541" s="403" t="s">
        <v>19002</v>
      </c>
      <c r="S541" s="403" t="s">
        <v>14929</v>
      </c>
      <c r="T541" s="403" t="s">
        <v>14930</v>
      </c>
      <c r="U541" s="403"/>
      <c r="V541" s="403" t="s">
        <v>23024</v>
      </c>
      <c r="W541" s="403" t="s">
        <v>23024</v>
      </c>
      <c r="X541" s="403" t="s">
        <v>23024</v>
      </c>
      <c r="Y541" s="403" t="s">
        <v>23024</v>
      </c>
    </row>
    <row r="542" spans="1:25">
      <c r="A542" s="363">
        <f t="shared" si="71"/>
        <v>541</v>
      </c>
      <c r="B542" s="363" t="str">
        <f t="shared" si="64"/>
        <v>44</v>
      </c>
      <c r="C542" s="405" t="str">
        <f t="shared" si="65"/>
        <v>第005218号</v>
      </c>
      <c r="D542" s="405" t="str">
        <f t="shared" si="66"/>
        <v>（有）グリーン開発</v>
      </c>
      <c r="E542" s="405" t="str">
        <f t="shared" si="67"/>
        <v>取締役</v>
      </c>
      <c r="F542" s="405" t="str">
        <f t="shared" si="68"/>
        <v>大塚　諭</v>
      </c>
      <c r="G542" s="405" t="str">
        <f t="shared" si="69"/>
        <v>主たる営業所</v>
      </c>
      <c r="H542" s="405" t="str">
        <f t="shared" si="70"/>
        <v>大分市萩原２－２－２０</v>
      </c>
      <c r="L542" s="403" t="s">
        <v>8704</v>
      </c>
      <c r="M542" s="403" t="s">
        <v>8705</v>
      </c>
      <c r="N542" s="403" t="s">
        <v>2415</v>
      </c>
      <c r="O542" s="403" t="s">
        <v>7085</v>
      </c>
      <c r="P542" s="403" t="s">
        <v>19003</v>
      </c>
      <c r="Q542" s="403" t="s">
        <v>7394</v>
      </c>
      <c r="R542" s="403" t="s">
        <v>19004</v>
      </c>
      <c r="S542" s="403" t="s">
        <v>14931</v>
      </c>
      <c r="T542" s="403" t="s">
        <v>14932</v>
      </c>
      <c r="U542" s="403"/>
      <c r="V542" s="403" t="s">
        <v>23024</v>
      </c>
      <c r="W542" s="403" t="s">
        <v>23024</v>
      </c>
      <c r="X542" s="403" t="s">
        <v>23024</v>
      </c>
      <c r="Y542" s="403" t="s">
        <v>23024</v>
      </c>
    </row>
    <row r="543" spans="1:25">
      <c r="A543" s="363">
        <f t="shared" si="71"/>
        <v>542</v>
      </c>
      <c r="B543" s="363" t="str">
        <f t="shared" si="64"/>
        <v>44</v>
      </c>
      <c r="C543" s="405" t="str">
        <f t="shared" si="65"/>
        <v>第005231号</v>
      </c>
      <c r="D543" s="405" t="str">
        <f t="shared" si="66"/>
        <v>（業）大分管工事センター</v>
      </c>
      <c r="E543" s="405" t="str">
        <f t="shared" si="67"/>
        <v>代表理事</v>
      </c>
      <c r="F543" s="405" t="str">
        <f t="shared" si="68"/>
        <v>大仲　晴光</v>
      </c>
      <c r="G543" s="405" t="str">
        <f t="shared" si="69"/>
        <v>主たる営業所</v>
      </c>
      <c r="H543" s="405" t="str">
        <f t="shared" si="70"/>
        <v>大分市大州浜１－３－５</v>
      </c>
      <c r="L543" s="403" t="s">
        <v>8706</v>
      </c>
      <c r="M543" s="403" t="s">
        <v>8707</v>
      </c>
      <c r="N543" s="403" t="s">
        <v>2416</v>
      </c>
      <c r="O543" s="403" t="s">
        <v>7090</v>
      </c>
      <c r="P543" s="403" t="s">
        <v>2118</v>
      </c>
      <c r="Q543" s="403" t="s">
        <v>7397</v>
      </c>
      <c r="R543" s="403" t="s">
        <v>19005</v>
      </c>
      <c r="S543" s="403" t="s">
        <v>14933</v>
      </c>
      <c r="T543" s="403" t="s">
        <v>14934</v>
      </c>
      <c r="U543" s="403"/>
      <c r="V543" s="403" t="s">
        <v>23024</v>
      </c>
      <c r="W543" s="403" t="s">
        <v>23024</v>
      </c>
      <c r="X543" s="403" t="s">
        <v>23024</v>
      </c>
      <c r="Y543" s="403" t="s">
        <v>23024</v>
      </c>
    </row>
    <row r="544" spans="1:25">
      <c r="A544" s="363">
        <f t="shared" si="71"/>
        <v>543</v>
      </c>
      <c r="B544" s="363" t="str">
        <f t="shared" si="64"/>
        <v>44</v>
      </c>
      <c r="C544" s="405" t="str">
        <f t="shared" si="65"/>
        <v>第005232号</v>
      </c>
      <c r="D544" s="405" t="str">
        <f t="shared" si="66"/>
        <v>（株）大分シャッター</v>
      </c>
      <c r="E544" s="405" t="str">
        <f t="shared" si="67"/>
        <v>代表取締役</v>
      </c>
      <c r="F544" s="405" t="str">
        <f t="shared" si="68"/>
        <v>佐藤　信次郎</v>
      </c>
      <c r="G544" s="405" t="str">
        <f t="shared" si="69"/>
        <v>主たる営業所</v>
      </c>
      <c r="H544" s="405" t="str">
        <f t="shared" si="70"/>
        <v>大分市大字鴛野８７８－３</v>
      </c>
      <c r="L544" s="403" t="s">
        <v>8708</v>
      </c>
      <c r="M544" s="403" t="s">
        <v>8709</v>
      </c>
      <c r="N544" s="403" t="s">
        <v>2417</v>
      </c>
      <c r="O544" s="403" t="s">
        <v>7084</v>
      </c>
      <c r="P544" s="403" t="s">
        <v>2418</v>
      </c>
      <c r="Q544" s="403" t="s">
        <v>8710</v>
      </c>
      <c r="R544" s="403" t="s">
        <v>19006</v>
      </c>
      <c r="S544" s="403" t="s">
        <v>14935</v>
      </c>
      <c r="T544" s="403" t="s">
        <v>14936</v>
      </c>
      <c r="U544" s="403"/>
      <c r="V544" s="403" t="s">
        <v>23024</v>
      </c>
      <c r="W544" s="403" t="s">
        <v>23024</v>
      </c>
      <c r="X544" s="403" t="s">
        <v>23024</v>
      </c>
      <c r="Y544" s="403" t="s">
        <v>23024</v>
      </c>
    </row>
    <row r="545" spans="1:25">
      <c r="A545" s="363">
        <f t="shared" si="71"/>
        <v>544</v>
      </c>
      <c r="B545" s="363" t="str">
        <f t="shared" si="64"/>
        <v>44</v>
      </c>
      <c r="C545" s="405" t="str">
        <f t="shared" si="65"/>
        <v>第005237号</v>
      </c>
      <c r="D545" s="405" t="str">
        <f t="shared" si="66"/>
        <v>敷総合建設（株）</v>
      </c>
      <c r="E545" s="405" t="str">
        <f t="shared" si="67"/>
        <v>代表取締役</v>
      </c>
      <c r="F545" s="405" t="str">
        <f t="shared" si="68"/>
        <v>敷嶋　秀樹</v>
      </c>
      <c r="G545" s="405" t="str">
        <f t="shared" si="69"/>
        <v>主たる営業所</v>
      </c>
      <c r="H545" s="405" t="str">
        <f t="shared" si="70"/>
        <v>大分市大字八幡１６０１</v>
      </c>
      <c r="L545" s="403" t="s">
        <v>8711</v>
      </c>
      <c r="M545" s="403" t="s">
        <v>8712</v>
      </c>
      <c r="N545" s="403" t="s">
        <v>2419</v>
      </c>
      <c r="O545" s="403" t="s">
        <v>7084</v>
      </c>
      <c r="P545" s="403" t="s">
        <v>2420</v>
      </c>
      <c r="Q545" s="403" t="s">
        <v>8713</v>
      </c>
      <c r="R545" s="403" t="s">
        <v>5456</v>
      </c>
      <c r="S545" s="403" t="s">
        <v>14937</v>
      </c>
      <c r="T545" s="403" t="s">
        <v>14938</v>
      </c>
      <c r="U545" s="403"/>
      <c r="V545" s="403" t="s">
        <v>23024</v>
      </c>
      <c r="W545" s="403" t="s">
        <v>23024</v>
      </c>
      <c r="X545" s="403" t="s">
        <v>23024</v>
      </c>
      <c r="Y545" s="403" t="s">
        <v>23024</v>
      </c>
    </row>
    <row r="546" spans="1:25">
      <c r="A546" s="363">
        <f t="shared" si="71"/>
        <v>545</v>
      </c>
      <c r="B546" s="363" t="str">
        <f t="shared" si="64"/>
        <v>44</v>
      </c>
      <c r="C546" s="405" t="str">
        <f t="shared" si="65"/>
        <v>第005267号</v>
      </c>
      <c r="D546" s="405" t="str">
        <f t="shared" si="66"/>
        <v>三枝工業（株）</v>
      </c>
      <c r="E546" s="405" t="str">
        <f t="shared" si="67"/>
        <v>代表取締役</v>
      </c>
      <c r="F546" s="405" t="str">
        <f t="shared" si="68"/>
        <v>亀井　友和</v>
      </c>
      <c r="G546" s="405" t="str">
        <f t="shared" si="69"/>
        <v>主たる営業所</v>
      </c>
      <c r="H546" s="405" t="str">
        <f t="shared" si="70"/>
        <v>大分市西新地１－２－２０</v>
      </c>
      <c r="L546" s="403" t="s">
        <v>8714</v>
      </c>
      <c r="M546" s="403" t="s">
        <v>8715</v>
      </c>
      <c r="N546" s="403" t="s">
        <v>2421</v>
      </c>
      <c r="O546" s="403" t="s">
        <v>7084</v>
      </c>
      <c r="P546" s="403" t="s">
        <v>2422</v>
      </c>
      <c r="Q546" s="403" t="s">
        <v>7339</v>
      </c>
      <c r="R546" s="403" t="s">
        <v>19007</v>
      </c>
      <c r="S546" s="403" t="s">
        <v>14939</v>
      </c>
      <c r="T546" s="403" t="s">
        <v>14940</v>
      </c>
      <c r="U546" s="403"/>
      <c r="V546" s="403" t="s">
        <v>23024</v>
      </c>
      <c r="W546" s="403" t="s">
        <v>23024</v>
      </c>
      <c r="X546" s="403" t="s">
        <v>23024</v>
      </c>
      <c r="Y546" s="403" t="s">
        <v>23024</v>
      </c>
    </row>
    <row r="547" spans="1:25">
      <c r="A547" s="363">
        <f t="shared" si="71"/>
        <v>546</v>
      </c>
      <c r="B547" s="363" t="str">
        <f t="shared" si="64"/>
        <v>44</v>
      </c>
      <c r="C547" s="405" t="str">
        <f t="shared" si="65"/>
        <v>第005296号</v>
      </c>
      <c r="D547" s="405" t="str">
        <f t="shared" si="66"/>
        <v>中央電設（株）</v>
      </c>
      <c r="E547" s="405" t="str">
        <f t="shared" si="67"/>
        <v>代表取締役</v>
      </c>
      <c r="F547" s="405" t="str">
        <f t="shared" si="68"/>
        <v>森田　進</v>
      </c>
      <c r="G547" s="405" t="str">
        <f t="shared" si="69"/>
        <v>主たる営業所</v>
      </c>
      <c r="H547" s="405" t="str">
        <f t="shared" si="70"/>
        <v>大分市大字下郡１６１５－１</v>
      </c>
      <c r="L547" s="403" t="s">
        <v>8716</v>
      </c>
      <c r="M547" s="403" t="s">
        <v>8717</v>
      </c>
      <c r="N547" s="403" t="s">
        <v>2423</v>
      </c>
      <c r="O547" s="403" t="s">
        <v>7084</v>
      </c>
      <c r="P547" s="403" t="s">
        <v>5231</v>
      </c>
      <c r="Q547" s="403" t="s">
        <v>7419</v>
      </c>
      <c r="R547" s="403" t="s">
        <v>19008</v>
      </c>
      <c r="S547" s="403" t="s">
        <v>14941</v>
      </c>
      <c r="T547" s="403" t="s">
        <v>14942</v>
      </c>
      <c r="U547" s="403"/>
      <c r="V547" s="403" t="s">
        <v>23024</v>
      </c>
      <c r="W547" s="403" t="s">
        <v>23024</v>
      </c>
      <c r="X547" s="403" t="s">
        <v>23024</v>
      </c>
      <c r="Y547" s="403" t="s">
        <v>23024</v>
      </c>
    </row>
    <row r="548" spans="1:25">
      <c r="A548" s="363">
        <f t="shared" si="71"/>
        <v>547</v>
      </c>
      <c r="B548" s="363" t="str">
        <f t="shared" si="64"/>
        <v>44</v>
      </c>
      <c r="C548" s="405" t="str">
        <f t="shared" si="65"/>
        <v>第005297号</v>
      </c>
      <c r="D548" s="405" t="str">
        <f t="shared" si="66"/>
        <v>トヨミツ工業（株）</v>
      </c>
      <c r="E548" s="405" t="str">
        <f t="shared" si="67"/>
        <v>代表取締役</v>
      </c>
      <c r="F548" s="405" t="str">
        <f t="shared" si="68"/>
        <v>齊藤　小次郎</v>
      </c>
      <c r="G548" s="405" t="str">
        <f t="shared" si="69"/>
        <v>主たる営業所</v>
      </c>
      <c r="H548" s="405" t="str">
        <f t="shared" si="70"/>
        <v>大分市大字竹中字大六１１４６</v>
      </c>
      <c r="L548" s="403" t="s">
        <v>8718</v>
      </c>
      <c r="M548" s="403" t="s">
        <v>8719</v>
      </c>
      <c r="N548" s="403" t="s">
        <v>2424</v>
      </c>
      <c r="O548" s="403" t="s">
        <v>7084</v>
      </c>
      <c r="P548" s="403" t="s">
        <v>5232</v>
      </c>
      <c r="Q548" s="403" t="s">
        <v>7487</v>
      </c>
      <c r="R548" s="403" t="s">
        <v>5457</v>
      </c>
      <c r="S548" s="403" t="s">
        <v>14943</v>
      </c>
      <c r="T548" s="403" t="s">
        <v>14944</v>
      </c>
      <c r="U548" s="403"/>
      <c r="V548" s="403" t="s">
        <v>23024</v>
      </c>
      <c r="W548" s="403" t="s">
        <v>23024</v>
      </c>
      <c r="X548" s="403" t="s">
        <v>23024</v>
      </c>
      <c r="Y548" s="403" t="s">
        <v>23024</v>
      </c>
    </row>
    <row r="549" spans="1:25">
      <c r="A549" s="363">
        <f t="shared" si="71"/>
        <v>548</v>
      </c>
      <c r="B549" s="363" t="str">
        <f t="shared" si="64"/>
        <v>44</v>
      </c>
      <c r="C549" s="405" t="str">
        <f t="shared" si="65"/>
        <v>第005298号</v>
      </c>
      <c r="D549" s="405" t="str">
        <f t="shared" si="66"/>
        <v>（有）高田設備</v>
      </c>
      <c r="E549" s="405" t="str">
        <f t="shared" si="67"/>
        <v>代表取締役</v>
      </c>
      <c r="F549" s="405" t="str">
        <f t="shared" si="68"/>
        <v>伊藤　大輔</v>
      </c>
      <c r="G549" s="405" t="str">
        <f t="shared" si="69"/>
        <v>主たる営業所</v>
      </c>
      <c r="H549" s="405" t="str">
        <f t="shared" si="70"/>
        <v>大分市ふじが丘西２－８－２４</v>
      </c>
      <c r="L549" s="403" t="s">
        <v>8720</v>
      </c>
      <c r="M549" s="403" t="s">
        <v>8721</v>
      </c>
      <c r="N549" s="403" t="s">
        <v>2425</v>
      </c>
      <c r="O549" s="403" t="s">
        <v>7084</v>
      </c>
      <c r="P549" s="403" t="s">
        <v>2426</v>
      </c>
      <c r="Q549" s="403" t="s">
        <v>8722</v>
      </c>
      <c r="R549" s="403" t="s">
        <v>19009</v>
      </c>
      <c r="S549" s="403" t="s">
        <v>14945</v>
      </c>
      <c r="T549" s="403" t="s">
        <v>14946</v>
      </c>
      <c r="U549" s="403"/>
      <c r="V549" s="403" t="s">
        <v>23024</v>
      </c>
      <c r="W549" s="403" t="s">
        <v>23024</v>
      </c>
      <c r="X549" s="403" t="s">
        <v>23024</v>
      </c>
      <c r="Y549" s="403" t="s">
        <v>23024</v>
      </c>
    </row>
    <row r="550" spans="1:25">
      <c r="A550" s="363">
        <f t="shared" si="71"/>
        <v>549</v>
      </c>
      <c r="B550" s="363" t="str">
        <f t="shared" si="64"/>
        <v>44</v>
      </c>
      <c r="C550" s="405" t="str">
        <f t="shared" si="65"/>
        <v>第005299号</v>
      </c>
      <c r="D550" s="405" t="str">
        <f t="shared" si="66"/>
        <v>（株）河合組</v>
      </c>
      <c r="E550" s="405" t="str">
        <f t="shared" si="67"/>
        <v>代表取締役</v>
      </c>
      <c r="F550" s="405" t="str">
        <f t="shared" si="68"/>
        <v>河合　幸作</v>
      </c>
      <c r="G550" s="405" t="str">
        <f t="shared" si="69"/>
        <v>主たる営業所</v>
      </c>
      <c r="H550" s="405" t="str">
        <f t="shared" si="70"/>
        <v>大分市大字森３９３－２</v>
      </c>
      <c r="L550" s="403" t="s">
        <v>8723</v>
      </c>
      <c r="M550" s="403" t="s">
        <v>8724</v>
      </c>
      <c r="N550" s="403" t="s">
        <v>2427</v>
      </c>
      <c r="O550" s="403" t="s">
        <v>7084</v>
      </c>
      <c r="P550" s="403" t="s">
        <v>2428</v>
      </c>
      <c r="Q550" s="403" t="s">
        <v>8725</v>
      </c>
      <c r="R550" s="403" t="s">
        <v>19010</v>
      </c>
      <c r="S550" s="403" t="s">
        <v>14947</v>
      </c>
      <c r="T550" s="403" t="s">
        <v>14948</v>
      </c>
      <c r="U550" s="403"/>
      <c r="V550" s="403" t="s">
        <v>23024</v>
      </c>
      <c r="W550" s="403" t="s">
        <v>23024</v>
      </c>
      <c r="X550" s="403" t="s">
        <v>23024</v>
      </c>
      <c r="Y550" s="403" t="s">
        <v>23024</v>
      </c>
    </row>
    <row r="551" spans="1:25">
      <c r="A551" s="363">
        <f t="shared" si="71"/>
        <v>550</v>
      </c>
      <c r="B551" s="363" t="str">
        <f t="shared" si="64"/>
        <v>44</v>
      </c>
      <c r="C551" s="405" t="str">
        <f t="shared" si="65"/>
        <v>第005311号</v>
      </c>
      <c r="D551" s="405" t="str">
        <f t="shared" si="66"/>
        <v>（株）川野電設工業</v>
      </c>
      <c r="E551" s="405" t="str">
        <f t="shared" si="67"/>
        <v>代表取締役</v>
      </c>
      <c r="F551" s="405" t="str">
        <f t="shared" si="68"/>
        <v>川野　徳昭</v>
      </c>
      <c r="G551" s="405" t="str">
        <f t="shared" si="69"/>
        <v>主たる営業所</v>
      </c>
      <c r="H551" s="405" t="str">
        <f t="shared" si="70"/>
        <v>大分市明磧町２－１３－１８</v>
      </c>
      <c r="L551" s="403" t="s">
        <v>8726</v>
      </c>
      <c r="M551" s="403" t="s">
        <v>8727</v>
      </c>
      <c r="N551" s="403" t="s">
        <v>2429</v>
      </c>
      <c r="O551" s="403" t="s">
        <v>7084</v>
      </c>
      <c r="P551" s="403" t="s">
        <v>2430</v>
      </c>
      <c r="Q551" s="403" t="s">
        <v>8728</v>
      </c>
      <c r="R551" s="403" t="s">
        <v>19011</v>
      </c>
      <c r="S551" s="403" t="s">
        <v>14949</v>
      </c>
      <c r="T551" s="403" t="s">
        <v>14950</v>
      </c>
      <c r="U551" s="403"/>
      <c r="V551" s="403" t="s">
        <v>23024</v>
      </c>
      <c r="W551" s="403" t="s">
        <v>23024</v>
      </c>
      <c r="X551" s="403" t="s">
        <v>23024</v>
      </c>
      <c r="Y551" s="403" t="s">
        <v>23024</v>
      </c>
    </row>
    <row r="552" spans="1:25">
      <c r="A552" s="363">
        <f t="shared" si="71"/>
        <v>551</v>
      </c>
      <c r="B552" s="363" t="str">
        <f t="shared" si="64"/>
        <v>44</v>
      </c>
      <c r="C552" s="405" t="str">
        <f t="shared" si="65"/>
        <v>第005320号</v>
      </c>
      <c r="D552" s="405" t="str">
        <f t="shared" si="66"/>
        <v>マルキ工業（株）</v>
      </c>
      <c r="E552" s="405" t="str">
        <f t="shared" si="67"/>
        <v>代表取締役</v>
      </c>
      <c r="F552" s="405" t="str">
        <f t="shared" si="68"/>
        <v>後藤　喜和雄</v>
      </c>
      <c r="G552" s="405" t="str">
        <f t="shared" si="69"/>
        <v>主たる営業所</v>
      </c>
      <c r="H552" s="405" t="str">
        <f t="shared" si="70"/>
        <v>由布市挾間町鬼瀬字大津留４２０</v>
      </c>
      <c r="L552" s="403" t="s">
        <v>8729</v>
      </c>
      <c r="M552" s="403" t="s">
        <v>8730</v>
      </c>
      <c r="N552" s="403" t="s">
        <v>2431</v>
      </c>
      <c r="O552" s="403" t="s">
        <v>7084</v>
      </c>
      <c r="P552" s="403" t="s">
        <v>2432</v>
      </c>
      <c r="Q552" s="403" t="s">
        <v>8731</v>
      </c>
      <c r="R552" s="403" t="s">
        <v>5458</v>
      </c>
      <c r="S552" s="403" t="s">
        <v>14951</v>
      </c>
      <c r="T552" s="403" t="s">
        <v>14952</v>
      </c>
      <c r="U552" s="403"/>
      <c r="V552" s="403" t="s">
        <v>23024</v>
      </c>
      <c r="W552" s="403" t="s">
        <v>23024</v>
      </c>
      <c r="X552" s="403" t="s">
        <v>23024</v>
      </c>
      <c r="Y552" s="403" t="s">
        <v>23024</v>
      </c>
    </row>
    <row r="553" spans="1:25">
      <c r="A553" s="363">
        <f t="shared" si="71"/>
        <v>552</v>
      </c>
      <c r="B553" s="363" t="str">
        <f t="shared" si="64"/>
        <v>44</v>
      </c>
      <c r="C553" s="405" t="str">
        <f t="shared" si="65"/>
        <v>第005344号</v>
      </c>
      <c r="D553" s="405" t="str">
        <f t="shared" si="66"/>
        <v>（株）ミツヤ</v>
      </c>
      <c r="E553" s="405" t="str">
        <f t="shared" si="67"/>
        <v>代表取締役</v>
      </c>
      <c r="F553" s="405" t="str">
        <f t="shared" si="68"/>
        <v>本田　純一</v>
      </c>
      <c r="G553" s="405" t="str">
        <f t="shared" si="69"/>
        <v>主たる営業所</v>
      </c>
      <c r="H553" s="405" t="str">
        <f t="shared" si="70"/>
        <v>竹田市大字穴井迫４７４－３</v>
      </c>
      <c r="L553" s="403" t="s">
        <v>8732</v>
      </c>
      <c r="M553" s="403" t="s">
        <v>8733</v>
      </c>
      <c r="N553" s="403" t="s">
        <v>2433</v>
      </c>
      <c r="O553" s="403" t="s">
        <v>7084</v>
      </c>
      <c r="P553" s="403" t="s">
        <v>2434</v>
      </c>
      <c r="Q553" s="403" t="s">
        <v>8734</v>
      </c>
      <c r="R553" s="403" t="s">
        <v>19012</v>
      </c>
      <c r="S553" s="403" t="s">
        <v>14953</v>
      </c>
      <c r="T553" s="403" t="s">
        <v>14954</v>
      </c>
      <c r="U553" s="403"/>
      <c r="V553" s="403" t="s">
        <v>23024</v>
      </c>
      <c r="W553" s="403" t="s">
        <v>23024</v>
      </c>
      <c r="X553" s="403" t="s">
        <v>23024</v>
      </c>
      <c r="Y553" s="403" t="s">
        <v>23024</v>
      </c>
    </row>
    <row r="554" spans="1:25">
      <c r="A554" s="363">
        <f t="shared" si="71"/>
        <v>553</v>
      </c>
      <c r="B554" s="363" t="str">
        <f t="shared" si="64"/>
        <v>44</v>
      </c>
      <c r="C554" s="405" t="str">
        <f t="shared" si="65"/>
        <v>第005350号</v>
      </c>
      <c r="D554" s="405" t="str">
        <f t="shared" si="66"/>
        <v>クボタ不動産建設（株）</v>
      </c>
      <c r="E554" s="405" t="str">
        <f t="shared" si="67"/>
        <v>代表取締役</v>
      </c>
      <c r="F554" s="405" t="str">
        <f t="shared" si="68"/>
        <v>隈田　英樹</v>
      </c>
      <c r="G554" s="405" t="str">
        <f t="shared" si="69"/>
        <v>主たる営業所</v>
      </c>
      <c r="H554" s="405" t="str">
        <f t="shared" si="70"/>
        <v>大分市都町１－１－３</v>
      </c>
      <c r="L554" s="403" t="s">
        <v>8735</v>
      </c>
      <c r="M554" s="403" t="s">
        <v>8736</v>
      </c>
      <c r="N554" s="403" t="s">
        <v>2435</v>
      </c>
      <c r="O554" s="403" t="s">
        <v>7084</v>
      </c>
      <c r="P554" s="403" t="s">
        <v>2436</v>
      </c>
      <c r="Q554" s="403" t="s">
        <v>8737</v>
      </c>
      <c r="R554" s="403" t="s">
        <v>19013</v>
      </c>
      <c r="S554" s="403" t="s">
        <v>14955</v>
      </c>
      <c r="T554" s="403" t="s">
        <v>14956</v>
      </c>
      <c r="U554" s="403"/>
      <c r="V554" s="403" t="s">
        <v>23024</v>
      </c>
      <c r="W554" s="403" t="s">
        <v>23024</v>
      </c>
      <c r="X554" s="403" t="s">
        <v>23024</v>
      </c>
      <c r="Y554" s="403" t="s">
        <v>23024</v>
      </c>
    </row>
    <row r="555" spans="1:25">
      <c r="A555" s="363">
        <f t="shared" si="71"/>
        <v>554</v>
      </c>
      <c r="B555" s="363" t="str">
        <f t="shared" si="64"/>
        <v>44</v>
      </c>
      <c r="C555" s="405" t="str">
        <f t="shared" si="65"/>
        <v>第005374号</v>
      </c>
      <c r="D555" s="405" t="str">
        <f t="shared" si="66"/>
        <v>新日本消防設備（株）</v>
      </c>
      <c r="E555" s="405" t="str">
        <f t="shared" si="67"/>
        <v>代表取締役</v>
      </c>
      <c r="F555" s="405" t="str">
        <f t="shared" si="68"/>
        <v>中野　裕之</v>
      </c>
      <c r="G555" s="405" t="str">
        <f t="shared" si="69"/>
        <v>主たる営業所</v>
      </c>
      <c r="H555" s="405" t="str">
        <f t="shared" si="70"/>
        <v>大分市住吉町２－６－３４</v>
      </c>
      <c r="L555" s="403" t="s">
        <v>8738</v>
      </c>
      <c r="M555" s="403" t="s">
        <v>8739</v>
      </c>
      <c r="N555" s="403" t="s">
        <v>2437</v>
      </c>
      <c r="O555" s="403" t="s">
        <v>7084</v>
      </c>
      <c r="P555" s="403" t="s">
        <v>2438</v>
      </c>
      <c r="Q555" s="403" t="s">
        <v>7545</v>
      </c>
      <c r="R555" s="403" t="s">
        <v>19014</v>
      </c>
      <c r="S555" s="403" t="s">
        <v>14957</v>
      </c>
      <c r="T555" s="403" t="s">
        <v>14958</v>
      </c>
      <c r="U555" s="403"/>
      <c r="V555" s="403" t="s">
        <v>23024</v>
      </c>
      <c r="W555" s="403" t="s">
        <v>23024</v>
      </c>
      <c r="X555" s="403" t="s">
        <v>23024</v>
      </c>
      <c r="Y555" s="403" t="s">
        <v>23024</v>
      </c>
    </row>
    <row r="556" spans="1:25">
      <c r="A556" s="363">
        <f t="shared" si="71"/>
        <v>555</v>
      </c>
      <c r="B556" s="363" t="str">
        <f t="shared" si="64"/>
        <v>44</v>
      </c>
      <c r="C556" s="405" t="str">
        <f t="shared" si="65"/>
        <v>第005379号</v>
      </c>
      <c r="D556" s="405" t="str">
        <f t="shared" si="66"/>
        <v>（有）日東機械工業</v>
      </c>
      <c r="E556" s="405" t="str">
        <f t="shared" si="67"/>
        <v>代表取締役</v>
      </c>
      <c r="F556" s="405" t="str">
        <f t="shared" si="68"/>
        <v>三宮　徹一郎</v>
      </c>
      <c r="G556" s="405" t="str">
        <f t="shared" si="69"/>
        <v>主たる営業所</v>
      </c>
      <c r="H556" s="405" t="str">
        <f t="shared" si="70"/>
        <v>大分市原川３－２－１３</v>
      </c>
      <c r="L556" s="403" t="s">
        <v>8740</v>
      </c>
      <c r="M556" s="403" t="s">
        <v>8741</v>
      </c>
      <c r="N556" s="403" t="s">
        <v>2439</v>
      </c>
      <c r="O556" s="403" t="s">
        <v>7084</v>
      </c>
      <c r="P556" s="403" t="s">
        <v>2440</v>
      </c>
      <c r="Q556" s="403" t="s">
        <v>8742</v>
      </c>
      <c r="R556" s="403" t="s">
        <v>19015</v>
      </c>
      <c r="S556" s="403" t="s">
        <v>14959</v>
      </c>
      <c r="T556" s="403" t="s">
        <v>14960</v>
      </c>
      <c r="U556" s="403"/>
      <c r="V556" s="403" t="s">
        <v>23024</v>
      </c>
      <c r="W556" s="403" t="s">
        <v>23024</v>
      </c>
      <c r="X556" s="403" t="s">
        <v>23024</v>
      </c>
      <c r="Y556" s="403" t="s">
        <v>23024</v>
      </c>
    </row>
    <row r="557" spans="1:25">
      <c r="A557" s="363">
        <f t="shared" si="71"/>
        <v>556</v>
      </c>
      <c r="B557" s="363" t="str">
        <f t="shared" si="64"/>
        <v>44</v>
      </c>
      <c r="C557" s="405" t="str">
        <f t="shared" si="65"/>
        <v>第005385号</v>
      </c>
      <c r="D557" s="405" t="str">
        <f t="shared" si="66"/>
        <v>（株）アポロエンジニアリング</v>
      </c>
      <c r="E557" s="405" t="str">
        <f t="shared" si="67"/>
        <v>代表取締役</v>
      </c>
      <c r="F557" s="405" t="str">
        <f t="shared" si="68"/>
        <v>後藤　博子</v>
      </c>
      <c r="G557" s="405" t="str">
        <f t="shared" si="69"/>
        <v>主たる営業所</v>
      </c>
      <c r="H557" s="405" t="str">
        <f t="shared" si="70"/>
        <v>大分市牧上町１１－２７</v>
      </c>
      <c r="L557" s="403" t="s">
        <v>8743</v>
      </c>
      <c r="M557" s="403" t="s">
        <v>8744</v>
      </c>
      <c r="N557" s="403" t="s">
        <v>2441</v>
      </c>
      <c r="O557" s="403" t="s">
        <v>7084</v>
      </c>
      <c r="P557" s="403" t="s">
        <v>5233</v>
      </c>
      <c r="Q557" s="403" t="s">
        <v>8745</v>
      </c>
      <c r="R557" s="403" t="s">
        <v>19016</v>
      </c>
      <c r="S557" s="403" t="s">
        <v>14961</v>
      </c>
      <c r="T557" s="403" t="s">
        <v>14962</v>
      </c>
      <c r="U557" s="403"/>
      <c r="V557" s="403" t="s">
        <v>23024</v>
      </c>
      <c r="W557" s="403" t="s">
        <v>23024</v>
      </c>
      <c r="X557" s="403" t="s">
        <v>23024</v>
      </c>
      <c r="Y557" s="403" t="s">
        <v>23024</v>
      </c>
    </row>
    <row r="558" spans="1:25">
      <c r="A558" s="363">
        <f t="shared" si="71"/>
        <v>557</v>
      </c>
      <c r="B558" s="363" t="str">
        <f t="shared" si="64"/>
        <v>44</v>
      </c>
      <c r="C558" s="405" t="str">
        <f t="shared" si="65"/>
        <v>第005415号</v>
      </c>
      <c r="D558" s="405" t="str">
        <f t="shared" si="66"/>
        <v>（株）日新建設</v>
      </c>
      <c r="E558" s="405" t="str">
        <f t="shared" si="67"/>
        <v>代表取締役</v>
      </c>
      <c r="F558" s="405" t="str">
        <f t="shared" si="68"/>
        <v>平嶋　政和</v>
      </c>
      <c r="G558" s="405" t="str">
        <f t="shared" si="69"/>
        <v>主たる営業所</v>
      </c>
      <c r="H558" s="405" t="str">
        <f t="shared" si="70"/>
        <v>大分市大字駄原１４１５－２</v>
      </c>
      <c r="L558" s="403" t="s">
        <v>8746</v>
      </c>
      <c r="M558" s="403" t="s">
        <v>8747</v>
      </c>
      <c r="N558" s="403" t="s">
        <v>2442</v>
      </c>
      <c r="O558" s="403" t="s">
        <v>7084</v>
      </c>
      <c r="P558" s="403" t="s">
        <v>2443</v>
      </c>
      <c r="Q558" s="403" t="s">
        <v>8748</v>
      </c>
      <c r="R558" s="403" t="s">
        <v>19017</v>
      </c>
      <c r="S558" s="403" t="s">
        <v>14963</v>
      </c>
      <c r="T558" s="403" t="s">
        <v>14964</v>
      </c>
      <c r="U558" s="403"/>
      <c r="V558" s="403" t="s">
        <v>23024</v>
      </c>
      <c r="W558" s="403" t="s">
        <v>23024</v>
      </c>
      <c r="X558" s="403" t="s">
        <v>23024</v>
      </c>
      <c r="Y558" s="403" t="s">
        <v>23024</v>
      </c>
    </row>
    <row r="559" spans="1:25">
      <c r="A559" s="363">
        <f t="shared" si="71"/>
        <v>558</v>
      </c>
      <c r="B559" s="363" t="str">
        <f t="shared" si="64"/>
        <v>44</v>
      </c>
      <c r="C559" s="405" t="str">
        <f t="shared" si="65"/>
        <v>第005416号</v>
      </c>
      <c r="D559" s="405" t="str">
        <f t="shared" si="66"/>
        <v>首藤土木（有）</v>
      </c>
      <c r="E559" s="405" t="str">
        <f t="shared" si="67"/>
        <v>代表取締役</v>
      </c>
      <c r="F559" s="405" t="str">
        <f t="shared" si="68"/>
        <v>佐藤　修一</v>
      </c>
      <c r="G559" s="405" t="str">
        <f t="shared" si="69"/>
        <v>主たる営業所</v>
      </c>
      <c r="H559" s="405" t="str">
        <f t="shared" si="70"/>
        <v>大分市高城台３－３－２</v>
      </c>
      <c r="L559" s="403" t="s">
        <v>8749</v>
      </c>
      <c r="M559" s="403" t="s">
        <v>8750</v>
      </c>
      <c r="N559" s="403" t="s">
        <v>2444</v>
      </c>
      <c r="O559" s="403" t="s">
        <v>7084</v>
      </c>
      <c r="P559" s="403" t="s">
        <v>2445</v>
      </c>
      <c r="Q559" s="403" t="s">
        <v>19018</v>
      </c>
      <c r="R559" s="403" t="s">
        <v>19019</v>
      </c>
      <c r="S559" s="403" t="s">
        <v>14965</v>
      </c>
      <c r="T559" s="403" t="s">
        <v>14965</v>
      </c>
      <c r="U559" s="403"/>
      <c r="V559" s="403" t="s">
        <v>23024</v>
      </c>
      <c r="W559" s="403" t="s">
        <v>23024</v>
      </c>
      <c r="X559" s="403" t="s">
        <v>23024</v>
      </c>
      <c r="Y559" s="403" t="s">
        <v>23024</v>
      </c>
    </row>
    <row r="560" spans="1:25">
      <c r="A560" s="363">
        <f t="shared" si="71"/>
        <v>559</v>
      </c>
      <c r="B560" s="363" t="str">
        <f t="shared" si="64"/>
        <v>44</v>
      </c>
      <c r="C560" s="405" t="str">
        <f t="shared" si="65"/>
        <v>第005434号</v>
      </c>
      <c r="D560" s="405" t="str">
        <f t="shared" si="66"/>
        <v>千代田塗装（株）</v>
      </c>
      <c r="E560" s="405" t="str">
        <f t="shared" si="67"/>
        <v>代表取締役</v>
      </c>
      <c r="F560" s="405" t="str">
        <f t="shared" si="68"/>
        <v>松山　雅光</v>
      </c>
      <c r="G560" s="405" t="str">
        <f t="shared" si="69"/>
        <v>主たる営業所</v>
      </c>
      <c r="H560" s="405" t="str">
        <f t="shared" si="70"/>
        <v>大分市三川上１－１－３１</v>
      </c>
      <c r="L560" s="403" t="s">
        <v>8751</v>
      </c>
      <c r="M560" s="403" t="s">
        <v>8752</v>
      </c>
      <c r="N560" s="403" t="s">
        <v>2446</v>
      </c>
      <c r="O560" s="403" t="s">
        <v>7084</v>
      </c>
      <c r="P560" s="403" t="s">
        <v>2447</v>
      </c>
      <c r="Q560" s="403" t="s">
        <v>8753</v>
      </c>
      <c r="R560" s="403" t="s">
        <v>19020</v>
      </c>
      <c r="S560" s="403" t="s">
        <v>14966</v>
      </c>
      <c r="T560" s="403" t="s">
        <v>14967</v>
      </c>
      <c r="U560" s="403"/>
      <c r="V560" s="403" t="s">
        <v>23024</v>
      </c>
      <c r="W560" s="403" t="s">
        <v>23024</v>
      </c>
      <c r="X560" s="403" t="s">
        <v>23024</v>
      </c>
      <c r="Y560" s="403" t="s">
        <v>23024</v>
      </c>
    </row>
    <row r="561" spans="1:25">
      <c r="A561" s="363">
        <f t="shared" si="71"/>
        <v>560</v>
      </c>
      <c r="B561" s="363" t="str">
        <f t="shared" si="64"/>
        <v>44</v>
      </c>
      <c r="C561" s="405" t="str">
        <f t="shared" si="65"/>
        <v>第005440号</v>
      </c>
      <c r="D561" s="405" t="str">
        <f t="shared" si="66"/>
        <v>（有）カクユー</v>
      </c>
      <c r="E561" s="405" t="str">
        <f t="shared" si="67"/>
        <v>代表取締役</v>
      </c>
      <c r="F561" s="405" t="str">
        <f t="shared" si="68"/>
        <v>阿部　将</v>
      </c>
      <c r="G561" s="405" t="str">
        <f t="shared" si="69"/>
        <v>主たる営業所</v>
      </c>
      <c r="H561" s="405" t="str">
        <f t="shared" si="70"/>
        <v>由布市庄内町野畑７３２－２</v>
      </c>
      <c r="L561" s="403" t="s">
        <v>8754</v>
      </c>
      <c r="M561" s="403" t="s">
        <v>8755</v>
      </c>
      <c r="N561" s="403" t="s">
        <v>2448</v>
      </c>
      <c r="O561" s="403" t="s">
        <v>7084</v>
      </c>
      <c r="P561" s="403" t="s">
        <v>2449</v>
      </c>
      <c r="Q561" s="403" t="s">
        <v>8756</v>
      </c>
      <c r="R561" s="403" t="s">
        <v>19021</v>
      </c>
      <c r="S561" s="403" t="s">
        <v>14968</v>
      </c>
      <c r="T561" s="403" t="s">
        <v>14969</v>
      </c>
      <c r="U561" s="403"/>
      <c r="V561" s="403" t="s">
        <v>23024</v>
      </c>
      <c r="W561" s="403" t="s">
        <v>23024</v>
      </c>
      <c r="X561" s="403" t="s">
        <v>23024</v>
      </c>
      <c r="Y561" s="403" t="s">
        <v>23024</v>
      </c>
    </row>
    <row r="562" spans="1:25">
      <c r="A562" s="363">
        <f t="shared" si="71"/>
        <v>561</v>
      </c>
      <c r="B562" s="363" t="str">
        <f t="shared" si="64"/>
        <v>44</v>
      </c>
      <c r="C562" s="405" t="str">
        <f t="shared" si="65"/>
        <v>第005443号</v>
      </c>
      <c r="D562" s="405" t="str">
        <f t="shared" si="66"/>
        <v>（有）麻生建設工業</v>
      </c>
      <c r="E562" s="405" t="str">
        <f t="shared" si="67"/>
        <v>代表取締役</v>
      </c>
      <c r="F562" s="405" t="str">
        <f t="shared" si="68"/>
        <v>麻生　太次郎</v>
      </c>
      <c r="G562" s="405" t="str">
        <f t="shared" si="69"/>
        <v>主たる営業所</v>
      </c>
      <c r="H562" s="405" t="str">
        <f t="shared" si="70"/>
        <v>由布市庄内町渕３４０７</v>
      </c>
      <c r="L562" s="403" t="s">
        <v>8757</v>
      </c>
      <c r="M562" s="403" t="s">
        <v>8758</v>
      </c>
      <c r="N562" s="403" t="s">
        <v>2450</v>
      </c>
      <c r="O562" s="403" t="s">
        <v>7084</v>
      </c>
      <c r="P562" s="403" t="s">
        <v>2451</v>
      </c>
      <c r="Q562" s="403" t="s">
        <v>8759</v>
      </c>
      <c r="R562" s="403" t="s">
        <v>5459</v>
      </c>
      <c r="S562" s="403" t="s">
        <v>14970</v>
      </c>
      <c r="T562" s="403" t="s">
        <v>14971</v>
      </c>
      <c r="U562" s="403"/>
      <c r="V562" s="403" t="s">
        <v>23024</v>
      </c>
      <c r="W562" s="403" t="s">
        <v>23024</v>
      </c>
      <c r="X562" s="403" t="s">
        <v>23024</v>
      </c>
      <c r="Y562" s="403" t="s">
        <v>23024</v>
      </c>
    </row>
    <row r="563" spans="1:25">
      <c r="A563" s="363">
        <f t="shared" si="71"/>
        <v>562</v>
      </c>
      <c r="B563" s="363" t="str">
        <f t="shared" si="64"/>
        <v>44</v>
      </c>
      <c r="C563" s="405" t="str">
        <f t="shared" si="65"/>
        <v>第005449号</v>
      </c>
      <c r="D563" s="405" t="str">
        <f t="shared" si="66"/>
        <v>（有）藤田工務店</v>
      </c>
      <c r="E563" s="405" t="str">
        <f t="shared" si="67"/>
        <v>代表取締役</v>
      </c>
      <c r="F563" s="405" t="str">
        <f t="shared" si="68"/>
        <v>藤田　一郎</v>
      </c>
      <c r="G563" s="405" t="str">
        <f t="shared" si="69"/>
        <v>主たる営業所</v>
      </c>
      <c r="H563" s="405" t="str">
        <f t="shared" si="70"/>
        <v>大分市生石港町１－３－１１</v>
      </c>
      <c r="L563" s="403" t="s">
        <v>8760</v>
      </c>
      <c r="M563" s="403" t="s">
        <v>8761</v>
      </c>
      <c r="N563" s="403" t="s">
        <v>2452</v>
      </c>
      <c r="O563" s="403" t="s">
        <v>7084</v>
      </c>
      <c r="P563" s="403" t="s">
        <v>2453</v>
      </c>
      <c r="Q563" s="403" t="s">
        <v>8762</v>
      </c>
      <c r="R563" s="403" t="s">
        <v>19022</v>
      </c>
      <c r="S563" s="403" t="s">
        <v>14972</v>
      </c>
      <c r="T563" s="403" t="s">
        <v>14973</v>
      </c>
      <c r="U563" s="403"/>
      <c r="V563" s="403" t="s">
        <v>23024</v>
      </c>
      <c r="W563" s="403" t="s">
        <v>23024</v>
      </c>
      <c r="X563" s="403" t="s">
        <v>23024</v>
      </c>
      <c r="Y563" s="403" t="s">
        <v>23024</v>
      </c>
    </row>
    <row r="564" spans="1:25">
      <c r="A564" s="363">
        <f t="shared" si="71"/>
        <v>563</v>
      </c>
      <c r="B564" s="363" t="str">
        <f t="shared" si="64"/>
        <v>44</v>
      </c>
      <c r="C564" s="405" t="str">
        <f t="shared" si="65"/>
        <v>第005476号</v>
      </c>
      <c r="D564" s="405" t="str">
        <f t="shared" si="66"/>
        <v>共同電気工事（株）</v>
      </c>
      <c r="E564" s="405" t="str">
        <f t="shared" si="67"/>
        <v>代表取締役</v>
      </c>
      <c r="F564" s="405" t="str">
        <f t="shared" si="68"/>
        <v>木元　光昭</v>
      </c>
      <c r="G564" s="405" t="str">
        <f t="shared" si="69"/>
        <v>主たる営業所</v>
      </c>
      <c r="H564" s="405" t="str">
        <f t="shared" si="70"/>
        <v>大分市大字中戸次５９３７</v>
      </c>
      <c r="L564" s="403" t="s">
        <v>8763</v>
      </c>
      <c r="M564" s="403" t="s">
        <v>8764</v>
      </c>
      <c r="N564" s="403" t="s">
        <v>2454</v>
      </c>
      <c r="O564" s="403" t="s">
        <v>7084</v>
      </c>
      <c r="P564" s="403" t="s">
        <v>4477</v>
      </c>
      <c r="Q564" s="403" t="s">
        <v>7531</v>
      </c>
      <c r="R564" s="403" t="s">
        <v>5460</v>
      </c>
      <c r="S564" s="403" t="s">
        <v>14974</v>
      </c>
      <c r="T564" s="403" t="s">
        <v>14975</v>
      </c>
      <c r="U564" s="403"/>
      <c r="V564" s="403" t="s">
        <v>23024</v>
      </c>
      <c r="W564" s="403" t="s">
        <v>23024</v>
      </c>
      <c r="X564" s="403" t="s">
        <v>23024</v>
      </c>
      <c r="Y564" s="403" t="s">
        <v>23024</v>
      </c>
    </row>
    <row r="565" spans="1:25">
      <c r="A565" s="363">
        <f t="shared" si="71"/>
        <v>564</v>
      </c>
      <c r="B565" s="363" t="str">
        <f t="shared" si="64"/>
        <v>44</v>
      </c>
      <c r="C565" s="405" t="str">
        <f t="shared" si="65"/>
        <v>第005485号</v>
      </c>
      <c r="D565" s="405" t="str">
        <f t="shared" si="66"/>
        <v>（有）森山工務店</v>
      </c>
      <c r="E565" s="405" t="str">
        <f t="shared" si="67"/>
        <v>代表取締役</v>
      </c>
      <c r="F565" s="405" t="str">
        <f t="shared" si="68"/>
        <v>森山　勝喜</v>
      </c>
      <c r="G565" s="405" t="str">
        <f t="shared" si="69"/>
        <v>主たる営業所</v>
      </c>
      <c r="H565" s="405" t="str">
        <f t="shared" si="70"/>
        <v>由布市湯布院町川上３７２１－１</v>
      </c>
      <c r="L565" s="403" t="s">
        <v>8765</v>
      </c>
      <c r="M565" s="403" t="s">
        <v>8766</v>
      </c>
      <c r="N565" s="403" t="s">
        <v>2455</v>
      </c>
      <c r="O565" s="403" t="s">
        <v>7084</v>
      </c>
      <c r="P565" s="403" t="s">
        <v>2456</v>
      </c>
      <c r="Q565" s="403" t="s">
        <v>7377</v>
      </c>
      <c r="R565" s="403" t="s">
        <v>19023</v>
      </c>
      <c r="S565" s="403" t="s">
        <v>14976</v>
      </c>
      <c r="T565" s="403" t="s">
        <v>14976</v>
      </c>
      <c r="U565" s="403"/>
      <c r="V565" s="403" t="s">
        <v>23024</v>
      </c>
      <c r="W565" s="403" t="s">
        <v>23024</v>
      </c>
      <c r="X565" s="403" t="s">
        <v>23024</v>
      </c>
      <c r="Y565" s="403" t="s">
        <v>23024</v>
      </c>
    </row>
    <row r="566" spans="1:25">
      <c r="A566" s="363">
        <f t="shared" si="71"/>
        <v>565</v>
      </c>
      <c r="B566" s="363" t="str">
        <f t="shared" si="64"/>
        <v>44</v>
      </c>
      <c r="C566" s="405" t="str">
        <f t="shared" si="65"/>
        <v>第005492号</v>
      </c>
      <c r="D566" s="405" t="str">
        <f t="shared" si="66"/>
        <v>中央工業（株）</v>
      </c>
      <c r="E566" s="405" t="str">
        <f t="shared" si="67"/>
        <v>代表取締役</v>
      </c>
      <c r="F566" s="405" t="str">
        <f t="shared" si="68"/>
        <v>阿南　宣弘</v>
      </c>
      <c r="G566" s="405" t="str">
        <f t="shared" si="69"/>
        <v>主たる営業所</v>
      </c>
      <c r="H566" s="405" t="str">
        <f t="shared" si="70"/>
        <v>大分市大字下郡字向新地３７４０－１</v>
      </c>
      <c r="L566" s="403" t="s">
        <v>8767</v>
      </c>
      <c r="M566" s="403" t="s">
        <v>8768</v>
      </c>
      <c r="N566" s="403" t="s">
        <v>2457</v>
      </c>
      <c r="O566" s="403" t="s">
        <v>7084</v>
      </c>
      <c r="P566" s="403" t="s">
        <v>4017</v>
      </c>
      <c r="Q566" s="403" t="s">
        <v>7419</v>
      </c>
      <c r="R566" s="403" t="s">
        <v>19024</v>
      </c>
      <c r="S566" s="403" t="s">
        <v>14977</v>
      </c>
      <c r="T566" s="403" t="s">
        <v>14978</v>
      </c>
      <c r="U566" s="403"/>
      <c r="V566" s="403" t="s">
        <v>23024</v>
      </c>
      <c r="W566" s="403" t="s">
        <v>23024</v>
      </c>
      <c r="X566" s="403" t="s">
        <v>23024</v>
      </c>
      <c r="Y566" s="403" t="s">
        <v>23024</v>
      </c>
    </row>
    <row r="567" spans="1:25">
      <c r="A567" s="363">
        <f t="shared" si="71"/>
        <v>566</v>
      </c>
      <c r="B567" s="363" t="str">
        <f t="shared" si="64"/>
        <v>44</v>
      </c>
      <c r="C567" s="405" t="str">
        <f t="shared" si="65"/>
        <v>第005493号</v>
      </c>
      <c r="D567" s="405" t="str">
        <f t="shared" si="66"/>
        <v>（有）川野工業</v>
      </c>
      <c r="E567" s="405" t="str">
        <f t="shared" si="67"/>
        <v>取締役</v>
      </c>
      <c r="F567" s="405" t="str">
        <f t="shared" si="68"/>
        <v>川野　智也</v>
      </c>
      <c r="G567" s="405" t="str">
        <f t="shared" si="69"/>
        <v>主たる営業所</v>
      </c>
      <c r="H567" s="405" t="str">
        <f t="shared" si="70"/>
        <v>大分市大字神崎１３２</v>
      </c>
      <c r="L567" s="403" t="s">
        <v>8769</v>
      </c>
      <c r="M567" s="403" t="s">
        <v>8770</v>
      </c>
      <c r="N567" s="403" t="s">
        <v>2458</v>
      </c>
      <c r="O567" s="403" t="s">
        <v>7085</v>
      </c>
      <c r="P567" s="403" t="s">
        <v>2459</v>
      </c>
      <c r="Q567" s="403" t="s">
        <v>8771</v>
      </c>
      <c r="R567" s="403" t="s">
        <v>5461</v>
      </c>
      <c r="S567" s="403" t="s">
        <v>14979</v>
      </c>
      <c r="T567" s="403">
        <v>0</v>
      </c>
      <c r="U567" s="403"/>
      <c r="V567" s="403" t="s">
        <v>23024</v>
      </c>
      <c r="W567" s="403" t="s">
        <v>23024</v>
      </c>
      <c r="X567" s="403" t="s">
        <v>23024</v>
      </c>
      <c r="Y567" s="403" t="s">
        <v>23024</v>
      </c>
    </row>
    <row r="568" spans="1:25">
      <c r="A568" s="363">
        <f t="shared" si="71"/>
        <v>567</v>
      </c>
      <c r="B568" s="363" t="str">
        <f t="shared" si="64"/>
        <v>44</v>
      </c>
      <c r="C568" s="405" t="str">
        <f t="shared" si="65"/>
        <v>第005497号</v>
      </c>
      <c r="D568" s="405" t="str">
        <f t="shared" si="66"/>
        <v>（株）三重野工業</v>
      </c>
      <c r="E568" s="405" t="str">
        <f t="shared" si="67"/>
        <v>代表取締役</v>
      </c>
      <c r="F568" s="405" t="str">
        <f t="shared" si="68"/>
        <v>三重野　純也</v>
      </c>
      <c r="G568" s="405" t="str">
        <f t="shared" si="69"/>
        <v>主たる営業所</v>
      </c>
      <c r="H568" s="405" t="str">
        <f t="shared" si="70"/>
        <v>大分市大字片島字上川田５４０－１</v>
      </c>
      <c r="L568" s="404" t="s">
        <v>8772</v>
      </c>
      <c r="M568" s="404" t="s">
        <v>8773</v>
      </c>
      <c r="N568" s="404" t="s">
        <v>2460</v>
      </c>
      <c r="O568" s="404" t="s">
        <v>7084</v>
      </c>
      <c r="P568" s="404" t="s">
        <v>2461</v>
      </c>
      <c r="Q568" s="404" t="s">
        <v>8687</v>
      </c>
      <c r="R568" s="404" t="s">
        <v>19025</v>
      </c>
      <c r="S568" s="404" t="s">
        <v>14980</v>
      </c>
      <c r="T568" s="404" t="s">
        <v>14981</v>
      </c>
      <c r="U568" s="404"/>
      <c r="V568" s="404" t="s">
        <v>23024</v>
      </c>
      <c r="W568" s="404" t="s">
        <v>23024</v>
      </c>
      <c r="X568" s="404" t="s">
        <v>23024</v>
      </c>
      <c r="Y568" s="404" t="s">
        <v>23024</v>
      </c>
    </row>
    <row r="569" spans="1:25">
      <c r="A569" s="363">
        <f t="shared" si="71"/>
        <v>568</v>
      </c>
      <c r="B569" s="363" t="str">
        <f t="shared" si="64"/>
        <v>44</v>
      </c>
      <c r="C569" s="405" t="str">
        <f t="shared" si="65"/>
        <v>第005501号</v>
      </c>
      <c r="D569" s="405" t="str">
        <f t="shared" si="66"/>
        <v>（株）ツウシン</v>
      </c>
      <c r="E569" s="405" t="str">
        <f t="shared" si="67"/>
        <v>代表取締役</v>
      </c>
      <c r="F569" s="405" t="str">
        <f t="shared" si="68"/>
        <v>後藤　宣昭</v>
      </c>
      <c r="G569" s="405" t="str">
        <f t="shared" si="69"/>
        <v>主たる営業所</v>
      </c>
      <c r="H569" s="405" t="str">
        <f t="shared" si="70"/>
        <v>大分市日吉町４－８</v>
      </c>
      <c r="L569" s="402" t="s">
        <v>8774</v>
      </c>
      <c r="M569" s="402" t="s">
        <v>8775</v>
      </c>
      <c r="N569" s="402" t="s">
        <v>2462</v>
      </c>
      <c r="O569" s="402" t="s">
        <v>7084</v>
      </c>
      <c r="P569" s="402" t="s">
        <v>2463</v>
      </c>
      <c r="Q569" s="402" t="s">
        <v>8776</v>
      </c>
      <c r="R569" s="402" t="s">
        <v>19026</v>
      </c>
      <c r="S569" s="402" t="s">
        <v>14982</v>
      </c>
      <c r="T569" s="402" t="s">
        <v>14983</v>
      </c>
      <c r="U569" s="402"/>
      <c r="V569" s="402" t="s">
        <v>23024</v>
      </c>
      <c r="W569" s="402" t="s">
        <v>23024</v>
      </c>
      <c r="X569" s="402" t="s">
        <v>23024</v>
      </c>
      <c r="Y569" s="402" t="s">
        <v>23024</v>
      </c>
    </row>
    <row r="570" spans="1:25">
      <c r="A570" s="363">
        <f t="shared" si="71"/>
        <v>569</v>
      </c>
      <c r="B570" s="363" t="str">
        <f t="shared" si="64"/>
        <v>44</v>
      </c>
      <c r="C570" s="405" t="str">
        <f t="shared" si="65"/>
        <v>第005517号</v>
      </c>
      <c r="D570" s="405" t="str">
        <f t="shared" si="66"/>
        <v>太陽テック（株）</v>
      </c>
      <c r="E570" s="405" t="str">
        <f t="shared" si="67"/>
        <v>代表取締役</v>
      </c>
      <c r="F570" s="405" t="str">
        <f t="shared" si="68"/>
        <v>神出　卓志</v>
      </c>
      <c r="G570" s="405" t="str">
        <f t="shared" si="69"/>
        <v>主たる営業所</v>
      </c>
      <c r="H570" s="405" t="str">
        <f t="shared" si="70"/>
        <v>大分市大字家島１０２８－２</v>
      </c>
      <c r="L570" s="403" t="s">
        <v>8777</v>
      </c>
      <c r="M570" s="403" t="s">
        <v>8778</v>
      </c>
      <c r="N570" s="403" t="s">
        <v>2464</v>
      </c>
      <c r="O570" s="403" t="s">
        <v>7084</v>
      </c>
      <c r="P570" s="403" t="s">
        <v>2465</v>
      </c>
      <c r="Q570" s="403" t="s">
        <v>8779</v>
      </c>
      <c r="R570" s="403" t="s">
        <v>19027</v>
      </c>
      <c r="S570" s="403" t="s">
        <v>14984</v>
      </c>
      <c r="T570" s="403" t="s">
        <v>14985</v>
      </c>
      <c r="U570" s="403"/>
      <c r="V570" s="403" t="s">
        <v>23024</v>
      </c>
      <c r="W570" s="403" t="s">
        <v>23024</v>
      </c>
      <c r="X570" s="403" t="s">
        <v>23024</v>
      </c>
      <c r="Y570" s="403" t="s">
        <v>23024</v>
      </c>
    </row>
    <row r="571" spans="1:25">
      <c r="A571" s="363">
        <f t="shared" si="71"/>
        <v>570</v>
      </c>
      <c r="B571" s="363" t="str">
        <f t="shared" si="64"/>
        <v>44</v>
      </c>
      <c r="C571" s="405" t="str">
        <f t="shared" si="65"/>
        <v>第005522号</v>
      </c>
      <c r="D571" s="405" t="str">
        <f t="shared" si="66"/>
        <v>（株）麻生塗装</v>
      </c>
      <c r="E571" s="405" t="str">
        <f t="shared" si="67"/>
        <v>代表取締役</v>
      </c>
      <c r="F571" s="405" t="str">
        <f t="shared" si="68"/>
        <v>麻生　英治</v>
      </c>
      <c r="G571" s="405" t="str">
        <f t="shared" si="69"/>
        <v>主たる営業所</v>
      </c>
      <c r="H571" s="405" t="str">
        <f t="shared" si="70"/>
        <v>大分市星和台１－８－１</v>
      </c>
      <c r="L571" s="403" t="s">
        <v>8780</v>
      </c>
      <c r="M571" s="403" t="s">
        <v>8781</v>
      </c>
      <c r="N571" s="403" t="s">
        <v>2466</v>
      </c>
      <c r="O571" s="403" t="s">
        <v>7084</v>
      </c>
      <c r="P571" s="403" t="s">
        <v>2467</v>
      </c>
      <c r="Q571" s="403" t="s">
        <v>8782</v>
      </c>
      <c r="R571" s="403" t="s">
        <v>19028</v>
      </c>
      <c r="S571" s="403" t="s">
        <v>14986</v>
      </c>
      <c r="T571" s="403" t="s">
        <v>14987</v>
      </c>
      <c r="U571" s="403"/>
      <c r="V571" s="403" t="s">
        <v>23024</v>
      </c>
      <c r="W571" s="403" t="s">
        <v>23024</v>
      </c>
      <c r="X571" s="403" t="s">
        <v>23024</v>
      </c>
      <c r="Y571" s="403" t="s">
        <v>23024</v>
      </c>
    </row>
    <row r="572" spans="1:25">
      <c r="A572" s="363">
        <f t="shared" si="71"/>
        <v>571</v>
      </c>
      <c r="B572" s="363" t="str">
        <f t="shared" si="64"/>
        <v>44</v>
      </c>
      <c r="C572" s="405" t="str">
        <f t="shared" si="65"/>
        <v>第005540号</v>
      </c>
      <c r="D572" s="405" t="str">
        <f t="shared" si="66"/>
        <v>（株）ヒロセ</v>
      </c>
      <c r="E572" s="405" t="str">
        <f t="shared" si="67"/>
        <v>代表取締役</v>
      </c>
      <c r="F572" s="405" t="str">
        <f t="shared" si="68"/>
        <v>廣瀬　美寿</v>
      </c>
      <c r="G572" s="405" t="str">
        <f t="shared" si="69"/>
        <v>主たる営業所</v>
      </c>
      <c r="H572" s="405" t="str">
        <f t="shared" si="70"/>
        <v>大分市大字高瀬４１５－２</v>
      </c>
      <c r="L572" s="403" t="s">
        <v>8783</v>
      </c>
      <c r="M572" s="403" t="s">
        <v>8784</v>
      </c>
      <c r="N572" s="403" t="s">
        <v>2468</v>
      </c>
      <c r="O572" s="403" t="s">
        <v>7084</v>
      </c>
      <c r="P572" s="403" t="s">
        <v>19029</v>
      </c>
      <c r="Q572" s="403" t="s">
        <v>10889</v>
      </c>
      <c r="R572" s="403" t="s">
        <v>19030</v>
      </c>
      <c r="S572" s="403" t="s">
        <v>14988</v>
      </c>
      <c r="T572" s="403" t="s">
        <v>14989</v>
      </c>
      <c r="U572" s="403"/>
      <c r="V572" s="403" t="s">
        <v>23024</v>
      </c>
      <c r="W572" s="403" t="s">
        <v>23024</v>
      </c>
      <c r="X572" s="403" t="s">
        <v>23024</v>
      </c>
      <c r="Y572" s="403" t="s">
        <v>23024</v>
      </c>
    </row>
    <row r="573" spans="1:25">
      <c r="A573" s="363">
        <f t="shared" si="71"/>
        <v>572</v>
      </c>
      <c r="B573" s="363" t="str">
        <f t="shared" si="64"/>
        <v>44</v>
      </c>
      <c r="C573" s="405" t="str">
        <f t="shared" si="65"/>
        <v>第005550号</v>
      </c>
      <c r="D573" s="405" t="str">
        <f t="shared" si="66"/>
        <v>安部重機建設（株）</v>
      </c>
      <c r="E573" s="405" t="str">
        <f t="shared" si="67"/>
        <v>代表取締役</v>
      </c>
      <c r="F573" s="405" t="str">
        <f t="shared" si="68"/>
        <v>安部　秀幸</v>
      </c>
      <c r="G573" s="405" t="str">
        <f t="shared" si="69"/>
        <v>主たる営業所</v>
      </c>
      <c r="H573" s="405" t="str">
        <f t="shared" si="70"/>
        <v>由布市庄内町野畑１８６６</v>
      </c>
      <c r="L573" s="403" t="s">
        <v>8785</v>
      </c>
      <c r="M573" s="403" t="s">
        <v>8786</v>
      </c>
      <c r="N573" s="403" t="s">
        <v>2469</v>
      </c>
      <c r="O573" s="403" t="s">
        <v>7084</v>
      </c>
      <c r="P573" s="403" t="s">
        <v>2470</v>
      </c>
      <c r="Q573" s="403" t="s">
        <v>8756</v>
      </c>
      <c r="R573" s="403" t="s">
        <v>5462</v>
      </c>
      <c r="S573" s="403" t="s">
        <v>14990</v>
      </c>
      <c r="T573" s="403" t="s">
        <v>14991</v>
      </c>
      <c r="U573" s="403"/>
      <c r="V573" s="403" t="s">
        <v>23024</v>
      </c>
      <c r="W573" s="403" t="s">
        <v>23024</v>
      </c>
      <c r="X573" s="403" t="s">
        <v>23024</v>
      </c>
      <c r="Y573" s="403" t="s">
        <v>23024</v>
      </c>
    </row>
    <row r="574" spans="1:25">
      <c r="A574" s="363">
        <f t="shared" si="71"/>
        <v>573</v>
      </c>
      <c r="B574" s="363" t="str">
        <f t="shared" si="64"/>
        <v>44</v>
      </c>
      <c r="C574" s="405" t="str">
        <f t="shared" si="65"/>
        <v>第005577号</v>
      </c>
      <c r="D574" s="405" t="str">
        <f t="shared" si="66"/>
        <v>（有）躍進建設工業</v>
      </c>
      <c r="E574" s="405" t="str">
        <f t="shared" si="67"/>
        <v>代表取締役</v>
      </c>
      <c r="F574" s="405" t="str">
        <f t="shared" si="68"/>
        <v>池田　満</v>
      </c>
      <c r="G574" s="405" t="str">
        <f t="shared" si="69"/>
        <v>主たる営業所</v>
      </c>
      <c r="H574" s="405" t="str">
        <f t="shared" si="70"/>
        <v>大分市大字小池原１４９９</v>
      </c>
      <c r="L574" s="403" t="s">
        <v>8787</v>
      </c>
      <c r="M574" s="403" t="s">
        <v>8788</v>
      </c>
      <c r="N574" s="403" t="s">
        <v>2471</v>
      </c>
      <c r="O574" s="403" t="s">
        <v>7084</v>
      </c>
      <c r="P574" s="403" t="s">
        <v>2472</v>
      </c>
      <c r="Q574" s="403" t="s">
        <v>8694</v>
      </c>
      <c r="R574" s="403" t="s">
        <v>5463</v>
      </c>
      <c r="S574" s="403" t="s">
        <v>14992</v>
      </c>
      <c r="T574" s="403" t="s">
        <v>14992</v>
      </c>
      <c r="U574" s="403"/>
      <c r="V574" s="403" t="s">
        <v>23024</v>
      </c>
      <c r="W574" s="403" t="s">
        <v>23024</v>
      </c>
      <c r="X574" s="403" t="s">
        <v>23024</v>
      </c>
      <c r="Y574" s="403" t="s">
        <v>23024</v>
      </c>
    </row>
    <row r="575" spans="1:25">
      <c r="A575" s="363">
        <f t="shared" si="71"/>
        <v>574</v>
      </c>
      <c r="B575" s="363" t="str">
        <f t="shared" si="64"/>
        <v>44</v>
      </c>
      <c r="C575" s="405" t="str">
        <f t="shared" si="65"/>
        <v>第005586号</v>
      </c>
      <c r="D575" s="405" t="str">
        <f t="shared" si="66"/>
        <v>（株）アバンテクノス</v>
      </c>
      <c r="E575" s="405" t="str">
        <f t="shared" si="67"/>
        <v>代表取締役</v>
      </c>
      <c r="F575" s="405" t="str">
        <f t="shared" si="68"/>
        <v>三股　守</v>
      </c>
      <c r="G575" s="405" t="str">
        <f t="shared" si="69"/>
        <v>主たる営業所</v>
      </c>
      <c r="H575" s="405" t="str">
        <f t="shared" si="70"/>
        <v>大分市賀来南１－１４－７</v>
      </c>
      <c r="L575" s="403" t="s">
        <v>8790</v>
      </c>
      <c r="M575" s="403" t="s">
        <v>8791</v>
      </c>
      <c r="N575" s="403" t="s">
        <v>2473</v>
      </c>
      <c r="O575" s="403" t="s">
        <v>7084</v>
      </c>
      <c r="P575" s="403" t="s">
        <v>2474</v>
      </c>
      <c r="Q575" s="403" t="s">
        <v>8792</v>
      </c>
      <c r="R575" s="403" t="s">
        <v>19031</v>
      </c>
      <c r="S575" s="403" t="s">
        <v>14993</v>
      </c>
      <c r="T575" s="403" t="s">
        <v>14994</v>
      </c>
      <c r="U575" s="403"/>
      <c r="V575" s="403" t="s">
        <v>23024</v>
      </c>
      <c r="W575" s="403" t="s">
        <v>23024</v>
      </c>
      <c r="X575" s="403" t="s">
        <v>23024</v>
      </c>
      <c r="Y575" s="403" t="s">
        <v>23024</v>
      </c>
    </row>
    <row r="576" spans="1:25">
      <c r="A576" s="363">
        <f t="shared" si="71"/>
        <v>575</v>
      </c>
      <c r="B576" s="363" t="str">
        <f t="shared" si="64"/>
        <v>44</v>
      </c>
      <c r="C576" s="405" t="str">
        <f t="shared" si="65"/>
        <v>第005587号</v>
      </c>
      <c r="D576" s="405" t="str">
        <f t="shared" si="66"/>
        <v>大貴建設（株）</v>
      </c>
      <c r="E576" s="405" t="str">
        <f t="shared" si="67"/>
        <v>代表取締役</v>
      </c>
      <c r="F576" s="405" t="str">
        <f t="shared" si="68"/>
        <v>野口　康博</v>
      </c>
      <c r="G576" s="405" t="str">
        <f t="shared" si="69"/>
        <v>主たる営業所</v>
      </c>
      <c r="H576" s="405" t="str">
        <f t="shared" si="70"/>
        <v>大分市萩原４－１２－３４</v>
      </c>
      <c r="L576" s="403" t="s">
        <v>8793</v>
      </c>
      <c r="M576" s="403" t="s">
        <v>8794</v>
      </c>
      <c r="N576" s="403" t="s">
        <v>2475</v>
      </c>
      <c r="O576" s="403" t="s">
        <v>7084</v>
      </c>
      <c r="P576" s="403" t="s">
        <v>2476</v>
      </c>
      <c r="Q576" s="403" t="s">
        <v>7394</v>
      </c>
      <c r="R576" s="403" t="s">
        <v>19032</v>
      </c>
      <c r="S576" s="403" t="s">
        <v>14995</v>
      </c>
      <c r="T576" s="403" t="s">
        <v>14996</v>
      </c>
      <c r="U576" s="403"/>
      <c r="V576" s="403" t="s">
        <v>23024</v>
      </c>
      <c r="W576" s="403" t="s">
        <v>23024</v>
      </c>
      <c r="X576" s="403" t="s">
        <v>23024</v>
      </c>
      <c r="Y576" s="403" t="s">
        <v>23024</v>
      </c>
    </row>
    <row r="577" spans="1:25">
      <c r="A577" s="363">
        <f t="shared" si="71"/>
        <v>576</v>
      </c>
      <c r="B577" s="363" t="str">
        <f t="shared" si="64"/>
        <v>44</v>
      </c>
      <c r="C577" s="405" t="str">
        <f t="shared" si="65"/>
        <v>第005626号</v>
      </c>
      <c r="D577" s="405" t="str">
        <f t="shared" si="66"/>
        <v>ホーチキ大分（株）</v>
      </c>
      <c r="E577" s="405" t="str">
        <f t="shared" si="67"/>
        <v>代表取締役</v>
      </c>
      <c r="F577" s="405" t="str">
        <f t="shared" si="68"/>
        <v>福井　隆馬</v>
      </c>
      <c r="G577" s="405" t="str">
        <f t="shared" si="69"/>
        <v>主たる営業所</v>
      </c>
      <c r="H577" s="405" t="str">
        <f t="shared" si="70"/>
        <v>大分市寺崎町２－１－２７</v>
      </c>
      <c r="L577" s="403" t="s">
        <v>8795</v>
      </c>
      <c r="M577" s="403" t="s">
        <v>8796</v>
      </c>
      <c r="N577" s="403" t="s">
        <v>2477</v>
      </c>
      <c r="O577" s="403" t="s">
        <v>7084</v>
      </c>
      <c r="P577" s="403" t="s">
        <v>19033</v>
      </c>
      <c r="Q577" s="403" t="s">
        <v>7316</v>
      </c>
      <c r="R577" s="403" t="s">
        <v>19034</v>
      </c>
      <c r="S577" s="403" t="s">
        <v>14997</v>
      </c>
      <c r="T577" s="403" t="s">
        <v>14998</v>
      </c>
      <c r="U577" s="403"/>
      <c r="V577" s="403" t="s">
        <v>23024</v>
      </c>
      <c r="W577" s="403" t="s">
        <v>23024</v>
      </c>
      <c r="X577" s="403" t="s">
        <v>23024</v>
      </c>
      <c r="Y577" s="403" t="s">
        <v>23024</v>
      </c>
    </row>
    <row r="578" spans="1:25">
      <c r="A578" s="363">
        <f t="shared" si="71"/>
        <v>577</v>
      </c>
      <c r="B578" s="363" t="str">
        <f t="shared" ref="B578:B641" si="72">LEFT(L578,2)</f>
        <v>44</v>
      </c>
      <c r="C578" s="405" t="str">
        <f t="shared" ref="C578:C641" si="73">IF(B578="","","第"&amp;RIGHT(L578,6)&amp;"号")</f>
        <v>第005634号</v>
      </c>
      <c r="D578" s="405" t="str">
        <f t="shared" ref="D578:D641" si="74">N578</f>
        <v>（株）朝来野工務店</v>
      </c>
      <c r="E578" s="405" t="str">
        <f t="shared" ref="E578:E641" si="75">IF(V578="　",O578,"")</f>
        <v>代表取締役</v>
      </c>
      <c r="F578" s="405" t="str">
        <f t="shared" ref="F578:F641" si="76">IF(V578="　",P578,W578)</f>
        <v>朝来野　正弘</v>
      </c>
      <c r="G578" s="405" t="str">
        <f t="shared" ref="G578:G641" si="77">IF(V578="　","主たる営業所",V578)</f>
        <v>主たる営業所</v>
      </c>
      <c r="H578" s="405" t="str">
        <f t="shared" ref="H578:H641" si="78">IF(V578="　",R578,Y578)</f>
        <v>大分市豊饒２－６－３８</v>
      </c>
      <c r="L578" s="403" t="s">
        <v>8797</v>
      </c>
      <c r="M578" s="403" t="s">
        <v>8798</v>
      </c>
      <c r="N578" s="403" t="s">
        <v>2478</v>
      </c>
      <c r="O578" s="403" t="s">
        <v>7084</v>
      </c>
      <c r="P578" s="403" t="s">
        <v>2479</v>
      </c>
      <c r="Q578" s="403" t="s">
        <v>8799</v>
      </c>
      <c r="R578" s="403" t="s">
        <v>19035</v>
      </c>
      <c r="S578" s="403" t="s">
        <v>14999</v>
      </c>
      <c r="T578" s="403" t="s">
        <v>15000</v>
      </c>
      <c r="U578" s="403"/>
      <c r="V578" s="403" t="s">
        <v>23024</v>
      </c>
      <c r="W578" s="403" t="s">
        <v>23024</v>
      </c>
      <c r="X578" s="403" t="s">
        <v>23024</v>
      </c>
      <c r="Y578" s="403" t="s">
        <v>23024</v>
      </c>
    </row>
    <row r="579" spans="1:25">
      <c r="A579" s="363">
        <f t="shared" ref="A579:A642" si="79">IF(B579="","",A578+1)</f>
        <v>578</v>
      </c>
      <c r="B579" s="363" t="str">
        <f t="shared" si="72"/>
        <v>44</v>
      </c>
      <c r="C579" s="405" t="str">
        <f t="shared" si="73"/>
        <v>第005652号</v>
      </c>
      <c r="D579" s="405" t="str">
        <f t="shared" si="74"/>
        <v>中尾造園（株）</v>
      </c>
      <c r="E579" s="405" t="str">
        <f t="shared" si="75"/>
        <v>代表取締役</v>
      </c>
      <c r="F579" s="405" t="str">
        <f t="shared" si="76"/>
        <v>野本　健二</v>
      </c>
      <c r="G579" s="405" t="str">
        <f t="shared" si="77"/>
        <v>主たる営業所</v>
      </c>
      <c r="H579" s="405" t="str">
        <f t="shared" si="78"/>
        <v>大分市大字羽田１８６－３</v>
      </c>
      <c r="L579" s="403" t="s">
        <v>8800</v>
      </c>
      <c r="M579" s="403" t="s">
        <v>8801</v>
      </c>
      <c r="N579" s="403" t="s">
        <v>2480</v>
      </c>
      <c r="O579" s="403" t="s">
        <v>7084</v>
      </c>
      <c r="P579" s="403" t="s">
        <v>2481</v>
      </c>
      <c r="Q579" s="403" t="s">
        <v>8289</v>
      </c>
      <c r="R579" s="403" t="s">
        <v>19036</v>
      </c>
      <c r="S579" s="403" t="s">
        <v>15001</v>
      </c>
      <c r="T579" s="403" t="s">
        <v>15002</v>
      </c>
      <c r="U579" s="403"/>
      <c r="V579" s="403" t="s">
        <v>23024</v>
      </c>
      <c r="W579" s="403" t="s">
        <v>23024</v>
      </c>
      <c r="X579" s="403" t="s">
        <v>23024</v>
      </c>
      <c r="Y579" s="403" t="s">
        <v>23024</v>
      </c>
    </row>
    <row r="580" spans="1:25">
      <c r="A580" s="363">
        <f t="shared" si="79"/>
        <v>579</v>
      </c>
      <c r="B580" s="363" t="str">
        <f t="shared" si="72"/>
        <v>44</v>
      </c>
      <c r="C580" s="405" t="str">
        <f t="shared" si="73"/>
        <v>第005661号</v>
      </c>
      <c r="D580" s="405" t="str">
        <f t="shared" si="74"/>
        <v>九州丸防設備（株）</v>
      </c>
      <c r="E580" s="405" t="str">
        <f t="shared" si="75"/>
        <v>代表取締役</v>
      </c>
      <c r="F580" s="405" t="str">
        <f t="shared" si="76"/>
        <v>玉田　龍一郎</v>
      </c>
      <c r="G580" s="405" t="str">
        <f t="shared" si="77"/>
        <v>主たる営業所</v>
      </c>
      <c r="H580" s="405" t="str">
        <f t="shared" si="78"/>
        <v>大分市生石１－５－３</v>
      </c>
      <c r="L580" s="403" t="s">
        <v>8802</v>
      </c>
      <c r="M580" s="403" t="s">
        <v>8803</v>
      </c>
      <c r="N580" s="403" t="s">
        <v>2482</v>
      </c>
      <c r="O580" s="403" t="s">
        <v>7084</v>
      </c>
      <c r="P580" s="403" t="s">
        <v>2483</v>
      </c>
      <c r="Q580" s="403" t="s">
        <v>8804</v>
      </c>
      <c r="R580" s="403" t="s">
        <v>19037</v>
      </c>
      <c r="S580" s="403" t="s">
        <v>15003</v>
      </c>
      <c r="T580" s="403" t="s">
        <v>15004</v>
      </c>
      <c r="U580" s="403"/>
      <c r="V580" s="403" t="s">
        <v>23024</v>
      </c>
      <c r="W580" s="403" t="s">
        <v>23024</v>
      </c>
      <c r="X580" s="403" t="s">
        <v>23024</v>
      </c>
      <c r="Y580" s="403" t="s">
        <v>23024</v>
      </c>
    </row>
    <row r="581" spans="1:25">
      <c r="A581" s="363">
        <f t="shared" si="79"/>
        <v>580</v>
      </c>
      <c r="B581" s="363" t="str">
        <f t="shared" si="72"/>
        <v>44</v>
      </c>
      <c r="C581" s="405" t="str">
        <f t="shared" si="73"/>
        <v>第005668号</v>
      </c>
      <c r="D581" s="405" t="str">
        <f t="shared" si="74"/>
        <v>東和安全産業（株）</v>
      </c>
      <c r="E581" s="405" t="str">
        <f t="shared" si="75"/>
        <v>代表取締役</v>
      </c>
      <c r="F581" s="405" t="str">
        <f t="shared" si="76"/>
        <v>三ノ宮　洋一</v>
      </c>
      <c r="G581" s="405" t="str">
        <f t="shared" si="77"/>
        <v>主たる営業所</v>
      </c>
      <c r="H581" s="405" t="str">
        <f t="shared" si="78"/>
        <v>大分市大字国分字森の木７８－１</v>
      </c>
      <c r="L581" s="403" t="s">
        <v>8805</v>
      </c>
      <c r="M581" s="403" t="s">
        <v>8806</v>
      </c>
      <c r="N581" s="403" t="s">
        <v>2484</v>
      </c>
      <c r="O581" s="403" t="s">
        <v>7084</v>
      </c>
      <c r="P581" s="403" t="s">
        <v>2485</v>
      </c>
      <c r="Q581" s="403" t="s">
        <v>8807</v>
      </c>
      <c r="R581" s="403" t="s">
        <v>19038</v>
      </c>
      <c r="S581" s="403" t="s">
        <v>15005</v>
      </c>
      <c r="T581" s="403" t="s">
        <v>15006</v>
      </c>
      <c r="U581" s="403"/>
      <c r="V581" s="403" t="s">
        <v>23024</v>
      </c>
      <c r="W581" s="403" t="s">
        <v>23024</v>
      </c>
      <c r="X581" s="403" t="s">
        <v>23024</v>
      </c>
      <c r="Y581" s="403" t="s">
        <v>23024</v>
      </c>
    </row>
    <row r="582" spans="1:25">
      <c r="A582" s="363">
        <f t="shared" si="79"/>
        <v>581</v>
      </c>
      <c r="B582" s="363" t="str">
        <f t="shared" si="72"/>
        <v>44</v>
      </c>
      <c r="C582" s="405" t="str">
        <f t="shared" si="73"/>
        <v>第005672号</v>
      </c>
      <c r="D582" s="405" t="str">
        <f t="shared" si="74"/>
        <v>（株）大分クリーン産業</v>
      </c>
      <c r="E582" s="405" t="str">
        <f t="shared" si="75"/>
        <v>代表取締役</v>
      </c>
      <c r="F582" s="405" t="str">
        <f t="shared" si="76"/>
        <v>後藤　俊郎</v>
      </c>
      <c r="G582" s="405" t="str">
        <f t="shared" si="77"/>
        <v>主たる営業所</v>
      </c>
      <c r="H582" s="405" t="str">
        <f t="shared" si="78"/>
        <v>大分市大字片島１２４０－３</v>
      </c>
      <c r="L582" s="403" t="s">
        <v>8808</v>
      </c>
      <c r="M582" s="403" t="s">
        <v>8809</v>
      </c>
      <c r="N582" s="403" t="s">
        <v>2486</v>
      </c>
      <c r="O582" s="403" t="s">
        <v>7084</v>
      </c>
      <c r="P582" s="403" t="s">
        <v>2487</v>
      </c>
      <c r="Q582" s="403" t="s">
        <v>8687</v>
      </c>
      <c r="R582" s="403" t="s">
        <v>19039</v>
      </c>
      <c r="S582" s="403" t="s">
        <v>15007</v>
      </c>
      <c r="T582" s="403" t="s">
        <v>15008</v>
      </c>
      <c r="U582" s="403"/>
      <c r="V582" s="403" t="s">
        <v>23024</v>
      </c>
      <c r="W582" s="403" t="s">
        <v>23024</v>
      </c>
      <c r="X582" s="403" t="s">
        <v>23024</v>
      </c>
      <c r="Y582" s="403" t="s">
        <v>23024</v>
      </c>
    </row>
    <row r="583" spans="1:25">
      <c r="A583" s="363">
        <f t="shared" si="79"/>
        <v>582</v>
      </c>
      <c r="B583" s="363" t="str">
        <f t="shared" si="72"/>
        <v>44</v>
      </c>
      <c r="C583" s="405" t="str">
        <f t="shared" si="73"/>
        <v>第005683号</v>
      </c>
      <c r="D583" s="405" t="str">
        <f t="shared" si="74"/>
        <v>（株）三河建設</v>
      </c>
      <c r="E583" s="405" t="str">
        <f t="shared" si="75"/>
        <v>代表取締役</v>
      </c>
      <c r="F583" s="405" t="str">
        <f t="shared" si="76"/>
        <v>小山　英雄</v>
      </c>
      <c r="G583" s="405" t="str">
        <f t="shared" si="77"/>
        <v>主たる営業所</v>
      </c>
      <c r="H583" s="405" t="str">
        <f t="shared" si="78"/>
        <v>大分市大字田原２－２</v>
      </c>
      <c r="L583" s="403" t="s">
        <v>8810</v>
      </c>
      <c r="M583" s="403" t="s">
        <v>8811</v>
      </c>
      <c r="N583" s="403" t="s">
        <v>2488</v>
      </c>
      <c r="O583" s="403" t="s">
        <v>7084</v>
      </c>
      <c r="P583" s="403" t="s">
        <v>2489</v>
      </c>
      <c r="Q583" s="403" t="s">
        <v>8812</v>
      </c>
      <c r="R583" s="403" t="s">
        <v>19040</v>
      </c>
      <c r="S583" s="403" t="s">
        <v>15009</v>
      </c>
      <c r="T583" s="403" t="s">
        <v>15010</v>
      </c>
      <c r="U583" s="403"/>
      <c r="V583" s="403" t="s">
        <v>23024</v>
      </c>
      <c r="W583" s="403" t="s">
        <v>23024</v>
      </c>
      <c r="X583" s="403" t="s">
        <v>23024</v>
      </c>
      <c r="Y583" s="403" t="s">
        <v>23024</v>
      </c>
    </row>
    <row r="584" spans="1:25">
      <c r="A584" s="363">
        <f t="shared" si="79"/>
        <v>583</v>
      </c>
      <c r="B584" s="363" t="str">
        <f t="shared" si="72"/>
        <v>44</v>
      </c>
      <c r="C584" s="405" t="str">
        <f t="shared" si="73"/>
        <v>第005684号</v>
      </c>
      <c r="D584" s="405" t="str">
        <f t="shared" si="74"/>
        <v>（有）伸東建設</v>
      </c>
      <c r="E584" s="405" t="str">
        <f t="shared" si="75"/>
        <v>代表取締役</v>
      </c>
      <c r="F584" s="405" t="str">
        <f t="shared" si="76"/>
        <v>木原　善吾</v>
      </c>
      <c r="G584" s="405" t="str">
        <f t="shared" si="77"/>
        <v>主たる営業所</v>
      </c>
      <c r="H584" s="405" t="str">
        <f t="shared" si="78"/>
        <v>大分市大字横尾３５１４－１</v>
      </c>
      <c r="L584" s="403" t="s">
        <v>8813</v>
      </c>
      <c r="M584" s="403" t="s">
        <v>8814</v>
      </c>
      <c r="N584" s="403" t="s">
        <v>2490</v>
      </c>
      <c r="O584" s="403" t="s">
        <v>7084</v>
      </c>
      <c r="P584" s="403" t="s">
        <v>2491</v>
      </c>
      <c r="Q584" s="403" t="s">
        <v>7357</v>
      </c>
      <c r="R584" s="403" t="s">
        <v>19041</v>
      </c>
      <c r="S584" s="403" t="s">
        <v>15011</v>
      </c>
      <c r="T584" s="403" t="s">
        <v>15012</v>
      </c>
      <c r="U584" s="403"/>
      <c r="V584" s="403" t="s">
        <v>23024</v>
      </c>
      <c r="W584" s="403" t="s">
        <v>23024</v>
      </c>
      <c r="X584" s="403" t="s">
        <v>23024</v>
      </c>
      <c r="Y584" s="403" t="s">
        <v>23024</v>
      </c>
    </row>
    <row r="585" spans="1:25">
      <c r="A585" s="363">
        <f t="shared" si="79"/>
        <v>584</v>
      </c>
      <c r="B585" s="363" t="str">
        <f t="shared" si="72"/>
        <v>44</v>
      </c>
      <c r="C585" s="405" t="str">
        <f t="shared" si="73"/>
        <v>第005692号</v>
      </c>
      <c r="D585" s="405" t="str">
        <f t="shared" si="74"/>
        <v>（株）東九州産業</v>
      </c>
      <c r="E585" s="405" t="str">
        <f t="shared" si="75"/>
        <v>代表取締役</v>
      </c>
      <c r="F585" s="405" t="str">
        <f t="shared" si="76"/>
        <v>牧　真志</v>
      </c>
      <c r="G585" s="405" t="str">
        <f t="shared" si="77"/>
        <v>主たる営業所</v>
      </c>
      <c r="H585" s="405" t="str">
        <f t="shared" si="78"/>
        <v>大分市新栄町５－１３</v>
      </c>
      <c r="L585" s="403" t="s">
        <v>8815</v>
      </c>
      <c r="M585" s="403" t="s">
        <v>8816</v>
      </c>
      <c r="N585" s="403" t="s">
        <v>2492</v>
      </c>
      <c r="O585" s="403" t="s">
        <v>7084</v>
      </c>
      <c r="P585" s="403" t="s">
        <v>2493</v>
      </c>
      <c r="Q585" s="403" t="s">
        <v>8817</v>
      </c>
      <c r="R585" s="403" t="s">
        <v>19042</v>
      </c>
      <c r="S585" s="403" t="s">
        <v>15013</v>
      </c>
      <c r="T585" s="403" t="s">
        <v>15014</v>
      </c>
      <c r="U585" s="403"/>
      <c r="V585" s="403" t="s">
        <v>23024</v>
      </c>
      <c r="W585" s="403" t="s">
        <v>23024</v>
      </c>
      <c r="X585" s="403" t="s">
        <v>23024</v>
      </c>
      <c r="Y585" s="403" t="s">
        <v>23024</v>
      </c>
    </row>
    <row r="586" spans="1:25">
      <c r="A586" s="363">
        <f t="shared" si="79"/>
        <v>585</v>
      </c>
      <c r="B586" s="363" t="str">
        <f t="shared" si="72"/>
        <v>44</v>
      </c>
      <c r="C586" s="405" t="str">
        <f t="shared" si="73"/>
        <v>第005706号</v>
      </c>
      <c r="D586" s="405" t="str">
        <f t="shared" si="74"/>
        <v>（有）石樹工苑建設</v>
      </c>
      <c r="E586" s="405" t="str">
        <f t="shared" si="75"/>
        <v>代表取締役</v>
      </c>
      <c r="F586" s="405" t="str">
        <f t="shared" si="76"/>
        <v>和田　基成</v>
      </c>
      <c r="G586" s="405" t="str">
        <f t="shared" si="77"/>
        <v>主たる営業所</v>
      </c>
      <c r="H586" s="405" t="str">
        <f t="shared" si="78"/>
        <v>大分市大字寒田５２２－１</v>
      </c>
      <c r="L586" s="403" t="s">
        <v>8818</v>
      </c>
      <c r="M586" s="403" t="s">
        <v>8819</v>
      </c>
      <c r="N586" s="403" t="s">
        <v>2494</v>
      </c>
      <c r="O586" s="403" t="s">
        <v>7084</v>
      </c>
      <c r="P586" s="403" t="s">
        <v>2495</v>
      </c>
      <c r="Q586" s="403" t="s">
        <v>8820</v>
      </c>
      <c r="R586" s="403" t="s">
        <v>19043</v>
      </c>
      <c r="S586" s="403" t="s">
        <v>15015</v>
      </c>
      <c r="T586" s="403" t="s">
        <v>15016</v>
      </c>
      <c r="U586" s="403"/>
      <c r="V586" s="403" t="s">
        <v>23024</v>
      </c>
      <c r="W586" s="403" t="s">
        <v>23024</v>
      </c>
      <c r="X586" s="403" t="s">
        <v>23024</v>
      </c>
      <c r="Y586" s="403" t="s">
        <v>23024</v>
      </c>
    </row>
    <row r="587" spans="1:25">
      <c r="A587" s="363">
        <f t="shared" si="79"/>
        <v>586</v>
      </c>
      <c r="B587" s="363" t="str">
        <f t="shared" si="72"/>
        <v>44</v>
      </c>
      <c r="C587" s="405" t="str">
        <f t="shared" si="73"/>
        <v>第005711号</v>
      </c>
      <c r="D587" s="405" t="str">
        <f t="shared" si="74"/>
        <v>（株）ロードテクノス</v>
      </c>
      <c r="E587" s="405" t="str">
        <f t="shared" si="75"/>
        <v>代表取締役</v>
      </c>
      <c r="F587" s="405" t="str">
        <f t="shared" si="76"/>
        <v>房前　輝昭</v>
      </c>
      <c r="G587" s="405" t="str">
        <f t="shared" si="77"/>
        <v>主たる営業所</v>
      </c>
      <c r="H587" s="405" t="str">
        <f t="shared" si="78"/>
        <v>大分市小中島３－１－４</v>
      </c>
      <c r="L587" s="403" t="s">
        <v>8821</v>
      </c>
      <c r="M587" s="403" t="s">
        <v>8822</v>
      </c>
      <c r="N587" s="403" t="s">
        <v>2496</v>
      </c>
      <c r="O587" s="403" t="s">
        <v>7084</v>
      </c>
      <c r="P587" s="403" t="s">
        <v>2497</v>
      </c>
      <c r="Q587" s="403" t="s">
        <v>8823</v>
      </c>
      <c r="R587" s="403" t="s">
        <v>19044</v>
      </c>
      <c r="S587" s="403" t="s">
        <v>15017</v>
      </c>
      <c r="T587" s="403" t="s">
        <v>15018</v>
      </c>
      <c r="U587" s="403"/>
      <c r="V587" s="403" t="s">
        <v>23024</v>
      </c>
      <c r="W587" s="403" t="s">
        <v>23024</v>
      </c>
      <c r="X587" s="403" t="s">
        <v>23024</v>
      </c>
      <c r="Y587" s="403" t="s">
        <v>23024</v>
      </c>
    </row>
    <row r="588" spans="1:25">
      <c r="A588" s="363">
        <f t="shared" si="79"/>
        <v>587</v>
      </c>
      <c r="B588" s="363" t="str">
        <f t="shared" si="72"/>
        <v>44</v>
      </c>
      <c r="C588" s="405" t="str">
        <f t="shared" si="73"/>
        <v>第005756号</v>
      </c>
      <c r="D588" s="405" t="str">
        <f t="shared" si="74"/>
        <v>（株）アサヒライズ</v>
      </c>
      <c r="E588" s="405" t="str">
        <f t="shared" si="75"/>
        <v>代表取締役</v>
      </c>
      <c r="F588" s="405" t="str">
        <f t="shared" si="76"/>
        <v>幾留　啓輔</v>
      </c>
      <c r="G588" s="405" t="str">
        <f t="shared" si="77"/>
        <v>主たる営業所</v>
      </c>
      <c r="H588" s="405" t="str">
        <f t="shared" si="78"/>
        <v>大分市大字津留１９５３－２</v>
      </c>
      <c r="L588" s="403" t="s">
        <v>8824</v>
      </c>
      <c r="M588" s="403" t="s">
        <v>8825</v>
      </c>
      <c r="N588" s="403" t="s">
        <v>2498</v>
      </c>
      <c r="O588" s="403" t="s">
        <v>7084</v>
      </c>
      <c r="P588" s="403" t="s">
        <v>2499</v>
      </c>
      <c r="Q588" s="403" t="s">
        <v>7386</v>
      </c>
      <c r="R588" s="403" t="s">
        <v>19045</v>
      </c>
      <c r="S588" s="403" t="s">
        <v>15019</v>
      </c>
      <c r="T588" s="403" t="s">
        <v>15020</v>
      </c>
      <c r="U588" s="403"/>
      <c r="V588" s="403" t="s">
        <v>23024</v>
      </c>
      <c r="W588" s="403" t="s">
        <v>23024</v>
      </c>
      <c r="X588" s="403" t="s">
        <v>23024</v>
      </c>
      <c r="Y588" s="403" t="s">
        <v>23024</v>
      </c>
    </row>
    <row r="589" spans="1:25">
      <c r="A589" s="363">
        <f t="shared" si="79"/>
        <v>588</v>
      </c>
      <c r="B589" s="363" t="str">
        <f t="shared" si="72"/>
        <v>44</v>
      </c>
      <c r="C589" s="405" t="str">
        <f t="shared" si="73"/>
        <v>第005770号</v>
      </c>
      <c r="D589" s="405" t="str">
        <f t="shared" si="74"/>
        <v>（株）ファスニング建設工業</v>
      </c>
      <c r="E589" s="405" t="str">
        <f t="shared" si="75"/>
        <v>代表取締役</v>
      </c>
      <c r="F589" s="405" t="str">
        <f t="shared" si="76"/>
        <v>中村　航</v>
      </c>
      <c r="G589" s="405" t="str">
        <f t="shared" si="77"/>
        <v>主たる営業所</v>
      </c>
      <c r="H589" s="405" t="str">
        <f t="shared" si="78"/>
        <v>大分市大字羽田１０７７－５</v>
      </c>
      <c r="L589" s="403" t="s">
        <v>8826</v>
      </c>
      <c r="M589" s="403" t="s">
        <v>8827</v>
      </c>
      <c r="N589" s="403" t="s">
        <v>2500</v>
      </c>
      <c r="O589" s="403" t="s">
        <v>7084</v>
      </c>
      <c r="P589" s="403" t="s">
        <v>2501</v>
      </c>
      <c r="Q589" s="403" t="s">
        <v>8289</v>
      </c>
      <c r="R589" s="403" t="s">
        <v>19046</v>
      </c>
      <c r="S589" s="403" t="s">
        <v>15021</v>
      </c>
      <c r="T589" s="403" t="s">
        <v>15022</v>
      </c>
      <c r="U589" s="403"/>
      <c r="V589" s="403" t="s">
        <v>23024</v>
      </c>
      <c r="W589" s="403" t="s">
        <v>23024</v>
      </c>
      <c r="X589" s="403" t="s">
        <v>23024</v>
      </c>
      <c r="Y589" s="403" t="s">
        <v>23024</v>
      </c>
    </row>
    <row r="590" spans="1:25">
      <c r="A590" s="363">
        <f t="shared" si="79"/>
        <v>589</v>
      </c>
      <c r="B590" s="363" t="str">
        <f t="shared" si="72"/>
        <v>44</v>
      </c>
      <c r="C590" s="405" t="str">
        <f t="shared" si="73"/>
        <v>第005772号</v>
      </c>
      <c r="D590" s="405" t="str">
        <f t="shared" si="74"/>
        <v>日商産業（株）</v>
      </c>
      <c r="E590" s="405" t="str">
        <f t="shared" si="75"/>
        <v>代表取締役</v>
      </c>
      <c r="F590" s="405" t="str">
        <f t="shared" si="76"/>
        <v>森口　和也</v>
      </c>
      <c r="G590" s="405" t="str">
        <f t="shared" si="77"/>
        <v>主たる営業所</v>
      </c>
      <c r="H590" s="405" t="str">
        <f t="shared" si="78"/>
        <v>大分市大字永興１４８１</v>
      </c>
      <c r="L590" s="403" t="s">
        <v>8828</v>
      </c>
      <c r="M590" s="403" t="s">
        <v>8829</v>
      </c>
      <c r="N590" s="403" t="s">
        <v>2502</v>
      </c>
      <c r="O590" s="403" t="s">
        <v>7084</v>
      </c>
      <c r="P590" s="403" t="s">
        <v>2503</v>
      </c>
      <c r="Q590" s="403" t="s">
        <v>7446</v>
      </c>
      <c r="R590" s="403" t="s">
        <v>5464</v>
      </c>
      <c r="S590" s="403" t="s">
        <v>15023</v>
      </c>
      <c r="T590" s="403" t="s">
        <v>15024</v>
      </c>
      <c r="U590" s="403"/>
      <c r="V590" s="403" t="s">
        <v>23024</v>
      </c>
      <c r="W590" s="403" t="s">
        <v>23024</v>
      </c>
      <c r="X590" s="403" t="s">
        <v>23024</v>
      </c>
      <c r="Y590" s="403" t="s">
        <v>23024</v>
      </c>
    </row>
    <row r="591" spans="1:25">
      <c r="A591" s="363">
        <f t="shared" si="79"/>
        <v>590</v>
      </c>
      <c r="B591" s="363" t="str">
        <f t="shared" si="72"/>
        <v>44</v>
      </c>
      <c r="C591" s="405" t="str">
        <f t="shared" si="73"/>
        <v>第005775号</v>
      </c>
      <c r="D591" s="405" t="str">
        <f t="shared" si="74"/>
        <v>（有）工藤建設</v>
      </c>
      <c r="E591" s="405" t="str">
        <f t="shared" si="75"/>
        <v>代表取締役</v>
      </c>
      <c r="F591" s="405" t="str">
        <f t="shared" si="76"/>
        <v>高橋　康子</v>
      </c>
      <c r="G591" s="405" t="str">
        <f t="shared" si="77"/>
        <v>主たる営業所</v>
      </c>
      <c r="H591" s="405" t="str">
        <f t="shared" si="78"/>
        <v>由布市挾間町古野５８６－２</v>
      </c>
      <c r="L591" s="403" t="s">
        <v>8830</v>
      </c>
      <c r="M591" s="403" t="s">
        <v>7873</v>
      </c>
      <c r="N591" s="403" t="s">
        <v>1811</v>
      </c>
      <c r="O591" s="403" t="s">
        <v>7084</v>
      </c>
      <c r="P591" s="403" t="s">
        <v>2504</v>
      </c>
      <c r="Q591" s="403" t="s">
        <v>8831</v>
      </c>
      <c r="R591" s="403" t="s">
        <v>19047</v>
      </c>
      <c r="S591" s="403" t="s">
        <v>17003</v>
      </c>
      <c r="T591" s="403" t="s">
        <v>15025</v>
      </c>
      <c r="U591" s="403"/>
      <c r="V591" s="403" t="s">
        <v>23024</v>
      </c>
      <c r="W591" s="403" t="s">
        <v>23024</v>
      </c>
      <c r="X591" s="403" t="s">
        <v>23024</v>
      </c>
      <c r="Y591" s="403" t="s">
        <v>23024</v>
      </c>
    </row>
    <row r="592" spans="1:25">
      <c r="A592" s="363">
        <f t="shared" si="79"/>
        <v>591</v>
      </c>
      <c r="B592" s="363" t="str">
        <f t="shared" si="72"/>
        <v>44</v>
      </c>
      <c r="C592" s="405" t="str">
        <f t="shared" si="73"/>
        <v>第005782号</v>
      </c>
      <c r="D592" s="405" t="str">
        <f t="shared" si="74"/>
        <v>（有）渡部造園土木</v>
      </c>
      <c r="E592" s="405" t="str">
        <f t="shared" si="75"/>
        <v>代表取締役</v>
      </c>
      <c r="F592" s="405" t="str">
        <f t="shared" si="76"/>
        <v>渡部　哲男</v>
      </c>
      <c r="G592" s="405" t="str">
        <f t="shared" si="77"/>
        <v>主たる営業所</v>
      </c>
      <c r="H592" s="405" t="str">
        <f t="shared" si="78"/>
        <v>大分市大字猪野６７７－１</v>
      </c>
      <c r="L592" s="403" t="s">
        <v>8832</v>
      </c>
      <c r="M592" s="403" t="s">
        <v>8833</v>
      </c>
      <c r="N592" s="403" t="s">
        <v>2505</v>
      </c>
      <c r="O592" s="403" t="s">
        <v>7084</v>
      </c>
      <c r="P592" s="403" t="s">
        <v>2506</v>
      </c>
      <c r="Q592" s="403" t="s">
        <v>8834</v>
      </c>
      <c r="R592" s="403" t="s">
        <v>19048</v>
      </c>
      <c r="S592" s="403" t="s">
        <v>15026</v>
      </c>
      <c r="T592" s="403" t="s">
        <v>15027</v>
      </c>
      <c r="U592" s="403"/>
      <c r="V592" s="403" t="s">
        <v>23024</v>
      </c>
      <c r="W592" s="403" t="s">
        <v>23024</v>
      </c>
      <c r="X592" s="403" t="s">
        <v>23024</v>
      </c>
      <c r="Y592" s="403" t="s">
        <v>23024</v>
      </c>
    </row>
    <row r="593" spans="1:25">
      <c r="A593" s="363">
        <f t="shared" si="79"/>
        <v>592</v>
      </c>
      <c r="B593" s="363" t="str">
        <f t="shared" si="72"/>
        <v>44</v>
      </c>
      <c r="C593" s="405" t="str">
        <f t="shared" si="73"/>
        <v>第005784号</v>
      </c>
      <c r="D593" s="405" t="str">
        <f t="shared" si="74"/>
        <v>（株）九州グリーンサービス</v>
      </c>
      <c r="E593" s="405" t="str">
        <f t="shared" si="75"/>
        <v>代表取締役</v>
      </c>
      <c r="F593" s="405" t="str">
        <f t="shared" si="76"/>
        <v>神田　貴之</v>
      </c>
      <c r="G593" s="405" t="str">
        <f t="shared" si="77"/>
        <v>主たる営業所</v>
      </c>
      <c r="H593" s="405" t="str">
        <f t="shared" si="78"/>
        <v>大分市三川下１－６－６</v>
      </c>
      <c r="L593" s="403" t="s">
        <v>8835</v>
      </c>
      <c r="M593" s="403" t="s">
        <v>8836</v>
      </c>
      <c r="N593" s="403" t="s">
        <v>2507</v>
      </c>
      <c r="O593" s="403" t="s">
        <v>7084</v>
      </c>
      <c r="P593" s="403" t="s">
        <v>2508</v>
      </c>
      <c r="Q593" s="403" t="s">
        <v>8638</v>
      </c>
      <c r="R593" s="403" t="s">
        <v>19049</v>
      </c>
      <c r="S593" s="403" t="s">
        <v>15028</v>
      </c>
      <c r="T593" s="403" t="s">
        <v>15029</v>
      </c>
      <c r="U593" s="403"/>
      <c r="V593" s="403" t="s">
        <v>23024</v>
      </c>
      <c r="W593" s="403" t="s">
        <v>23024</v>
      </c>
      <c r="X593" s="403" t="s">
        <v>23024</v>
      </c>
      <c r="Y593" s="403" t="s">
        <v>23024</v>
      </c>
    </row>
    <row r="594" spans="1:25">
      <c r="A594" s="363">
        <f t="shared" si="79"/>
        <v>593</v>
      </c>
      <c r="B594" s="363" t="str">
        <f t="shared" si="72"/>
        <v>44</v>
      </c>
      <c r="C594" s="405" t="str">
        <f t="shared" si="73"/>
        <v>第005798号</v>
      </c>
      <c r="D594" s="405" t="str">
        <f t="shared" si="74"/>
        <v>（株）三愛</v>
      </c>
      <c r="E594" s="405" t="str">
        <f t="shared" si="75"/>
        <v>代表取締役</v>
      </c>
      <c r="F594" s="405" t="str">
        <f t="shared" si="76"/>
        <v>近廣　薫平</v>
      </c>
      <c r="G594" s="405" t="str">
        <f t="shared" si="77"/>
        <v>主たる営業所</v>
      </c>
      <c r="H594" s="405" t="str">
        <f t="shared" si="78"/>
        <v>大分市竹の上１０－２２</v>
      </c>
      <c r="L594" s="403" t="s">
        <v>8837</v>
      </c>
      <c r="M594" s="403" t="s">
        <v>8838</v>
      </c>
      <c r="N594" s="403" t="s">
        <v>2509</v>
      </c>
      <c r="O594" s="403" t="s">
        <v>7084</v>
      </c>
      <c r="P594" s="403" t="s">
        <v>2510</v>
      </c>
      <c r="Q594" s="403" t="s">
        <v>8839</v>
      </c>
      <c r="R594" s="403" t="s">
        <v>19050</v>
      </c>
      <c r="S594" s="403" t="s">
        <v>15030</v>
      </c>
      <c r="T594" s="403" t="s">
        <v>15031</v>
      </c>
      <c r="U594" s="403"/>
      <c r="V594" s="403" t="s">
        <v>23024</v>
      </c>
      <c r="W594" s="403" t="s">
        <v>23024</v>
      </c>
      <c r="X594" s="403" t="s">
        <v>23024</v>
      </c>
      <c r="Y594" s="403" t="s">
        <v>23024</v>
      </c>
    </row>
    <row r="595" spans="1:25">
      <c r="A595" s="363">
        <f t="shared" si="79"/>
        <v>594</v>
      </c>
      <c r="B595" s="363" t="str">
        <f t="shared" si="72"/>
        <v>44</v>
      </c>
      <c r="C595" s="405" t="str">
        <f t="shared" si="73"/>
        <v>第005806号</v>
      </c>
      <c r="D595" s="405" t="str">
        <f t="shared" si="74"/>
        <v>鶴友産業（株）</v>
      </c>
      <c r="E595" s="405" t="str">
        <f t="shared" si="75"/>
        <v>代表取締役</v>
      </c>
      <c r="F595" s="405" t="str">
        <f t="shared" si="76"/>
        <v>藤古　秀雄</v>
      </c>
      <c r="G595" s="405" t="str">
        <f t="shared" si="77"/>
        <v>主たる営業所</v>
      </c>
      <c r="H595" s="405" t="str">
        <f t="shared" si="78"/>
        <v>大分市花津留２－２２－４</v>
      </c>
      <c r="L595" s="403" t="s">
        <v>8840</v>
      </c>
      <c r="M595" s="403" t="s">
        <v>8841</v>
      </c>
      <c r="N595" s="403" t="s">
        <v>2511</v>
      </c>
      <c r="O595" s="403" t="s">
        <v>7084</v>
      </c>
      <c r="P595" s="403" t="s">
        <v>2512</v>
      </c>
      <c r="Q595" s="403" t="s">
        <v>7383</v>
      </c>
      <c r="R595" s="403" t="s">
        <v>19051</v>
      </c>
      <c r="S595" s="403" t="s">
        <v>15032</v>
      </c>
      <c r="T595" s="403" t="s">
        <v>15033</v>
      </c>
      <c r="U595" s="403"/>
      <c r="V595" s="403" t="s">
        <v>23024</v>
      </c>
      <c r="W595" s="403" t="s">
        <v>23024</v>
      </c>
      <c r="X595" s="403" t="s">
        <v>23024</v>
      </c>
      <c r="Y595" s="403" t="s">
        <v>23024</v>
      </c>
    </row>
    <row r="596" spans="1:25">
      <c r="A596" s="363">
        <f t="shared" si="79"/>
        <v>595</v>
      </c>
      <c r="B596" s="363" t="str">
        <f t="shared" si="72"/>
        <v>44</v>
      </c>
      <c r="C596" s="405" t="str">
        <f t="shared" si="73"/>
        <v>第005830号</v>
      </c>
      <c r="D596" s="405" t="str">
        <f t="shared" si="74"/>
        <v>（株）メンテナンス</v>
      </c>
      <c r="E596" s="405" t="str">
        <f t="shared" si="75"/>
        <v>代表取締役</v>
      </c>
      <c r="F596" s="405" t="str">
        <f t="shared" si="76"/>
        <v>笠木　俊佑</v>
      </c>
      <c r="G596" s="405" t="str">
        <f t="shared" si="77"/>
        <v>主たる営業所</v>
      </c>
      <c r="H596" s="405" t="str">
        <f t="shared" si="78"/>
        <v>大分市高城南町１２－３</v>
      </c>
      <c r="L596" s="403" t="s">
        <v>8842</v>
      </c>
      <c r="M596" s="403" t="s">
        <v>8843</v>
      </c>
      <c r="N596" s="403" t="s">
        <v>2513</v>
      </c>
      <c r="O596" s="403" t="s">
        <v>7084</v>
      </c>
      <c r="P596" s="403" t="s">
        <v>19052</v>
      </c>
      <c r="Q596" s="403" t="s">
        <v>8844</v>
      </c>
      <c r="R596" s="403" t="s">
        <v>19053</v>
      </c>
      <c r="S596" s="403" t="s">
        <v>15034</v>
      </c>
      <c r="T596" s="403" t="s">
        <v>15035</v>
      </c>
      <c r="U596" s="403"/>
      <c r="V596" s="403" t="s">
        <v>23024</v>
      </c>
      <c r="W596" s="403" t="s">
        <v>23024</v>
      </c>
      <c r="X596" s="403" t="s">
        <v>23024</v>
      </c>
      <c r="Y596" s="403" t="s">
        <v>23024</v>
      </c>
    </row>
    <row r="597" spans="1:25">
      <c r="A597" s="363">
        <f t="shared" si="79"/>
        <v>596</v>
      </c>
      <c r="B597" s="363" t="str">
        <f t="shared" si="72"/>
        <v>44</v>
      </c>
      <c r="C597" s="405" t="str">
        <f t="shared" si="73"/>
        <v>第005832号</v>
      </c>
      <c r="D597" s="405" t="str">
        <f t="shared" si="74"/>
        <v>（株）松田塗装工業</v>
      </c>
      <c r="E597" s="405" t="str">
        <f t="shared" si="75"/>
        <v>代表取締役</v>
      </c>
      <c r="F597" s="405" t="str">
        <f t="shared" si="76"/>
        <v>松田　康弘</v>
      </c>
      <c r="G597" s="405" t="str">
        <f t="shared" si="77"/>
        <v>主たる営業所</v>
      </c>
      <c r="H597" s="405" t="str">
        <f t="shared" si="78"/>
        <v>大分市光吉台１－２０－３</v>
      </c>
      <c r="L597" s="403" t="s">
        <v>8845</v>
      </c>
      <c r="M597" s="403" t="s">
        <v>8846</v>
      </c>
      <c r="N597" s="403" t="s">
        <v>2514</v>
      </c>
      <c r="O597" s="403" t="s">
        <v>7084</v>
      </c>
      <c r="P597" s="403" t="s">
        <v>2515</v>
      </c>
      <c r="Q597" s="403" t="s">
        <v>9690</v>
      </c>
      <c r="R597" s="403" t="s">
        <v>19054</v>
      </c>
      <c r="S597" s="403" t="s">
        <v>15036</v>
      </c>
      <c r="T597" s="403" t="s">
        <v>15037</v>
      </c>
      <c r="U597" s="403"/>
      <c r="V597" s="403" t="s">
        <v>23024</v>
      </c>
      <c r="W597" s="403" t="s">
        <v>23024</v>
      </c>
      <c r="X597" s="403" t="s">
        <v>23024</v>
      </c>
      <c r="Y597" s="403" t="s">
        <v>23024</v>
      </c>
    </row>
    <row r="598" spans="1:25">
      <c r="A598" s="363">
        <f t="shared" si="79"/>
        <v>597</v>
      </c>
      <c r="B598" s="363" t="str">
        <f t="shared" si="72"/>
        <v>44</v>
      </c>
      <c r="C598" s="405" t="str">
        <f t="shared" si="73"/>
        <v>第005839号</v>
      </c>
      <c r="D598" s="405" t="str">
        <f t="shared" si="74"/>
        <v>（株）庄内建設</v>
      </c>
      <c r="E598" s="405" t="str">
        <f t="shared" si="75"/>
        <v>代表取締役</v>
      </c>
      <c r="F598" s="405" t="str">
        <f t="shared" si="76"/>
        <v>渕　一行</v>
      </c>
      <c r="G598" s="405" t="str">
        <f t="shared" si="77"/>
        <v>主たる営業所</v>
      </c>
      <c r="H598" s="405" t="str">
        <f t="shared" si="78"/>
        <v>由布市庄内町柿原１１２５－３</v>
      </c>
      <c r="L598" s="403" t="s">
        <v>8847</v>
      </c>
      <c r="M598" s="403" t="s">
        <v>8848</v>
      </c>
      <c r="N598" s="403" t="s">
        <v>2516</v>
      </c>
      <c r="O598" s="403" t="s">
        <v>7084</v>
      </c>
      <c r="P598" s="403" t="s">
        <v>2517</v>
      </c>
      <c r="Q598" s="403" t="s">
        <v>7548</v>
      </c>
      <c r="R598" s="403" t="s">
        <v>19055</v>
      </c>
      <c r="S598" s="403" t="s">
        <v>15038</v>
      </c>
      <c r="T598" s="403" t="s">
        <v>15039</v>
      </c>
      <c r="U598" s="403"/>
      <c r="V598" s="403" t="s">
        <v>23024</v>
      </c>
      <c r="W598" s="403" t="s">
        <v>23024</v>
      </c>
      <c r="X598" s="403" t="s">
        <v>23024</v>
      </c>
      <c r="Y598" s="403" t="s">
        <v>23024</v>
      </c>
    </row>
    <row r="599" spans="1:25">
      <c r="A599" s="363">
        <f t="shared" si="79"/>
        <v>598</v>
      </c>
      <c r="B599" s="363" t="str">
        <f t="shared" si="72"/>
        <v>44</v>
      </c>
      <c r="C599" s="405" t="str">
        <f t="shared" si="73"/>
        <v>第005845号</v>
      </c>
      <c r="D599" s="405" t="str">
        <f t="shared" si="74"/>
        <v>日豊技建工業（株）</v>
      </c>
      <c r="E599" s="405" t="str">
        <f t="shared" si="75"/>
        <v>代表取締役</v>
      </c>
      <c r="F599" s="405" t="str">
        <f t="shared" si="76"/>
        <v>豊島　崇幸</v>
      </c>
      <c r="G599" s="405" t="str">
        <f t="shared" si="77"/>
        <v>主たる営業所</v>
      </c>
      <c r="H599" s="405" t="str">
        <f t="shared" si="78"/>
        <v>大分市大字岡川１５５０－３</v>
      </c>
      <c r="L599" s="403" t="s">
        <v>8849</v>
      </c>
      <c r="M599" s="403" t="s">
        <v>8850</v>
      </c>
      <c r="N599" s="403" t="s">
        <v>2518</v>
      </c>
      <c r="O599" s="403" t="s">
        <v>7084</v>
      </c>
      <c r="P599" s="403" t="s">
        <v>5234</v>
      </c>
      <c r="Q599" s="403" t="s">
        <v>8851</v>
      </c>
      <c r="R599" s="403" t="s">
        <v>19056</v>
      </c>
      <c r="S599" s="403" t="s">
        <v>15040</v>
      </c>
      <c r="T599" s="403" t="s">
        <v>15041</v>
      </c>
      <c r="U599" s="403"/>
      <c r="V599" s="403" t="s">
        <v>23024</v>
      </c>
      <c r="W599" s="403" t="s">
        <v>23024</v>
      </c>
      <c r="X599" s="403" t="s">
        <v>23024</v>
      </c>
      <c r="Y599" s="403" t="s">
        <v>23024</v>
      </c>
    </row>
    <row r="600" spans="1:25">
      <c r="A600" s="363">
        <f t="shared" si="79"/>
        <v>599</v>
      </c>
      <c r="B600" s="363" t="str">
        <f t="shared" si="72"/>
        <v>44</v>
      </c>
      <c r="C600" s="405" t="str">
        <f t="shared" si="73"/>
        <v>第005846号</v>
      </c>
      <c r="D600" s="405" t="str">
        <f t="shared" si="74"/>
        <v>タナベ環境工学（株）</v>
      </c>
      <c r="E600" s="405" t="str">
        <f t="shared" si="75"/>
        <v>代表取締役</v>
      </c>
      <c r="F600" s="405" t="str">
        <f t="shared" si="76"/>
        <v>後藤　弘樹</v>
      </c>
      <c r="G600" s="405" t="str">
        <f t="shared" si="77"/>
        <v>主たる営業所</v>
      </c>
      <c r="H600" s="405" t="str">
        <f t="shared" si="78"/>
        <v>大分市高江西１－４３２３－４</v>
      </c>
      <c r="L600" s="403" t="s">
        <v>8852</v>
      </c>
      <c r="M600" s="403" t="s">
        <v>8853</v>
      </c>
      <c r="N600" s="403" t="s">
        <v>2519</v>
      </c>
      <c r="O600" s="403" t="s">
        <v>7084</v>
      </c>
      <c r="P600" s="403" t="s">
        <v>19057</v>
      </c>
      <c r="Q600" s="403" t="s">
        <v>8854</v>
      </c>
      <c r="R600" s="403" t="s">
        <v>19058</v>
      </c>
      <c r="S600" s="403" t="s">
        <v>15042</v>
      </c>
      <c r="T600" s="403" t="s">
        <v>15043</v>
      </c>
      <c r="U600" s="403"/>
      <c r="V600" s="403" t="s">
        <v>23024</v>
      </c>
      <c r="W600" s="403" t="s">
        <v>23024</v>
      </c>
      <c r="X600" s="403" t="s">
        <v>23024</v>
      </c>
      <c r="Y600" s="403" t="s">
        <v>23024</v>
      </c>
    </row>
    <row r="601" spans="1:25">
      <c r="A601" s="363">
        <f t="shared" si="79"/>
        <v>600</v>
      </c>
      <c r="B601" s="363" t="str">
        <f t="shared" si="72"/>
        <v>44</v>
      </c>
      <c r="C601" s="405" t="str">
        <f t="shared" si="73"/>
        <v>第005877号</v>
      </c>
      <c r="D601" s="405" t="str">
        <f t="shared" si="74"/>
        <v>日電通信工業（株）</v>
      </c>
      <c r="E601" s="405" t="str">
        <f t="shared" si="75"/>
        <v>代表取締役</v>
      </c>
      <c r="F601" s="405" t="str">
        <f t="shared" si="76"/>
        <v>樋口　有二</v>
      </c>
      <c r="G601" s="405" t="str">
        <f t="shared" si="77"/>
        <v>主たる営業所</v>
      </c>
      <c r="H601" s="405" t="str">
        <f t="shared" si="78"/>
        <v>大分市城崎町１－４－１５</v>
      </c>
      <c r="L601" s="403" t="s">
        <v>8855</v>
      </c>
      <c r="M601" s="403" t="s">
        <v>8856</v>
      </c>
      <c r="N601" s="403" t="s">
        <v>2520</v>
      </c>
      <c r="O601" s="403" t="s">
        <v>7084</v>
      </c>
      <c r="P601" s="403" t="s">
        <v>2521</v>
      </c>
      <c r="Q601" s="403" t="s">
        <v>7504</v>
      </c>
      <c r="R601" s="403" t="s">
        <v>19059</v>
      </c>
      <c r="S601" s="403" t="s">
        <v>15044</v>
      </c>
      <c r="T601" s="403" t="s">
        <v>15045</v>
      </c>
      <c r="U601" s="403"/>
      <c r="V601" s="403" t="s">
        <v>23024</v>
      </c>
      <c r="W601" s="403" t="s">
        <v>23024</v>
      </c>
      <c r="X601" s="403" t="s">
        <v>23024</v>
      </c>
      <c r="Y601" s="403" t="s">
        <v>23024</v>
      </c>
    </row>
    <row r="602" spans="1:25">
      <c r="A602" s="363">
        <f t="shared" si="79"/>
        <v>601</v>
      </c>
      <c r="B602" s="363" t="str">
        <f t="shared" si="72"/>
        <v>44</v>
      </c>
      <c r="C602" s="405" t="str">
        <f t="shared" si="73"/>
        <v>第005880号</v>
      </c>
      <c r="D602" s="405" t="str">
        <f t="shared" si="74"/>
        <v>大陽機材（株）</v>
      </c>
      <c r="E602" s="405" t="str">
        <f t="shared" si="75"/>
        <v>代表取締役</v>
      </c>
      <c r="F602" s="405" t="str">
        <f t="shared" si="76"/>
        <v>高橋　孝典</v>
      </c>
      <c r="G602" s="405" t="str">
        <f t="shared" si="77"/>
        <v>主たる営業所</v>
      </c>
      <c r="H602" s="405" t="str">
        <f t="shared" si="78"/>
        <v>大分市山津町２－４－２５</v>
      </c>
      <c r="L602" s="403" t="s">
        <v>8857</v>
      </c>
      <c r="M602" s="403" t="s">
        <v>8858</v>
      </c>
      <c r="N602" s="403" t="s">
        <v>2522</v>
      </c>
      <c r="O602" s="403" t="s">
        <v>7084</v>
      </c>
      <c r="P602" s="403" t="s">
        <v>2523</v>
      </c>
      <c r="Q602" s="403" t="s">
        <v>8859</v>
      </c>
      <c r="R602" s="403" t="s">
        <v>19060</v>
      </c>
      <c r="S602" s="403" t="s">
        <v>15046</v>
      </c>
      <c r="T602" s="403" t="s">
        <v>15047</v>
      </c>
      <c r="U602" s="403"/>
      <c r="V602" s="403" t="s">
        <v>23024</v>
      </c>
      <c r="W602" s="403" t="s">
        <v>23024</v>
      </c>
      <c r="X602" s="403" t="s">
        <v>23024</v>
      </c>
      <c r="Y602" s="403" t="s">
        <v>23024</v>
      </c>
    </row>
    <row r="603" spans="1:25">
      <c r="A603" s="363">
        <f t="shared" si="79"/>
        <v>602</v>
      </c>
      <c r="B603" s="363" t="str">
        <f t="shared" si="72"/>
        <v>44</v>
      </c>
      <c r="C603" s="405" t="str">
        <f t="shared" si="73"/>
        <v>第005882号</v>
      </c>
      <c r="D603" s="405" t="str">
        <f t="shared" si="74"/>
        <v>角信塗装（株）</v>
      </c>
      <c r="E603" s="405" t="str">
        <f t="shared" si="75"/>
        <v>代表取締役</v>
      </c>
      <c r="F603" s="405" t="str">
        <f t="shared" si="76"/>
        <v>小谷　次雄</v>
      </c>
      <c r="G603" s="405" t="str">
        <f t="shared" si="77"/>
        <v>主たる営業所</v>
      </c>
      <c r="H603" s="405" t="str">
        <f t="shared" si="78"/>
        <v>大分市萩原４－２－７</v>
      </c>
      <c r="L603" s="403" t="s">
        <v>8860</v>
      </c>
      <c r="M603" s="403" t="s">
        <v>8861</v>
      </c>
      <c r="N603" s="403" t="s">
        <v>2524</v>
      </c>
      <c r="O603" s="403" t="s">
        <v>7084</v>
      </c>
      <c r="P603" s="403" t="s">
        <v>2525</v>
      </c>
      <c r="Q603" s="403" t="s">
        <v>7394</v>
      </c>
      <c r="R603" s="403" t="s">
        <v>19061</v>
      </c>
      <c r="S603" s="403" t="s">
        <v>15048</v>
      </c>
      <c r="T603" s="403" t="s">
        <v>15049</v>
      </c>
      <c r="U603" s="403"/>
      <c r="V603" s="403" t="s">
        <v>23024</v>
      </c>
      <c r="W603" s="403" t="s">
        <v>23024</v>
      </c>
      <c r="X603" s="403" t="s">
        <v>23024</v>
      </c>
      <c r="Y603" s="403" t="s">
        <v>23024</v>
      </c>
    </row>
    <row r="604" spans="1:25">
      <c r="A604" s="363">
        <f t="shared" si="79"/>
        <v>603</v>
      </c>
      <c r="B604" s="363" t="str">
        <f t="shared" si="72"/>
        <v>44</v>
      </c>
      <c r="C604" s="405" t="str">
        <f t="shared" si="73"/>
        <v>第005909号</v>
      </c>
      <c r="D604" s="405" t="str">
        <f t="shared" si="74"/>
        <v>（株）インテリア大分</v>
      </c>
      <c r="E604" s="405" t="str">
        <f t="shared" si="75"/>
        <v>代表取締役</v>
      </c>
      <c r="F604" s="405" t="str">
        <f t="shared" si="76"/>
        <v>浅岡　巧</v>
      </c>
      <c r="G604" s="405" t="str">
        <f t="shared" si="77"/>
        <v>主たる営業所</v>
      </c>
      <c r="H604" s="405" t="str">
        <f t="shared" si="78"/>
        <v>大分市青崎１－３－３４</v>
      </c>
      <c r="L604" s="403" t="s">
        <v>8862</v>
      </c>
      <c r="M604" s="403" t="s">
        <v>8863</v>
      </c>
      <c r="N604" s="403" t="s">
        <v>2526</v>
      </c>
      <c r="O604" s="403" t="s">
        <v>7084</v>
      </c>
      <c r="P604" s="403" t="s">
        <v>5303</v>
      </c>
      <c r="Q604" s="403" t="s">
        <v>7528</v>
      </c>
      <c r="R604" s="403" t="s">
        <v>19062</v>
      </c>
      <c r="S604" s="403" t="s">
        <v>15050</v>
      </c>
      <c r="T604" s="403" t="s">
        <v>15051</v>
      </c>
      <c r="U604" s="403"/>
      <c r="V604" s="403" t="s">
        <v>23024</v>
      </c>
      <c r="W604" s="403" t="s">
        <v>23024</v>
      </c>
      <c r="X604" s="403" t="s">
        <v>23024</v>
      </c>
      <c r="Y604" s="403" t="s">
        <v>23024</v>
      </c>
    </row>
    <row r="605" spans="1:25">
      <c r="A605" s="363">
        <f t="shared" si="79"/>
        <v>604</v>
      </c>
      <c r="B605" s="363" t="str">
        <f t="shared" si="72"/>
        <v>44</v>
      </c>
      <c r="C605" s="405" t="str">
        <f t="shared" si="73"/>
        <v>第005912号</v>
      </c>
      <c r="D605" s="405" t="str">
        <f t="shared" si="74"/>
        <v>（株）協栄サービス</v>
      </c>
      <c r="E605" s="405" t="str">
        <f t="shared" si="75"/>
        <v>代表取締役</v>
      </c>
      <c r="F605" s="405" t="str">
        <f t="shared" si="76"/>
        <v>田中　実也</v>
      </c>
      <c r="G605" s="405" t="str">
        <f t="shared" si="77"/>
        <v>主たる営業所</v>
      </c>
      <c r="H605" s="405" t="str">
        <f t="shared" si="78"/>
        <v>大分市大字下郡字千鳥３２３１－２１</v>
      </c>
      <c r="L605" s="403" t="s">
        <v>8864</v>
      </c>
      <c r="M605" s="403" t="s">
        <v>8865</v>
      </c>
      <c r="N605" s="403" t="s">
        <v>2527</v>
      </c>
      <c r="O605" s="403" t="s">
        <v>7084</v>
      </c>
      <c r="P605" s="403" t="s">
        <v>2528</v>
      </c>
      <c r="Q605" s="403" t="s">
        <v>8658</v>
      </c>
      <c r="R605" s="403" t="s">
        <v>19063</v>
      </c>
      <c r="S605" s="403" t="s">
        <v>15052</v>
      </c>
      <c r="T605" s="403" t="s">
        <v>15053</v>
      </c>
      <c r="U605" s="403"/>
      <c r="V605" s="403" t="s">
        <v>23024</v>
      </c>
      <c r="W605" s="403" t="s">
        <v>23024</v>
      </c>
      <c r="X605" s="403" t="s">
        <v>23024</v>
      </c>
      <c r="Y605" s="403" t="s">
        <v>23024</v>
      </c>
    </row>
    <row r="606" spans="1:25">
      <c r="A606" s="363">
        <f t="shared" si="79"/>
        <v>605</v>
      </c>
      <c r="B606" s="363" t="str">
        <f t="shared" si="72"/>
        <v>44</v>
      </c>
      <c r="C606" s="405" t="str">
        <f t="shared" si="73"/>
        <v>第005914号</v>
      </c>
      <c r="D606" s="405" t="str">
        <f t="shared" si="74"/>
        <v>豊秀植木（株）</v>
      </c>
      <c r="E606" s="405" t="str">
        <f t="shared" si="75"/>
        <v>代表取締役</v>
      </c>
      <c r="F606" s="405" t="str">
        <f t="shared" si="76"/>
        <v>佐藤　淳八</v>
      </c>
      <c r="G606" s="405" t="str">
        <f t="shared" si="77"/>
        <v>主たる営業所</v>
      </c>
      <c r="H606" s="405" t="str">
        <f t="shared" si="78"/>
        <v>大分市三川下３－６－１４</v>
      </c>
      <c r="L606" s="403" t="s">
        <v>8866</v>
      </c>
      <c r="M606" s="403" t="s">
        <v>8867</v>
      </c>
      <c r="N606" s="403" t="s">
        <v>2529</v>
      </c>
      <c r="O606" s="403" t="s">
        <v>7084</v>
      </c>
      <c r="P606" s="403" t="s">
        <v>2530</v>
      </c>
      <c r="Q606" s="403" t="s">
        <v>8638</v>
      </c>
      <c r="R606" s="403" t="s">
        <v>19064</v>
      </c>
      <c r="S606" s="403" t="s">
        <v>15054</v>
      </c>
      <c r="T606" s="403" t="s">
        <v>15055</v>
      </c>
      <c r="U606" s="403"/>
      <c r="V606" s="403" t="s">
        <v>23024</v>
      </c>
      <c r="W606" s="403" t="s">
        <v>23024</v>
      </c>
      <c r="X606" s="403" t="s">
        <v>23024</v>
      </c>
      <c r="Y606" s="403" t="s">
        <v>23024</v>
      </c>
    </row>
    <row r="607" spans="1:25">
      <c r="A607" s="363">
        <f t="shared" si="79"/>
        <v>606</v>
      </c>
      <c r="B607" s="363" t="str">
        <f t="shared" si="72"/>
        <v>44</v>
      </c>
      <c r="C607" s="405" t="str">
        <f t="shared" si="73"/>
        <v>第005918号</v>
      </c>
      <c r="D607" s="405" t="str">
        <f t="shared" si="74"/>
        <v>日本ハウジング（株）</v>
      </c>
      <c r="E607" s="405" t="str">
        <f t="shared" si="75"/>
        <v>代表取締役</v>
      </c>
      <c r="F607" s="405" t="str">
        <f t="shared" si="76"/>
        <v>馬場　鉄心</v>
      </c>
      <c r="G607" s="405" t="str">
        <f t="shared" si="77"/>
        <v>主たる営業所</v>
      </c>
      <c r="H607" s="405" t="str">
        <f t="shared" si="78"/>
        <v>大分市大字片島７５－１</v>
      </c>
      <c r="L607" s="403" t="s">
        <v>8868</v>
      </c>
      <c r="M607" s="403" t="s">
        <v>8869</v>
      </c>
      <c r="N607" s="403" t="s">
        <v>2531</v>
      </c>
      <c r="O607" s="403" t="s">
        <v>7084</v>
      </c>
      <c r="P607" s="403" t="s">
        <v>2532</v>
      </c>
      <c r="Q607" s="403" t="s">
        <v>8687</v>
      </c>
      <c r="R607" s="403" t="s">
        <v>19065</v>
      </c>
      <c r="S607" s="403" t="s">
        <v>15056</v>
      </c>
      <c r="T607" s="403" t="s">
        <v>15057</v>
      </c>
      <c r="U607" s="403"/>
      <c r="V607" s="403" t="s">
        <v>23024</v>
      </c>
      <c r="W607" s="403" t="s">
        <v>23024</v>
      </c>
      <c r="X607" s="403" t="s">
        <v>23024</v>
      </c>
      <c r="Y607" s="403" t="s">
        <v>23024</v>
      </c>
    </row>
    <row r="608" spans="1:25">
      <c r="A608" s="363">
        <f t="shared" si="79"/>
        <v>607</v>
      </c>
      <c r="B608" s="363" t="str">
        <f t="shared" si="72"/>
        <v>44</v>
      </c>
      <c r="C608" s="405" t="str">
        <f t="shared" si="73"/>
        <v>第005923号</v>
      </c>
      <c r="D608" s="405" t="str">
        <f t="shared" si="74"/>
        <v>（株）日野建設工業</v>
      </c>
      <c r="E608" s="405" t="str">
        <f t="shared" si="75"/>
        <v>代表取締役</v>
      </c>
      <c r="F608" s="405" t="str">
        <f t="shared" si="76"/>
        <v>日野　義文</v>
      </c>
      <c r="G608" s="405" t="str">
        <f t="shared" si="77"/>
        <v>主たる営業所</v>
      </c>
      <c r="H608" s="405" t="str">
        <f t="shared" si="78"/>
        <v>由布市庄内町西長宝１７５２－１</v>
      </c>
      <c r="L608" s="403" t="s">
        <v>8870</v>
      </c>
      <c r="M608" s="403" t="s">
        <v>8871</v>
      </c>
      <c r="N608" s="403" t="s">
        <v>2533</v>
      </c>
      <c r="O608" s="403" t="s">
        <v>7084</v>
      </c>
      <c r="P608" s="403" t="s">
        <v>5235</v>
      </c>
      <c r="Q608" s="403" t="s">
        <v>8872</v>
      </c>
      <c r="R608" s="403" t="s">
        <v>19066</v>
      </c>
      <c r="S608" s="403" t="s">
        <v>15058</v>
      </c>
      <c r="T608" s="403" t="s">
        <v>15059</v>
      </c>
      <c r="U608" s="403"/>
      <c r="V608" s="403" t="s">
        <v>23024</v>
      </c>
      <c r="W608" s="403" t="s">
        <v>23024</v>
      </c>
      <c r="X608" s="403" t="s">
        <v>23024</v>
      </c>
      <c r="Y608" s="403" t="s">
        <v>23024</v>
      </c>
    </row>
    <row r="609" spans="1:25">
      <c r="A609" s="363">
        <f t="shared" si="79"/>
        <v>608</v>
      </c>
      <c r="B609" s="363" t="str">
        <f t="shared" si="72"/>
        <v>44</v>
      </c>
      <c r="C609" s="405" t="str">
        <f t="shared" si="73"/>
        <v>第005925号</v>
      </c>
      <c r="D609" s="405" t="str">
        <f t="shared" si="74"/>
        <v>（有）大分環境クリーナー</v>
      </c>
      <c r="E609" s="405" t="str">
        <f t="shared" si="75"/>
        <v>代表取締役</v>
      </c>
      <c r="F609" s="405" t="str">
        <f t="shared" si="76"/>
        <v>大野　陽平</v>
      </c>
      <c r="G609" s="405" t="str">
        <f t="shared" si="77"/>
        <v>主たる営業所</v>
      </c>
      <c r="H609" s="405" t="str">
        <f t="shared" si="78"/>
        <v>大分市花高松１－４－１６</v>
      </c>
      <c r="L609" s="403" t="s">
        <v>8873</v>
      </c>
      <c r="M609" s="403" t="s">
        <v>8874</v>
      </c>
      <c r="N609" s="403" t="s">
        <v>2534</v>
      </c>
      <c r="O609" s="403" t="s">
        <v>7084</v>
      </c>
      <c r="P609" s="403" t="s">
        <v>4442</v>
      </c>
      <c r="Q609" s="403" t="s">
        <v>8650</v>
      </c>
      <c r="R609" s="403" t="s">
        <v>19067</v>
      </c>
      <c r="S609" s="403" t="s">
        <v>15060</v>
      </c>
      <c r="T609" s="403" t="s">
        <v>15061</v>
      </c>
      <c r="U609" s="403"/>
      <c r="V609" s="403" t="s">
        <v>23024</v>
      </c>
      <c r="W609" s="403" t="s">
        <v>23024</v>
      </c>
      <c r="X609" s="403" t="s">
        <v>23024</v>
      </c>
      <c r="Y609" s="403" t="s">
        <v>23024</v>
      </c>
    </row>
    <row r="610" spans="1:25">
      <c r="A610" s="363">
        <f t="shared" si="79"/>
        <v>609</v>
      </c>
      <c r="B610" s="363" t="str">
        <f t="shared" si="72"/>
        <v>44</v>
      </c>
      <c r="C610" s="405" t="str">
        <f t="shared" si="73"/>
        <v>第005928号</v>
      </c>
      <c r="D610" s="405" t="str">
        <f t="shared" si="74"/>
        <v>（有）矢川建設</v>
      </c>
      <c r="E610" s="405" t="str">
        <f t="shared" si="75"/>
        <v>代表取締役</v>
      </c>
      <c r="F610" s="405" t="str">
        <f t="shared" si="76"/>
        <v>矢川　義憲</v>
      </c>
      <c r="G610" s="405" t="str">
        <f t="shared" si="77"/>
        <v>主たる営業所</v>
      </c>
      <c r="H610" s="405" t="str">
        <f t="shared" si="78"/>
        <v>由布市挾間町挾間１３８</v>
      </c>
      <c r="L610" s="403" t="s">
        <v>8875</v>
      </c>
      <c r="M610" s="403" t="s">
        <v>8876</v>
      </c>
      <c r="N610" s="403" t="s">
        <v>2535</v>
      </c>
      <c r="O610" s="403" t="s">
        <v>7084</v>
      </c>
      <c r="P610" s="403" t="s">
        <v>2536</v>
      </c>
      <c r="Q610" s="403" t="s">
        <v>8877</v>
      </c>
      <c r="R610" s="403" t="s">
        <v>5465</v>
      </c>
      <c r="S610" s="403" t="s">
        <v>15062</v>
      </c>
      <c r="T610" s="403" t="s">
        <v>15063</v>
      </c>
      <c r="U610" s="403"/>
      <c r="V610" s="403" t="s">
        <v>23024</v>
      </c>
      <c r="W610" s="403" t="s">
        <v>23024</v>
      </c>
      <c r="X610" s="403" t="s">
        <v>23024</v>
      </c>
      <c r="Y610" s="403" t="s">
        <v>23024</v>
      </c>
    </row>
    <row r="611" spans="1:25">
      <c r="A611" s="363">
        <f t="shared" si="79"/>
        <v>610</v>
      </c>
      <c r="B611" s="363" t="str">
        <f t="shared" si="72"/>
        <v>44</v>
      </c>
      <c r="C611" s="405" t="str">
        <f t="shared" si="73"/>
        <v>第005939号</v>
      </c>
      <c r="D611" s="405" t="str">
        <f t="shared" si="74"/>
        <v>（株）大高組</v>
      </c>
      <c r="E611" s="405" t="str">
        <f t="shared" si="75"/>
        <v>代表取締役</v>
      </c>
      <c r="F611" s="405" t="str">
        <f t="shared" si="76"/>
        <v>坂本　龍一</v>
      </c>
      <c r="G611" s="405" t="str">
        <f t="shared" si="77"/>
        <v>主たる営業所</v>
      </c>
      <c r="H611" s="405" t="str">
        <f t="shared" si="78"/>
        <v>大分市大字皆春字高畑４７１－４</v>
      </c>
      <c r="L611" s="403" t="s">
        <v>8878</v>
      </c>
      <c r="M611" s="403" t="s">
        <v>8879</v>
      </c>
      <c r="N611" s="403" t="s">
        <v>2537</v>
      </c>
      <c r="O611" s="403" t="s">
        <v>7084</v>
      </c>
      <c r="P611" s="403" t="s">
        <v>5236</v>
      </c>
      <c r="Q611" s="403" t="s">
        <v>7478</v>
      </c>
      <c r="R611" s="403" t="s">
        <v>19068</v>
      </c>
      <c r="S611" s="403" t="s">
        <v>15064</v>
      </c>
      <c r="T611" s="403" t="s">
        <v>15065</v>
      </c>
      <c r="U611" s="403"/>
      <c r="V611" s="403" t="s">
        <v>23024</v>
      </c>
      <c r="W611" s="403" t="s">
        <v>23024</v>
      </c>
      <c r="X611" s="403" t="s">
        <v>23024</v>
      </c>
      <c r="Y611" s="403" t="s">
        <v>23024</v>
      </c>
    </row>
    <row r="612" spans="1:25">
      <c r="A612" s="363">
        <f t="shared" si="79"/>
        <v>611</v>
      </c>
      <c r="B612" s="363" t="str">
        <f t="shared" si="72"/>
        <v>44</v>
      </c>
      <c r="C612" s="405" t="str">
        <f t="shared" si="73"/>
        <v>第005991号</v>
      </c>
      <c r="D612" s="405" t="str">
        <f t="shared" si="74"/>
        <v>（株）井上建設</v>
      </c>
      <c r="E612" s="405" t="str">
        <f t="shared" si="75"/>
        <v>代表取締役</v>
      </c>
      <c r="F612" s="405" t="str">
        <f t="shared" si="76"/>
        <v>井上　隆次</v>
      </c>
      <c r="G612" s="405" t="str">
        <f t="shared" si="77"/>
        <v>主たる営業所</v>
      </c>
      <c r="H612" s="405" t="str">
        <f t="shared" si="78"/>
        <v>大分市大字鴛野１０２２－２</v>
      </c>
      <c r="L612" s="403" t="s">
        <v>8880</v>
      </c>
      <c r="M612" s="403" t="s">
        <v>8881</v>
      </c>
      <c r="N612" s="403" t="s">
        <v>2538</v>
      </c>
      <c r="O612" s="403" t="s">
        <v>7084</v>
      </c>
      <c r="P612" s="403" t="s">
        <v>2539</v>
      </c>
      <c r="Q612" s="403" t="s">
        <v>8710</v>
      </c>
      <c r="R612" s="403" t="s">
        <v>19069</v>
      </c>
      <c r="S612" s="403" t="s">
        <v>15066</v>
      </c>
      <c r="T612" s="403" t="s">
        <v>15067</v>
      </c>
      <c r="U612" s="403"/>
      <c r="V612" s="403" t="s">
        <v>23024</v>
      </c>
      <c r="W612" s="403" t="s">
        <v>23024</v>
      </c>
      <c r="X612" s="403" t="s">
        <v>23024</v>
      </c>
      <c r="Y612" s="403" t="s">
        <v>23024</v>
      </c>
    </row>
    <row r="613" spans="1:25">
      <c r="A613" s="363">
        <f t="shared" si="79"/>
        <v>612</v>
      </c>
      <c r="B613" s="363" t="str">
        <f t="shared" si="72"/>
        <v>44</v>
      </c>
      <c r="C613" s="405" t="str">
        <f t="shared" si="73"/>
        <v>第006005号</v>
      </c>
      <c r="D613" s="405" t="str">
        <f t="shared" si="74"/>
        <v>栄大プラントサービス（株）</v>
      </c>
      <c r="E613" s="405" t="str">
        <f t="shared" si="75"/>
        <v>代表取締役</v>
      </c>
      <c r="F613" s="405" t="str">
        <f t="shared" si="76"/>
        <v>江口　午郎</v>
      </c>
      <c r="G613" s="405" t="str">
        <f t="shared" si="77"/>
        <v>主たる営業所</v>
      </c>
      <c r="H613" s="405" t="str">
        <f t="shared" si="78"/>
        <v>中津市大字万田１８－４</v>
      </c>
      <c r="L613" s="403" t="s">
        <v>8882</v>
      </c>
      <c r="M613" s="403" t="s">
        <v>8883</v>
      </c>
      <c r="N613" s="403" t="s">
        <v>2540</v>
      </c>
      <c r="O613" s="403" t="s">
        <v>7084</v>
      </c>
      <c r="P613" s="403" t="s">
        <v>2541</v>
      </c>
      <c r="Q613" s="403" t="s">
        <v>8090</v>
      </c>
      <c r="R613" s="403" t="s">
        <v>19070</v>
      </c>
      <c r="S613" s="403" t="s">
        <v>15068</v>
      </c>
      <c r="T613" s="403" t="s">
        <v>15069</v>
      </c>
      <c r="U613" s="403"/>
      <c r="V613" s="403" t="s">
        <v>23024</v>
      </c>
      <c r="W613" s="403" t="s">
        <v>23024</v>
      </c>
      <c r="X613" s="403" t="s">
        <v>23024</v>
      </c>
      <c r="Y613" s="403" t="s">
        <v>23024</v>
      </c>
    </row>
    <row r="614" spans="1:25">
      <c r="A614" s="363">
        <f t="shared" si="79"/>
        <v>613</v>
      </c>
      <c r="B614" s="363" t="str">
        <f t="shared" si="72"/>
        <v>44</v>
      </c>
      <c r="C614" s="405" t="str">
        <f t="shared" si="73"/>
        <v>第006009号</v>
      </c>
      <c r="D614" s="405" t="str">
        <f t="shared" si="74"/>
        <v>九州道路施設（株）</v>
      </c>
      <c r="E614" s="405" t="str">
        <f t="shared" si="75"/>
        <v>代表取締役</v>
      </c>
      <c r="F614" s="405" t="str">
        <f t="shared" si="76"/>
        <v>高野　賢一</v>
      </c>
      <c r="G614" s="405" t="str">
        <f t="shared" si="77"/>
        <v>主たる営業所</v>
      </c>
      <c r="H614" s="405" t="str">
        <f t="shared" si="78"/>
        <v>中津市大字永添２７５１－８１</v>
      </c>
      <c r="L614" s="403" t="s">
        <v>8884</v>
      </c>
      <c r="M614" s="403" t="s">
        <v>8885</v>
      </c>
      <c r="N614" s="403" t="s">
        <v>2542</v>
      </c>
      <c r="O614" s="403" t="s">
        <v>7084</v>
      </c>
      <c r="P614" s="403" t="s">
        <v>2543</v>
      </c>
      <c r="Q614" s="403" t="s">
        <v>8111</v>
      </c>
      <c r="R614" s="403" t="s">
        <v>19071</v>
      </c>
      <c r="S614" s="403" t="s">
        <v>15070</v>
      </c>
      <c r="T614" s="403" t="s">
        <v>15071</v>
      </c>
      <c r="U614" s="403"/>
      <c r="V614" s="403" t="s">
        <v>23024</v>
      </c>
      <c r="W614" s="403" t="s">
        <v>23024</v>
      </c>
      <c r="X614" s="403" t="s">
        <v>23024</v>
      </c>
      <c r="Y614" s="403" t="s">
        <v>23024</v>
      </c>
    </row>
    <row r="615" spans="1:25">
      <c r="A615" s="363">
        <f t="shared" si="79"/>
        <v>614</v>
      </c>
      <c r="B615" s="363" t="str">
        <f t="shared" si="72"/>
        <v>44</v>
      </c>
      <c r="C615" s="405" t="str">
        <f t="shared" si="73"/>
        <v>第006015号</v>
      </c>
      <c r="D615" s="405" t="str">
        <f t="shared" si="74"/>
        <v>八扇産業（株）</v>
      </c>
      <c r="E615" s="405" t="str">
        <f t="shared" si="75"/>
        <v>代表取締役</v>
      </c>
      <c r="F615" s="405" t="str">
        <f t="shared" si="76"/>
        <v>高橋　功治</v>
      </c>
      <c r="G615" s="405" t="str">
        <f t="shared" si="77"/>
        <v>主たる営業所</v>
      </c>
      <c r="H615" s="405" t="str">
        <f t="shared" si="78"/>
        <v>大分市大字小池原７９７－５</v>
      </c>
      <c r="L615" s="403" t="s">
        <v>8886</v>
      </c>
      <c r="M615" s="403" t="s">
        <v>8887</v>
      </c>
      <c r="N615" s="403" t="s">
        <v>2544</v>
      </c>
      <c r="O615" s="403" t="s">
        <v>7084</v>
      </c>
      <c r="P615" s="403" t="s">
        <v>2545</v>
      </c>
      <c r="Q615" s="403" t="s">
        <v>8694</v>
      </c>
      <c r="R615" s="403" t="s">
        <v>19072</v>
      </c>
      <c r="S615" s="403" t="s">
        <v>15072</v>
      </c>
      <c r="T615" s="403" t="s">
        <v>15073</v>
      </c>
      <c r="U615" s="403"/>
      <c r="V615" s="403" t="s">
        <v>23024</v>
      </c>
      <c r="W615" s="403" t="s">
        <v>23024</v>
      </c>
      <c r="X615" s="403" t="s">
        <v>23024</v>
      </c>
      <c r="Y615" s="403" t="s">
        <v>23024</v>
      </c>
    </row>
    <row r="616" spans="1:25">
      <c r="A616" s="363">
        <f t="shared" si="79"/>
        <v>615</v>
      </c>
      <c r="B616" s="363" t="str">
        <f t="shared" si="72"/>
        <v>44</v>
      </c>
      <c r="C616" s="405" t="str">
        <f t="shared" si="73"/>
        <v>第006017号</v>
      </c>
      <c r="D616" s="405" t="str">
        <f t="shared" si="74"/>
        <v>スホー電機（株）</v>
      </c>
      <c r="E616" s="405" t="str">
        <f t="shared" si="75"/>
        <v>代表取締役</v>
      </c>
      <c r="F616" s="405" t="str">
        <f t="shared" si="76"/>
        <v>半田　良助</v>
      </c>
      <c r="G616" s="405" t="str">
        <f t="shared" si="77"/>
        <v>主たる営業所</v>
      </c>
      <c r="H616" s="405" t="str">
        <f t="shared" si="78"/>
        <v>中津市８６５</v>
      </c>
      <c r="L616" s="403" t="s">
        <v>8888</v>
      </c>
      <c r="M616" s="403" t="s">
        <v>8889</v>
      </c>
      <c r="N616" s="403" t="s">
        <v>2546</v>
      </c>
      <c r="O616" s="403" t="s">
        <v>7084</v>
      </c>
      <c r="P616" s="403" t="s">
        <v>2547</v>
      </c>
      <c r="Q616" s="403" t="s">
        <v>8890</v>
      </c>
      <c r="R616" s="403" t="s">
        <v>5466</v>
      </c>
      <c r="S616" s="403" t="s">
        <v>15074</v>
      </c>
      <c r="T616" s="403" t="s">
        <v>15075</v>
      </c>
      <c r="U616" s="403"/>
      <c r="V616" s="403" t="s">
        <v>23024</v>
      </c>
      <c r="W616" s="403" t="s">
        <v>23024</v>
      </c>
      <c r="X616" s="403" t="s">
        <v>23024</v>
      </c>
      <c r="Y616" s="403" t="s">
        <v>23024</v>
      </c>
    </row>
    <row r="617" spans="1:25">
      <c r="A617" s="363">
        <f t="shared" si="79"/>
        <v>616</v>
      </c>
      <c r="B617" s="363" t="str">
        <f t="shared" si="72"/>
        <v>44</v>
      </c>
      <c r="C617" s="405" t="str">
        <f t="shared" si="73"/>
        <v>第006029号</v>
      </c>
      <c r="D617" s="405" t="str">
        <f t="shared" si="74"/>
        <v>豊拓建設工業（株）</v>
      </c>
      <c r="E617" s="405" t="str">
        <f t="shared" si="75"/>
        <v>代表取締役</v>
      </c>
      <c r="F617" s="405" t="str">
        <f t="shared" si="76"/>
        <v>稲付　和子</v>
      </c>
      <c r="G617" s="405" t="str">
        <f t="shared" si="77"/>
        <v>主たる営業所</v>
      </c>
      <c r="H617" s="405" t="str">
        <f t="shared" si="78"/>
        <v>中津市大字福島４５０－２</v>
      </c>
      <c r="L617" s="403" t="s">
        <v>8891</v>
      </c>
      <c r="M617" s="403" t="s">
        <v>8892</v>
      </c>
      <c r="N617" s="403" t="s">
        <v>2548</v>
      </c>
      <c r="O617" s="403" t="s">
        <v>7084</v>
      </c>
      <c r="P617" s="403" t="s">
        <v>2549</v>
      </c>
      <c r="Q617" s="403" t="s">
        <v>8893</v>
      </c>
      <c r="R617" s="403" t="s">
        <v>19073</v>
      </c>
      <c r="S617" s="403" t="s">
        <v>15076</v>
      </c>
      <c r="T617" s="403" t="s">
        <v>15077</v>
      </c>
      <c r="U617" s="403"/>
      <c r="V617" s="403" t="s">
        <v>23024</v>
      </c>
      <c r="W617" s="403" t="s">
        <v>23024</v>
      </c>
      <c r="X617" s="403" t="s">
        <v>23024</v>
      </c>
      <c r="Y617" s="403" t="s">
        <v>23024</v>
      </c>
    </row>
    <row r="618" spans="1:25">
      <c r="A618" s="363">
        <f t="shared" si="79"/>
        <v>617</v>
      </c>
      <c r="B618" s="363" t="str">
        <f t="shared" si="72"/>
        <v>44</v>
      </c>
      <c r="C618" s="405" t="str">
        <f t="shared" si="73"/>
        <v>第006036号</v>
      </c>
      <c r="D618" s="405" t="str">
        <f t="shared" si="74"/>
        <v>伸和建設（株）</v>
      </c>
      <c r="E618" s="405" t="str">
        <f t="shared" si="75"/>
        <v>代表取締役</v>
      </c>
      <c r="F618" s="405" t="str">
        <f t="shared" si="76"/>
        <v>山本　寛泰</v>
      </c>
      <c r="G618" s="405" t="str">
        <f t="shared" si="77"/>
        <v>主たる営業所</v>
      </c>
      <c r="H618" s="405" t="str">
        <f t="shared" si="78"/>
        <v>中津市大字万田６４８－１</v>
      </c>
      <c r="L618" s="403" t="s">
        <v>8894</v>
      </c>
      <c r="M618" s="403" t="s">
        <v>8458</v>
      </c>
      <c r="N618" s="403" t="s">
        <v>2550</v>
      </c>
      <c r="O618" s="403" t="s">
        <v>7084</v>
      </c>
      <c r="P618" s="403" t="s">
        <v>2551</v>
      </c>
      <c r="Q618" s="403" t="s">
        <v>8090</v>
      </c>
      <c r="R618" s="403" t="s">
        <v>19074</v>
      </c>
      <c r="S618" s="403" t="s">
        <v>15078</v>
      </c>
      <c r="T618" s="403" t="s">
        <v>15079</v>
      </c>
      <c r="U618" s="403"/>
      <c r="V618" s="403" t="s">
        <v>23024</v>
      </c>
      <c r="W618" s="403" t="s">
        <v>23024</v>
      </c>
      <c r="X618" s="403" t="s">
        <v>23024</v>
      </c>
      <c r="Y618" s="403" t="s">
        <v>23024</v>
      </c>
    </row>
    <row r="619" spans="1:25">
      <c r="A619" s="363">
        <f t="shared" si="79"/>
        <v>618</v>
      </c>
      <c r="B619" s="363" t="str">
        <f t="shared" si="72"/>
        <v>44</v>
      </c>
      <c r="C619" s="405" t="str">
        <f t="shared" si="73"/>
        <v>第006058号</v>
      </c>
      <c r="D619" s="405" t="str">
        <f t="shared" si="74"/>
        <v>（有）中津ガーデン</v>
      </c>
      <c r="E619" s="405" t="str">
        <f t="shared" si="75"/>
        <v>取締役</v>
      </c>
      <c r="F619" s="405" t="str">
        <f t="shared" si="76"/>
        <v>前津　陽一</v>
      </c>
      <c r="G619" s="405" t="str">
        <f t="shared" si="77"/>
        <v>主たる営業所</v>
      </c>
      <c r="H619" s="405" t="str">
        <f t="shared" si="78"/>
        <v>中津市大字今津９９３</v>
      </c>
      <c r="L619" s="403" t="s">
        <v>8895</v>
      </c>
      <c r="M619" s="403" t="s">
        <v>8896</v>
      </c>
      <c r="N619" s="403" t="s">
        <v>2552</v>
      </c>
      <c r="O619" s="403" t="s">
        <v>7085</v>
      </c>
      <c r="P619" s="403" t="s">
        <v>2553</v>
      </c>
      <c r="Q619" s="403" t="s">
        <v>8897</v>
      </c>
      <c r="R619" s="403" t="s">
        <v>5467</v>
      </c>
      <c r="S619" s="403" t="s">
        <v>15080</v>
      </c>
      <c r="T619" s="403" t="s">
        <v>15080</v>
      </c>
      <c r="U619" s="403"/>
      <c r="V619" s="403" t="s">
        <v>23024</v>
      </c>
      <c r="W619" s="403" t="s">
        <v>23024</v>
      </c>
      <c r="X619" s="403" t="s">
        <v>23024</v>
      </c>
      <c r="Y619" s="403" t="s">
        <v>23024</v>
      </c>
    </row>
    <row r="620" spans="1:25">
      <c r="A620" s="363">
        <f t="shared" si="79"/>
        <v>619</v>
      </c>
      <c r="B620" s="363" t="str">
        <f t="shared" si="72"/>
        <v>44</v>
      </c>
      <c r="C620" s="405" t="str">
        <f t="shared" si="73"/>
        <v>第006061号</v>
      </c>
      <c r="D620" s="405" t="str">
        <f t="shared" si="74"/>
        <v>（株）久保組</v>
      </c>
      <c r="E620" s="405" t="str">
        <f t="shared" si="75"/>
        <v>代表取締役</v>
      </c>
      <c r="F620" s="405" t="str">
        <f t="shared" si="76"/>
        <v>久保　幸宏</v>
      </c>
      <c r="G620" s="405" t="str">
        <f t="shared" si="77"/>
        <v>主たる営業所</v>
      </c>
      <c r="H620" s="405" t="str">
        <f t="shared" si="78"/>
        <v>中津市本耶馬渓町跡田４６１－１</v>
      </c>
      <c r="L620" s="403" t="s">
        <v>8898</v>
      </c>
      <c r="M620" s="403" t="s">
        <v>8899</v>
      </c>
      <c r="N620" s="403" t="s">
        <v>2554</v>
      </c>
      <c r="O620" s="403" t="s">
        <v>7084</v>
      </c>
      <c r="P620" s="403" t="s">
        <v>2555</v>
      </c>
      <c r="Q620" s="403" t="s">
        <v>8900</v>
      </c>
      <c r="R620" s="403" t="s">
        <v>19075</v>
      </c>
      <c r="S620" s="403" t="s">
        <v>15081</v>
      </c>
      <c r="T620" s="403" t="s">
        <v>15082</v>
      </c>
      <c r="U620" s="403"/>
      <c r="V620" s="403" t="s">
        <v>23024</v>
      </c>
      <c r="W620" s="403" t="s">
        <v>23024</v>
      </c>
      <c r="X620" s="403" t="s">
        <v>23024</v>
      </c>
      <c r="Y620" s="403" t="s">
        <v>23024</v>
      </c>
    </row>
    <row r="621" spans="1:25">
      <c r="A621" s="363">
        <f t="shared" si="79"/>
        <v>620</v>
      </c>
      <c r="B621" s="363" t="str">
        <f t="shared" si="72"/>
        <v>44</v>
      </c>
      <c r="C621" s="405" t="str">
        <f t="shared" si="73"/>
        <v>第006078号</v>
      </c>
      <c r="D621" s="405" t="str">
        <f t="shared" si="74"/>
        <v>（株）平原組</v>
      </c>
      <c r="E621" s="405" t="str">
        <f t="shared" si="75"/>
        <v>代表取締役</v>
      </c>
      <c r="F621" s="405" t="str">
        <f t="shared" si="76"/>
        <v>恵良　義則</v>
      </c>
      <c r="G621" s="405" t="str">
        <f t="shared" si="77"/>
        <v>主たる営業所</v>
      </c>
      <c r="H621" s="405" t="str">
        <f t="shared" si="78"/>
        <v>中津市本耶馬渓町跡田１３－８</v>
      </c>
      <c r="L621" s="403" t="s">
        <v>8901</v>
      </c>
      <c r="M621" s="403" t="s">
        <v>8902</v>
      </c>
      <c r="N621" s="403" t="s">
        <v>2556</v>
      </c>
      <c r="O621" s="403" t="s">
        <v>7084</v>
      </c>
      <c r="P621" s="403" t="s">
        <v>2557</v>
      </c>
      <c r="Q621" s="403" t="s">
        <v>8900</v>
      </c>
      <c r="R621" s="403" t="s">
        <v>19076</v>
      </c>
      <c r="S621" s="403" t="s">
        <v>15083</v>
      </c>
      <c r="T621" s="403" t="s">
        <v>15084</v>
      </c>
      <c r="U621" s="403"/>
      <c r="V621" s="403" t="s">
        <v>23024</v>
      </c>
      <c r="W621" s="403" t="s">
        <v>23024</v>
      </c>
      <c r="X621" s="403" t="s">
        <v>23024</v>
      </c>
      <c r="Y621" s="403" t="s">
        <v>23024</v>
      </c>
    </row>
    <row r="622" spans="1:25">
      <c r="A622" s="363">
        <f t="shared" si="79"/>
        <v>621</v>
      </c>
      <c r="B622" s="363" t="str">
        <f t="shared" si="72"/>
        <v>44</v>
      </c>
      <c r="C622" s="405" t="str">
        <f t="shared" si="73"/>
        <v>第006081号</v>
      </c>
      <c r="D622" s="405" t="str">
        <f t="shared" si="74"/>
        <v>（株）大賀建設</v>
      </c>
      <c r="E622" s="405" t="str">
        <f t="shared" si="75"/>
        <v>代表取締役</v>
      </c>
      <c r="F622" s="405" t="str">
        <f t="shared" si="76"/>
        <v>大賀　重毅</v>
      </c>
      <c r="G622" s="405" t="str">
        <f t="shared" si="77"/>
        <v>主たる営業所</v>
      </c>
      <c r="H622" s="405" t="str">
        <f t="shared" si="78"/>
        <v>中津市大字角木１４９－２</v>
      </c>
      <c r="L622" s="403" t="s">
        <v>8903</v>
      </c>
      <c r="M622" s="403" t="s">
        <v>8904</v>
      </c>
      <c r="N622" s="403" t="s">
        <v>2558</v>
      </c>
      <c r="O622" s="403" t="s">
        <v>7084</v>
      </c>
      <c r="P622" s="403" t="s">
        <v>2559</v>
      </c>
      <c r="Q622" s="403" t="s">
        <v>8905</v>
      </c>
      <c r="R622" s="403" t="s">
        <v>19077</v>
      </c>
      <c r="S622" s="403" t="s">
        <v>15085</v>
      </c>
      <c r="T622" s="403" t="s">
        <v>15086</v>
      </c>
      <c r="U622" s="403"/>
      <c r="V622" s="403" t="s">
        <v>23024</v>
      </c>
      <c r="W622" s="403" t="s">
        <v>23024</v>
      </c>
      <c r="X622" s="403" t="s">
        <v>23024</v>
      </c>
      <c r="Y622" s="403" t="s">
        <v>23024</v>
      </c>
    </row>
    <row r="623" spans="1:25">
      <c r="A623" s="363">
        <f t="shared" si="79"/>
        <v>622</v>
      </c>
      <c r="B623" s="363" t="str">
        <f t="shared" si="72"/>
        <v>44</v>
      </c>
      <c r="C623" s="405" t="str">
        <f t="shared" si="73"/>
        <v>第006088号</v>
      </c>
      <c r="D623" s="405" t="str">
        <f t="shared" si="74"/>
        <v>（株）修身建機</v>
      </c>
      <c r="E623" s="405" t="str">
        <f t="shared" si="75"/>
        <v>代表取締役</v>
      </c>
      <c r="F623" s="405" t="str">
        <f t="shared" si="76"/>
        <v>宇土　修身</v>
      </c>
      <c r="G623" s="405" t="str">
        <f t="shared" si="77"/>
        <v>主たる営業所</v>
      </c>
      <c r="H623" s="405" t="str">
        <f t="shared" si="78"/>
        <v>中津市耶馬溪町大字宮園４７６－４</v>
      </c>
      <c r="L623" s="403" t="s">
        <v>8906</v>
      </c>
      <c r="M623" s="403" t="s">
        <v>8907</v>
      </c>
      <c r="N623" s="403" t="s">
        <v>2560</v>
      </c>
      <c r="O623" s="403" t="s">
        <v>7084</v>
      </c>
      <c r="P623" s="403" t="s">
        <v>2561</v>
      </c>
      <c r="Q623" s="403" t="s">
        <v>8908</v>
      </c>
      <c r="R623" s="403" t="s">
        <v>19078</v>
      </c>
      <c r="S623" s="403" t="s">
        <v>15087</v>
      </c>
      <c r="T623" s="403" t="s">
        <v>15088</v>
      </c>
      <c r="U623" s="403"/>
      <c r="V623" s="403" t="s">
        <v>23024</v>
      </c>
      <c r="W623" s="403" t="s">
        <v>23024</v>
      </c>
      <c r="X623" s="403" t="s">
        <v>23024</v>
      </c>
      <c r="Y623" s="403" t="s">
        <v>23024</v>
      </c>
    </row>
    <row r="624" spans="1:25">
      <c r="A624" s="363">
        <f t="shared" si="79"/>
        <v>623</v>
      </c>
      <c r="B624" s="363" t="str">
        <f t="shared" si="72"/>
        <v>44</v>
      </c>
      <c r="C624" s="405" t="str">
        <f t="shared" si="73"/>
        <v>第006097号</v>
      </c>
      <c r="D624" s="405" t="str">
        <f t="shared" si="74"/>
        <v>（株）三好冷暖房</v>
      </c>
      <c r="E624" s="405" t="str">
        <f t="shared" si="75"/>
        <v>代表取締役</v>
      </c>
      <c r="F624" s="405" t="str">
        <f t="shared" si="76"/>
        <v>正路　鉄治</v>
      </c>
      <c r="G624" s="405" t="str">
        <f t="shared" si="77"/>
        <v>主たる営業所</v>
      </c>
      <c r="H624" s="405" t="str">
        <f t="shared" si="78"/>
        <v>中津市大字植野５１８－１</v>
      </c>
      <c r="L624" s="403" t="s">
        <v>8909</v>
      </c>
      <c r="M624" s="403" t="s">
        <v>8910</v>
      </c>
      <c r="N624" s="403" t="s">
        <v>2562</v>
      </c>
      <c r="O624" s="403" t="s">
        <v>7084</v>
      </c>
      <c r="P624" s="403" t="s">
        <v>2563</v>
      </c>
      <c r="Q624" s="403" t="s">
        <v>8911</v>
      </c>
      <c r="R624" s="403" t="s">
        <v>19079</v>
      </c>
      <c r="S624" s="403" t="s">
        <v>15089</v>
      </c>
      <c r="T624" s="403" t="s">
        <v>15090</v>
      </c>
      <c r="U624" s="403"/>
      <c r="V624" s="403" t="s">
        <v>23024</v>
      </c>
      <c r="W624" s="403" t="s">
        <v>23024</v>
      </c>
      <c r="X624" s="403" t="s">
        <v>23024</v>
      </c>
      <c r="Y624" s="403" t="s">
        <v>23024</v>
      </c>
    </row>
    <row r="625" spans="1:25">
      <c r="A625" s="363">
        <f t="shared" si="79"/>
        <v>624</v>
      </c>
      <c r="B625" s="363" t="str">
        <f t="shared" si="72"/>
        <v>44</v>
      </c>
      <c r="C625" s="405" t="str">
        <f t="shared" si="73"/>
        <v>第006102号</v>
      </c>
      <c r="D625" s="405" t="str">
        <f t="shared" si="74"/>
        <v>（有）一丸建設</v>
      </c>
      <c r="E625" s="405" t="str">
        <f t="shared" si="75"/>
        <v>代表取締役</v>
      </c>
      <c r="F625" s="405" t="str">
        <f t="shared" si="76"/>
        <v>一丸　恒修</v>
      </c>
      <c r="G625" s="405" t="str">
        <f t="shared" si="77"/>
        <v>主たる営業所</v>
      </c>
      <c r="H625" s="405" t="str">
        <f t="shared" si="78"/>
        <v>東国東郡姫島村２３３７－２８</v>
      </c>
      <c r="L625" s="403" t="s">
        <v>8912</v>
      </c>
      <c r="M625" s="403" t="s">
        <v>8913</v>
      </c>
      <c r="N625" s="403" t="s">
        <v>2564</v>
      </c>
      <c r="O625" s="403" t="s">
        <v>7084</v>
      </c>
      <c r="P625" s="403" t="s">
        <v>2565</v>
      </c>
      <c r="Q625" s="403" t="s">
        <v>7706</v>
      </c>
      <c r="R625" s="403" t="s">
        <v>19080</v>
      </c>
      <c r="S625" s="403" t="s">
        <v>15091</v>
      </c>
      <c r="T625" s="403" t="s">
        <v>15092</v>
      </c>
      <c r="U625" s="403"/>
      <c r="V625" s="403" t="s">
        <v>23024</v>
      </c>
      <c r="W625" s="403" t="s">
        <v>23024</v>
      </c>
      <c r="X625" s="403" t="s">
        <v>23024</v>
      </c>
      <c r="Y625" s="403" t="s">
        <v>23024</v>
      </c>
    </row>
    <row r="626" spans="1:25">
      <c r="A626" s="363">
        <f t="shared" si="79"/>
        <v>625</v>
      </c>
      <c r="B626" s="363" t="str">
        <f t="shared" si="72"/>
        <v>44</v>
      </c>
      <c r="C626" s="405" t="str">
        <f t="shared" si="73"/>
        <v>第006104号</v>
      </c>
      <c r="D626" s="405" t="str">
        <f t="shared" si="74"/>
        <v>（有）堀田産業</v>
      </c>
      <c r="E626" s="405" t="str">
        <f t="shared" si="75"/>
        <v>代表取締役</v>
      </c>
      <c r="F626" s="405" t="str">
        <f t="shared" si="76"/>
        <v>堀田　和利</v>
      </c>
      <c r="G626" s="405" t="str">
        <f t="shared" si="77"/>
        <v>主たる営業所</v>
      </c>
      <c r="H626" s="405" t="str">
        <f t="shared" si="78"/>
        <v>国東市国見町櫛海１５４－１</v>
      </c>
      <c r="L626" s="403" t="s">
        <v>8914</v>
      </c>
      <c r="M626" s="403" t="s">
        <v>8915</v>
      </c>
      <c r="N626" s="403" t="s">
        <v>2566</v>
      </c>
      <c r="O626" s="403" t="s">
        <v>7084</v>
      </c>
      <c r="P626" s="403" t="s">
        <v>2567</v>
      </c>
      <c r="Q626" s="403" t="s">
        <v>8916</v>
      </c>
      <c r="R626" s="403" t="s">
        <v>19081</v>
      </c>
      <c r="S626" s="403" t="s">
        <v>15093</v>
      </c>
      <c r="T626" s="403" t="s">
        <v>15094</v>
      </c>
      <c r="U626" s="403"/>
      <c r="V626" s="403" t="s">
        <v>23024</v>
      </c>
      <c r="W626" s="403" t="s">
        <v>23024</v>
      </c>
      <c r="X626" s="403" t="s">
        <v>23024</v>
      </c>
      <c r="Y626" s="403" t="s">
        <v>23024</v>
      </c>
    </row>
    <row r="627" spans="1:25">
      <c r="A627" s="363">
        <f t="shared" si="79"/>
        <v>626</v>
      </c>
      <c r="B627" s="363" t="str">
        <f t="shared" si="72"/>
        <v>44</v>
      </c>
      <c r="C627" s="405" t="str">
        <f t="shared" si="73"/>
        <v>第006113号</v>
      </c>
      <c r="D627" s="405" t="str">
        <f t="shared" si="74"/>
        <v>国東半島設備（有）</v>
      </c>
      <c r="E627" s="405" t="str">
        <f t="shared" si="75"/>
        <v>代表取締役</v>
      </c>
      <c r="F627" s="405" t="str">
        <f t="shared" si="76"/>
        <v>木村　茂利</v>
      </c>
      <c r="G627" s="405" t="str">
        <f t="shared" si="77"/>
        <v>主たる営業所</v>
      </c>
      <c r="H627" s="405" t="str">
        <f t="shared" si="78"/>
        <v>杵築市大字猪尾字井手下７０３</v>
      </c>
      <c r="L627" s="403" t="s">
        <v>8917</v>
      </c>
      <c r="M627" s="403" t="s">
        <v>8918</v>
      </c>
      <c r="N627" s="403" t="s">
        <v>2568</v>
      </c>
      <c r="O627" s="403" t="s">
        <v>7084</v>
      </c>
      <c r="P627" s="403" t="s">
        <v>19082</v>
      </c>
      <c r="Q627" s="403" t="s">
        <v>8395</v>
      </c>
      <c r="R627" s="403" t="s">
        <v>5468</v>
      </c>
      <c r="S627" s="403" t="s">
        <v>15095</v>
      </c>
      <c r="T627" s="403">
        <v>0</v>
      </c>
      <c r="U627" s="403"/>
      <c r="V627" s="403" t="s">
        <v>23024</v>
      </c>
      <c r="W627" s="403" t="s">
        <v>23024</v>
      </c>
      <c r="X627" s="403" t="s">
        <v>23024</v>
      </c>
      <c r="Y627" s="403" t="s">
        <v>23024</v>
      </c>
    </row>
    <row r="628" spans="1:25">
      <c r="A628" s="363">
        <f t="shared" si="79"/>
        <v>627</v>
      </c>
      <c r="B628" s="363" t="str">
        <f t="shared" si="72"/>
        <v>44</v>
      </c>
      <c r="C628" s="405" t="str">
        <f t="shared" si="73"/>
        <v>第006126号</v>
      </c>
      <c r="D628" s="405" t="str">
        <f t="shared" si="74"/>
        <v>（有）後藤商会</v>
      </c>
      <c r="E628" s="405" t="str">
        <f t="shared" si="75"/>
        <v>代表取締役</v>
      </c>
      <c r="F628" s="405" t="str">
        <f t="shared" si="76"/>
        <v>高橋　久一</v>
      </c>
      <c r="G628" s="405" t="str">
        <f t="shared" si="77"/>
        <v>主たる営業所</v>
      </c>
      <c r="H628" s="405" t="str">
        <f t="shared" si="78"/>
        <v>国東市国東町安国寺７０３</v>
      </c>
      <c r="L628" s="403" t="s">
        <v>8919</v>
      </c>
      <c r="M628" s="403" t="s">
        <v>8920</v>
      </c>
      <c r="N628" s="403" t="s">
        <v>2570</v>
      </c>
      <c r="O628" s="403" t="s">
        <v>7084</v>
      </c>
      <c r="P628" s="403" t="s">
        <v>2571</v>
      </c>
      <c r="Q628" s="403" t="s">
        <v>8921</v>
      </c>
      <c r="R628" s="403" t="s">
        <v>5469</v>
      </c>
      <c r="S628" s="403" t="s">
        <v>15096</v>
      </c>
      <c r="T628" s="403" t="s">
        <v>15097</v>
      </c>
      <c r="U628" s="403"/>
      <c r="V628" s="403" t="s">
        <v>23024</v>
      </c>
      <c r="W628" s="403" t="s">
        <v>23024</v>
      </c>
      <c r="X628" s="403" t="s">
        <v>23024</v>
      </c>
      <c r="Y628" s="403" t="s">
        <v>23024</v>
      </c>
    </row>
    <row r="629" spans="1:25">
      <c r="A629" s="363">
        <f t="shared" si="79"/>
        <v>628</v>
      </c>
      <c r="B629" s="363" t="str">
        <f t="shared" si="72"/>
        <v>44</v>
      </c>
      <c r="C629" s="405" t="str">
        <f t="shared" si="73"/>
        <v>第006135号</v>
      </c>
      <c r="D629" s="405" t="str">
        <f t="shared" si="74"/>
        <v>（有）甲原組</v>
      </c>
      <c r="E629" s="405" t="str">
        <f t="shared" si="75"/>
        <v>代表取締役</v>
      </c>
      <c r="F629" s="405" t="str">
        <f t="shared" si="76"/>
        <v>三浦　秀治</v>
      </c>
      <c r="G629" s="405" t="str">
        <f t="shared" si="77"/>
        <v>主たる営業所</v>
      </c>
      <c r="H629" s="405" t="str">
        <f t="shared" si="78"/>
        <v>国東市国東町田深１２２３－３</v>
      </c>
      <c r="L629" s="403" t="s">
        <v>8922</v>
      </c>
      <c r="M629" s="403" t="s">
        <v>8923</v>
      </c>
      <c r="N629" s="403" t="s">
        <v>2572</v>
      </c>
      <c r="O629" s="403" t="s">
        <v>7084</v>
      </c>
      <c r="P629" s="403" t="s">
        <v>2573</v>
      </c>
      <c r="Q629" s="403" t="s">
        <v>7700</v>
      </c>
      <c r="R629" s="403" t="s">
        <v>19083</v>
      </c>
      <c r="S629" s="403" t="s">
        <v>15098</v>
      </c>
      <c r="T629" s="403" t="s">
        <v>15099</v>
      </c>
      <c r="U629" s="403"/>
      <c r="V629" s="403" t="s">
        <v>23024</v>
      </c>
      <c r="W629" s="403" t="s">
        <v>23024</v>
      </c>
      <c r="X629" s="403" t="s">
        <v>23024</v>
      </c>
      <c r="Y629" s="403" t="s">
        <v>23024</v>
      </c>
    </row>
    <row r="630" spans="1:25">
      <c r="A630" s="363">
        <f t="shared" si="79"/>
        <v>629</v>
      </c>
      <c r="B630" s="363" t="str">
        <f t="shared" si="72"/>
        <v>44</v>
      </c>
      <c r="C630" s="405" t="str">
        <f t="shared" si="73"/>
        <v>第006136号</v>
      </c>
      <c r="D630" s="405" t="str">
        <f t="shared" si="74"/>
        <v>（有）安部組</v>
      </c>
      <c r="E630" s="405" t="str">
        <f t="shared" si="75"/>
        <v>代表取締役</v>
      </c>
      <c r="F630" s="405" t="str">
        <f t="shared" si="76"/>
        <v>御手洗　政幸</v>
      </c>
      <c r="G630" s="405" t="str">
        <f t="shared" si="77"/>
        <v>主たる営業所</v>
      </c>
      <c r="H630" s="405" t="str">
        <f t="shared" si="78"/>
        <v>国東市国東町田深９１５－１</v>
      </c>
      <c r="L630" s="403" t="s">
        <v>8924</v>
      </c>
      <c r="M630" s="403" t="s">
        <v>7621</v>
      </c>
      <c r="N630" s="403" t="s">
        <v>2050</v>
      </c>
      <c r="O630" s="403" t="s">
        <v>7084</v>
      </c>
      <c r="P630" s="403" t="s">
        <v>2574</v>
      </c>
      <c r="Q630" s="403" t="s">
        <v>7700</v>
      </c>
      <c r="R630" s="403" t="s">
        <v>19084</v>
      </c>
      <c r="S630" s="403" t="s">
        <v>15100</v>
      </c>
      <c r="T630" s="403" t="s">
        <v>15101</v>
      </c>
      <c r="U630" s="403"/>
      <c r="V630" s="403" t="s">
        <v>23024</v>
      </c>
      <c r="W630" s="403" t="s">
        <v>23024</v>
      </c>
      <c r="X630" s="403" t="s">
        <v>23024</v>
      </c>
      <c r="Y630" s="403" t="s">
        <v>23024</v>
      </c>
    </row>
    <row r="631" spans="1:25">
      <c r="A631" s="363">
        <f t="shared" si="79"/>
        <v>630</v>
      </c>
      <c r="B631" s="363" t="str">
        <f t="shared" si="72"/>
        <v>44</v>
      </c>
      <c r="C631" s="405" t="str">
        <f t="shared" si="73"/>
        <v>第006139号</v>
      </c>
      <c r="D631" s="405" t="str">
        <f t="shared" si="74"/>
        <v>国見興産（有）</v>
      </c>
      <c r="E631" s="405" t="str">
        <f t="shared" si="75"/>
        <v>代表取締役</v>
      </c>
      <c r="F631" s="405" t="str">
        <f t="shared" si="76"/>
        <v>野田　宏</v>
      </c>
      <c r="G631" s="405" t="str">
        <f t="shared" si="77"/>
        <v>主たる営業所</v>
      </c>
      <c r="H631" s="405" t="str">
        <f t="shared" si="78"/>
        <v>国東市国見町野田１５０５</v>
      </c>
      <c r="L631" s="404" t="s">
        <v>8925</v>
      </c>
      <c r="M631" s="404" t="s">
        <v>8926</v>
      </c>
      <c r="N631" s="404" t="s">
        <v>2575</v>
      </c>
      <c r="O631" s="404" t="s">
        <v>7084</v>
      </c>
      <c r="P631" s="404" t="s">
        <v>2576</v>
      </c>
      <c r="Q631" s="404" t="s">
        <v>7712</v>
      </c>
      <c r="R631" s="404" t="s">
        <v>5470</v>
      </c>
      <c r="S631" s="404" t="s">
        <v>15102</v>
      </c>
      <c r="T631" s="404" t="s">
        <v>15103</v>
      </c>
      <c r="U631" s="404"/>
      <c r="V631" s="404" t="s">
        <v>23024</v>
      </c>
      <c r="W631" s="404" t="s">
        <v>23024</v>
      </c>
      <c r="X631" s="404" t="s">
        <v>23024</v>
      </c>
      <c r="Y631" s="404" t="s">
        <v>23024</v>
      </c>
    </row>
    <row r="632" spans="1:25">
      <c r="A632" s="363">
        <f t="shared" si="79"/>
        <v>631</v>
      </c>
      <c r="B632" s="363" t="str">
        <f t="shared" si="72"/>
        <v>44</v>
      </c>
      <c r="C632" s="405" t="str">
        <f t="shared" si="73"/>
        <v>第006141号</v>
      </c>
      <c r="D632" s="405" t="str">
        <f t="shared" si="74"/>
        <v>（有）川田電気商会</v>
      </c>
      <c r="E632" s="405" t="str">
        <f t="shared" si="75"/>
        <v>代表取締役</v>
      </c>
      <c r="F632" s="405" t="str">
        <f t="shared" si="76"/>
        <v>川田　鉄也</v>
      </c>
      <c r="G632" s="405" t="str">
        <f t="shared" si="77"/>
        <v>主たる営業所</v>
      </c>
      <c r="H632" s="405" t="str">
        <f t="shared" si="78"/>
        <v>国東市安岐町瀬戸田１０４４－２</v>
      </c>
      <c r="L632" s="402" t="s">
        <v>8927</v>
      </c>
      <c r="M632" s="402" t="s">
        <v>8928</v>
      </c>
      <c r="N632" s="402" t="s">
        <v>2577</v>
      </c>
      <c r="O632" s="402" t="s">
        <v>7084</v>
      </c>
      <c r="P632" s="402" t="s">
        <v>2578</v>
      </c>
      <c r="Q632" s="402" t="s">
        <v>8929</v>
      </c>
      <c r="R632" s="402" t="s">
        <v>19085</v>
      </c>
      <c r="S632" s="402" t="s">
        <v>15104</v>
      </c>
      <c r="T632" s="402" t="s">
        <v>15105</v>
      </c>
      <c r="U632" s="402"/>
      <c r="V632" s="402" t="s">
        <v>23024</v>
      </c>
      <c r="W632" s="402" t="s">
        <v>23024</v>
      </c>
      <c r="X632" s="402" t="s">
        <v>23024</v>
      </c>
      <c r="Y632" s="402" t="s">
        <v>23024</v>
      </c>
    </row>
    <row r="633" spans="1:25">
      <c r="A633" s="363">
        <f t="shared" si="79"/>
        <v>632</v>
      </c>
      <c r="B633" s="363" t="str">
        <f t="shared" si="72"/>
        <v>44</v>
      </c>
      <c r="C633" s="405" t="str">
        <f t="shared" si="73"/>
        <v>第006142号</v>
      </c>
      <c r="D633" s="405" t="str">
        <f t="shared" si="74"/>
        <v>（株）宮迫重機</v>
      </c>
      <c r="E633" s="405" t="str">
        <f t="shared" si="75"/>
        <v>代表取締役</v>
      </c>
      <c r="F633" s="405" t="str">
        <f t="shared" si="76"/>
        <v>宮迫　俊一</v>
      </c>
      <c r="G633" s="405" t="str">
        <f t="shared" si="77"/>
        <v>主たる営業所</v>
      </c>
      <c r="H633" s="405" t="str">
        <f t="shared" si="78"/>
        <v>国東市武蔵町糸原２５３５</v>
      </c>
      <c r="L633" s="403" t="s">
        <v>8930</v>
      </c>
      <c r="M633" s="403" t="s">
        <v>8931</v>
      </c>
      <c r="N633" s="403" t="s">
        <v>2579</v>
      </c>
      <c r="O633" s="403" t="s">
        <v>7084</v>
      </c>
      <c r="P633" s="403" t="s">
        <v>2580</v>
      </c>
      <c r="Q633" s="403" t="s">
        <v>7416</v>
      </c>
      <c r="R633" s="403" t="s">
        <v>5362</v>
      </c>
      <c r="S633" s="403" t="s">
        <v>15106</v>
      </c>
      <c r="T633" s="403" t="s">
        <v>14202</v>
      </c>
      <c r="U633" s="403"/>
      <c r="V633" s="403" t="s">
        <v>23024</v>
      </c>
      <c r="W633" s="403" t="s">
        <v>23024</v>
      </c>
      <c r="X633" s="403" t="s">
        <v>23024</v>
      </c>
      <c r="Y633" s="403" t="s">
        <v>23024</v>
      </c>
    </row>
    <row r="634" spans="1:25">
      <c r="A634" s="363">
        <f t="shared" si="79"/>
        <v>633</v>
      </c>
      <c r="B634" s="363" t="str">
        <f t="shared" si="72"/>
        <v>44</v>
      </c>
      <c r="C634" s="405" t="str">
        <f t="shared" si="73"/>
        <v>第006149号</v>
      </c>
      <c r="D634" s="405" t="str">
        <f t="shared" si="74"/>
        <v>宇都宮建設（有）</v>
      </c>
      <c r="E634" s="405" t="str">
        <f t="shared" si="75"/>
        <v>代表取締役</v>
      </c>
      <c r="F634" s="405" t="str">
        <f t="shared" si="76"/>
        <v>大城　貴之</v>
      </c>
      <c r="G634" s="405" t="str">
        <f t="shared" si="77"/>
        <v>主たる営業所</v>
      </c>
      <c r="H634" s="405" t="str">
        <f t="shared" si="78"/>
        <v>国東市安岐町中園４３０－１</v>
      </c>
      <c r="L634" s="403" t="s">
        <v>8932</v>
      </c>
      <c r="M634" s="403" t="s">
        <v>8933</v>
      </c>
      <c r="N634" s="403" t="s">
        <v>2581</v>
      </c>
      <c r="O634" s="403" t="s">
        <v>7084</v>
      </c>
      <c r="P634" s="403" t="s">
        <v>4979</v>
      </c>
      <c r="Q634" s="403" t="s">
        <v>8934</v>
      </c>
      <c r="R634" s="403" t="s">
        <v>19086</v>
      </c>
      <c r="S634" s="403" t="s">
        <v>15107</v>
      </c>
      <c r="T634" s="403" t="s">
        <v>15108</v>
      </c>
      <c r="U634" s="403"/>
      <c r="V634" s="403" t="s">
        <v>23024</v>
      </c>
      <c r="W634" s="403" t="s">
        <v>23024</v>
      </c>
      <c r="X634" s="403" t="s">
        <v>23024</v>
      </c>
      <c r="Y634" s="403" t="s">
        <v>23024</v>
      </c>
    </row>
    <row r="635" spans="1:25">
      <c r="A635" s="363">
        <f t="shared" si="79"/>
        <v>634</v>
      </c>
      <c r="B635" s="363" t="str">
        <f t="shared" si="72"/>
        <v>44</v>
      </c>
      <c r="C635" s="405" t="str">
        <f t="shared" si="73"/>
        <v>第006160号</v>
      </c>
      <c r="D635" s="405" t="str">
        <f t="shared" si="74"/>
        <v>（有）田原建設</v>
      </c>
      <c r="E635" s="405" t="str">
        <f t="shared" si="75"/>
        <v>代表取締役</v>
      </c>
      <c r="F635" s="405" t="str">
        <f t="shared" si="76"/>
        <v>田原　暢之</v>
      </c>
      <c r="G635" s="405" t="str">
        <f t="shared" si="77"/>
        <v>主たる営業所</v>
      </c>
      <c r="H635" s="405" t="str">
        <f t="shared" si="78"/>
        <v>国東市安岐町瀬戸田１２５１－３</v>
      </c>
      <c r="L635" s="403" t="s">
        <v>8935</v>
      </c>
      <c r="M635" s="403" t="s">
        <v>8936</v>
      </c>
      <c r="N635" s="403" t="s">
        <v>2582</v>
      </c>
      <c r="O635" s="403" t="s">
        <v>7084</v>
      </c>
      <c r="P635" s="403" t="s">
        <v>2583</v>
      </c>
      <c r="Q635" s="403" t="s">
        <v>8929</v>
      </c>
      <c r="R635" s="403" t="s">
        <v>19087</v>
      </c>
      <c r="S635" s="403" t="s">
        <v>15109</v>
      </c>
      <c r="T635" s="403" t="s">
        <v>15110</v>
      </c>
      <c r="U635" s="403"/>
      <c r="V635" s="403" t="s">
        <v>23024</v>
      </c>
      <c r="W635" s="403" t="s">
        <v>23024</v>
      </c>
      <c r="X635" s="403" t="s">
        <v>23024</v>
      </c>
      <c r="Y635" s="403" t="s">
        <v>23024</v>
      </c>
    </row>
    <row r="636" spans="1:25">
      <c r="A636" s="363">
        <f t="shared" si="79"/>
        <v>635</v>
      </c>
      <c r="B636" s="363" t="str">
        <f t="shared" si="72"/>
        <v>44</v>
      </c>
      <c r="C636" s="405" t="str">
        <f t="shared" si="73"/>
        <v>第006169号</v>
      </c>
      <c r="D636" s="405" t="str">
        <f t="shared" si="74"/>
        <v>（有）国東建設</v>
      </c>
      <c r="E636" s="405" t="str">
        <f t="shared" si="75"/>
        <v>代表取締役</v>
      </c>
      <c r="F636" s="405" t="str">
        <f t="shared" si="76"/>
        <v>北村　豊博</v>
      </c>
      <c r="G636" s="405" t="str">
        <f t="shared" si="77"/>
        <v>主たる営業所</v>
      </c>
      <c r="H636" s="405" t="str">
        <f t="shared" si="78"/>
        <v>国東市国東町安国寺９１６</v>
      </c>
      <c r="L636" s="403" t="s">
        <v>8937</v>
      </c>
      <c r="M636" s="403" t="s">
        <v>8938</v>
      </c>
      <c r="N636" s="403" t="s">
        <v>2584</v>
      </c>
      <c r="O636" s="403" t="s">
        <v>7084</v>
      </c>
      <c r="P636" s="403" t="s">
        <v>2585</v>
      </c>
      <c r="Q636" s="403" t="s">
        <v>8921</v>
      </c>
      <c r="R636" s="403" t="s">
        <v>5471</v>
      </c>
      <c r="S636" s="403" t="s">
        <v>15111</v>
      </c>
      <c r="T636" s="403" t="s">
        <v>15112</v>
      </c>
      <c r="U636" s="403"/>
      <c r="V636" s="403" t="s">
        <v>23024</v>
      </c>
      <c r="W636" s="403" t="s">
        <v>23024</v>
      </c>
      <c r="X636" s="403" t="s">
        <v>23024</v>
      </c>
      <c r="Y636" s="403" t="s">
        <v>23024</v>
      </c>
    </row>
    <row r="637" spans="1:25">
      <c r="A637" s="363">
        <f t="shared" si="79"/>
        <v>636</v>
      </c>
      <c r="B637" s="363" t="str">
        <f t="shared" si="72"/>
        <v>44</v>
      </c>
      <c r="C637" s="405" t="str">
        <f t="shared" si="73"/>
        <v>第006175号</v>
      </c>
      <c r="D637" s="405" t="str">
        <f t="shared" si="74"/>
        <v>（有）山崎建設工業</v>
      </c>
      <c r="E637" s="405" t="str">
        <f t="shared" si="75"/>
        <v>取締役</v>
      </c>
      <c r="F637" s="405" t="str">
        <f t="shared" si="76"/>
        <v>山崎　陽子</v>
      </c>
      <c r="G637" s="405" t="str">
        <f t="shared" si="77"/>
        <v>主たる営業所</v>
      </c>
      <c r="H637" s="405" t="str">
        <f t="shared" si="78"/>
        <v>国東市安岐町下原３８４－２２</v>
      </c>
      <c r="L637" s="403" t="s">
        <v>8939</v>
      </c>
      <c r="M637" s="403" t="s">
        <v>8940</v>
      </c>
      <c r="N637" s="403" t="s">
        <v>2586</v>
      </c>
      <c r="O637" s="403" t="s">
        <v>7085</v>
      </c>
      <c r="P637" s="403" t="s">
        <v>2587</v>
      </c>
      <c r="Q637" s="403" t="s">
        <v>7735</v>
      </c>
      <c r="R637" s="403" t="s">
        <v>19088</v>
      </c>
      <c r="S637" s="403" t="s">
        <v>15113</v>
      </c>
      <c r="T637" s="403" t="s">
        <v>15114</v>
      </c>
      <c r="U637" s="403"/>
      <c r="V637" s="403" t="s">
        <v>23024</v>
      </c>
      <c r="W637" s="403" t="s">
        <v>23024</v>
      </c>
      <c r="X637" s="403" t="s">
        <v>23024</v>
      </c>
      <c r="Y637" s="403" t="s">
        <v>23024</v>
      </c>
    </row>
    <row r="638" spans="1:25">
      <c r="A638" s="363">
        <f t="shared" si="79"/>
        <v>637</v>
      </c>
      <c r="B638" s="363" t="str">
        <f t="shared" si="72"/>
        <v>44</v>
      </c>
      <c r="C638" s="405" t="str">
        <f t="shared" si="73"/>
        <v>第006187号</v>
      </c>
      <c r="D638" s="405" t="str">
        <f t="shared" si="74"/>
        <v>佐藤建設（株）</v>
      </c>
      <c r="E638" s="405" t="str">
        <f t="shared" si="75"/>
        <v>代表取締役</v>
      </c>
      <c r="F638" s="405" t="str">
        <f t="shared" si="76"/>
        <v>佐藤　司</v>
      </c>
      <c r="G638" s="405" t="str">
        <f t="shared" si="77"/>
        <v>主たる営業所</v>
      </c>
      <c r="H638" s="405" t="str">
        <f t="shared" si="78"/>
        <v>国東市武蔵町古市１７０－３</v>
      </c>
      <c r="L638" s="403" t="s">
        <v>8941</v>
      </c>
      <c r="M638" s="403" t="s">
        <v>8421</v>
      </c>
      <c r="N638" s="403" t="s">
        <v>2588</v>
      </c>
      <c r="O638" s="403" t="s">
        <v>7084</v>
      </c>
      <c r="P638" s="403" t="s">
        <v>2589</v>
      </c>
      <c r="Q638" s="403" t="s">
        <v>7715</v>
      </c>
      <c r="R638" s="403" t="s">
        <v>19089</v>
      </c>
      <c r="S638" s="403" t="s">
        <v>15115</v>
      </c>
      <c r="T638" s="403" t="s">
        <v>15116</v>
      </c>
      <c r="U638" s="403"/>
      <c r="V638" s="403" t="s">
        <v>23024</v>
      </c>
      <c r="W638" s="403" t="s">
        <v>23024</v>
      </c>
      <c r="X638" s="403" t="s">
        <v>23024</v>
      </c>
      <c r="Y638" s="403" t="s">
        <v>23024</v>
      </c>
    </row>
    <row r="639" spans="1:25">
      <c r="A639" s="363">
        <f t="shared" si="79"/>
        <v>638</v>
      </c>
      <c r="B639" s="363" t="str">
        <f t="shared" si="72"/>
        <v>44</v>
      </c>
      <c r="C639" s="405" t="str">
        <f t="shared" si="73"/>
        <v>第006188号</v>
      </c>
      <c r="D639" s="405" t="str">
        <f t="shared" si="74"/>
        <v>（有）徳丸造園緑地</v>
      </c>
      <c r="E639" s="405" t="str">
        <f t="shared" si="75"/>
        <v>代表取締役</v>
      </c>
      <c r="F639" s="405" t="str">
        <f t="shared" si="76"/>
        <v>吉武　昌治</v>
      </c>
      <c r="G639" s="405" t="str">
        <f t="shared" si="77"/>
        <v>主たる営業所</v>
      </c>
      <c r="H639" s="405" t="str">
        <f t="shared" si="78"/>
        <v>国東市武蔵町糸原１２９－１</v>
      </c>
      <c r="L639" s="403" t="s">
        <v>8942</v>
      </c>
      <c r="M639" s="403" t="s">
        <v>8943</v>
      </c>
      <c r="N639" s="403" t="s">
        <v>2590</v>
      </c>
      <c r="O639" s="403" t="s">
        <v>7084</v>
      </c>
      <c r="P639" s="403" t="s">
        <v>2591</v>
      </c>
      <c r="Q639" s="403" t="s">
        <v>7416</v>
      </c>
      <c r="R639" s="403" t="s">
        <v>19090</v>
      </c>
      <c r="S639" s="403" t="s">
        <v>15117</v>
      </c>
      <c r="T639" s="403" t="s">
        <v>15118</v>
      </c>
      <c r="U639" s="403"/>
      <c r="V639" s="403" t="s">
        <v>23024</v>
      </c>
      <c r="W639" s="403" t="s">
        <v>23024</v>
      </c>
      <c r="X639" s="403" t="s">
        <v>23024</v>
      </c>
      <c r="Y639" s="403" t="s">
        <v>23024</v>
      </c>
    </row>
    <row r="640" spans="1:25">
      <c r="A640" s="363">
        <f t="shared" si="79"/>
        <v>639</v>
      </c>
      <c r="B640" s="363" t="str">
        <f t="shared" si="72"/>
        <v>44</v>
      </c>
      <c r="C640" s="405" t="str">
        <f t="shared" si="73"/>
        <v>第006189号</v>
      </c>
      <c r="D640" s="405" t="str">
        <f t="shared" si="74"/>
        <v>九州開発（株）</v>
      </c>
      <c r="E640" s="405" t="str">
        <f t="shared" si="75"/>
        <v>代表取締役</v>
      </c>
      <c r="F640" s="405" t="str">
        <f t="shared" si="76"/>
        <v>田島　壽臣</v>
      </c>
      <c r="G640" s="405" t="str">
        <f t="shared" si="77"/>
        <v>主たる営業所</v>
      </c>
      <c r="H640" s="405" t="str">
        <f t="shared" si="78"/>
        <v>杵築市大字大内４８８６－６</v>
      </c>
      <c r="L640" s="403" t="s">
        <v>8944</v>
      </c>
      <c r="M640" s="403" t="s">
        <v>8945</v>
      </c>
      <c r="N640" s="403" t="s">
        <v>2592</v>
      </c>
      <c r="O640" s="403" t="s">
        <v>7084</v>
      </c>
      <c r="P640" s="403" t="s">
        <v>2593</v>
      </c>
      <c r="Q640" s="403" t="s">
        <v>7631</v>
      </c>
      <c r="R640" s="403" t="s">
        <v>19091</v>
      </c>
      <c r="S640" s="403" t="s">
        <v>15119</v>
      </c>
      <c r="T640" s="403" t="s">
        <v>15120</v>
      </c>
      <c r="U640" s="403"/>
      <c r="V640" s="403" t="s">
        <v>23024</v>
      </c>
      <c r="W640" s="403" t="s">
        <v>23024</v>
      </c>
      <c r="X640" s="403" t="s">
        <v>23024</v>
      </c>
      <c r="Y640" s="403" t="s">
        <v>23024</v>
      </c>
    </row>
    <row r="641" spans="1:25">
      <c r="A641" s="363">
        <f t="shared" si="79"/>
        <v>640</v>
      </c>
      <c r="B641" s="363" t="str">
        <f t="shared" si="72"/>
        <v>44</v>
      </c>
      <c r="C641" s="405" t="str">
        <f t="shared" si="73"/>
        <v>第006190号</v>
      </c>
      <c r="D641" s="405" t="str">
        <f t="shared" si="74"/>
        <v>（有）廣瀬建設</v>
      </c>
      <c r="E641" s="405" t="str">
        <f t="shared" si="75"/>
        <v>代表取締役</v>
      </c>
      <c r="F641" s="405" t="str">
        <f t="shared" si="76"/>
        <v>廣瀬　真</v>
      </c>
      <c r="G641" s="405" t="str">
        <f t="shared" si="77"/>
        <v>主たる営業所</v>
      </c>
      <c r="H641" s="405" t="str">
        <f t="shared" si="78"/>
        <v>国東市国東町東堅来２０６－１</v>
      </c>
      <c r="L641" s="403" t="s">
        <v>8946</v>
      </c>
      <c r="M641" s="403" t="s">
        <v>7887</v>
      </c>
      <c r="N641" s="403" t="s">
        <v>2594</v>
      </c>
      <c r="O641" s="403" t="s">
        <v>7084</v>
      </c>
      <c r="P641" s="403" t="s">
        <v>2595</v>
      </c>
      <c r="Q641" s="403" t="s">
        <v>8947</v>
      </c>
      <c r="R641" s="403" t="s">
        <v>19092</v>
      </c>
      <c r="S641" s="403" t="s">
        <v>15121</v>
      </c>
      <c r="T641" s="403" t="s">
        <v>15122</v>
      </c>
      <c r="U641" s="403"/>
      <c r="V641" s="403" t="s">
        <v>23024</v>
      </c>
      <c r="W641" s="403" t="s">
        <v>23024</v>
      </c>
      <c r="X641" s="403" t="s">
        <v>23024</v>
      </c>
      <c r="Y641" s="403" t="s">
        <v>23024</v>
      </c>
    </row>
    <row r="642" spans="1:25">
      <c r="A642" s="363">
        <f t="shared" si="79"/>
        <v>641</v>
      </c>
      <c r="B642" s="363" t="str">
        <f t="shared" ref="B642:B705" si="80">LEFT(L642,2)</f>
        <v>44</v>
      </c>
      <c r="C642" s="405" t="str">
        <f t="shared" ref="C642:C705" si="81">IF(B642="","","第"&amp;RIGHT(L642,6)&amp;"号")</f>
        <v>第006195号</v>
      </c>
      <c r="D642" s="405" t="str">
        <f t="shared" ref="D642:D705" si="82">N642</f>
        <v>（有）寺川建設</v>
      </c>
      <c r="E642" s="405" t="str">
        <f t="shared" ref="E642:E705" si="83">IF(V642="　",O642,"")</f>
        <v>代表取締役</v>
      </c>
      <c r="F642" s="405" t="str">
        <f t="shared" ref="F642:F705" si="84">IF(V642="　",P642,W642)</f>
        <v>寺川　義昭</v>
      </c>
      <c r="G642" s="405" t="str">
        <f t="shared" ref="G642:G705" si="85">IF(V642="　","主たる営業所",V642)</f>
        <v>主たる営業所</v>
      </c>
      <c r="H642" s="405" t="str">
        <f t="shared" ref="H642:H705" si="86">IF(V642="　",R642,Y642)</f>
        <v>国東市国東町小原２５９５</v>
      </c>
      <c r="L642" s="403" t="s">
        <v>8948</v>
      </c>
      <c r="M642" s="403" t="s">
        <v>8949</v>
      </c>
      <c r="N642" s="403" t="s">
        <v>2596</v>
      </c>
      <c r="O642" s="403" t="s">
        <v>7084</v>
      </c>
      <c r="P642" s="403" t="s">
        <v>2597</v>
      </c>
      <c r="Q642" s="403" t="s">
        <v>7726</v>
      </c>
      <c r="R642" s="403" t="s">
        <v>5472</v>
      </c>
      <c r="S642" s="403" t="s">
        <v>15123</v>
      </c>
      <c r="T642" s="403" t="s">
        <v>15124</v>
      </c>
      <c r="U642" s="403"/>
      <c r="V642" s="403" t="s">
        <v>23024</v>
      </c>
      <c r="W642" s="403" t="s">
        <v>23024</v>
      </c>
      <c r="X642" s="403" t="s">
        <v>23024</v>
      </c>
      <c r="Y642" s="403" t="s">
        <v>23024</v>
      </c>
    </row>
    <row r="643" spans="1:25">
      <c r="A643" s="363">
        <f t="shared" ref="A643:A706" si="87">IF(B643="","",A642+1)</f>
        <v>642</v>
      </c>
      <c r="B643" s="363" t="str">
        <f t="shared" si="80"/>
        <v>44</v>
      </c>
      <c r="C643" s="405" t="str">
        <f t="shared" si="81"/>
        <v>第006196号</v>
      </c>
      <c r="D643" s="405" t="str">
        <f t="shared" si="82"/>
        <v>（有）溝部電気設備</v>
      </c>
      <c r="E643" s="405" t="str">
        <f t="shared" si="83"/>
        <v>代表取締役</v>
      </c>
      <c r="F643" s="405" t="str">
        <f t="shared" si="84"/>
        <v>溝部　元生</v>
      </c>
      <c r="G643" s="405" t="str">
        <f t="shared" si="85"/>
        <v>主たる営業所</v>
      </c>
      <c r="H643" s="405" t="str">
        <f t="shared" si="86"/>
        <v>国東市武蔵町古市１３４２－１</v>
      </c>
      <c r="L643" s="403" t="s">
        <v>8950</v>
      </c>
      <c r="M643" s="403" t="s">
        <v>8951</v>
      </c>
      <c r="N643" s="403" t="s">
        <v>2598</v>
      </c>
      <c r="O643" s="403" t="s">
        <v>7084</v>
      </c>
      <c r="P643" s="403" t="s">
        <v>2599</v>
      </c>
      <c r="Q643" s="403" t="s">
        <v>7715</v>
      </c>
      <c r="R643" s="403" t="s">
        <v>19093</v>
      </c>
      <c r="S643" s="403" t="s">
        <v>15125</v>
      </c>
      <c r="T643" s="403" t="s">
        <v>15126</v>
      </c>
      <c r="U643" s="403"/>
      <c r="V643" s="403" t="s">
        <v>23024</v>
      </c>
      <c r="W643" s="403" t="s">
        <v>23024</v>
      </c>
      <c r="X643" s="403" t="s">
        <v>23024</v>
      </c>
      <c r="Y643" s="403" t="s">
        <v>23024</v>
      </c>
    </row>
    <row r="644" spans="1:25">
      <c r="A644" s="363">
        <f t="shared" si="87"/>
        <v>643</v>
      </c>
      <c r="B644" s="363" t="str">
        <f t="shared" si="80"/>
        <v>44</v>
      </c>
      <c r="C644" s="405" t="str">
        <f t="shared" si="81"/>
        <v>第006197号</v>
      </c>
      <c r="D644" s="405" t="str">
        <f t="shared" si="82"/>
        <v>（有）江本組</v>
      </c>
      <c r="E644" s="405" t="str">
        <f t="shared" si="83"/>
        <v>代表取締役</v>
      </c>
      <c r="F644" s="405" t="str">
        <f t="shared" si="84"/>
        <v>江本　純一</v>
      </c>
      <c r="G644" s="405" t="str">
        <f t="shared" si="85"/>
        <v>主たる営業所</v>
      </c>
      <c r="H644" s="405" t="str">
        <f t="shared" si="86"/>
        <v>国東市国見町伊美２７０７－１</v>
      </c>
      <c r="L644" s="403" t="s">
        <v>8952</v>
      </c>
      <c r="M644" s="403" t="s">
        <v>8953</v>
      </c>
      <c r="N644" s="403" t="s">
        <v>2600</v>
      </c>
      <c r="O644" s="403" t="s">
        <v>7084</v>
      </c>
      <c r="P644" s="403" t="s">
        <v>5237</v>
      </c>
      <c r="Q644" s="403" t="s">
        <v>8954</v>
      </c>
      <c r="R644" s="403" t="s">
        <v>19094</v>
      </c>
      <c r="S644" s="403" t="s">
        <v>15127</v>
      </c>
      <c r="T644" s="403" t="s">
        <v>15128</v>
      </c>
      <c r="U644" s="403"/>
      <c r="V644" s="403" t="s">
        <v>23024</v>
      </c>
      <c r="W644" s="403" t="s">
        <v>23024</v>
      </c>
      <c r="X644" s="403" t="s">
        <v>23024</v>
      </c>
      <c r="Y644" s="403" t="s">
        <v>23024</v>
      </c>
    </row>
    <row r="645" spans="1:25">
      <c r="A645" s="363">
        <f t="shared" si="87"/>
        <v>644</v>
      </c>
      <c r="B645" s="363" t="str">
        <f t="shared" si="80"/>
        <v>44</v>
      </c>
      <c r="C645" s="405" t="str">
        <f t="shared" si="81"/>
        <v>第006213号</v>
      </c>
      <c r="D645" s="405" t="str">
        <f t="shared" si="82"/>
        <v>豊生建設（株）</v>
      </c>
      <c r="E645" s="405" t="str">
        <f t="shared" si="83"/>
        <v>代表取締役</v>
      </c>
      <c r="F645" s="405" t="str">
        <f t="shared" si="84"/>
        <v>丸山　俊道</v>
      </c>
      <c r="G645" s="405" t="str">
        <f t="shared" si="85"/>
        <v>主たる営業所</v>
      </c>
      <c r="H645" s="405" t="str">
        <f t="shared" si="86"/>
        <v>臼杵市大字市浜６３１－１</v>
      </c>
      <c r="L645" s="403" t="s">
        <v>8955</v>
      </c>
      <c r="M645" s="403" t="s">
        <v>8956</v>
      </c>
      <c r="N645" s="403" t="s">
        <v>2601</v>
      </c>
      <c r="O645" s="403" t="s">
        <v>7084</v>
      </c>
      <c r="P645" s="403" t="s">
        <v>2602</v>
      </c>
      <c r="Q645" s="403" t="s">
        <v>7741</v>
      </c>
      <c r="R645" s="403" t="s">
        <v>19095</v>
      </c>
      <c r="S645" s="403" t="s">
        <v>15129</v>
      </c>
      <c r="T645" s="403" t="s">
        <v>15130</v>
      </c>
      <c r="U645" s="403"/>
      <c r="V645" s="403" t="s">
        <v>23024</v>
      </c>
      <c r="W645" s="403" t="s">
        <v>23024</v>
      </c>
      <c r="X645" s="403" t="s">
        <v>23024</v>
      </c>
      <c r="Y645" s="403" t="s">
        <v>23024</v>
      </c>
    </row>
    <row r="646" spans="1:25">
      <c r="A646" s="363">
        <f t="shared" si="87"/>
        <v>645</v>
      </c>
      <c r="B646" s="363" t="str">
        <f t="shared" si="80"/>
        <v>44</v>
      </c>
      <c r="C646" s="405" t="str">
        <f t="shared" si="81"/>
        <v>第006214号</v>
      </c>
      <c r="D646" s="405" t="str">
        <f t="shared" si="82"/>
        <v>（有）藤澤建設</v>
      </c>
      <c r="E646" s="405" t="str">
        <f t="shared" si="83"/>
        <v>代表取締役</v>
      </c>
      <c r="F646" s="405" t="str">
        <f t="shared" si="84"/>
        <v>藤澤　浩</v>
      </c>
      <c r="G646" s="405" t="str">
        <f t="shared" si="85"/>
        <v>主たる営業所</v>
      </c>
      <c r="H646" s="405" t="str">
        <f t="shared" si="86"/>
        <v>大分市大字白木５３６ー１</v>
      </c>
      <c r="L646" s="403" t="s">
        <v>8957</v>
      </c>
      <c r="M646" s="403" t="s">
        <v>8958</v>
      </c>
      <c r="N646" s="403" t="s">
        <v>2603</v>
      </c>
      <c r="O646" s="403" t="s">
        <v>7084</v>
      </c>
      <c r="P646" s="403" t="s">
        <v>2604</v>
      </c>
      <c r="Q646" s="403" t="s">
        <v>7785</v>
      </c>
      <c r="R646" s="403" t="s">
        <v>5473</v>
      </c>
      <c r="S646" s="403" t="s">
        <v>15131</v>
      </c>
      <c r="T646" s="403" t="s">
        <v>15132</v>
      </c>
      <c r="U646" s="403"/>
      <c r="V646" s="403" t="s">
        <v>23024</v>
      </c>
      <c r="W646" s="403" t="s">
        <v>23024</v>
      </c>
      <c r="X646" s="403" t="s">
        <v>23024</v>
      </c>
      <c r="Y646" s="403" t="s">
        <v>23024</v>
      </c>
    </row>
    <row r="647" spans="1:25">
      <c r="A647" s="363">
        <f t="shared" si="87"/>
        <v>646</v>
      </c>
      <c r="B647" s="363" t="str">
        <f t="shared" si="80"/>
        <v>44</v>
      </c>
      <c r="C647" s="405" t="str">
        <f t="shared" si="81"/>
        <v>第006221号</v>
      </c>
      <c r="D647" s="405" t="str">
        <f t="shared" si="82"/>
        <v>（有）河野建具店</v>
      </c>
      <c r="E647" s="405" t="str">
        <f t="shared" si="83"/>
        <v>代表取締役</v>
      </c>
      <c r="F647" s="405" t="str">
        <f t="shared" si="84"/>
        <v>河野　金也</v>
      </c>
      <c r="G647" s="405" t="str">
        <f t="shared" si="85"/>
        <v>主たる営業所</v>
      </c>
      <c r="H647" s="405" t="str">
        <f t="shared" si="86"/>
        <v>臼杵市大字井村２０４５－１</v>
      </c>
      <c r="L647" s="403" t="s">
        <v>8959</v>
      </c>
      <c r="M647" s="403" t="s">
        <v>8960</v>
      </c>
      <c r="N647" s="403" t="s">
        <v>2605</v>
      </c>
      <c r="O647" s="403" t="s">
        <v>7084</v>
      </c>
      <c r="P647" s="403" t="s">
        <v>2606</v>
      </c>
      <c r="Q647" s="403" t="s">
        <v>8961</v>
      </c>
      <c r="R647" s="403" t="s">
        <v>19096</v>
      </c>
      <c r="S647" s="403" t="s">
        <v>15133</v>
      </c>
      <c r="T647" s="403" t="s">
        <v>15134</v>
      </c>
      <c r="U647" s="403"/>
      <c r="V647" s="403" t="s">
        <v>23024</v>
      </c>
      <c r="W647" s="403" t="s">
        <v>23024</v>
      </c>
      <c r="X647" s="403" t="s">
        <v>23024</v>
      </c>
      <c r="Y647" s="403" t="s">
        <v>23024</v>
      </c>
    </row>
    <row r="648" spans="1:25">
      <c r="A648" s="363">
        <f t="shared" si="87"/>
        <v>647</v>
      </c>
      <c r="B648" s="363" t="str">
        <f t="shared" si="80"/>
        <v>44</v>
      </c>
      <c r="C648" s="405" t="str">
        <f t="shared" si="81"/>
        <v>第006223号</v>
      </c>
      <c r="D648" s="405" t="str">
        <f t="shared" si="82"/>
        <v>（株）松栄建設</v>
      </c>
      <c r="E648" s="405" t="str">
        <f t="shared" si="83"/>
        <v>代表取締役</v>
      </c>
      <c r="F648" s="405" t="str">
        <f t="shared" si="84"/>
        <v>菅本　定生</v>
      </c>
      <c r="G648" s="405" t="str">
        <f t="shared" si="85"/>
        <v>主たる営業所</v>
      </c>
      <c r="H648" s="405" t="str">
        <f t="shared" si="86"/>
        <v>臼杵市大字井村１９４３－６</v>
      </c>
      <c r="L648" s="403" t="s">
        <v>8962</v>
      </c>
      <c r="M648" s="403" t="s">
        <v>8963</v>
      </c>
      <c r="N648" s="403" t="s">
        <v>2607</v>
      </c>
      <c r="O648" s="403" t="s">
        <v>7084</v>
      </c>
      <c r="P648" s="403" t="s">
        <v>2608</v>
      </c>
      <c r="Q648" s="403" t="s">
        <v>8961</v>
      </c>
      <c r="R648" s="403" t="s">
        <v>19097</v>
      </c>
      <c r="S648" s="403" t="s">
        <v>15135</v>
      </c>
      <c r="T648" s="403" t="s">
        <v>15136</v>
      </c>
      <c r="U648" s="403"/>
      <c r="V648" s="403" t="s">
        <v>23024</v>
      </c>
      <c r="W648" s="403" t="s">
        <v>23024</v>
      </c>
      <c r="X648" s="403" t="s">
        <v>23024</v>
      </c>
      <c r="Y648" s="403" t="s">
        <v>23024</v>
      </c>
    </row>
    <row r="649" spans="1:25">
      <c r="A649" s="363">
        <f t="shared" si="87"/>
        <v>648</v>
      </c>
      <c r="B649" s="363" t="str">
        <f t="shared" si="80"/>
        <v>44</v>
      </c>
      <c r="C649" s="405" t="str">
        <f t="shared" si="81"/>
        <v>第006224号</v>
      </c>
      <c r="D649" s="405" t="str">
        <f t="shared" si="82"/>
        <v>（株）芝尾組</v>
      </c>
      <c r="E649" s="405" t="str">
        <f t="shared" si="83"/>
        <v>代表取締役</v>
      </c>
      <c r="F649" s="405" t="str">
        <f t="shared" si="84"/>
        <v>菅本　道夫</v>
      </c>
      <c r="G649" s="405" t="str">
        <f t="shared" si="85"/>
        <v>主たる営業所</v>
      </c>
      <c r="H649" s="405" t="str">
        <f t="shared" si="86"/>
        <v>臼杵市大字末広字前田３０３７</v>
      </c>
      <c r="L649" s="403" t="s">
        <v>8964</v>
      </c>
      <c r="M649" s="403" t="s">
        <v>8965</v>
      </c>
      <c r="N649" s="403" t="s">
        <v>2609</v>
      </c>
      <c r="O649" s="403" t="s">
        <v>7084</v>
      </c>
      <c r="P649" s="403" t="s">
        <v>2610</v>
      </c>
      <c r="Q649" s="403" t="s">
        <v>7780</v>
      </c>
      <c r="R649" s="403" t="s">
        <v>5474</v>
      </c>
      <c r="S649" s="403" t="s">
        <v>15137</v>
      </c>
      <c r="T649" s="403" t="s">
        <v>15138</v>
      </c>
      <c r="U649" s="403"/>
      <c r="V649" s="403" t="s">
        <v>23024</v>
      </c>
      <c r="W649" s="403" t="s">
        <v>23024</v>
      </c>
      <c r="X649" s="403" t="s">
        <v>23024</v>
      </c>
      <c r="Y649" s="403" t="s">
        <v>23024</v>
      </c>
    </row>
    <row r="650" spans="1:25">
      <c r="A650" s="363">
        <f t="shared" si="87"/>
        <v>649</v>
      </c>
      <c r="B650" s="363" t="str">
        <f t="shared" si="80"/>
        <v>44</v>
      </c>
      <c r="C650" s="405" t="str">
        <f t="shared" si="81"/>
        <v>第006225号</v>
      </c>
      <c r="D650" s="405" t="str">
        <f t="shared" si="82"/>
        <v>（有）光建設工業</v>
      </c>
      <c r="E650" s="405" t="str">
        <f t="shared" si="83"/>
        <v>代表取締役</v>
      </c>
      <c r="F650" s="405" t="str">
        <f t="shared" si="84"/>
        <v>日名子　陽子</v>
      </c>
      <c r="G650" s="405" t="str">
        <f t="shared" si="85"/>
        <v>主たる営業所</v>
      </c>
      <c r="H650" s="405" t="str">
        <f t="shared" si="86"/>
        <v>臼杵市大字佐志生６４６２－１</v>
      </c>
      <c r="L650" s="403" t="s">
        <v>8966</v>
      </c>
      <c r="M650" s="403" t="s">
        <v>8967</v>
      </c>
      <c r="N650" s="403" t="s">
        <v>2611</v>
      </c>
      <c r="O650" s="403" t="s">
        <v>7084</v>
      </c>
      <c r="P650" s="403" t="s">
        <v>2612</v>
      </c>
      <c r="Q650" s="403" t="s">
        <v>7774</v>
      </c>
      <c r="R650" s="403" t="s">
        <v>19098</v>
      </c>
      <c r="S650" s="403" t="s">
        <v>15139</v>
      </c>
      <c r="T650" s="403" t="s">
        <v>14238</v>
      </c>
      <c r="U650" s="403"/>
      <c r="V650" s="403" t="s">
        <v>23024</v>
      </c>
      <c r="W650" s="403" t="s">
        <v>23024</v>
      </c>
      <c r="X650" s="403" t="s">
        <v>23024</v>
      </c>
      <c r="Y650" s="403" t="s">
        <v>23024</v>
      </c>
    </row>
    <row r="651" spans="1:25">
      <c r="A651" s="363">
        <f t="shared" si="87"/>
        <v>650</v>
      </c>
      <c r="B651" s="363" t="str">
        <f t="shared" si="80"/>
        <v>44</v>
      </c>
      <c r="C651" s="405" t="str">
        <f t="shared" si="81"/>
        <v>第006230号</v>
      </c>
      <c r="D651" s="405" t="str">
        <f t="shared" si="82"/>
        <v>（有）丸木組</v>
      </c>
      <c r="E651" s="405" t="str">
        <f t="shared" si="83"/>
        <v>代表取締役</v>
      </c>
      <c r="F651" s="405" t="str">
        <f t="shared" si="84"/>
        <v>丸木　源太</v>
      </c>
      <c r="G651" s="405" t="str">
        <f t="shared" si="85"/>
        <v>主たる営業所</v>
      </c>
      <c r="H651" s="405" t="str">
        <f t="shared" si="86"/>
        <v>津久見市大字日見１１７０</v>
      </c>
      <c r="L651" s="403" t="s">
        <v>8968</v>
      </c>
      <c r="M651" s="403" t="s">
        <v>8969</v>
      </c>
      <c r="N651" s="403" t="s">
        <v>2613</v>
      </c>
      <c r="O651" s="403" t="s">
        <v>7084</v>
      </c>
      <c r="P651" s="403" t="s">
        <v>2614</v>
      </c>
      <c r="Q651" s="403" t="s">
        <v>8970</v>
      </c>
      <c r="R651" s="403" t="s">
        <v>5475</v>
      </c>
      <c r="S651" s="403" t="s">
        <v>15140</v>
      </c>
      <c r="T651" s="403" t="s">
        <v>15141</v>
      </c>
      <c r="U651" s="403"/>
      <c r="V651" s="403" t="s">
        <v>23024</v>
      </c>
      <c r="W651" s="403" t="s">
        <v>23024</v>
      </c>
      <c r="X651" s="403" t="s">
        <v>23024</v>
      </c>
      <c r="Y651" s="403" t="s">
        <v>23024</v>
      </c>
    </row>
    <row r="652" spans="1:25">
      <c r="A652" s="363">
        <f t="shared" si="87"/>
        <v>651</v>
      </c>
      <c r="B652" s="363" t="str">
        <f t="shared" si="80"/>
        <v>44</v>
      </c>
      <c r="C652" s="405" t="str">
        <f t="shared" si="81"/>
        <v>第006231号</v>
      </c>
      <c r="D652" s="405" t="str">
        <f t="shared" si="82"/>
        <v>（株）都造園土木</v>
      </c>
      <c r="E652" s="405" t="str">
        <f t="shared" si="83"/>
        <v>代表取締役</v>
      </c>
      <c r="F652" s="405" t="str">
        <f t="shared" si="84"/>
        <v>都　信親</v>
      </c>
      <c r="G652" s="405" t="str">
        <f t="shared" si="85"/>
        <v>主たる営業所</v>
      </c>
      <c r="H652" s="405" t="str">
        <f t="shared" si="86"/>
        <v>大分市坂ノ市南３－９－２８</v>
      </c>
      <c r="L652" s="403" t="s">
        <v>8971</v>
      </c>
      <c r="M652" s="403" t="s">
        <v>8972</v>
      </c>
      <c r="N652" s="403" t="s">
        <v>2615</v>
      </c>
      <c r="O652" s="403" t="s">
        <v>7084</v>
      </c>
      <c r="P652" s="403" t="s">
        <v>2616</v>
      </c>
      <c r="Q652" s="403" t="s">
        <v>7571</v>
      </c>
      <c r="R652" s="403" t="s">
        <v>19099</v>
      </c>
      <c r="S652" s="403" t="s">
        <v>15142</v>
      </c>
      <c r="T652" s="403" t="s">
        <v>15143</v>
      </c>
      <c r="U652" s="403"/>
      <c r="V652" s="403" t="s">
        <v>23024</v>
      </c>
      <c r="W652" s="403" t="s">
        <v>23024</v>
      </c>
      <c r="X652" s="403" t="s">
        <v>23024</v>
      </c>
      <c r="Y652" s="403" t="s">
        <v>23024</v>
      </c>
    </row>
    <row r="653" spans="1:25">
      <c r="A653" s="363">
        <f t="shared" si="87"/>
        <v>652</v>
      </c>
      <c r="B653" s="363" t="str">
        <f t="shared" si="80"/>
        <v>44</v>
      </c>
      <c r="C653" s="405" t="str">
        <f t="shared" si="81"/>
        <v>第006236号</v>
      </c>
      <c r="D653" s="405" t="str">
        <f t="shared" si="82"/>
        <v>協和産業（株）</v>
      </c>
      <c r="E653" s="405" t="str">
        <f t="shared" si="83"/>
        <v>代表取締役</v>
      </c>
      <c r="F653" s="405" t="str">
        <f t="shared" si="84"/>
        <v>伊東　忠文</v>
      </c>
      <c r="G653" s="405" t="str">
        <f t="shared" si="85"/>
        <v>主たる営業所</v>
      </c>
      <c r="H653" s="405" t="str">
        <f t="shared" si="86"/>
        <v>津久見市大字津久見１４５３－１</v>
      </c>
      <c r="L653" s="403" t="s">
        <v>8973</v>
      </c>
      <c r="M653" s="403" t="s">
        <v>8974</v>
      </c>
      <c r="N653" s="403" t="s">
        <v>2617</v>
      </c>
      <c r="O653" s="403" t="s">
        <v>7084</v>
      </c>
      <c r="P653" s="403" t="s">
        <v>2618</v>
      </c>
      <c r="Q653" s="403" t="s">
        <v>7319</v>
      </c>
      <c r="R653" s="403" t="s">
        <v>19100</v>
      </c>
      <c r="S653" s="403" t="s">
        <v>15144</v>
      </c>
      <c r="T653" s="403" t="s">
        <v>15145</v>
      </c>
      <c r="U653" s="403"/>
      <c r="V653" s="403" t="s">
        <v>23024</v>
      </c>
      <c r="W653" s="403" t="s">
        <v>23024</v>
      </c>
      <c r="X653" s="403" t="s">
        <v>23024</v>
      </c>
      <c r="Y653" s="403" t="s">
        <v>23024</v>
      </c>
    </row>
    <row r="654" spans="1:25">
      <c r="A654" s="363">
        <f t="shared" si="87"/>
        <v>653</v>
      </c>
      <c r="B654" s="363" t="str">
        <f t="shared" si="80"/>
        <v>44</v>
      </c>
      <c r="C654" s="405" t="str">
        <f t="shared" si="81"/>
        <v>第006244号</v>
      </c>
      <c r="D654" s="405" t="str">
        <f t="shared" si="82"/>
        <v>（有）丸平建設</v>
      </c>
      <c r="E654" s="405" t="str">
        <f t="shared" si="83"/>
        <v>代表取締役</v>
      </c>
      <c r="F654" s="405" t="str">
        <f t="shared" si="84"/>
        <v>野中　幸生</v>
      </c>
      <c r="G654" s="405" t="str">
        <f t="shared" si="85"/>
        <v>主たる営業所</v>
      </c>
      <c r="H654" s="405" t="str">
        <f t="shared" si="86"/>
        <v>臼杵市大字前田９３３－１</v>
      </c>
      <c r="L654" s="403" t="s">
        <v>8975</v>
      </c>
      <c r="M654" s="403" t="s">
        <v>8976</v>
      </c>
      <c r="N654" s="403" t="s">
        <v>2619</v>
      </c>
      <c r="O654" s="403" t="s">
        <v>7084</v>
      </c>
      <c r="P654" s="403" t="s">
        <v>2620</v>
      </c>
      <c r="Q654" s="403" t="s">
        <v>7574</v>
      </c>
      <c r="R654" s="403" t="s">
        <v>19101</v>
      </c>
      <c r="S654" s="403" t="s">
        <v>15146</v>
      </c>
      <c r="T654" s="403" t="s">
        <v>15147</v>
      </c>
      <c r="U654" s="403"/>
      <c r="V654" s="403" t="s">
        <v>23024</v>
      </c>
      <c r="W654" s="403" t="s">
        <v>23024</v>
      </c>
      <c r="X654" s="403" t="s">
        <v>23024</v>
      </c>
      <c r="Y654" s="403" t="s">
        <v>23024</v>
      </c>
    </row>
    <row r="655" spans="1:25">
      <c r="A655" s="363">
        <f t="shared" si="87"/>
        <v>654</v>
      </c>
      <c r="B655" s="363" t="str">
        <f t="shared" si="80"/>
        <v>44</v>
      </c>
      <c r="C655" s="405" t="str">
        <f t="shared" si="81"/>
        <v>第006245号</v>
      </c>
      <c r="D655" s="405" t="str">
        <f t="shared" si="82"/>
        <v>野中工業（株）</v>
      </c>
      <c r="E655" s="405" t="str">
        <f t="shared" si="83"/>
        <v>代表取締役</v>
      </c>
      <c r="F655" s="405" t="str">
        <f t="shared" si="84"/>
        <v>高橋　明吉</v>
      </c>
      <c r="G655" s="405" t="str">
        <f t="shared" si="85"/>
        <v>主たる営業所</v>
      </c>
      <c r="H655" s="405" t="str">
        <f t="shared" si="86"/>
        <v>臼杵市大字板知屋１２５７</v>
      </c>
      <c r="L655" s="403" t="s">
        <v>8977</v>
      </c>
      <c r="M655" s="403" t="s">
        <v>8978</v>
      </c>
      <c r="N655" s="403" t="s">
        <v>2621</v>
      </c>
      <c r="O655" s="403" t="s">
        <v>7084</v>
      </c>
      <c r="P655" s="403" t="s">
        <v>5238</v>
      </c>
      <c r="Q655" s="403" t="s">
        <v>7744</v>
      </c>
      <c r="R655" s="403" t="s">
        <v>5476</v>
      </c>
      <c r="S655" s="403" t="s">
        <v>15148</v>
      </c>
      <c r="T655" s="403" t="s">
        <v>15149</v>
      </c>
      <c r="U655" s="403"/>
      <c r="V655" s="403" t="s">
        <v>23024</v>
      </c>
      <c r="W655" s="403" t="s">
        <v>23024</v>
      </c>
      <c r="X655" s="403" t="s">
        <v>23024</v>
      </c>
      <c r="Y655" s="403" t="s">
        <v>23024</v>
      </c>
    </row>
    <row r="656" spans="1:25">
      <c r="A656" s="363">
        <f t="shared" si="87"/>
        <v>655</v>
      </c>
      <c r="B656" s="363" t="str">
        <f t="shared" si="80"/>
        <v>44</v>
      </c>
      <c r="C656" s="405" t="str">
        <f t="shared" si="81"/>
        <v>第006248号</v>
      </c>
      <c r="D656" s="405" t="str">
        <f t="shared" si="82"/>
        <v>原尻建設（有）</v>
      </c>
      <c r="E656" s="405" t="str">
        <f t="shared" si="83"/>
        <v>代表取締役</v>
      </c>
      <c r="F656" s="405" t="str">
        <f t="shared" si="84"/>
        <v>原尻　忠雄</v>
      </c>
      <c r="G656" s="405" t="str">
        <f t="shared" si="85"/>
        <v>主たる営業所</v>
      </c>
      <c r="H656" s="405" t="str">
        <f t="shared" si="86"/>
        <v>臼杵市大字諏訪６４６－８</v>
      </c>
      <c r="L656" s="403" t="s">
        <v>8979</v>
      </c>
      <c r="M656" s="403" t="s">
        <v>8980</v>
      </c>
      <c r="N656" s="403" t="s">
        <v>2622</v>
      </c>
      <c r="O656" s="403" t="s">
        <v>7084</v>
      </c>
      <c r="P656" s="403" t="s">
        <v>2623</v>
      </c>
      <c r="Q656" s="403" t="s">
        <v>7788</v>
      </c>
      <c r="R656" s="403" t="s">
        <v>19102</v>
      </c>
      <c r="S656" s="403" t="s">
        <v>15150</v>
      </c>
      <c r="T656" s="403" t="s">
        <v>15151</v>
      </c>
      <c r="U656" s="403"/>
      <c r="V656" s="403" t="s">
        <v>23024</v>
      </c>
      <c r="W656" s="403" t="s">
        <v>23024</v>
      </c>
      <c r="X656" s="403" t="s">
        <v>23024</v>
      </c>
      <c r="Y656" s="403" t="s">
        <v>23024</v>
      </c>
    </row>
    <row r="657" spans="1:25">
      <c r="A657" s="363">
        <f t="shared" si="87"/>
        <v>656</v>
      </c>
      <c r="B657" s="363" t="str">
        <f t="shared" si="80"/>
        <v>44</v>
      </c>
      <c r="C657" s="405" t="str">
        <f t="shared" si="81"/>
        <v>第006249号</v>
      </c>
      <c r="D657" s="405" t="str">
        <f t="shared" si="82"/>
        <v>東海建設（株）</v>
      </c>
      <c r="E657" s="405" t="str">
        <f t="shared" si="83"/>
        <v>代表取締役</v>
      </c>
      <c r="F657" s="405" t="str">
        <f t="shared" si="84"/>
        <v>上野　忠道</v>
      </c>
      <c r="G657" s="405" t="str">
        <f t="shared" si="85"/>
        <v>主たる営業所</v>
      </c>
      <c r="H657" s="405" t="str">
        <f t="shared" si="86"/>
        <v>日田市大山町西大山４３１８－３</v>
      </c>
      <c r="L657" s="403" t="s">
        <v>8981</v>
      </c>
      <c r="M657" s="403" t="s">
        <v>8982</v>
      </c>
      <c r="N657" s="403" t="s">
        <v>2624</v>
      </c>
      <c r="O657" s="403" t="s">
        <v>7084</v>
      </c>
      <c r="P657" s="403" t="s">
        <v>2625</v>
      </c>
      <c r="Q657" s="403" t="s">
        <v>8983</v>
      </c>
      <c r="R657" s="403" t="s">
        <v>19103</v>
      </c>
      <c r="S657" s="403" t="s">
        <v>15152</v>
      </c>
      <c r="T657" s="403" t="s">
        <v>15153</v>
      </c>
      <c r="U657" s="403"/>
      <c r="V657" s="403" t="s">
        <v>23024</v>
      </c>
      <c r="W657" s="403" t="s">
        <v>23024</v>
      </c>
      <c r="X657" s="403" t="s">
        <v>23024</v>
      </c>
      <c r="Y657" s="403" t="s">
        <v>23024</v>
      </c>
    </row>
    <row r="658" spans="1:25">
      <c r="A658" s="363">
        <f t="shared" si="87"/>
        <v>657</v>
      </c>
      <c r="B658" s="363" t="str">
        <f t="shared" si="80"/>
        <v>44</v>
      </c>
      <c r="C658" s="405" t="str">
        <f t="shared" si="81"/>
        <v>第006253号</v>
      </c>
      <c r="D658" s="405" t="str">
        <f t="shared" si="82"/>
        <v>（有）東洋興産</v>
      </c>
      <c r="E658" s="405" t="str">
        <f t="shared" si="83"/>
        <v>代表取締役</v>
      </c>
      <c r="F658" s="405" t="str">
        <f t="shared" si="84"/>
        <v>吉田　龍弘</v>
      </c>
      <c r="G658" s="405" t="str">
        <f t="shared" si="85"/>
        <v>主たる営業所</v>
      </c>
      <c r="H658" s="405" t="str">
        <f t="shared" si="86"/>
        <v>臼杵市大字井村３０２９</v>
      </c>
      <c r="L658" s="403" t="s">
        <v>8984</v>
      </c>
      <c r="M658" s="403" t="s">
        <v>8985</v>
      </c>
      <c r="N658" s="403" t="s">
        <v>2626</v>
      </c>
      <c r="O658" s="403" t="s">
        <v>7084</v>
      </c>
      <c r="P658" s="403" t="s">
        <v>2627</v>
      </c>
      <c r="Q658" s="403" t="s">
        <v>8961</v>
      </c>
      <c r="R658" s="403" t="s">
        <v>5477</v>
      </c>
      <c r="S658" s="403" t="s">
        <v>15154</v>
      </c>
      <c r="T658" s="403" t="s">
        <v>15155</v>
      </c>
      <c r="U658" s="403"/>
      <c r="V658" s="403" t="s">
        <v>23024</v>
      </c>
      <c r="W658" s="403" t="s">
        <v>23024</v>
      </c>
      <c r="X658" s="403" t="s">
        <v>23024</v>
      </c>
      <c r="Y658" s="403" t="s">
        <v>23024</v>
      </c>
    </row>
    <row r="659" spans="1:25">
      <c r="A659" s="363">
        <f t="shared" si="87"/>
        <v>658</v>
      </c>
      <c r="B659" s="363" t="str">
        <f t="shared" si="80"/>
        <v>44</v>
      </c>
      <c r="C659" s="405" t="str">
        <f t="shared" si="81"/>
        <v>第006268号</v>
      </c>
      <c r="D659" s="405" t="str">
        <f t="shared" si="82"/>
        <v>三洋建設（株）</v>
      </c>
      <c r="E659" s="405" t="str">
        <f t="shared" si="83"/>
        <v>代表取締役</v>
      </c>
      <c r="F659" s="405" t="str">
        <f t="shared" si="84"/>
        <v>平川　貴紀</v>
      </c>
      <c r="G659" s="405" t="str">
        <f t="shared" si="85"/>
        <v>主たる営業所</v>
      </c>
      <c r="H659" s="405" t="str">
        <f t="shared" si="86"/>
        <v>臼杵市大字江無田３７０－６</v>
      </c>
      <c r="L659" s="403" t="s">
        <v>8986</v>
      </c>
      <c r="M659" s="403" t="s">
        <v>8987</v>
      </c>
      <c r="N659" s="403" t="s">
        <v>2628</v>
      </c>
      <c r="O659" s="403" t="s">
        <v>7084</v>
      </c>
      <c r="P659" s="403" t="s">
        <v>2629</v>
      </c>
      <c r="Q659" s="403" t="s">
        <v>7768</v>
      </c>
      <c r="R659" s="403" t="s">
        <v>19104</v>
      </c>
      <c r="S659" s="403" t="s">
        <v>15156</v>
      </c>
      <c r="T659" s="403" t="s">
        <v>15157</v>
      </c>
      <c r="U659" s="403"/>
      <c r="V659" s="403" t="s">
        <v>23024</v>
      </c>
      <c r="W659" s="403" t="s">
        <v>23024</v>
      </c>
      <c r="X659" s="403" t="s">
        <v>23024</v>
      </c>
      <c r="Y659" s="403" t="s">
        <v>23024</v>
      </c>
    </row>
    <row r="660" spans="1:25">
      <c r="A660" s="363">
        <f t="shared" si="87"/>
        <v>659</v>
      </c>
      <c r="B660" s="363" t="str">
        <f t="shared" si="80"/>
        <v>44</v>
      </c>
      <c r="C660" s="405" t="str">
        <f t="shared" si="81"/>
        <v>第006277号</v>
      </c>
      <c r="D660" s="405" t="str">
        <f t="shared" si="82"/>
        <v>（有）河野工業所</v>
      </c>
      <c r="E660" s="405" t="str">
        <f t="shared" si="83"/>
        <v>代表取締役</v>
      </c>
      <c r="F660" s="405" t="str">
        <f t="shared" si="84"/>
        <v>河野　誠</v>
      </c>
      <c r="G660" s="405" t="str">
        <f t="shared" si="85"/>
        <v>主たる営業所</v>
      </c>
      <c r="H660" s="405" t="str">
        <f t="shared" si="86"/>
        <v>臼杵市大字井村字塩入１９９６－２</v>
      </c>
      <c r="L660" s="403" t="s">
        <v>8988</v>
      </c>
      <c r="M660" s="403" t="s">
        <v>8989</v>
      </c>
      <c r="N660" s="403" t="s">
        <v>2630</v>
      </c>
      <c r="O660" s="403" t="s">
        <v>7084</v>
      </c>
      <c r="P660" s="403" t="s">
        <v>2631</v>
      </c>
      <c r="Q660" s="403" t="s">
        <v>8961</v>
      </c>
      <c r="R660" s="403" t="s">
        <v>19105</v>
      </c>
      <c r="S660" s="403" t="s">
        <v>15158</v>
      </c>
      <c r="T660" s="403" t="s">
        <v>15159</v>
      </c>
      <c r="U660" s="403"/>
      <c r="V660" s="403" t="s">
        <v>23024</v>
      </c>
      <c r="W660" s="403" t="s">
        <v>23024</v>
      </c>
      <c r="X660" s="403" t="s">
        <v>23024</v>
      </c>
      <c r="Y660" s="403" t="s">
        <v>23024</v>
      </c>
    </row>
    <row r="661" spans="1:25">
      <c r="A661" s="363">
        <f t="shared" si="87"/>
        <v>660</v>
      </c>
      <c r="B661" s="363" t="str">
        <f t="shared" si="80"/>
        <v>44</v>
      </c>
      <c r="C661" s="405" t="str">
        <f t="shared" si="81"/>
        <v>第006289号</v>
      </c>
      <c r="D661" s="405" t="str">
        <f t="shared" si="82"/>
        <v>ダイヤ興産（株）</v>
      </c>
      <c r="E661" s="405" t="str">
        <f t="shared" si="83"/>
        <v>代表取締役</v>
      </c>
      <c r="F661" s="405" t="str">
        <f t="shared" si="84"/>
        <v>留高　謙</v>
      </c>
      <c r="G661" s="405" t="str">
        <f t="shared" si="85"/>
        <v>主たる営業所</v>
      </c>
      <c r="H661" s="405" t="str">
        <f t="shared" si="86"/>
        <v>臼杵市大字末広２６３２－１</v>
      </c>
      <c r="L661" s="403" t="s">
        <v>8990</v>
      </c>
      <c r="M661" s="403" t="s">
        <v>8991</v>
      </c>
      <c r="N661" s="403" t="s">
        <v>2633</v>
      </c>
      <c r="O661" s="403" t="s">
        <v>7084</v>
      </c>
      <c r="P661" s="403" t="s">
        <v>2634</v>
      </c>
      <c r="Q661" s="403" t="s">
        <v>7780</v>
      </c>
      <c r="R661" s="403" t="s">
        <v>19106</v>
      </c>
      <c r="S661" s="403" t="s">
        <v>15160</v>
      </c>
      <c r="T661" s="403" t="s">
        <v>15161</v>
      </c>
      <c r="U661" s="403"/>
      <c r="V661" s="403" t="s">
        <v>23024</v>
      </c>
      <c r="W661" s="403" t="s">
        <v>23024</v>
      </c>
      <c r="X661" s="403" t="s">
        <v>23024</v>
      </c>
      <c r="Y661" s="403" t="s">
        <v>23024</v>
      </c>
    </row>
    <row r="662" spans="1:25">
      <c r="A662" s="363">
        <f t="shared" si="87"/>
        <v>661</v>
      </c>
      <c r="B662" s="363" t="str">
        <f t="shared" si="80"/>
        <v>44</v>
      </c>
      <c r="C662" s="405" t="str">
        <f t="shared" si="81"/>
        <v>第006294号</v>
      </c>
      <c r="D662" s="405" t="str">
        <f t="shared" si="82"/>
        <v>太平工事（株）</v>
      </c>
      <c r="E662" s="405" t="str">
        <f t="shared" si="83"/>
        <v>代表取締役</v>
      </c>
      <c r="F662" s="405" t="str">
        <f t="shared" si="84"/>
        <v>中村　謙助</v>
      </c>
      <c r="G662" s="405" t="str">
        <f t="shared" si="85"/>
        <v>主たる営業所</v>
      </c>
      <c r="H662" s="405" t="str">
        <f t="shared" si="86"/>
        <v>津久見市入船西町１６－９</v>
      </c>
      <c r="L662" s="403" t="s">
        <v>8992</v>
      </c>
      <c r="M662" s="403" t="s">
        <v>8993</v>
      </c>
      <c r="N662" s="403" t="s">
        <v>2635</v>
      </c>
      <c r="O662" s="403" t="s">
        <v>7084</v>
      </c>
      <c r="P662" s="403" t="s">
        <v>2636</v>
      </c>
      <c r="Q662" s="403" t="s">
        <v>7817</v>
      </c>
      <c r="R662" s="403" t="s">
        <v>19107</v>
      </c>
      <c r="S662" s="403" t="s">
        <v>15162</v>
      </c>
      <c r="T662" s="403" t="s">
        <v>15163</v>
      </c>
      <c r="U662" s="403"/>
      <c r="V662" s="403" t="s">
        <v>23024</v>
      </c>
      <c r="W662" s="403" t="s">
        <v>23024</v>
      </c>
      <c r="X662" s="403" t="s">
        <v>23024</v>
      </c>
      <c r="Y662" s="403" t="s">
        <v>23024</v>
      </c>
    </row>
    <row r="663" spans="1:25">
      <c r="A663" s="363">
        <f t="shared" si="87"/>
        <v>662</v>
      </c>
      <c r="B663" s="363" t="str">
        <f t="shared" si="80"/>
        <v>44</v>
      </c>
      <c r="C663" s="405" t="str">
        <f t="shared" si="81"/>
        <v>第006299号</v>
      </c>
      <c r="D663" s="405" t="str">
        <f t="shared" si="82"/>
        <v>（株）宏栄建設</v>
      </c>
      <c r="E663" s="405" t="str">
        <f t="shared" si="83"/>
        <v>代表取締役</v>
      </c>
      <c r="F663" s="405" t="str">
        <f t="shared" si="84"/>
        <v>高崎　力</v>
      </c>
      <c r="G663" s="405" t="str">
        <f t="shared" si="85"/>
        <v>主たる営業所</v>
      </c>
      <c r="H663" s="405" t="str">
        <f t="shared" si="86"/>
        <v>津久見市入船西町１５－６</v>
      </c>
      <c r="L663" s="403" t="s">
        <v>8994</v>
      </c>
      <c r="M663" s="403" t="s">
        <v>8491</v>
      </c>
      <c r="N663" s="403" t="s">
        <v>2637</v>
      </c>
      <c r="O663" s="403" t="s">
        <v>7084</v>
      </c>
      <c r="P663" s="403" t="s">
        <v>5304</v>
      </c>
      <c r="Q663" s="403" t="s">
        <v>7817</v>
      </c>
      <c r="R663" s="403" t="s">
        <v>19108</v>
      </c>
      <c r="S663" s="403" t="s">
        <v>15164</v>
      </c>
      <c r="T663" s="403" t="s">
        <v>15165</v>
      </c>
      <c r="U663" s="403"/>
      <c r="V663" s="403" t="s">
        <v>23024</v>
      </c>
      <c r="W663" s="403" t="s">
        <v>23024</v>
      </c>
      <c r="X663" s="403" t="s">
        <v>23024</v>
      </c>
      <c r="Y663" s="403" t="s">
        <v>23024</v>
      </c>
    </row>
    <row r="664" spans="1:25">
      <c r="A664" s="363">
        <f t="shared" si="87"/>
        <v>663</v>
      </c>
      <c r="B664" s="363" t="str">
        <f t="shared" si="80"/>
        <v>44</v>
      </c>
      <c r="C664" s="405" t="str">
        <f t="shared" si="81"/>
        <v>第006301号</v>
      </c>
      <c r="D664" s="405" t="str">
        <f t="shared" si="82"/>
        <v>日光工業（株）</v>
      </c>
      <c r="E664" s="405" t="str">
        <f t="shared" si="83"/>
        <v>代表取締役</v>
      </c>
      <c r="F664" s="405" t="str">
        <f t="shared" si="84"/>
        <v>戸上　新次</v>
      </c>
      <c r="G664" s="405" t="str">
        <f t="shared" si="85"/>
        <v>主たる営業所</v>
      </c>
      <c r="H664" s="405" t="str">
        <f t="shared" si="86"/>
        <v>臼杵市大字戸室９１７－１</v>
      </c>
      <c r="L664" s="403" t="s">
        <v>8995</v>
      </c>
      <c r="M664" s="403" t="s">
        <v>8996</v>
      </c>
      <c r="N664" s="403" t="s">
        <v>2638</v>
      </c>
      <c r="O664" s="403" t="s">
        <v>7084</v>
      </c>
      <c r="P664" s="403" t="s">
        <v>2639</v>
      </c>
      <c r="Q664" s="403" t="s">
        <v>8997</v>
      </c>
      <c r="R664" s="403" t="s">
        <v>19109</v>
      </c>
      <c r="S664" s="403" t="s">
        <v>15166</v>
      </c>
      <c r="T664" s="403" t="s">
        <v>15167</v>
      </c>
      <c r="U664" s="403"/>
      <c r="V664" s="403" t="s">
        <v>23024</v>
      </c>
      <c r="W664" s="403" t="s">
        <v>23024</v>
      </c>
      <c r="X664" s="403" t="s">
        <v>23024</v>
      </c>
      <c r="Y664" s="403" t="s">
        <v>23024</v>
      </c>
    </row>
    <row r="665" spans="1:25">
      <c r="A665" s="363">
        <f t="shared" si="87"/>
        <v>664</v>
      </c>
      <c r="B665" s="363" t="str">
        <f t="shared" si="80"/>
        <v>44</v>
      </c>
      <c r="C665" s="405" t="str">
        <f t="shared" si="81"/>
        <v>第006316号</v>
      </c>
      <c r="D665" s="405" t="str">
        <f t="shared" si="82"/>
        <v>（有）羽田野組</v>
      </c>
      <c r="E665" s="405" t="str">
        <f t="shared" si="83"/>
        <v>代表取締役</v>
      </c>
      <c r="F665" s="405" t="str">
        <f t="shared" si="84"/>
        <v>羽田野　清</v>
      </c>
      <c r="G665" s="405" t="str">
        <f t="shared" si="85"/>
        <v>主たる営業所</v>
      </c>
      <c r="H665" s="405" t="str">
        <f t="shared" si="86"/>
        <v>豊後大野市緒方町越生３２７－１２</v>
      </c>
      <c r="L665" s="403" t="s">
        <v>8998</v>
      </c>
      <c r="M665" s="403" t="s">
        <v>8999</v>
      </c>
      <c r="N665" s="403" t="s">
        <v>2640</v>
      </c>
      <c r="O665" s="403" t="s">
        <v>7084</v>
      </c>
      <c r="P665" s="403" t="s">
        <v>2641</v>
      </c>
      <c r="Q665" s="403" t="s">
        <v>9000</v>
      </c>
      <c r="R665" s="403" t="s">
        <v>19110</v>
      </c>
      <c r="S665" s="403" t="s">
        <v>15168</v>
      </c>
      <c r="T665" s="403" t="s">
        <v>15169</v>
      </c>
      <c r="U665" s="403"/>
      <c r="V665" s="403" t="s">
        <v>23024</v>
      </c>
      <c r="W665" s="403" t="s">
        <v>23024</v>
      </c>
      <c r="X665" s="403" t="s">
        <v>23024</v>
      </c>
      <c r="Y665" s="403" t="s">
        <v>23024</v>
      </c>
    </row>
    <row r="666" spans="1:25">
      <c r="A666" s="363">
        <f t="shared" si="87"/>
        <v>665</v>
      </c>
      <c r="B666" s="363" t="str">
        <f t="shared" si="80"/>
        <v>44</v>
      </c>
      <c r="C666" s="405" t="str">
        <f t="shared" si="81"/>
        <v>第006333号</v>
      </c>
      <c r="D666" s="405" t="str">
        <f t="shared" si="82"/>
        <v>（株）今里建設</v>
      </c>
      <c r="E666" s="405" t="str">
        <f t="shared" si="83"/>
        <v>代表取締役</v>
      </c>
      <c r="F666" s="405" t="str">
        <f t="shared" si="84"/>
        <v>楠本　幸孝</v>
      </c>
      <c r="G666" s="405" t="str">
        <f t="shared" si="85"/>
        <v>主たる営業所</v>
      </c>
      <c r="H666" s="405" t="str">
        <f t="shared" si="86"/>
        <v>臼杵市野津町大字西畑５８９－４</v>
      </c>
      <c r="L666" s="403" t="s">
        <v>9001</v>
      </c>
      <c r="M666" s="403" t="s">
        <v>9002</v>
      </c>
      <c r="N666" s="403" t="s">
        <v>2642</v>
      </c>
      <c r="O666" s="403" t="s">
        <v>7084</v>
      </c>
      <c r="P666" s="403" t="s">
        <v>2643</v>
      </c>
      <c r="Q666" s="403" t="s">
        <v>9003</v>
      </c>
      <c r="R666" s="403" t="s">
        <v>19111</v>
      </c>
      <c r="S666" s="403" t="s">
        <v>15170</v>
      </c>
      <c r="T666" s="403" t="s">
        <v>15171</v>
      </c>
      <c r="U666" s="403"/>
      <c r="V666" s="403" t="s">
        <v>23024</v>
      </c>
      <c r="W666" s="403" t="s">
        <v>23024</v>
      </c>
      <c r="X666" s="403" t="s">
        <v>23024</v>
      </c>
      <c r="Y666" s="403" t="s">
        <v>23024</v>
      </c>
    </row>
    <row r="667" spans="1:25">
      <c r="A667" s="363">
        <f t="shared" si="87"/>
        <v>666</v>
      </c>
      <c r="B667" s="363" t="str">
        <f t="shared" si="80"/>
        <v>44</v>
      </c>
      <c r="C667" s="405" t="str">
        <f t="shared" si="81"/>
        <v>第006338号</v>
      </c>
      <c r="D667" s="405" t="str">
        <f t="shared" si="82"/>
        <v>（株）関屋組</v>
      </c>
      <c r="E667" s="405" t="str">
        <f t="shared" si="83"/>
        <v>代表取締役</v>
      </c>
      <c r="F667" s="405" t="str">
        <f t="shared" si="84"/>
        <v>関屋　角栄</v>
      </c>
      <c r="G667" s="405" t="str">
        <f t="shared" si="85"/>
        <v>主たる営業所</v>
      </c>
      <c r="H667" s="405" t="str">
        <f t="shared" si="86"/>
        <v>臼杵市野津町大字落谷２０８７</v>
      </c>
      <c r="L667" s="403" t="s">
        <v>9004</v>
      </c>
      <c r="M667" s="403" t="s">
        <v>9005</v>
      </c>
      <c r="N667" s="403" t="s">
        <v>2644</v>
      </c>
      <c r="O667" s="403" t="s">
        <v>7084</v>
      </c>
      <c r="P667" s="403" t="s">
        <v>2645</v>
      </c>
      <c r="Q667" s="403" t="s">
        <v>9006</v>
      </c>
      <c r="R667" s="403" t="s">
        <v>5478</v>
      </c>
      <c r="S667" s="403" t="s">
        <v>15172</v>
      </c>
      <c r="T667" s="403" t="s">
        <v>15173</v>
      </c>
      <c r="U667" s="403"/>
      <c r="V667" s="403" t="s">
        <v>23024</v>
      </c>
      <c r="W667" s="403" t="s">
        <v>23024</v>
      </c>
      <c r="X667" s="403" t="s">
        <v>23024</v>
      </c>
      <c r="Y667" s="403" t="s">
        <v>23024</v>
      </c>
    </row>
    <row r="668" spans="1:25">
      <c r="A668" s="363">
        <f t="shared" si="87"/>
        <v>667</v>
      </c>
      <c r="B668" s="363" t="str">
        <f t="shared" si="80"/>
        <v>44</v>
      </c>
      <c r="C668" s="405" t="str">
        <f t="shared" si="81"/>
        <v>第006342号</v>
      </c>
      <c r="D668" s="405" t="str">
        <f t="shared" si="82"/>
        <v>（有）野津住建</v>
      </c>
      <c r="E668" s="405" t="str">
        <f t="shared" si="83"/>
        <v>代表取締役</v>
      </c>
      <c r="F668" s="405" t="str">
        <f t="shared" si="84"/>
        <v>森尾　英樹</v>
      </c>
      <c r="G668" s="405" t="str">
        <f t="shared" si="85"/>
        <v>主たる営業所</v>
      </c>
      <c r="H668" s="405" t="str">
        <f t="shared" si="86"/>
        <v>臼杵市野津町大字宮原１２１８</v>
      </c>
      <c r="L668" s="403" t="s">
        <v>9007</v>
      </c>
      <c r="M668" s="403" t="s">
        <v>9008</v>
      </c>
      <c r="N668" s="403" t="s">
        <v>2646</v>
      </c>
      <c r="O668" s="403" t="s">
        <v>7084</v>
      </c>
      <c r="P668" s="403" t="s">
        <v>2647</v>
      </c>
      <c r="Q668" s="403" t="s">
        <v>9009</v>
      </c>
      <c r="R668" s="403" t="s">
        <v>5479</v>
      </c>
      <c r="S668" s="403" t="s">
        <v>15174</v>
      </c>
      <c r="T668" s="403" t="s">
        <v>15175</v>
      </c>
      <c r="U668" s="403"/>
      <c r="V668" s="403" t="s">
        <v>23024</v>
      </c>
      <c r="W668" s="403" t="s">
        <v>23024</v>
      </c>
      <c r="X668" s="403" t="s">
        <v>23024</v>
      </c>
      <c r="Y668" s="403" t="s">
        <v>23024</v>
      </c>
    </row>
    <row r="669" spans="1:25">
      <c r="A669" s="363">
        <f t="shared" si="87"/>
        <v>668</v>
      </c>
      <c r="B669" s="363" t="str">
        <f t="shared" si="80"/>
        <v>44</v>
      </c>
      <c r="C669" s="405" t="str">
        <f t="shared" si="81"/>
        <v>第006343号</v>
      </c>
      <c r="D669" s="405" t="str">
        <f t="shared" si="82"/>
        <v>（株）佐々木建設</v>
      </c>
      <c r="E669" s="405" t="str">
        <f t="shared" si="83"/>
        <v>代表取締役</v>
      </c>
      <c r="F669" s="405" t="str">
        <f t="shared" si="84"/>
        <v>佐々木　亮侍</v>
      </c>
      <c r="G669" s="405" t="str">
        <f t="shared" si="85"/>
        <v>主たる営業所</v>
      </c>
      <c r="H669" s="405" t="str">
        <f t="shared" si="86"/>
        <v>豊後大野市千歳町前田１０５１－７</v>
      </c>
      <c r="L669" s="403" t="s">
        <v>9010</v>
      </c>
      <c r="M669" s="403" t="s">
        <v>7674</v>
      </c>
      <c r="N669" s="403" t="s">
        <v>2237</v>
      </c>
      <c r="O669" s="403" t="s">
        <v>7084</v>
      </c>
      <c r="P669" s="403" t="s">
        <v>2648</v>
      </c>
      <c r="Q669" s="403" t="s">
        <v>9011</v>
      </c>
      <c r="R669" s="403" t="s">
        <v>19112</v>
      </c>
      <c r="S669" s="403" t="s">
        <v>15176</v>
      </c>
      <c r="T669" s="403" t="s">
        <v>15177</v>
      </c>
      <c r="U669" s="403"/>
      <c r="V669" s="403" t="s">
        <v>23024</v>
      </c>
      <c r="W669" s="403" t="s">
        <v>23024</v>
      </c>
      <c r="X669" s="403" t="s">
        <v>23024</v>
      </c>
      <c r="Y669" s="403" t="s">
        <v>23024</v>
      </c>
    </row>
    <row r="670" spans="1:25">
      <c r="A670" s="363">
        <f t="shared" si="87"/>
        <v>669</v>
      </c>
      <c r="B670" s="363" t="str">
        <f t="shared" si="80"/>
        <v>44</v>
      </c>
      <c r="C670" s="405" t="str">
        <f t="shared" si="81"/>
        <v>第006352号</v>
      </c>
      <c r="D670" s="405" t="str">
        <f t="shared" si="82"/>
        <v>深田建設（株）</v>
      </c>
      <c r="E670" s="405" t="str">
        <f t="shared" si="83"/>
        <v>代表取締役</v>
      </c>
      <c r="F670" s="405" t="str">
        <f t="shared" si="84"/>
        <v>深田　邦公</v>
      </c>
      <c r="G670" s="405" t="str">
        <f t="shared" si="85"/>
        <v>主たる営業所</v>
      </c>
      <c r="H670" s="405" t="str">
        <f t="shared" si="86"/>
        <v>豊後大野市三重町内田７５３</v>
      </c>
      <c r="L670" s="403" t="s">
        <v>9012</v>
      </c>
      <c r="M670" s="403" t="s">
        <v>9013</v>
      </c>
      <c r="N670" s="403" t="s">
        <v>2649</v>
      </c>
      <c r="O670" s="403" t="s">
        <v>7084</v>
      </c>
      <c r="P670" s="403" t="s">
        <v>2650</v>
      </c>
      <c r="Q670" s="403" t="s">
        <v>7899</v>
      </c>
      <c r="R670" s="403" t="s">
        <v>5480</v>
      </c>
      <c r="S670" s="403" t="s">
        <v>15178</v>
      </c>
      <c r="T670" s="403" t="s">
        <v>15179</v>
      </c>
      <c r="U670" s="403"/>
      <c r="V670" s="403" t="s">
        <v>23024</v>
      </c>
      <c r="W670" s="403" t="s">
        <v>23024</v>
      </c>
      <c r="X670" s="403" t="s">
        <v>23024</v>
      </c>
      <c r="Y670" s="403" t="s">
        <v>23024</v>
      </c>
    </row>
    <row r="671" spans="1:25">
      <c r="A671" s="363">
        <f t="shared" si="87"/>
        <v>670</v>
      </c>
      <c r="B671" s="363" t="str">
        <f t="shared" si="80"/>
        <v>44</v>
      </c>
      <c r="C671" s="405" t="str">
        <f t="shared" si="81"/>
        <v>第006364号</v>
      </c>
      <c r="D671" s="405" t="str">
        <f t="shared" si="82"/>
        <v>（株）三宮組</v>
      </c>
      <c r="E671" s="405" t="str">
        <f t="shared" si="83"/>
        <v>代表取締役</v>
      </c>
      <c r="F671" s="405" t="str">
        <f t="shared" si="84"/>
        <v>森迫　繁宣</v>
      </c>
      <c r="G671" s="405" t="str">
        <f t="shared" si="85"/>
        <v>主たる営業所</v>
      </c>
      <c r="H671" s="405" t="str">
        <f t="shared" si="86"/>
        <v>豊後大野市大野町藤北１２６９</v>
      </c>
      <c r="L671" s="403" t="s">
        <v>9014</v>
      </c>
      <c r="M671" s="403" t="s">
        <v>9015</v>
      </c>
      <c r="N671" s="403" t="s">
        <v>2651</v>
      </c>
      <c r="O671" s="403" t="s">
        <v>7084</v>
      </c>
      <c r="P671" s="403" t="s">
        <v>2652</v>
      </c>
      <c r="Q671" s="403" t="s">
        <v>9016</v>
      </c>
      <c r="R671" s="403" t="s">
        <v>5481</v>
      </c>
      <c r="S671" s="403" t="s">
        <v>15180</v>
      </c>
      <c r="T671" s="403" t="s">
        <v>15181</v>
      </c>
      <c r="U671" s="403"/>
      <c r="V671" s="403" t="s">
        <v>23024</v>
      </c>
      <c r="W671" s="403" t="s">
        <v>23024</v>
      </c>
      <c r="X671" s="403" t="s">
        <v>23024</v>
      </c>
      <c r="Y671" s="403" t="s">
        <v>23024</v>
      </c>
    </row>
    <row r="672" spans="1:25">
      <c r="A672" s="363">
        <f t="shared" si="87"/>
        <v>671</v>
      </c>
      <c r="B672" s="363" t="str">
        <f t="shared" si="80"/>
        <v>44</v>
      </c>
      <c r="C672" s="405" t="str">
        <f t="shared" si="81"/>
        <v>第006370号</v>
      </c>
      <c r="D672" s="405" t="str">
        <f t="shared" si="82"/>
        <v>（有）村田建設</v>
      </c>
      <c r="E672" s="405" t="str">
        <f t="shared" si="83"/>
        <v>代表取締役</v>
      </c>
      <c r="F672" s="405" t="str">
        <f t="shared" si="84"/>
        <v>村田　哲也</v>
      </c>
      <c r="G672" s="405" t="str">
        <f t="shared" si="85"/>
        <v>主たる営業所</v>
      </c>
      <c r="H672" s="405" t="str">
        <f t="shared" si="86"/>
        <v>豊後大野市清川町砂田１８６</v>
      </c>
      <c r="L672" s="403" t="s">
        <v>9017</v>
      </c>
      <c r="M672" s="403" t="s">
        <v>9018</v>
      </c>
      <c r="N672" s="403" t="s">
        <v>2653</v>
      </c>
      <c r="O672" s="403" t="s">
        <v>7084</v>
      </c>
      <c r="P672" s="403" t="s">
        <v>2654</v>
      </c>
      <c r="Q672" s="403" t="s">
        <v>7908</v>
      </c>
      <c r="R672" s="403" t="s">
        <v>5482</v>
      </c>
      <c r="S672" s="403" t="s">
        <v>15182</v>
      </c>
      <c r="T672" s="403" t="s">
        <v>15183</v>
      </c>
      <c r="U672" s="403"/>
      <c r="V672" s="403" t="s">
        <v>23024</v>
      </c>
      <c r="W672" s="403" t="s">
        <v>23024</v>
      </c>
      <c r="X672" s="403" t="s">
        <v>23024</v>
      </c>
      <c r="Y672" s="403" t="s">
        <v>23024</v>
      </c>
    </row>
    <row r="673" spans="1:25">
      <c r="A673" s="363">
        <f t="shared" si="87"/>
        <v>672</v>
      </c>
      <c r="B673" s="363" t="str">
        <f t="shared" si="80"/>
        <v>44</v>
      </c>
      <c r="C673" s="405" t="str">
        <f t="shared" si="81"/>
        <v>第006371号</v>
      </c>
      <c r="D673" s="405" t="str">
        <f t="shared" si="82"/>
        <v>（有）智俊工業</v>
      </c>
      <c r="E673" s="405" t="str">
        <f t="shared" si="83"/>
        <v>代表取締役</v>
      </c>
      <c r="F673" s="405" t="str">
        <f t="shared" si="84"/>
        <v>川野　一幸</v>
      </c>
      <c r="G673" s="405" t="str">
        <f t="shared" si="85"/>
        <v>主たる営業所</v>
      </c>
      <c r="H673" s="405" t="str">
        <f t="shared" si="86"/>
        <v>臼杵市野津町大字白岩７０２</v>
      </c>
      <c r="L673" s="403" t="s">
        <v>9019</v>
      </c>
      <c r="M673" s="403" t="s">
        <v>9020</v>
      </c>
      <c r="N673" s="403" t="s">
        <v>2655</v>
      </c>
      <c r="O673" s="403" t="s">
        <v>7084</v>
      </c>
      <c r="P673" s="403" t="s">
        <v>2656</v>
      </c>
      <c r="Q673" s="403" t="s">
        <v>9021</v>
      </c>
      <c r="R673" s="403" t="s">
        <v>5483</v>
      </c>
      <c r="S673" s="403" t="s">
        <v>15184</v>
      </c>
      <c r="T673" s="403" t="s">
        <v>15185</v>
      </c>
      <c r="U673" s="403"/>
      <c r="V673" s="403" t="s">
        <v>23024</v>
      </c>
      <c r="W673" s="403" t="s">
        <v>23024</v>
      </c>
      <c r="X673" s="403" t="s">
        <v>23024</v>
      </c>
      <c r="Y673" s="403" t="s">
        <v>23024</v>
      </c>
    </row>
    <row r="674" spans="1:25">
      <c r="A674" s="363">
        <f t="shared" si="87"/>
        <v>673</v>
      </c>
      <c r="B674" s="363" t="str">
        <f t="shared" si="80"/>
        <v>44</v>
      </c>
      <c r="C674" s="405" t="str">
        <f t="shared" si="81"/>
        <v>第006374号</v>
      </c>
      <c r="D674" s="405" t="str">
        <f t="shared" si="82"/>
        <v>渡辺建設（株）</v>
      </c>
      <c r="E674" s="405" t="str">
        <f t="shared" si="83"/>
        <v>代表取締役</v>
      </c>
      <c r="F674" s="405" t="str">
        <f t="shared" si="84"/>
        <v>渡辺　康幸</v>
      </c>
      <c r="G674" s="405" t="str">
        <f t="shared" si="85"/>
        <v>主たる営業所</v>
      </c>
      <c r="H674" s="405" t="str">
        <f t="shared" si="86"/>
        <v>豊後大野市緒方町辻９４－１</v>
      </c>
      <c r="L674" s="403" t="s">
        <v>9022</v>
      </c>
      <c r="M674" s="403" t="s">
        <v>8384</v>
      </c>
      <c r="N674" s="403" t="s">
        <v>2162</v>
      </c>
      <c r="O674" s="403" t="s">
        <v>7084</v>
      </c>
      <c r="P674" s="403" t="s">
        <v>2657</v>
      </c>
      <c r="Q674" s="403" t="s">
        <v>9023</v>
      </c>
      <c r="R674" s="403" t="s">
        <v>19113</v>
      </c>
      <c r="S674" s="403" t="s">
        <v>15186</v>
      </c>
      <c r="T674" s="403" t="s">
        <v>15187</v>
      </c>
      <c r="U674" s="403"/>
      <c r="V674" s="403" t="s">
        <v>23024</v>
      </c>
      <c r="W674" s="403" t="s">
        <v>23024</v>
      </c>
      <c r="X674" s="403" t="s">
        <v>23024</v>
      </c>
      <c r="Y674" s="403" t="s">
        <v>23024</v>
      </c>
    </row>
    <row r="675" spans="1:25">
      <c r="A675" s="363">
        <f t="shared" si="87"/>
        <v>674</v>
      </c>
      <c r="B675" s="363" t="str">
        <f t="shared" si="80"/>
        <v>44</v>
      </c>
      <c r="C675" s="405" t="str">
        <f t="shared" si="81"/>
        <v>第006382号</v>
      </c>
      <c r="D675" s="405" t="str">
        <f t="shared" si="82"/>
        <v>（株）ごとう</v>
      </c>
      <c r="E675" s="405" t="str">
        <f t="shared" si="83"/>
        <v>代表取締役</v>
      </c>
      <c r="F675" s="405" t="str">
        <f t="shared" si="84"/>
        <v>後藤　健太郎</v>
      </c>
      <c r="G675" s="405" t="str">
        <f t="shared" si="85"/>
        <v>主たる営業所</v>
      </c>
      <c r="H675" s="405" t="str">
        <f t="shared" si="86"/>
        <v>豊後大野市緒方町馬場９１</v>
      </c>
      <c r="L675" s="403" t="s">
        <v>9024</v>
      </c>
      <c r="M675" s="403" t="s">
        <v>9025</v>
      </c>
      <c r="N675" s="403" t="s">
        <v>2658</v>
      </c>
      <c r="O675" s="403" t="s">
        <v>7084</v>
      </c>
      <c r="P675" s="403" t="s">
        <v>2659</v>
      </c>
      <c r="Q675" s="403" t="s">
        <v>9026</v>
      </c>
      <c r="R675" s="403" t="s">
        <v>5484</v>
      </c>
      <c r="S675" s="403" t="s">
        <v>15188</v>
      </c>
      <c r="T675" s="403" t="s">
        <v>15189</v>
      </c>
      <c r="U675" s="403"/>
      <c r="V675" s="403" t="s">
        <v>23024</v>
      </c>
      <c r="W675" s="403" t="s">
        <v>23024</v>
      </c>
      <c r="X675" s="403" t="s">
        <v>23024</v>
      </c>
      <c r="Y675" s="403" t="s">
        <v>23024</v>
      </c>
    </row>
    <row r="676" spans="1:25">
      <c r="A676" s="363">
        <f t="shared" si="87"/>
        <v>675</v>
      </c>
      <c r="B676" s="363" t="str">
        <f t="shared" si="80"/>
        <v>44</v>
      </c>
      <c r="C676" s="405" t="str">
        <f t="shared" si="81"/>
        <v>第006385号</v>
      </c>
      <c r="D676" s="405" t="str">
        <f t="shared" si="82"/>
        <v>（有）村上建設</v>
      </c>
      <c r="E676" s="405" t="str">
        <f t="shared" si="83"/>
        <v>代表取締役</v>
      </c>
      <c r="F676" s="405" t="str">
        <f t="shared" si="84"/>
        <v>村上　一誠</v>
      </c>
      <c r="G676" s="405" t="str">
        <f t="shared" si="85"/>
        <v>主たる営業所</v>
      </c>
      <c r="H676" s="405" t="str">
        <f t="shared" si="86"/>
        <v>臼杵市野津町大字原１４３１－２</v>
      </c>
      <c r="L676" s="403" t="s">
        <v>9027</v>
      </c>
      <c r="M676" s="403" t="s">
        <v>9028</v>
      </c>
      <c r="N676" s="403" t="s">
        <v>2660</v>
      </c>
      <c r="O676" s="403" t="s">
        <v>7084</v>
      </c>
      <c r="P676" s="403" t="s">
        <v>2661</v>
      </c>
      <c r="Q676" s="403" t="s">
        <v>9029</v>
      </c>
      <c r="R676" s="403" t="s">
        <v>19114</v>
      </c>
      <c r="S676" s="403" t="s">
        <v>15190</v>
      </c>
      <c r="T676" s="403" t="s">
        <v>15191</v>
      </c>
      <c r="U676" s="403"/>
      <c r="V676" s="403" t="s">
        <v>23024</v>
      </c>
      <c r="W676" s="403" t="s">
        <v>23024</v>
      </c>
      <c r="X676" s="403" t="s">
        <v>23024</v>
      </c>
      <c r="Y676" s="403" t="s">
        <v>23024</v>
      </c>
    </row>
    <row r="677" spans="1:25">
      <c r="A677" s="363">
        <f t="shared" si="87"/>
        <v>676</v>
      </c>
      <c r="B677" s="363" t="str">
        <f t="shared" si="80"/>
        <v>44</v>
      </c>
      <c r="C677" s="405" t="str">
        <f t="shared" si="81"/>
        <v>第006390号</v>
      </c>
      <c r="D677" s="405" t="str">
        <f t="shared" si="82"/>
        <v>麻生建設</v>
      </c>
      <c r="E677" s="405" t="str">
        <f t="shared" si="83"/>
        <v>代表者</v>
      </c>
      <c r="F677" s="405" t="str">
        <f t="shared" si="84"/>
        <v>麻生　重光</v>
      </c>
      <c r="G677" s="405" t="str">
        <f t="shared" si="85"/>
        <v>主たる営業所</v>
      </c>
      <c r="H677" s="405" t="str">
        <f t="shared" si="86"/>
        <v>豊後大野市三重町川辺３０１０</v>
      </c>
      <c r="L677" s="403" t="s">
        <v>9030</v>
      </c>
      <c r="M677" s="403" t="s">
        <v>8006</v>
      </c>
      <c r="N677" s="403" t="s">
        <v>2662</v>
      </c>
      <c r="O677" s="403" t="s">
        <v>7086</v>
      </c>
      <c r="P677" s="403" t="s">
        <v>2663</v>
      </c>
      <c r="Q677" s="403" t="s">
        <v>9031</v>
      </c>
      <c r="R677" s="403" t="s">
        <v>5485</v>
      </c>
      <c r="S677" s="403" t="s">
        <v>15192</v>
      </c>
      <c r="T677" s="403" t="s">
        <v>15192</v>
      </c>
      <c r="U677" s="403"/>
      <c r="V677" s="403" t="s">
        <v>23024</v>
      </c>
      <c r="W677" s="403" t="s">
        <v>23024</v>
      </c>
      <c r="X677" s="403" t="s">
        <v>23024</v>
      </c>
      <c r="Y677" s="403" t="s">
        <v>23024</v>
      </c>
    </row>
    <row r="678" spans="1:25">
      <c r="A678" s="363">
        <f t="shared" si="87"/>
        <v>677</v>
      </c>
      <c r="B678" s="363" t="str">
        <f t="shared" si="80"/>
        <v>44</v>
      </c>
      <c r="C678" s="405" t="str">
        <f t="shared" si="81"/>
        <v>第006406号</v>
      </c>
      <c r="D678" s="405" t="str">
        <f t="shared" si="82"/>
        <v>（有）宮成工務店</v>
      </c>
      <c r="E678" s="405" t="str">
        <f t="shared" si="83"/>
        <v>代表取締役</v>
      </c>
      <c r="F678" s="405" t="str">
        <f t="shared" si="84"/>
        <v>宮成　孝治</v>
      </c>
      <c r="G678" s="405" t="str">
        <f t="shared" si="85"/>
        <v>主たる営業所</v>
      </c>
      <c r="H678" s="405" t="str">
        <f t="shared" si="86"/>
        <v>豊後大野市犬飼町田原２９８４－２</v>
      </c>
      <c r="L678" s="403" t="s">
        <v>9032</v>
      </c>
      <c r="M678" s="403" t="s">
        <v>9033</v>
      </c>
      <c r="N678" s="403" t="s">
        <v>2664</v>
      </c>
      <c r="O678" s="403" t="s">
        <v>7084</v>
      </c>
      <c r="P678" s="403" t="s">
        <v>2665</v>
      </c>
      <c r="Q678" s="403" t="s">
        <v>7915</v>
      </c>
      <c r="R678" s="403" t="s">
        <v>19115</v>
      </c>
      <c r="S678" s="403" t="s">
        <v>19116</v>
      </c>
      <c r="T678" s="403" t="s">
        <v>15193</v>
      </c>
      <c r="U678" s="403"/>
      <c r="V678" s="403" t="s">
        <v>23024</v>
      </c>
      <c r="W678" s="403" t="s">
        <v>23024</v>
      </c>
      <c r="X678" s="403" t="s">
        <v>23024</v>
      </c>
      <c r="Y678" s="403" t="s">
        <v>23024</v>
      </c>
    </row>
    <row r="679" spans="1:25">
      <c r="A679" s="363">
        <f t="shared" si="87"/>
        <v>678</v>
      </c>
      <c r="B679" s="363" t="str">
        <f t="shared" si="80"/>
        <v>44</v>
      </c>
      <c r="C679" s="405" t="str">
        <f t="shared" si="81"/>
        <v>第006411号</v>
      </c>
      <c r="D679" s="405" t="str">
        <f t="shared" si="82"/>
        <v>白山建設（有）</v>
      </c>
      <c r="E679" s="405" t="str">
        <f t="shared" si="83"/>
        <v>取締役</v>
      </c>
      <c r="F679" s="405" t="str">
        <f t="shared" si="84"/>
        <v>深田　千鶴子</v>
      </c>
      <c r="G679" s="405" t="str">
        <f t="shared" si="85"/>
        <v>主たる営業所</v>
      </c>
      <c r="H679" s="405" t="str">
        <f t="shared" si="86"/>
        <v>豊後大野市三重町内田９３５</v>
      </c>
      <c r="L679" s="403" t="s">
        <v>9034</v>
      </c>
      <c r="M679" s="403" t="s">
        <v>9035</v>
      </c>
      <c r="N679" s="403" t="s">
        <v>2666</v>
      </c>
      <c r="O679" s="403" t="s">
        <v>7085</v>
      </c>
      <c r="P679" s="403" t="s">
        <v>2667</v>
      </c>
      <c r="Q679" s="403" t="s">
        <v>7899</v>
      </c>
      <c r="R679" s="403" t="s">
        <v>5486</v>
      </c>
      <c r="S679" s="403" t="s">
        <v>15194</v>
      </c>
      <c r="T679" s="403" t="s">
        <v>15194</v>
      </c>
      <c r="U679" s="403"/>
      <c r="V679" s="403" t="s">
        <v>23024</v>
      </c>
      <c r="W679" s="403" t="s">
        <v>23024</v>
      </c>
      <c r="X679" s="403" t="s">
        <v>23024</v>
      </c>
      <c r="Y679" s="403" t="s">
        <v>23024</v>
      </c>
    </row>
    <row r="680" spans="1:25">
      <c r="A680" s="363">
        <f t="shared" si="87"/>
        <v>679</v>
      </c>
      <c r="B680" s="363" t="str">
        <f t="shared" si="80"/>
        <v>44</v>
      </c>
      <c r="C680" s="405" t="str">
        <f t="shared" si="81"/>
        <v>第006416号</v>
      </c>
      <c r="D680" s="405" t="str">
        <f t="shared" si="82"/>
        <v>（株）川野総合土木</v>
      </c>
      <c r="E680" s="405" t="str">
        <f t="shared" si="83"/>
        <v>代表取締役</v>
      </c>
      <c r="F680" s="405" t="str">
        <f t="shared" si="84"/>
        <v>川野　幸一</v>
      </c>
      <c r="G680" s="405" t="str">
        <f t="shared" si="85"/>
        <v>主たる営業所</v>
      </c>
      <c r="H680" s="405" t="str">
        <f t="shared" si="86"/>
        <v>豊後大野市三重町菅生１－２４６</v>
      </c>
      <c r="L680" s="403" t="s">
        <v>9036</v>
      </c>
      <c r="M680" s="403" t="s">
        <v>9037</v>
      </c>
      <c r="N680" s="403" t="s">
        <v>2668</v>
      </c>
      <c r="O680" s="403" t="s">
        <v>7084</v>
      </c>
      <c r="P680" s="403" t="s">
        <v>2669</v>
      </c>
      <c r="Q680" s="403" t="s">
        <v>7896</v>
      </c>
      <c r="R680" s="403" t="s">
        <v>19117</v>
      </c>
      <c r="S680" s="403" t="s">
        <v>15195</v>
      </c>
      <c r="T680" s="403" t="s">
        <v>15196</v>
      </c>
      <c r="U680" s="403"/>
      <c r="V680" s="403" t="s">
        <v>23024</v>
      </c>
      <c r="W680" s="403" t="s">
        <v>23024</v>
      </c>
      <c r="X680" s="403" t="s">
        <v>23024</v>
      </c>
      <c r="Y680" s="403" t="s">
        <v>23024</v>
      </c>
    </row>
    <row r="681" spans="1:25">
      <c r="A681" s="363">
        <f t="shared" si="87"/>
        <v>680</v>
      </c>
      <c r="B681" s="363" t="str">
        <f t="shared" si="80"/>
        <v>44</v>
      </c>
      <c r="C681" s="405" t="str">
        <f t="shared" si="81"/>
        <v>第006419号</v>
      </c>
      <c r="D681" s="405" t="str">
        <f t="shared" si="82"/>
        <v>板井建設（株）</v>
      </c>
      <c r="E681" s="405" t="str">
        <f t="shared" si="83"/>
        <v>代表取締役</v>
      </c>
      <c r="F681" s="405" t="str">
        <f t="shared" si="84"/>
        <v>板井　隆雄</v>
      </c>
      <c r="G681" s="405" t="str">
        <f t="shared" si="85"/>
        <v>主たる営業所</v>
      </c>
      <c r="H681" s="405" t="str">
        <f t="shared" si="86"/>
        <v>豊後大野市緒方町軸丸２７４９－１</v>
      </c>
      <c r="L681" s="403" t="s">
        <v>9038</v>
      </c>
      <c r="M681" s="403" t="s">
        <v>9039</v>
      </c>
      <c r="N681" s="403" t="s">
        <v>19118</v>
      </c>
      <c r="O681" s="403" t="s">
        <v>7084</v>
      </c>
      <c r="P681" s="403" t="s">
        <v>2670</v>
      </c>
      <c r="Q681" s="403" t="s">
        <v>9040</v>
      </c>
      <c r="R681" s="403" t="s">
        <v>19119</v>
      </c>
      <c r="S681" s="403" t="s">
        <v>15197</v>
      </c>
      <c r="T681" s="403" t="s">
        <v>15198</v>
      </c>
      <c r="U681" s="403"/>
      <c r="V681" s="403" t="s">
        <v>23024</v>
      </c>
      <c r="W681" s="403" t="s">
        <v>23024</v>
      </c>
      <c r="X681" s="403" t="s">
        <v>23024</v>
      </c>
      <c r="Y681" s="403" t="s">
        <v>23024</v>
      </c>
    </row>
    <row r="682" spans="1:25">
      <c r="A682" s="363">
        <f t="shared" si="87"/>
        <v>681</v>
      </c>
      <c r="B682" s="363" t="str">
        <f t="shared" si="80"/>
        <v>44</v>
      </c>
      <c r="C682" s="405" t="str">
        <f t="shared" si="81"/>
        <v>第006421号</v>
      </c>
      <c r="D682" s="405" t="str">
        <f t="shared" si="82"/>
        <v>（有）ひきだ組</v>
      </c>
      <c r="E682" s="405" t="str">
        <f t="shared" si="83"/>
        <v>代表取締役</v>
      </c>
      <c r="F682" s="405" t="str">
        <f t="shared" si="84"/>
        <v>匹田　照美</v>
      </c>
      <c r="G682" s="405" t="str">
        <f t="shared" si="85"/>
        <v>主たる営業所</v>
      </c>
      <c r="H682" s="405" t="str">
        <f t="shared" si="86"/>
        <v>臼杵市野津町大字福良木１９７４</v>
      </c>
      <c r="L682" s="403" t="s">
        <v>9041</v>
      </c>
      <c r="M682" s="403" t="s">
        <v>9042</v>
      </c>
      <c r="N682" s="403" t="s">
        <v>2671</v>
      </c>
      <c r="O682" s="403" t="s">
        <v>7084</v>
      </c>
      <c r="P682" s="403" t="s">
        <v>2672</v>
      </c>
      <c r="Q682" s="403" t="s">
        <v>9043</v>
      </c>
      <c r="R682" s="403" t="s">
        <v>5487</v>
      </c>
      <c r="S682" s="403" t="s">
        <v>15199</v>
      </c>
      <c r="T682" s="403" t="s">
        <v>15200</v>
      </c>
      <c r="U682" s="403"/>
      <c r="V682" s="403" t="s">
        <v>23024</v>
      </c>
      <c r="W682" s="403" t="s">
        <v>23024</v>
      </c>
      <c r="X682" s="403" t="s">
        <v>23024</v>
      </c>
      <c r="Y682" s="403" t="s">
        <v>23024</v>
      </c>
    </row>
    <row r="683" spans="1:25">
      <c r="A683" s="363">
        <f t="shared" si="87"/>
        <v>682</v>
      </c>
      <c r="B683" s="363" t="str">
        <f t="shared" si="80"/>
        <v>44</v>
      </c>
      <c r="C683" s="405" t="str">
        <f t="shared" si="81"/>
        <v>第006423号</v>
      </c>
      <c r="D683" s="405" t="str">
        <f t="shared" si="82"/>
        <v>（株）千歳工業</v>
      </c>
      <c r="E683" s="405" t="str">
        <f t="shared" si="83"/>
        <v>代表取締役</v>
      </c>
      <c r="F683" s="405" t="str">
        <f t="shared" si="84"/>
        <v>宮成　正弘</v>
      </c>
      <c r="G683" s="405" t="str">
        <f t="shared" si="85"/>
        <v>主たる営業所</v>
      </c>
      <c r="H683" s="405" t="str">
        <f t="shared" si="86"/>
        <v>豊後大野市千歳町新殿２１８－１</v>
      </c>
      <c r="L683" s="403" t="s">
        <v>9044</v>
      </c>
      <c r="M683" s="403" t="s">
        <v>9045</v>
      </c>
      <c r="N683" s="403" t="s">
        <v>2673</v>
      </c>
      <c r="O683" s="403" t="s">
        <v>7084</v>
      </c>
      <c r="P683" s="403" t="s">
        <v>2674</v>
      </c>
      <c r="Q683" s="403" t="s">
        <v>9046</v>
      </c>
      <c r="R683" s="403" t="s">
        <v>19120</v>
      </c>
      <c r="S683" s="403" t="s">
        <v>15201</v>
      </c>
      <c r="T683" s="403" t="s">
        <v>15202</v>
      </c>
      <c r="U683" s="403"/>
      <c r="V683" s="403" t="s">
        <v>23024</v>
      </c>
      <c r="W683" s="403" t="s">
        <v>23024</v>
      </c>
      <c r="X683" s="403" t="s">
        <v>23024</v>
      </c>
      <c r="Y683" s="403" t="s">
        <v>23024</v>
      </c>
    </row>
    <row r="684" spans="1:25">
      <c r="A684" s="363">
        <f t="shared" si="87"/>
        <v>683</v>
      </c>
      <c r="B684" s="363" t="str">
        <f t="shared" si="80"/>
        <v>44</v>
      </c>
      <c r="C684" s="405" t="str">
        <f t="shared" si="81"/>
        <v>第006424号</v>
      </c>
      <c r="D684" s="405" t="str">
        <f t="shared" si="82"/>
        <v>後藤土建（有）</v>
      </c>
      <c r="E684" s="405" t="str">
        <f t="shared" si="83"/>
        <v>代表取締役</v>
      </c>
      <c r="F684" s="405" t="str">
        <f t="shared" si="84"/>
        <v>後藤　光義</v>
      </c>
      <c r="G684" s="405" t="str">
        <f t="shared" si="85"/>
        <v>主たる営業所</v>
      </c>
      <c r="H684" s="405" t="str">
        <f t="shared" si="86"/>
        <v>豊後大野市大野町矢田４１</v>
      </c>
      <c r="L684" s="403" t="s">
        <v>9047</v>
      </c>
      <c r="M684" s="403" t="s">
        <v>9048</v>
      </c>
      <c r="N684" s="403" t="s">
        <v>2675</v>
      </c>
      <c r="O684" s="403" t="s">
        <v>7084</v>
      </c>
      <c r="P684" s="403" t="s">
        <v>2676</v>
      </c>
      <c r="Q684" s="403" t="s">
        <v>9049</v>
      </c>
      <c r="R684" s="403" t="s">
        <v>5488</v>
      </c>
      <c r="S684" s="403" t="s">
        <v>15203</v>
      </c>
      <c r="T684" s="403" t="s">
        <v>15204</v>
      </c>
      <c r="U684" s="403"/>
      <c r="V684" s="403" t="s">
        <v>23024</v>
      </c>
      <c r="W684" s="403" t="s">
        <v>23024</v>
      </c>
      <c r="X684" s="403" t="s">
        <v>23024</v>
      </c>
      <c r="Y684" s="403" t="s">
        <v>23024</v>
      </c>
    </row>
    <row r="685" spans="1:25">
      <c r="A685" s="363">
        <f t="shared" si="87"/>
        <v>684</v>
      </c>
      <c r="B685" s="363" t="str">
        <f t="shared" si="80"/>
        <v>44</v>
      </c>
      <c r="C685" s="405" t="str">
        <f t="shared" si="81"/>
        <v>第006428号</v>
      </c>
      <c r="D685" s="405" t="str">
        <f t="shared" si="82"/>
        <v>（有）佐藤建設</v>
      </c>
      <c r="E685" s="405" t="str">
        <f t="shared" si="83"/>
        <v>代表取締役</v>
      </c>
      <c r="F685" s="405" t="str">
        <f t="shared" si="84"/>
        <v>佐藤　圭志</v>
      </c>
      <c r="G685" s="405" t="str">
        <f t="shared" si="85"/>
        <v>主たる営業所</v>
      </c>
      <c r="H685" s="405" t="str">
        <f t="shared" si="86"/>
        <v>豊後大野市緒方町徳田１２３３</v>
      </c>
      <c r="L685" s="403" t="s">
        <v>9050</v>
      </c>
      <c r="M685" s="403" t="s">
        <v>8421</v>
      </c>
      <c r="N685" s="403" t="s">
        <v>2174</v>
      </c>
      <c r="O685" s="403" t="s">
        <v>7084</v>
      </c>
      <c r="P685" s="403" t="s">
        <v>2677</v>
      </c>
      <c r="Q685" s="403" t="s">
        <v>9051</v>
      </c>
      <c r="R685" s="403" t="s">
        <v>5489</v>
      </c>
      <c r="S685" s="403" t="s">
        <v>15205</v>
      </c>
      <c r="T685" s="403" t="s">
        <v>15206</v>
      </c>
      <c r="U685" s="403"/>
      <c r="V685" s="403" t="s">
        <v>23024</v>
      </c>
      <c r="W685" s="403" t="s">
        <v>23024</v>
      </c>
      <c r="X685" s="403" t="s">
        <v>23024</v>
      </c>
      <c r="Y685" s="403" t="s">
        <v>23024</v>
      </c>
    </row>
    <row r="686" spans="1:25">
      <c r="A686" s="363">
        <f t="shared" si="87"/>
        <v>685</v>
      </c>
      <c r="B686" s="363" t="str">
        <f t="shared" si="80"/>
        <v>44</v>
      </c>
      <c r="C686" s="405" t="str">
        <f t="shared" si="81"/>
        <v>第006430号</v>
      </c>
      <c r="D686" s="405" t="str">
        <f t="shared" si="82"/>
        <v>（有）臼杵企業</v>
      </c>
      <c r="E686" s="405" t="str">
        <f t="shared" si="83"/>
        <v>代表取締役</v>
      </c>
      <c r="F686" s="405" t="str">
        <f t="shared" si="84"/>
        <v>臼杵　龍典</v>
      </c>
      <c r="G686" s="405" t="str">
        <f t="shared" si="85"/>
        <v>主たる営業所</v>
      </c>
      <c r="H686" s="405" t="str">
        <f t="shared" si="86"/>
        <v>豊後大野市緒方町馬場８３－１</v>
      </c>
      <c r="L686" s="403" t="s">
        <v>9052</v>
      </c>
      <c r="M686" s="403" t="s">
        <v>9053</v>
      </c>
      <c r="N686" s="403" t="s">
        <v>2678</v>
      </c>
      <c r="O686" s="403" t="s">
        <v>7084</v>
      </c>
      <c r="P686" s="403" t="s">
        <v>2679</v>
      </c>
      <c r="Q686" s="403" t="s">
        <v>9026</v>
      </c>
      <c r="R686" s="403" t="s">
        <v>19121</v>
      </c>
      <c r="S686" s="403" t="s">
        <v>15207</v>
      </c>
      <c r="T686" s="403" t="s">
        <v>15208</v>
      </c>
      <c r="U686" s="403"/>
      <c r="V686" s="403" t="s">
        <v>23024</v>
      </c>
      <c r="W686" s="403" t="s">
        <v>23024</v>
      </c>
      <c r="X686" s="403" t="s">
        <v>23024</v>
      </c>
      <c r="Y686" s="403" t="s">
        <v>23024</v>
      </c>
    </row>
    <row r="687" spans="1:25">
      <c r="A687" s="363">
        <f t="shared" si="87"/>
        <v>686</v>
      </c>
      <c r="B687" s="363" t="str">
        <f t="shared" si="80"/>
        <v>44</v>
      </c>
      <c r="C687" s="405" t="str">
        <f t="shared" si="81"/>
        <v>第006433号</v>
      </c>
      <c r="D687" s="405" t="str">
        <f t="shared" si="82"/>
        <v>（有）三浦建設</v>
      </c>
      <c r="E687" s="405" t="str">
        <f t="shared" si="83"/>
        <v>代表取締役</v>
      </c>
      <c r="F687" s="405" t="str">
        <f t="shared" si="84"/>
        <v>三浦　春喜</v>
      </c>
      <c r="G687" s="405" t="str">
        <f t="shared" si="85"/>
        <v>主たる営業所</v>
      </c>
      <c r="H687" s="405" t="str">
        <f t="shared" si="86"/>
        <v>豊後大野市清川町臼尾２６４－２</v>
      </c>
      <c r="L687" s="403" t="s">
        <v>9054</v>
      </c>
      <c r="M687" s="403" t="s">
        <v>7731</v>
      </c>
      <c r="N687" s="403" t="s">
        <v>2680</v>
      </c>
      <c r="O687" s="403" t="s">
        <v>7084</v>
      </c>
      <c r="P687" s="403" t="s">
        <v>2681</v>
      </c>
      <c r="Q687" s="403" t="s">
        <v>9055</v>
      </c>
      <c r="R687" s="403" t="s">
        <v>19122</v>
      </c>
      <c r="S687" s="403" t="s">
        <v>15209</v>
      </c>
      <c r="T687" s="403" t="s">
        <v>15210</v>
      </c>
      <c r="U687" s="403"/>
      <c r="V687" s="403" t="s">
        <v>23024</v>
      </c>
      <c r="W687" s="403" t="s">
        <v>23024</v>
      </c>
      <c r="X687" s="403" t="s">
        <v>23024</v>
      </c>
      <c r="Y687" s="403" t="s">
        <v>23024</v>
      </c>
    </row>
    <row r="688" spans="1:25">
      <c r="A688" s="363">
        <f t="shared" si="87"/>
        <v>687</v>
      </c>
      <c r="B688" s="363" t="str">
        <f t="shared" si="80"/>
        <v>44</v>
      </c>
      <c r="C688" s="405" t="str">
        <f t="shared" si="81"/>
        <v>第006439号</v>
      </c>
      <c r="D688" s="405" t="str">
        <f t="shared" si="82"/>
        <v>ｒｋ（有）</v>
      </c>
      <c r="E688" s="405" t="str">
        <f t="shared" si="83"/>
        <v>代表取締役</v>
      </c>
      <c r="F688" s="405" t="str">
        <f t="shared" si="84"/>
        <v>古庄　諒平</v>
      </c>
      <c r="G688" s="405" t="str">
        <f t="shared" si="85"/>
        <v>主たる営業所</v>
      </c>
      <c r="H688" s="405" t="str">
        <f t="shared" si="86"/>
        <v>豊後大野市緒方町原尻２６９</v>
      </c>
      <c r="L688" s="403" t="s">
        <v>9056</v>
      </c>
      <c r="M688" s="403" t="s">
        <v>9057</v>
      </c>
      <c r="N688" s="403" t="s">
        <v>2682</v>
      </c>
      <c r="O688" s="403" t="s">
        <v>7084</v>
      </c>
      <c r="P688" s="403" t="s">
        <v>2683</v>
      </c>
      <c r="Q688" s="403" t="s">
        <v>9058</v>
      </c>
      <c r="R688" s="403" t="s">
        <v>5490</v>
      </c>
      <c r="S688" s="403" t="s">
        <v>15211</v>
      </c>
      <c r="T688" s="403">
        <v>0</v>
      </c>
      <c r="U688" s="403"/>
      <c r="V688" s="403" t="s">
        <v>23024</v>
      </c>
      <c r="W688" s="403" t="s">
        <v>23024</v>
      </c>
      <c r="X688" s="403" t="s">
        <v>23024</v>
      </c>
      <c r="Y688" s="403" t="s">
        <v>23024</v>
      </c>
    </row>
    <row r="689" spans="1:25">
      <c r="A689" s="363">
        <f t="shared" si="87"/>
        <v>688</v>
      </c>
      <c r="B689" s="363" t="str">
        <f t="shared" si="80"/>
        <v>44</v>
      </c>
      <c r="C689" s="405" t="str">
        <f t="shared" si="81"/>
        <v>第006443号</v>
      </c>
      <c r="D689" s="405" t="str">
        <f t="shared" si="82"/>
        <v>後藤建設興業（株）</v>
      </c>
      <c r="E689" s="405" t="str">
        <f t="shared" si="83"/>
        <v>代表取締役</v>
      </c>
      <c r="F689" s="405" t="str">
        <f t="shared" si="84"/>
        <v>後藤　源一</v>
      </c>
      <c r="G689" s="405" t="str">
        <f t="shared" si="85"/>
        <v>主たる営業所</v>
      </c>
      <c r="H689" s="405" t="str">
        <f t="shared" si="86"/>
        <v>豊後大野市緒方町大石１０２０</v>
      </c>
      <c r="L689" s="403" t="s">
        <v>9059</v>
      </c>
      <c r="M689" s="403" t="s">
        <v>9060</v>
      </c>
      <c r="N689" s="403" t="s">
        <v>2684</v>
      </c>
      <c r="O689" s="403" t="s">
        <v>7084</v>
      </c>
      <c r="P689" s="403" t="s">
        <v>2685</v>
      </c>
      <c r="Q689" s="403" t="s">
        <v>9061</v>
      </c>
      <c r="R689" s="403" t="s">
        <v>5491</v>
      </c>
      <c r="S689" s="403" t="s">
        <v>15212</v>
      </c>
      <c r="T689" s="403" t="s">
        <v>15213</v>
      </c>
      <c r="U689" s="403"/>
      <c r="V689" s="403" t="s">
        <v>23024</v>
      </c>
      <c r="W689" s="403" t="s">
        <v>23024</v>
      </c>
      <c r="X689" s="403" t="s">
        <v>23024</v>
      </c>
      <c r="Y689" s="403" t="s">
        <v>23024</v>
      </c>
    </row>
    <row r="690" spans="1:25">
      <c r="A690" s="363">
        <f t="shared" si="87"/>
        <v>689</v>
      </c>
      <c r="B690" s="363" t="str">
        <f t="shared" si="80"/>
        <v>44</v>
      </c>
      <c r="C690" s="405" t="str">
        <f t="shared" si="81"/>
        <v>第006445号</v>
      </c>
      <c r="D690" s="405" t="str">
        <f t="shared" si="82"/>
        <v>高野建設（有）</v>
      </c>
      <c r="E690" s="405" t="str">
        <f t="shared" si="83"/>
        <v>代表取締役</v>
      </c>
      <c r="F690" s="405" t="str">
        <f t="shared" si="84"/>
        <v>高野　千代徳</v>
      </c>
      <c r="G690" s="405" t="str">
        <f t="shared" si="85"/>
        <v>主たる営業所</v>
      </c>
      <c r="H690" s="405" t="str">
        <f t="shared" si="86"/>
        <v>豊後大野市三重町松尾３５３９</v>
      </c>
      <c r="L690" s="403" t="s">
        <v>9062</v>
      </c>
      <c r="M690" s="403" t="s">
        <v>8089</v>
      </c>
      <c r="N690" s="403" t="s">
        <v>2686</v>
      </c>
      <c r="O690" s="403" t="s">
        <v>7084</v>
      </c>
      <c r="P690" s="403" t="s">
        <v>2687</v>
      </c>
      <c r="Q690" s="403" t="s">
        <v>9063</v>
      </c>
      <c r="R690" s="403" t="s">
        <v>5492</v>
      </c>
      <c r="S690" s="403" t="s">
        <v>15214</v>
      </c>
      <c r="T690" s="403" t="s">
        <v>15215</v>
      </c>
      <c r="U690" s="403"/>
      <c r="V690" s="403" t="s">
        <v>23024</v>
      </c>
      <c r="W690" s="403" t="s">
        <v>23024</v>
      </c>
      <c r="X690" s="403" t="s">
        <v>23024</v>
      </c>
      <c r="Y690" s="403" t="s">
        <v>23024</v>
      </c>
    </row>
    <row r="691" spans="1:25">
      <c r="A691" s="363">
        <f t="shared" si="87"/>
        <v>690</v>
      </c>
      <c r="B691" s="363" t="str">
        <f t="shared" si="80"/>
        <v>44</v>
      </c>
      <c r="C691" s="405" t="str">
        <f t="shared" si="81"/>
        <v>第006452号</v>
      </c>
      <c r="D691" s="405" t="str">
        <f t="shared" si="82"/>
        <v>（株）千大土木</v>
      </c>
      <c r="E691" s="405" t="str">
        <f t="shared" si="83"/>
        <v>代表取締役</v>
      </c>
      <c r="F691" s="405" t="str">
        <f t="shared" si="84"/>
        <v>衛藤　浩成</v>
      </c>
      <c r="G691" s="405" t="str">
        <f t="shared" si="85"/>
        <v>主たる営業所</v>
      </c>
      <c r="H691" s="405" t="str">
        <f t="shared" si="86"/>
        <v>豊後大野市大野町酒井寺５４－１</v>
      </c>
      <c r="L691" s="403" t="s">
        <v>9064</v>
      </c>
      <c r="M691" s="403" t="s">
        <v>9065</v>
      </c>
      <c r="N691" s="403" t="s">
        <v>2688</v>
      </c>
      <c r="O691" s="403" t="s">
        <v>7084</v>
      </c>
      <c r="P691" s="403" t="s">
        <v>2689</v>
      </c>
      <c r="Q691" s="403" t="s">
        <v>9066</v>
      </c>
      <c r="R691" s="403" t="s">
        <v>19123</v>
      </c>
      <c r="S691" s="403" t="s">
        <v>15216</v>
      </c>
      <c r="T691" s="403" t="s">
        <v>15217</v>
      </c>
      <c r="U691" s="403"/>
      <c r="V691" s="403" t="s">
        <v>23024</v>
      </c>
      <c r="W691" s="403" t="s">
        <v>23024</v>
      </c>
      <c r="X691" s="403" t="s">
        <v>23024</v>
      </c>
      <c r="Y691" s="403" t="s">
        <v>23024</v>
      </c>
    </row>
    <row r="692" spans="1:25">
      <c r="A692" s="363">
        <f t="shared" si="87"/>
        <v>691</v>
      </c>
      <c r="B692" s="363" t="str">
        <f t="shared" si="80"/>
        <v>44</v>
      </c>
      <c r="C692" s="405" t="str">
        <f t="shared" si="81"/>
        <v>第006453号</v>
      </c>
      <c r="D692" s="405" t="str">
        <f t="shared" si="82"/>
        <v>芦刈工業（有）</v>
      </c>
      <c r="E692" s="405" t="str">
        <f t="shared" si="83"/>
        <v>代表取締役</v>
      </c>
      <c r="F692" s="405" t="str">
        <f t="shared" si="84"/>
        <v>芦刈　征治</v>
      </c>
      <c r="G692" s="405" t="str">
        <f t="shared" si="85"/>
        <v>主たる営業所</v>
      </c>
      <c r="H692" s="405" t="str">
        <f t="shared" si="86"/>
        <v>豊後大野市三重町内田７４３</v>
      </c>
      <c r="L692" s="403" t="s">
        <v>9067</v>
      </c>
      <c r="M692" s="403" t="s">
        <v>9068</v>
      </c>
      <c r="N692" s="403" t="s">
        <v>2690</v>
      </c>
      <c r="O692" s="403" t="s">
        <v>7084</v>
      </c>
      <c r="P692" s="403" t="s">
        <v>2691</v>
      </c>
      <c r="Q692" s="403" t="s">
        <v>7899</v>
      </c>
      <c r="R692" s="403" t="s">
        <v>5493</v>
      </c>
      <c r="S692" s="403" t="s">
        <v>15218</v>
      </c>
      <c r="T692" s="403" t="s">
        <v>15218</v>
      </c>
      <c r="U692" s="403"/>
      <c r="V692" s="403" t="s">
        <v>23024</v>
      </c>
      <c r="W692" s="403" t="s">
        <v>23024</v>
      </c>
      <c r="X692" s="403" t="s">
        <v>23024</v>
      </c>
      <c r="Y692" s="403" t="s">
        <v>23024</v>
      </c>
    </row>
    <row r="693" spans="1:25">
      <c r="A693" s="363">
        <f t="shared" si="87"/>
        <v>692</v>
      </c>
      <c r="B693" s="363" t="str">
        <f t="shared" si="80"/>
        <v>44</v>
      </c>
      <c r="C693" s="405" t="str">
        <f t="shared" si="81"/>
        <v>第006454号</v>
      </c>
      <c r="D693" s="405" t="str">
        <f t="shared" si="82"/>
        <v>（有）徳丸建設</v>
      </c>
      <c r="E693" s="405" t="str">
        <f t="shared" si="83"/>
        <v>代表取締役</v>
      </c>
      <c r="F693" s="405" t="str">
        <f t="shared" si="84"/>
        <v>徳丸　興司</v>
      </c>
      <c r="G693" s="405" t="str">
        <f t="shared" si="85"/>
        <v>主たる営業所</v>
      </c>
      <c r="H693" s="405" t="str">
        <f t="shared" si="86"/>
        <v>臼杵市野津町大字都原２４３５－４</v>
      </c>
      <c r="L693" s="403" t="s">
        <v>9069</v>
      </c>
      <c r="M693" s="403" t="s">
        <v>9070</v>
      </c>
      <c r="N693" s="403" t="s">
        <v>2692</v>
      </c>
      <c r="O693" s="403" t="s">
        <v>7084</v>
      </c>
      <c r="P693" s="403" t="s">
        <v>2693</v>
      </c>
      <c r="Q693" s="403" t="s">
        <v>9071</v>
      </c>
      <c r="R693" s="403" t="s">
        <v>19124</v>
      </c>
      <c r="S693" s="403" t="s">
        <v>15219</v>
      </c>
      <c r="T693" s="403" t="s">
        <v>15220</v>
      </c>
      <c r="U693" s="403"/>
      <c r="V693" s="403" t="s">
        <v>23024</v>
      </c>
      <c r="W693" s="403" t="s">
        <v>23024</v>
      </c>
      <c r="X693" s="403" t="s">
        <v>23024</v>
      </c>
      <c r="Y693" s="403" t="s">
        <v>23024</v>
      </c>
    </row>
    <row r="694" spans="1:25">
      <c r="A694" s="363">
        <f t="shared" si="87"/>
        <v>693</v>
      </c>
      <c r="B694" s="363" t="str">
        <f t="shared" si="80"/>
        <v>44</v>
      </c>
      <c r="C694" s="405" t="str">
        <f t="shared" si="81"/>
        <v>第006459号</v>
      </c>
      <c r="D694" s="405" t="str">
        <f t="shared" si="82"/>
        <v>（有）衛藤電設</v>
      </c>
      <c r="E694" s="405" t="str">
        <f t="shared" si="83"/>
        <v>代表取締役</v>
      </c>
      <c r="F694" s="405" t="str">
        <f t="shared" si="84"/>
        <v>衛藤　隆夫</v>
      </c>
      <c r="G694" s="405" t="str">
        <f t="shared" si="85"/>
        <v>主たる営業所</v>
      </c>
      <c r="H694" s="405" t="str">
        <f t="shared" si="86"/>
        <v>豊後大野市大野町田代１２４２－１</v>
      </c>
      <c r="L694" s="404" t="s">
        <v>9072</v>
      </c>
      <c r="M694" s="404" t="s">
        <v>9073</v>
      </c>
      <c r="N694" s="404" t="s">
        <v>2694</v>
      </c>
      <c r="O694" s="404" t="s">
        <v>7084</v>
      </c>
      <c r="P694" s="404" t="s">
        <v>2695</v>
      </c>
      <c r="Q694" s="404" t="s">
        <v>9074</v>
      </c>
      <c r="R694" s="404" t="s">
        <v>19125</v>
      </c>
      <c r="S694" s="404" t="s">
        <v>15221</v>
      </c>
      <c r="T694" s="404" t="s">
        <v>15222</v>
      </c>
      <c r="U694" s="404"/>
      <c r="V694" s="404" t="s">
        <v>23024</v>
      </c>
      <c r="W694" s="404" t="s">
        <v>23024</v>
      </c>
      <c r="X694" s="404" t="s">
        <v>23024</v>
      </c>
      <c r="Y694" s="404" t="s">
        <v>23024</v>
      </c>
    </row>
    <row r="695" spans="1:25">
      <c r="A695" s="363">
        <f t="shared" si="87"/>
        <v>694</v>
      </c>
      <c r="B695" s="363" t="str">
        <f t="shared" si="80"/>
        <v>44</v>
      </c>
      <c r="C695" s="405" t="str">
        <f t="shared" si="81"/>
        <v>第006460号</v>
      </c>
      <c r="D695" s="405" t="str">
        <f t="shared" si="82"/>
        <v>多田建設（有）</v>
      </c>
      <c r="E695" s="405" t="str">
        <f t="shared" si="83"/>
        <v>代表取締役</v>
      </c>
      <c r="F695" s="405" t="str">
        <f t="shared" si="84"/>
        <v>多田　重光</v>
      </c>
      <c r="G695" s="405" t="str">
        <f t="shared" si="85"/>
        <v>主たる営業所</v>
      </c>
      <c r="H695" s="405" t="str">
        <f t="shared" si="86"/>
        <v>豊後大野市犬飼町田原８９３－２</v>
      </c>
      <c r="L695" s="402" t="s">
        <v>9075</v>
      </c>
      <c r="M695" s="402" t="s">
        <v>9076</v>
      </c>
      <c r="N695" s="402" t="s">
        <v>2696</v>
      </c>
      <c r="O695" s="402" t="s">
        <v>7084</v>
      </c>
      <c r="P695" s="402" t="s">
        <v>2697</v>
      </c>
      <c r="Q695" s="402" t="s">
        <v>7915</v>
      </c>
      <c r="R695" s="402" t="s">
        <v>19126</v>
      </c>
      <c r="S695" s="402" t="s">
        <v>15223</v>
      </c>
      <c r="T695" s="402" t="s">
        <v>15224</v>
      </c>
      <c r="U695" s="402"/>
      <c r="V695" s="402" t="s">
        <v>23024</v>
      </c>
      <c r="W695" s="402" t="s">
        <v>23024</v>
      </c>
      <c r="X695" s="402" t="s">
        <v>23024</v>
      </c>
      <c r="Y695" s="402" t="s">
        <v>23024</v>
      </c>
    </row>
    <row r="696" spans="1:25">
      <c r="A696" s="363">
        <f t="shared" si="87"/>
        <v>695</v>
      </c>
      <c r="B696" s="363" t="str">
        <f t="shared" si="80"/>
        <v>44</v>
      </c>
      <c r="C696" s="405" t="str">
        <f t="shared" si="81"/>
        <v>第006464号</v>
      </c>
      <c r="D696" s="405" t="str">
        <f t="shared" si="82"/>
        <v>（有）野津商事</v>
      </c>
      <c r="E696" s="405" t="str">
        <f t="shared" si="83"/>
        <v>代表取締役</v>
      </c>
      <c r="F696" s="405" t="str">
        <f t="shared" si="84"/>
        <v>姫嶋　豊和</v>
      </c>
      <c r="G696" s="405" t="str">
        <f t="shared" si="85"/>
        <v>主たる営業所</v>
      </c>
      <c r="H696" s="405" t="str">
        <f t="shared" si="86"/>
        <v>臼杵市野津町大字吉田３６４８</v>
      </c>
      <c r="L696" s="403" t="s">
        <v>9077</v>
      </c>
      <c r="M696" s="403" t="s">
        <v>9078</v>
      </c>
      <c r="N696" s="403" t="s">
        <v>2698</v>
      </c>
      <c r="O696" s="403" t="s">
        <v>7084</v>
      </c>
      <c r="P696" s="403" t="s">
        <v>2699</v>
      </c>
      <c r="Q696" s="403" t="s">
        <v>9079</v>
      </c>
      <c r="R696" s="403" t="s">
        <v>5494</v>
      </c>
      <c r="S696" s="403" t="s">
        <v>15225</v>
      </c>
      <c r="T696" s="403" t="s">
        <v>15226</v>
      </c>
      <c r="U696" s="403"/>
      <c r="V696" s="403" t="s">
        <v>23024</v>
      </c>
      <c r="W696" s="403" t="s">
        <v>23024</v>
      </c>
      <c r="X696" s="403" t="s">
        <v>23024</v>
      </c>
      <c r="Y696" s="403" t="s">
        <v>23024</v>
      </c>
    </row>
    <row r="697" spans="1:25">
      <c r="A697" s="363">
        <f t="shared" si="87"/>
        <v>696</v>
      </c>
      <c r="B697" s="363" t="str">
        <f t="shared" si="80"/>
        <v>44</v>
      </c>
      <c r="C697" s="405" t="str">
        <f t="shared" si="81"/>
        <v>第006465号</v>
      </c>
      <c r="D697" s="405" t="str">
        <f t="shared" si="82"/>
        <v>（有）セイコウ建設</v>
      </c>
      <c r="E697" s="405" t="str">
        <f t="shared" si="83"/>
        <v>代表取締役</v>
      </c>
      <c r="F697" s="405" t="str">
        <f t="shared" si="84"/>
        <v>衛藤　正太郎</v>
      </c>
      <c r="G697" s="405" t="str">
        <f t="shared" si="85"/>
        <v>主たる営業所</v>
      </c>
      <c r="H697" s="405" t="str">
        <f t="shared" si="86"/>
        <v>豊後大野市大野町大原８８４</v>
      </c>
      <c r="L697" s="403" t="s">
        <v>9080</v>
      </c>
      <c r="M697" s="403" t="s">
        <v>9081</v>
      </c>
      <c r="N697" s="403" t="s">
        <v>2700</v>
      </c>
      <c r="O697" s="403" t="s">
        <v>7084</v>
      </c>
      <c r="P697" s="403" t="s">
        <v>5305</v>
      </c>
      <c r="Q697" s="403" t="s">
        <v>7902</v>
      </c>
      <c r="R697" s="403" t="s">
        <v>5495</v>
      </c>
      <c r="S697" s="403" t="s">
        <v>15227</v>
      </c>
      <c r="T697" s="403" t="s">
        <v>15228</v>
      </c>
      <c r="U697" s="403"/>
      <c r="V697" s="403" t="s">
        <v>23024</v>
      </c>
      <c r="W697" s="403" t="s">
        <v>23024</v>
      </c>
      <c r="X697" s="403" t="s">
        <v>23024</v>
      </c>
      <c r="Y697" s="403" t="s">
        <v>23024</v>
      </c>
    </row>
    <row r="698" spans="1:25">
      <c r="A698" s="363">
        <f t="shared" si="87"/>
        <v>697</v>
      </c>
      <c r="B698" s="363" t="str">
        <f t="shared" si="80"/>
        <v>44</v>
      </c>
      <c r="C698" s="405" t="str">
        <f t="shared" si="81"/>
        <v>第006475号</v>
      </c>
      <c r="D698" s="405" t="str">
        <f t="shared" si="82"/>
        <v>（有）佐武工業</v>
      </c>
      <c r="E698" s="405" t="str">
        <f t="shared" si="83"/>
        <v>代表取締役</v>
      </c>
      <c r="F698" s="405" t="str">
        <f t="shared" si="84"/>
        <v>佐藤　雄治</v>
      </c>
      <c r="G698" s="405" t="str">
        <f t="shared" si="85"/>
        <v>主たる営業所</v>
      </c>
      <c r="H698" s="405" t="str">
        <f t="shared" si="86"/>
        <v>豊後大野市三重町小坂１１２５</v>
      </c>
      <c r="L698" s="403" t="s">
        <v>9082</v>
      </c>
      <c r="M698" s="403" t="s">
        <v>9083</v>
      </c>
      <c r="N698" s="403" t="s">
        <v>2701</v>
      </c>
      <c r="O698" s="403" t="s">
        <v>7084</v>
      </c>
      <c r="P698" s="403" t="s">
        <v>2702</v>
      </c>
      <c r="Q698" s="403" t="s">
        <v>9084</v>
      </c>
      <c r="R698" s="403" t="s">
        <v>5496</v>
      </c>
      <c r="S698" s="403" t="s">
        <v>15229</v>
      </c>
      <c r="T698" s="403" t="s">
        <v>15229</v>
      </c>
      <c r="U698" s="403"/>
      <c r="V698" s="403" t="s">
        <v>23024</v>
      </c>
      <c r="W698" s="403" t="s">
        <v>23024</v>
      </c>
      <c r="X698" s="403" t="s">
        <v>23024</v>
      </c>
      <c r="Y698" s="403" t="s">
        <v>23024</v>
      </c>
    </row>
    <row r="699" spans="1:25">
      <c r="A699" s="363">
        <f t="shared" si="87"/>
        <v>698</v>
      </c>
      <c r="B699" s="363" t="str">
        <f t="shared" si="80"/>
        <v>44</v>
      </c>
      <c r="C699" s="405" t="str">
        <f t="shared" si="81"/>
        <v>第006476号</v>
      </c>
      <c r="D699" s="405" t="str">
        <f t="shared" si="82"/>
        <v>（株）茜建設工業</v>
      </c>
      <c r="E699" s="405" t="str">
        <f t="shared" si="83"/>
        <v>代表取締役</v>
      </c>
      <c r="F699" s="405" t="str">
        <f t="shared" si="84"/>
        <v>渡邉　憲二</v>
      </c>
      <c r="G699" s="405" t="str">
        <f t="shared" si="85"/>
        <v>主たる営業所</v>
      </c>
      <c r="H699" s="405" t="str">
        <f t="shared" si="86"/>
        <v>豊後大野市千歳町下山１２７９－１</v>
      </c>
      <c r="L699" s="403" t="s">
        <v>9085</v>
      </c>
      <c r="M699" s="403" t="s">
        <v>8259</v>
      </c>
      <c r="N699" s="403" t="s">
        <v>2703</v>
      </c>
      <c r="O699" s="403" t="s">
        <v>7084</v>
      </c>
      <c r="P699" s="403" t="s">
        <v>2704</v>
      </c>
      <c r="Q699" s="403" t="s">
        <v>9086</v>
      </c>
      <c r="R699" s="403" t="s">
        <v>19127</v>
      </c>
      <c r="S699" s="403" t="s">
        <v>15230</v>
      </c>
      <c r="T699" s="403" t="s">
        <v>15231</v>
      </c>
      <c r="U699" s="403"/>
      <c r="V699" s="403" t="s">
        <v>23024</v>
      </c>
      <c r="W699" s="403" t="s">
        <v>23024</v>
      </c>
      <c r="X699" s="403" t="s">
        <v>23024</v>
      </c>
      <c r="Y699" s="403" t="s">
        <v>23024</v>
      </c>
    </row>
    <row r="700" spans="1:25">
      <c r="A700" s="363">
        <f t="shared" si="87"/>
        <v>699</v>
      </c>
      <c r="B700" s="363" t="str">
        <f t="shared" si="80"/>
        <v>44</v>
      </c>
      <c r="C700" s="405" t="str">
        <f t="shared" si="81"/>
        <v>第006477号</v>
      </c>
      <c r="D700" s="405" t="str">
        <f t="shared" si="82"/>
        <v>（有）平山建設</v>
      </c>
      <c r="E700" s="405" t="str">
        <f t="shared" si="83"/>
        <v>代表取締役</v>
      </c>
      <c r="F700" s="405" t="str">
        <f t="shared" si="84"/>
        <v>平山　浩二</v>
      </c>
      <c r="G700" s="405" t="str">
        <f t="shared" si="85"/>
        <v>主たる営業所</v>
      </c>
      <c r="H700" s="405" t="str">
        <f t="shared" si="86"/>
        <v>豊後大野市三重町内田３２３３－１</v>
      </c>
      <c r="L700" s="403" t="s">
        <v>9087</v>
      </c>
      <c r="M700" s="403" t="s">
        <v>9088</v>
      </c>
      <c r="N700" s="403" t="s">
        <v>2705</v>
      </c>
      <c r="O700" s="403" t="s">
        <v>7084</v>
      </c>
      <c r="P700" s="403" t="s">
        <v>2706</v>
      </c>
      <c r="Q700" s="403" t="s">
        <v>7899</v>
      </c>
      <c r="R700" s="403" t="s">
        <v>19128</v>
      </c>
      <c r="S700" s="403" t="s">
        <v>15232</v>
      </c>
      <c r="T700" s="403" t="s">
        <v>15232</v>
      </c>
      <c r="U700" s="403"/>
      <c r="V700" s="403" t="s">
        <v>23024</v>
      </c>
      <c r="W700" s="403" t="s">
        <v>23024</v>
      </c>
      <c r="X700" s="403" t="s">
        <v>23024</v>
      </c>
      <c r="Y700" s="403" t="s">
        <v>23024</v>
      </c>
    </row>
    <row r="701" spans="1:25">
      <c r="A701" s="363">
        <f t="shared" si="87"/>
        <v>700</v>
      </c>
      <c r="B701" s="363" t="str">
        <f t="shared" si="80"/>
        <v>44</v>
      </c>
      <c r="C701" s="405" t="str">
        <f t="shared" si="81"/>
        <v>第006481号</v>
      </c>
      <c r="D701" s="405" t="str">
        <f t="shared" si="82"/>
        <v>九州通信建設（有）</v>
      </c>
      <c r="E701" s="405" t="str">
        <f t="shared" si="83"/>
        <v>代表取締役</v>
      </c>
      <c r="F701" s="405" t="str">
        <f t="shared" si="84"/>
        <v>大塚　秀市</v>
      </c>
      <c r="G701" s="405" t="str">
        <f t="shared" si="85"/>
        <v>主たる営業所</v>
      </c>
      <c r="H701" s="405" t="str">
        <f t="shared" si="86"/>
        <v>豊後大野市大野町屋原３６２</v>
      </c>
      <c r="L701" s="403" t="s">
        <v>9089</v>
      </c>
      <c r="M701" s="403" t="s">
        <v>9090</v>
      </c>
      <c r="N701" s="403" t="s">
        <v>2707</v>
      </c>
      <c r="O701" s="403" t="s">
        <v>7084</v>
      </c>
      <c r="P701" s="403" t="s">
        <v>2708</v>
      </c>
      <c r="Q701" s="403" t="s">
        <v>9091</v>
      </c>
      <c r="R701" s="403" t="s">
        <v>5497</v>
      </c>
      <c r="S701" s="403" t="s">
        <v>15233</v>
      </c>
      <c r="T701" s="403" t="s">
        <v>15234</v>
      </c>
      <c r="U701" s="403"/>
      <c r="V701" s="403" t="s">
        <v>23024</v>
      </c>
      <c r="W701" s="403" t="s">
        <v>23024</v>
      </c>
      <c r="X701" s="403" t="s">
        <v>23024</v>
      </c>
      <c r="Y701" s="403" t="s">
        <v>23024</v>
      </c>
    </row>
    <row r="702" spans="1:25">
      <c r="A702" s="363">
        <f t="shared" si="87"/>
        <v>701</v>
      </c>
      <c r="B702" s="363" t="str">
        <f t="shared" si="80"/>
        <v>44</v>
      </c>
      <c r="C702" s="405" t="str">
        <f t="shared" si="81"/>
        <v>第006483号</v>
      </c>
      <c r="D702" s="405" t="str">
        <f t="shared" si="82"/>
        <v>九建設備工事（有）</v>
      </c>
      <c r="E702" s="405" t="str">
        <f t="shared" si="83"/>
        <v>代表取締役</v>
      </c>
      <c r="F702" s="405" t="str">
        <f t="shared" si="84"/>
        <v>甲斐　斎晃</v>
      </c>
      <c r="G702" s="405" t="str">
        <f t="shared" si="85"/>
        <v>主たる営業所</v>
      </c>
      <c r="H702" s="405" t="str">
        <f t="shared" si="86"/>
        <v>豊後大野市三重町赤嶺１１８３－１７</v>
      </c>
      <c r="L702" s="403" t="s">
        <v>9092</v>
      </c>
      <c r="M702" s="403" t="s">
        <v>9093</v>
      </c>
      <c r="N702" s="403" t="s">
        <v>2709</v>
      </c>
      <c r="O702" s="403" t="s">
        <v>7084</v>
      </c>
      <c r="P702" s="403" t="s">
        <v>2710</v>
      </c>
      <c r="Q702" s="403" t="s">
        <v>7879</v>
      </c>
      <c r="R702" s="403" t="s">
        <v>19129</v>
      </c>
      <c r="S702" s="403" t="s">
        <v>15235</v>
      </c>
      <c r="T702" s="403" t="s">
        <v>15236</v>
      </c>
      <c r="U702" s="403"/>
      <c r="V702" s="403" t="s">
        <v>23024</v>
      </c>
      <c r="W702" s="403" t="s">
        <v>23024</v>
      </c>
      <c r="X702" s="403" t="s">
        <v>23024</v>
      </c>
      <c r="Y702" s="403" t="s">
        <v>23024</v>
      </c>
    </row>
    <row r="703" spans="1:25">
      <c r="A703" s="363">
        <f t="shared" si="87"/>
        <v>702</v>
      </c>
      <c r="B703" s="363" t="str">
        <f t="shared" si="80"/>
        <v>44</v>
      </c>
      <c r="C703" s="405" t="str">
        <f t="shared" si="81"/>
        <v>第006484号</v>
      </c>
      <c r="D703" s="405" t="str">
        <f t="shared" si="82"/>
        <v>（有）山村建設</v>
      </c>
      <c r="E703" s="405" t="str">
        <f t="shared" si="83"/>
        <v>代表取締役</v>
      </c>
      <c r="F703" s="405" t="str">
        <f t="shared" si="84"/>
        <v>山村　幸治</v>
      </c>
      <c r="G703" s="405" t="str">
        <f t="shared" si="85"/>
        <v>主たる営業所</v>
      </c>
      <c r="H703" s="405" t="str">
        <f t="shared" si="86"/>
        <v>豊後大野市緒方町下自在１２２－１</v>
      </c>
      <c r="L703" s="403" t="s">
        <v>9094</v>
      </c>
      <c r="M703" s="403" t="s">
        <v>9095</v>
      </c>
      <c r="N703" s="403" t="s">
        <v>2711</v>
      </c>
      <c r="O703" s="403" t="s">
        <v>7084</v>
      </c>
      <c r="P703" s="403" t="s">
        <v>2712</v>
      </c>
      <c r="Q703" s="403" t="s">
        <v>9096</v>
      </c>
      <c r="R703" s="403" t="s">
        <v>19130</v>
      </c>
      <c r="S703" s="403" t="s">
        <v>15237</v>
      </c>
      <c r="T703" s="403" t="s">
        <v>15238</v>
      </c>
      <c r="U703" s="403"/>
      <c r="V703" s="403" t="s">
        <v>23024</v>
      </c>
      <c r="W703" s="403" t="s">
        <v>23024</v>
      </c>
      <c r="X703" s="403" t="s">
        <v>23024</v>
      </c>
      <c r="Y703" s="403" t="s">
        <v>23024</v>
      </c>
    </row>
    <row r="704" spans="1:25">
      <c r="A704" s="363">
        <f t="shared" si="87"/>
        <v>703</v>
      </c>
      <c r="B704" s="363" t="str">
        <f t="shared" si="80"/>
        <v>44</v>
      </c>
      <c r="C704" s="405" t="str">
        <f t="shared" si="81"/>
        <v>第006506号</v>
      </c>
      <c r="D704" s="405" t="str">
        <f t="shared" si="82"/>
        <v>（有）双国建設</v>
      </c>
      <c r="E704" s="405" t="str">
        <f t="shared" si="83"/>
        <v>取締役</v>
      </c>
      <c r="F704" s="405" t="str">
        <f t="shared" si="84"/>
        <v>清水　正邦</v>
      </c>
      <c r="G704" s="405" t="str">
        <f t="shared" si="85"/>
        <v>主たる営業所</v>
      </c>
      <c r="H704" s="405" t="str">
        <f t="shared" si="86"/>
        <v>国東市国見町伊美２３３２－２</v>
      </c>
      <c r="L704" s="403" t="s">
        <v>9097</v>
      </c>
      <c r="M704" s="403" t="s">
        <v>9098</v>
      </c>
      <c r="N704" s="403" t="s">
        <v>2713</v>
      </c>
      <c r="O704" s="403" t="s">
        <v>7085</v>
      </c>
      <c r="P704" s="403" t="s">
        <v>2714</v>
      </c>
      <c r="Q704" s="403" t="s">
        <v>8954</v>
      </c>
      <c r="R704" s="403" t="s">
        <v>19131</v>
      </c>
      <c r="S704" s="403" t="s">
        <v>15239</v>
      </c>
      <c r="T704" s="403" t="s">
        <v>15240</v>
      </c>
      <c r="U704" s="403"/>
      <c r="V704" s="403" t="s">
        <v>23024</v>
      </c>
      <c r="W704" s="403" t="s">
        <v>23024</v>
      </c>
      <c r="X704" s="403" t="s">
        <v>23024</v>
      </c>
      <c r="Y704" s="403" t="s">
        <v>23024</v>
      </c>
    </row>
    <row r="705" spans="1:25">
      <c r="A705" s="363">
        <f t="shared" si="87"/>
        <v>704</v>
      </c>
      <c r="B705" s="363" t="str">
        <f t="shared" si="80"/>
        <v>44</v>
      </c>
      <c r="C705" s="405" t="str">
        <f t="shared" si="81"/>
        <v>第006508号</v>
      </c>
      <c r="D705" s="405" t="str">
        <f t="shared" si="82"/>
        <v>（有）三進建設</v>
      </c>
      <c r="E705" s="405" t="str">
        <f t="shared" si="83"/>
        <v>代表取締役</v>
      </c>
      <c r="F705" s="405" t="str">
        <f t="shared" si="84"/>
        <v>弓長　起哲</v>
      </c>
      <c r="G705" s="405" t="str">
        <f t="shared" si="85"/>
        <v>主たる営業所</v>
      </c>
      <c r="H705" s="405" t="str">
        <f t="shared" si="86"/>
        <v>豊後高田市来縄２５７２</v>
      </c>
      <c r="L705" s="403" t="s">
        <v>9099</v>
      </c>
      <c r="M705" s="403" t="s">
        <v>9100</v>
      </c>
      <c r="N705" s="403" t="s">
        <v>2715</v>
      </c>
      <c r="O705" s="403" t="s">
        <v>7084</v>
      </c>
      <c r="P705" s="403" t="s">
        <v>2716</v>
      </c>
      <c r="Q705" s="403" t="s">
        <v>7663</v>
      </c>
      <c r="R705" s="403" t="s">
        <v>5498</v>
      </c>
      <c r="S705" s="403" t="s">
        <v>15241</v>
      </c>
      <c r="T705" s="403" t="s">
        <v>15242</v>
      </c>
      <c r="U705" s="403"/>
      <c r="V705" s="403" t="s">
        <v>23024</v>
      </c>
      <c r="W705" s="403" t="s">
        <v>23024</v>
      </c>
      <c r="X705" s="403" t="s">
        <v>23024</v>
      </c>
      <c r="Y705" s="403" t="s">
        <v>23024</v>
      </c>
    </row>
    <row r="706" spans="1:25">
      <c r="A706" s="363">
        <f t="shared" si="87"/>
        <v>705</v>
      </c>
      <c r="B706" s="363" t="str">
        <f t="shared" ref="B706:B769" si="88">LEFT(L706,2)</f>
        <v>44</v>
      </c>
      <c r="C706" s="405" t="str">
        <f t="shared" ref="C706:C769" si="89">IF(B706="","","第"&amp;RIGHT(L706,6)&amp;"号")</f>
        <v>第006510号</v>
      </c>
      <c r="D706" s="405" t="str">
        <f t="shared" ref="D706:D769" si="90">N706</f>
        <v>（有）後藤建設</v>
      </c>
      <c r="E706" s="405" t="str">
        <f t="shared" ref="E706:E769" si="91">IF(V706="　",O706,"")</f>
        <v>代表取締役</v>
      </c>
      <c r="F706" s="405" t="str">
        <f t="shared" ref="F706:F769" si="92">IF(V706="　",P706,W706)</f>
        <v>後藤　高則</v>
      </c>
      <c r="G706" s="405" t="str">
        <f t="shared" ref="G706:G769" si="93">IF(V706="　","主たる営業所",V706)</f>
        <v>主たる営業所</v>
      </c>
      <c r="H706" s="405" t="str">
        <f t="shared" ref="H706:H769" si="94">IF(V706="　",R706,Y706)</f>
        <v>杵築市大田沓掛２４９２</v>
      </c>
      <c r="L706" s="403" t="s">
        <v>9101</v>
      </c>
      <c r="M706" s="403" t="s">
        <v>9102</v>
      </c>
      <c r="N706" s="403" t="s">
        <v>2717</v>
      </c>
      <c r="O706" s="403" t="s">
        <v>7084</v>
      </c>
      <c r="P706" s="403" t="s">
        <v>2718</v>
      </c>
      <c r="Q706" s="403" t="s">
        <v>9103</v>
      </c>
      <c r="R706" s="403" t="s">
        <v>5499</v>
      </c>
      <c r="S706" s="403" t="s">
        <v>15243</v>
      </c>
      <c r="T706" s="403" t="s">
        <v>15243</v>
      </c>
      <c r="U706" s="403"/>
      <c r="V706" s="403" t="s">
        <v>23024</v>
      </c>
      <c r="W706" s="403" t="s">
        <v>23024</v>
      </c>
      <c r="X706" s="403" t="s">
        <v>23024</v>
      </c>
      <c r="Y706" s="403" t="s">
        <v>23024</v>
      </c>
    </row>
    <row r="707" spans="1:25">
      <c r="A707" s="363">
        <f t="shared" ref="A707:A770" si="95">IF(B707="","",A706+1)</f>
        <v>706</v>
      </c>
      <c r="B707" s="363" t="str">
        <f t="shared" si="88"/>
        <v>44</v>
      </c>
      <c r="C707" s="405" t="str">
        <f t="shared" si="89"/>
        <v>第006519号</v>
      </c>
      <c r="D707" s="405" t="str">
        <f t="shared" si="90"/>
        <v>（有）中村機工</v>
      </c>
      <c r="E707" s="405" t="str">
        <f t="shared" si="91"/>
        <v>代表取締役</v>
      </c>
      <c r="F707" s="405" t="str">
        <f t="shared" si="92"/>
        <v>伊妻　良浩</v>
      </c>
      <c r="G707" s="405" t="str">
        <f t="shared" si="93"/>
        <v>主たる営業所</v>
      </c>
      <c r="H707" s="405" t="str">
        <f t="shared" si="94"/>
        <v>豊後高田市新地１６７０</v>
      </c>
      <c r="L707" s="403" t="s">
        <v>9104</v>
      </c>
      <c r="M707" s="403" t="s">
        <v>9105</v>
      </c>
      <c r="N707" s="403" t="s">
        <v>2719</v>
      </c>
      <c r="O707" s="403" t="s">
        <v>7084</v>
      </c>
      <c r="P707" s="403" t="s">
        <v>2720</v>
      </c>
      <c r="Q707" s="403" t="s">
        <v>7672</v>
      </c>
      <c r="R707" s="403" t="s">
        <v>5500</v>
      </c>
      <c r="S707" s="403" t="s">
        <v>15244</v>
      </c>
      <c r="T707" s="403" t="s">
        <v>15245</v>
      </c>
      <c r="U707" s="403"/>
      <c r="V707" s="403" t="s">
        <v>23024</v>
      </c>
      <c r="W707" s="403" t="s">
        <v>23024</v>
      </c>
      <c r="X707" s="403" t="s">
        <v>23024</v>
      </c>
      <c r="Y707" s="403" t="s">
        <v>23024</v>
      </c>
    </row>
    <row r="708" spans="1:25">
      <c r="A708" s="363">
        <f t="shared" si="95"/>
        <v>707</v>
      </c>
      <c r="B708" s="363" t="str">
        <f t="shared" si="88"/>
        <v>44</v>
      </c>
      <c r="C708" s="405" t="str">
        <f t="shared" si="89"/>
        <v>第006521号</v>
      </c>
      <c r="D708" s="405" t="str">
        <f t="shared" si="90"/>
        <v>美和土建（有）</v>
      </c>
      <c r="E708" s="405" t="str">
        <f t="shared" si="91"/>
        <v>代表取締役</v>
      </c>
      <c r="F708" s="405" t="str">
        <f t="shared" si="92"/>
        <v>田辺　隆博</v>
      </c>
      <c r="G708" s="405" t="str">
        <f t="shared" si="93"/>
        <v>主たる営業所</v>
      </c>
      <c r="H708" s="405" t="str">
        <f t="shared" si="94"/>
        <v>豊後高田市鼎１７１－４</v>
      </c>
      <c r="L708" s="403" t="s">
        <v>9106</v>
      </c>
      <c r="M708" s="403" t="s">
        <v>9107</v>
      </c>
      <c r="N708" s="403" t="s">
        <v>2721</v>
      </c>
      <c r="O708" s="403" t="s">
        <v>7084</v>
      </c>
      <c r="P708" s="403" t="s">
        <v>2722</v>
      </c>
      <c r="Q708" s="403" t="s">
        <v>9108</v>
      </c>
      <c r="R708" s="403" t="s">
        <v>19132</v>
      </c>
      <c r="S708" s="403" t="s">
        <v>15246</v>
      </c>
      <c r="T708" s="403" t="s">
        <v>15247</v>
      </c>
      <c r="U708" s="403"/>
      <c r="V708" s="403" t="s">
        <v>23024</v>
      </c>
      <c r="W708" s="403" t="s">
        <v>23024</v>
      </c>
      <c r="X708" s="403" t="s">
        <v>23024</v>
      </c>
      <c r="Y708" s="403" t="s">
        <v>23024</v>
      </c>
    </row>
    <row r="709" spans="1:25">
      <c r="A709" s="363">
        <f t="shared" si="95"/>
        <v>708</v>
      </c>
      <c r="B709" s="363" t="str">
        <f t="shared" si="88"/>
        <v>44</v>
      </c>
      <c r="C709" s="405" t="str">
        <f t="shared" si="89"/>
        <v>第006523号</v>
      </c>
      <c r="D709" s="405" t="str">
        <f t="shared" si="90"/>
        <v>（株）宇留嶋建設工業</v>
      </c>
      <c r="E709" s="405" t="str">
        <f t="shared" si="91"/>
        <v>代表取締役</v>
      </c>
      <c r="F709" s="405" t="str">
        <f t="shared" si="92"/>
        <v>宇留嶋　靖彦</v>
      </c>
      <c r="G709" s="405" t="str">
        <f t="shared" si="93"/>
        <v>主たる営業所</v>
      </c>
      <c r="H709" s="405" t="str">
        <f t="shared" si="94"/>
        <v>豊後高田市高田２３６８－２</v>
      </c>
      <c r="L709" s="403" t="s">
        <v>9109</v>
      </c>
      <c r="M709" s="403" t="s">
        <v>9110</v>
      </c>
      <c r="N709" s="403" t="s">
        <v>2723</v>
      </c>
      <c r="O709" s="403" t="s">
        <v>7084</v>
      </c>
      <c r="P709" s="403" t="s">
        <v>2724</v>
      </c>
      <c r="Q709" s="403" t="s">
        <v>7669</v>
      </c>
      <c r="R709" s="403" t="s">
        <v>19133</v>
      </c>
      <c r="S709" s="403" t="s">
        <v>15248</v>
      </c>
      <c r="T709" s="403" t="s">
        <v>15249</v>
      </c>
      <c r="U709" s="403"/>
      <c r="V709" s="403" t="s">
        <v>23024</v>
      </c>
      <c r="W709" s="403" t="s">
        <v>23024</v>
      </c>
      <c r="X709" s="403" t="s">
        <v>23024</v>
      </c>
      <c r="Y709" s="403" t="s">
        <v>23024</v>
      </c>
    </row>
    <row r="710" spans="1:25">
      <c r="A710" s="363">
        <f t="shared" si="95"/>
        <v>709</v>
      </c>
      <c r="B710" s="363" t="str">
        <f t="shared" si="88"/>
        <v>44</v>
      </c>
      <c r="C710" s="405" t="str">
        <f t="shared" si="89"/>
        <v>第006525号</v>
      </c>
      <c r="D710" s="405" t="str">
        <f t="shared" si="90"/>
        <v>（株）大興電設</v>
      </c>
      <c r="E710" s="405" t="str">
        <f t="shared" si="91"/>
        <v>代表取締役</v>
      </c>
      <c r="F710" s="405" t="str">
        <f t="shared" si="92"/>
        <v>野田　洋二</v>
      </c>
      <c r="G710" s="405" t="str">
        <f t="shared" si="93"/>
        <v>主たる営業所</v>
      </c>
      <c r="H710" s="405" t="str">
        <f t="shared" si="94"/>
        <v>豊後高田市玉津４６６－１</v>
      </c>
      <c r="L710" s="403" t="s">
        <v>9111</v>
      </c>
      <c r="M710" s="403" t="s">
        <v>9112</v>
      </c>
      <c r="N710" s="403" t="s">
        <v>2725</v>
      </c>
      <c r="O710" s="403" t="s">
        <v>7084</v>
      </c>
      <c r="P710" s="403" t="s">
        <v>2726</v>
      </c>
      <c r="Q710" s="403" t="s">
        <v>7687</v>
      </c>
      <c r="R710" s="403" t="s">
        <v>19134</v>
      </c>
      <c r="S710" s="403" t="s">
        <v>15250</v>
      </c>
      <c r="T710" s="403" t="s">
        <v>15251</v>
      </c>
      <c r="U710" s="403"/>
      <c r="V710" s="403" t="s">
        <v>23024</v>
      </c>
      <c r="W710" s="403" t="s">
        <v>23024</v>
      </c>
      <c r="X710" s="403" t="s">
        <v>23024</v>
      </c>
      <c r="Y710" s="403" t="s">
        <v>23024</v>
      </c>
    </row>
    <row r="711" spans="1:25">
      <c r="A711" s="363">
        <f t="shared" si="95"/>
        <v>710</v>
      </c>
      <c r="B711" s="363" t="str">
        <f t="shared" si="88"/>
        <v>44</v>
      </c>
      <c r="C711" s="405" t="str">
        <f t="shared" si="89"/>
        <v>第006527号</v>
      </c>
      <c r="D711" s="405" t="str">
        <f t="shared" si="90"/>
        <v>柏工業（株）</v>
      </c>
      <c r="E711" s="405" t="str">
        <f t="shared" si="91"/>
        <v>代表取締役</v>
      </c>
      <c r="F711" s="405" t="str">
        <f t="shared" si="92"/>
        <v>大久保　隆夫</v>
      </c>
      <c r="G711" s="405" t="str">
        <f t="shared" si="93"/>
        <v>主たる営業所</v>
      </c>
      <c r="H711" s="405" t="str">
        <f t="shared" si="94"/>
        <v>中津市大字植野８１９－５</v>
      </c>
      <c r="L711" s="403" t="s">
        <v>9113</v>
      </c>
      <c r="M711" s="403" t="s">
        <v>9114</v>
      </c>
      <c r="N711" s="403" t="s">
        <v>2727</v>
      </c>
      <c r="O711" s="403" t="s">
        <v>7084</v>
      </c>
      <c r="P711" s="403" t="s">
        <v>5239</v>
      </c>
      <c r="Q711" s="403" t="s">
        <v>8911</v>
      </c>
      <c r="R711" s="403" t="s">
        <v>19135</v>
      </c>
      <c r="S711" s="403" t="s">
        <v>15252</v>
      </c>
      <c r="T711" s="403" t="s">
        <v>15253</v>
      </c>
      <c r="U711" s="403"/>
      <c r="V711" s="403" t="s">
        <v>23024</v>
      </c>
      <c r="W711" s="403" t="s">
        <v>23024</v>
      </c>
      <c r="X711" s="403" t="s">
        <v>23024</v>
      </c>
      <c r="Y711" s="403" t="s">
        <v>23024</v>
      </c>
    </row>
    <row r="712" spans="1:25">
      <c r="A712" s="363">
        <f t="shared" si="95"/>
        <v>711</v>
      </c>
      <c r="B712" s="363" t="str">
        <f t="shared" si="88"/>
        <v>44</v>
      </c>
      <c r="C712" s="405" t="str">
        <f t="shared" si="89"/>
        <v>第006529号</v>
      </c>
      <c r="D712" s="405" t="str">
        <f t="shared" si="90"/>
        <v>（有）近藤建設</v>
      </c>
      <c r="E712" s="405" t="str">
        <f t="shared" si="91"/>
        <v>代表取締役</v>
      </c>
      <c r="F712" s="405" t="str">
        <f t="shared" si="92"/>
        <v>近藤　強</v>
      </c>
      <c r="G712" s="405" t="str">
        <f t="shared" si="93"/>
        <v>主たる営業所</v>
      </c>
      <c r="H712" s="405" t="str">
        <f t="shared" si="94"/>
        <v>豊後高田市美和２４２</v>
      </c>
      <c r="L712" s="403" t="s">
        <v>9115</v>
      </c>
      <c r="M712" s="403" t="s">
        <v>9116</v>
      </c>
      <c r="N712" s="403" t="s">
        <v>2728</v>
      </c>
      <c r="O712" s="403" t="s">
        <v>7084</v>
      </c>
      <c r="P712" s="403" t="s">
        <v>2729</v>
      </c>
      <c r="Q712" s="403" t="s">
        <v>7657</v>
      </c>
      <c r="R712" s="403" t="s">
        <v>5501</v>
      </c>
      <c r="S712" s="403" t="s">
        <v>15254</v>
      </c>
      <c r="T712" s="403" t="s">
        <v>15255</v>
      </c>
      <c r="U712" s="403"/>
      <c r="V712" s="403" t="s">
        <v>23024</v>
      </c>
      <c r="W712" s="403" t="s">
        <v>23024</v>
      </c>
      <c r="X712" s="403" t="s">
        <v>23024</v>
      </c>
      <c r="Y712" s="403" t="s">
        <v>23024</v>
      </c>
    </row>
    <row r="713" spans="1:25">
      <c r="A713" s="363">
        <f t="shared" si="95"/>
        <v>712</v>
      </c>
      <c r="B713" s="363" t="str">
        <f t="shared" si="88"/>
        <v>44</v>
      </c>
      <c r="C713" s="405" t="str">
        <f t="shared" si="89"/>
        <v>第006538号</v>
      </c>
      <c r="D713" s="405" t="str">
        <f t="shared" si="90"/>
        <v>（有）大田建設</v>
      </c>
      <c r="E713" s="405" t="str">
        <f t="shared" si="91"/>
        <v>代表取締役</v>
      </c>
      <c r="F713" s="405" t="str">
        <f t="shared" si="92"/>
        <v>田邉　公一</v>
      </c>
      <c r="G713" s="405" t="str">
        <f t="shared" si="93"/>
        <v>主たる営業所</v>
      </c>
      <c r="H713" s="405" t="str">
        <f t="shared" si="94"/>
        <v>杵築市大田石丸４２６－１</v>
      </c>
      <c r="L713" s="403" t="s">
        <v>9117</v>
      </c>
      <c r="M713" s="403" t="s">
        <v>9118</v>
      </c>
      <c r="N713" s="403" t="s">
        <v>2730</v>
      </c>
      <c r="O713" s="403" t="s">
        <v>7084</v>
      </c>
      <c r="P713" s="403" t="s">
        <v>2731</v>
      </c>
      <c r="Q713" s="403" t="s">
        <v>9119</v>
      </c>
      <c r="R713" s="403" t="s">
        <v>19136</v>
      </c>
      <c r="S713" s="403" t="s">
        <v>15256</v>
      </c>
      <c r="T713" s="403" t="s">
        <v>15257</v>
      </c>
      <c r="U713" s="403"/>
      <c r="V713" s="403" t="s">
        <v>23024</v>
      </c>
      <c r="W713" s="403" t="s">
        <v>23024</v>
      </c>
      <c r="X713" s="403" t="s">
        <v>23024</v>
      </c>
      <c r="Y713" s="403" t="s">
        <v>23024</v>
      </c>
    </row>
    <row r="714" spans="1:25">
      <c r="A714" s="363">
        <f t="shared" si="95"/>
        <v>713</v>
      </c>
      <c r="B714" s="363" t="str">
        <f t="shared" si="88"/>
        <v>44</v>
      </c>
      <c r="C714" s="405" t="str">
        <f t="shared" si="89"/>
        <v>第006545号</v>
      </c>
      <c r="D714" s="405" t="str">
        <f t="shared" si="90"/>
        <v>（有）山守工業</v>
      </c>
      <c r="E714" s="405" t="str">
        <f t="shared" si="91"/>
        <v>取締役</v>
      </c>
      <c r="F714" s="405" t="str">
        <f t="shared" si="92"/>
        <v>河野　博子</v>
      </c>
      <c r="G714" s="405" t="str">
        <f t="shared" si="93"/>
        <v>主たる営業所</v>
      </c>
      <c r="H714" s="405" t="str">
        <f t="shared" si="94"/>
        <v>豊後高田市田染池部５００－１</v>
      </c>
      <c r="L714" s="403" t="s">
        <v>9120</v>
      </c>
      <c r="M714" s="403" t="s">
        <v>9121</v>
      </c>
      <c r="N714" s="403" t="s">
        <v>2732</v>
      </c>
      <c r="O714" s="403" t="s">
        <v>7085</v>
      </c>
      <c r="P714" s="403" t="s">
        <v>2733</v>
      </c>
      <c r="Q714" s="403" t="s">
        <v>9122</v>
      </c>
      <c r="R714" s="403" t="s">
        <v>19137</v>
      </c>
      <c r="S714" s="403" t="s">
        <v>15258</v>
      </c>
      <c r="T714" s="403" t="s">
        <v>15259</v>
      </c>
      <c r="U714" s="403"/>
      <c r="V714" s="403" t="s">
        <v>23024</v>
      </c>
      <c r="W714" s="403" t="s">
        <v>23024</v>
      </c>
      <c r="X714" s="403" t="s">
        <v>23024</v>
      </c>
      <c r="Y714" s="403" t="s">
        <v>23024</v>
      </c>
    </row>
    <row r="715" spans="1:25">
      <c r="A715" s="363">
        <f t="shared" si="95"/>
        <v>714</v>
      </c>
      <c r="B715" s="363" t="str">
        <f t="shared" si="88"/>
        <v>44</v>
      </c>
      <c r="C715" s="405" t="str">
        <f t="shared" si="89"/>
        <v>第006546号</v>
      </c>
      <c r="D715" s="405" t="str">
        <f t="shared" si="90"/>
        <v>（有）伊藤建装</v>
      </c>
      <c r="E715" s="405" t="str">
        <f t="shared" si="91"/>
        <v>代表取締役</v>
      </c>
      <c r="F715" s="405" t="str">
        <f t="shared" si="92"/>
        <v>伊藤　和彦</v>
      </c>
      <c r="G715" s="405" t="str">
        <f t="shared" si="93"/>
        <v>主たる営業所</v>
      </c>
      <c r="H715" s="405" t="str">
        <f t="shared" si="94"/>
        <v>豊後高田市玉津２０１</v>
      </c>
      <c r="L715" s="403" t="s">
        <v>9123</v>
      </c>
      <c r="M715" s="403" t="s">
        <v>9124</v>
      </c>
      <c r="N715" s="403" t="s">
        <v>2734</v>
      </c>
      <c r="O715" s="403" t="s">
        <v>7084</v>
      </c>
      <c r="P715" s="403" t="s">
        <v>2735</v>
      </c>
      <c r="Q715" s="403" t="s">
        <v>7687</v>
      </c>
      <c r="R715" s="403" t="s">
        <v>5502</v>
      </c>
      <c r="S715" s="403" t="s">
        <v>15260</v>
      </c>
      <c r="T715" s="403" t="s">
        <v>15261</v>
      </c>
      <c r="U715" s="403"/>
      <c r="V715" s="403" t="s">
        <v>23024</v>
      </c>
      <c r="W715" s="403" t="s">
        <v>23024</v>
      </c>
      <c r="X715" s="403" t="s">
        <v>23024</v>
      </c>
      <c r="Y715" s="403" t="s">
        <v>23024</v>
      </c>
    </row>
    <row r="716" spans="1:25">
      <c r="A716" s="363">
        <f t="shared" si="95"/>
        <v>715</v>
      </c>
      <c r="B716" s="363" t="str">
        <f t="shared" si="88"/>
        <v>44</v>
      </c>
      <c r="C716" s="405" t="str">
        <f t="shared" si="89"/>
        <v>第006550号</v>
      </c>
      <c r="D716" s="405" t="str">
        <f t="shared" si="90"/>
        <v>（株）シモセ</v>
      </c>
      <c r="E716" s="405" t="str">
        <f t="shared" si="91"/>
        <v>代表取締役</v>
      </c>
      <c r="F716" s="405" t="str">
        <f t="shared" si="92"/>
        <v>下瀬　隆行</v>
      </c>
      <c r="G716" s="405" t="str">
        <f t="shared" si="93"/>
        <v>主たる営業所</v>
      </c>
      <c r="H716" s="405" t="str">
        <f t="shared" si="94"/>
        <v>豊後高田市玉津１６１１</v>
      </c>
      <c r="L716" s="403" t="s">
        <v>9125</v>
      </c>
      <c r="M716" s="403" t="s">
        <v>9126</v>
      </c>
      <c r="N716" s="403" t="s">
        <v>2736</v>
      </c>
      <c r="O716" s="403" t="s">
        <v>7084</v>
      </c>
      <c r="P716" s="403" t="s">
        <v>2737</v>
      </c>
      <c r="Q716" s="403" t="s">
        <v>7687</v>
      </c>
      <c r="R716" s="403" t="s">
        <v>5503</v>
      </c>
      <c r="S716" s="403" t="s">
        <v>15262</v>
      </c>
      <c r="T716" s="403" t="s">
        <v>15263</v>
      </c>
      <c r="U716" s="403"/>
      <c r="V716" s="403" t="s">
        <v>23024</v>
      </c>
      <c r="W716" s="403" t="s">
        <v>23024</v>
      </c>
      <c r="X716" s="403" t="s">
        <v>23024</v>
      </c>
      <c r="Y716" s="403" t="s">
        <v>23024</v>
      </c>
    </row>
    <row r="717" spans="1:25">
      <c r="A717" s="363">
        <f t="shared" si="95"/>
        <v>716</v>
      </c>
      <c r="B717" s="363" t="str">
        <f t="shared" si="88"/>
        <v>44</v>
      </c>
      <c r="C717" s="405" t="str">
        <f t="shared" si="89"/>
        <v>第006551号</v>
      </c>
      <c r="D717" s="405" t="str">
        <f t="shared" si="90"/>
        <v>（有）河野庭園</v>
      </c>
      <c r="E717" s="405" t="str">
        <f t="shared" si="91"/>
        <v>代表取締役</v>
      </c>
      <c r="F717" s="405" t="str">
        <f t="shared" si="92"/>
        <v>河野　良治</v>
      </c>
      <c r="G717" s="405" t="str">
        <f t="shared" si="93"/>
        <v>主たる営業所</v>
      </c>
      <c r="H717" s="405" t="str">
        <f t="shared" si="94"/>
        <v>豊後高田市大力６８４</v>
      </c>
      <c r="L717" s="403" t="s">
        <v>9127</v>
      </c>
      <c r="M717" s="403" t="s">
        <v>9128</v>
      </c>
      <c r="N717" s="403" t="s">
        <v>2738</v>
      </c>
      <c r="O717" s="403" t="s">
        <v>7084</v>
      </c>
      <c r="P717" s="403" t="s">
        <v>2739</v>
      </c>
      <c r="Q717" s="403" t="s">
        <v>9129</v>
      </c>
      <c r="R717" s="403" t="s">
        <v>5504</v>
      </c>
      <c r="S717" s="403" t="s">
        <v>15264</v>
      </c>
      <c r="T717" s="403" t="s">
        <v>15265</v>
      </c>
      <c r="U717" s="403"/>
      <c r="V717" s="403" t="s">
        <v>23024</v>
      </c>
      <c r="W717" s="403" t="s">
        <v>23024</v>
      </c>
      <c r="X717" s="403" t="s">
        <v>23024</v>
      </c>
      <c r="Y717" s="403" t="s">
        <v>23024</v>
      </c>
    </row>
    <row r="718" spans="1:25">
      <c r="A718" s="363">
        <f t="shared" si="95"/>
        <v>717</v>
      </c>
      <c r="B718" s="363" t="str">
        <f t="shared" si="88"/>
        <v>44</v>
      </c>
      <c r="C718" s="405" t="str">
        <f t="shared" si="89"/>
        <v>第006701号</v>
      </c>
      <c r="D718" s="405" t="str">
        <f t="shared" si="90"/>
        <v>（有）豊肥電設</v>
      </c>
      <c r="E718" s="405" t="str">
        <f t="shared" si="91"/>
        <v>代表取締役</v>
      </c>
      <c r="F718" s="405" t="str">
        <f t="shared" si="92"/>
        <v>牧　孝一</v>
      </c>
      <c r="G718" s="405" t="str">
        <f t="shared" si="93"/>
        <v>主たる営業所</v>
      </c>
      <c r="H718" s="405" t="str">
        <f t="shared" si="94"/>
        <v>竹田市大字植木９３８－１</v>
      </c>
      <c r="L718" s="403" t="s">
        <v>9130</v>
      </c>
      <c r="M718" s="403" t="s">
        <v>9131</v>
      </c>
      <c r="N718" s="403" t="s">
        <v>2740</v>
      </c>
      <c r="O718" s="403" t="s">
        <v>7084</v>
      </c>
      <c r="P718" s="403" t="s">
        <v>5240</v>
      </c>
      <c r="Q718" s="403" t="s">
        <v>7943</v>
      </c>
      <c r="R718" s="403" t="s">
        <v>19138</v>
      </c>
      <c r="S718" s="403" t="s">
        <v>15266</v>
      </c>
      <c r="T718" s="403" t="s">
        <v>15267</v>
      </c>
      <c r="U718" s="403"/>
      <c r="V718" s="403" t="s">
        <v>23024</v>
      </c>
      <c r="W718" s="403" t="s">
        <v>23024</v>
      </c>
      <c r="X718" s="403" t="s">
        <v>23024</v>
      </c>
      <c r="Y718" s="403" t="s">
        <v>23024</v>
      </c>
    </row>
    <row r="719" spans="1:25">
      <c r="A719" s="363">
        <f t="shared" si="95"/>
        <v>718</v>
      </c>
      <c r="B719" s="363" t="str">
        <f t="shared" si="88"/>
        <v>44</v>
      </c>
      <c r="C719" s="405" t="str">
        <f t="shared" si="89"/>
        <v>第006706号</v>
      </c>
      <c r="D719" s="405" t="str">
        <f t="shared" si="90"/>
        <v>（有）工藤商店</v>
      </c>
      <c r="E719" s="405" t="str">
        <f t="shared" si="91"/>
        <v>代表取締役</v>
      </c>
      <c r="F719" s="405" t="str">
        <f t="shared" si="92"/>
        <v>工藤　榮一</v>
      </c>
      <c r="G719" s="405" t="str">
        <f t="shared" si="93"/>
        <v>主たる営業所</v>
      </c>
      <c r="H719" s="405" t="str">
        <f t="shared" si="94"/>
        <v>竹田市久住町大字久住６１８６－１</v>
      </c>
      <c r="L719" s="403" t="s">
        <v>9132</v>
      </c>
      <c r="M719" s="403" t="s">
        <v>9133</v>
      </c>
      <c r="N719" s="403" t="s">
        <v>2741</v>
      </c>
      <c r="O719" s="403" t="s">
        <v>7084</v>
      </c>
      <c r="P719" s="403" t="s">
        <v>2742</v>
      </c>
      <c r="Q719" s="403" t="s">
        <v>7960</v>
      </c>
      <c r="R719" s="403" t="s">
        <v>19139</v>
      </c>
      <c r="S719" s="403" t="s">
        <v>15268</v>
      </c>
      <c r="T719" s="403" t="s">
        <v>15269</v>
      </c>
      <c r="U719" s="403"/>
      <c r="V719" s="403" t="s">
        <v>23024</v>
      </c>
      <c r="W719" s="403" t="s">
        <v>23024</v>
      </c>
      <c r="X719" s="403" t="s">
        <v>23024</v>
      </c>
      <c r="Y719" s="403" t="s">
        <v>23024</v>
      </c>
    </row>
    <row r="720" spans="1:25">
      <c r="A720" s="363">
        <f t="shared" si="95"/>
        <v>719</v>
      </c>
      <c r="B720" s="363" t="str">
        <f t="shared" si="88"/>
        <v>44</v>
      </c>
      <c r="C720" s="405" t="str">
        <f t="shared" si="89"/>
        <v>第006713号</v>
      </c>
      <c r="D720" s="405" t="str">
        <f t="shared" si="90"/>
        <v>（株）松井組</v>
      </c>
      <c r="E720" s="405" t="str">
        <f t="shared" si="91"/>
        <v>代表取締役</v>
      </c>
      <c r="F720" s="405" t="str">
        <f t="shared" si="92"/>
        <v>松井　宏一</v>
      </c>
      <c r="G720" s="405" t="str">
        <f t="shared" si="93"/>
        <v>主たる営業所</v>
      </c>
      <c r="H720" s="405" t="str">
        <f t="shared" si="94"/>
        <v>竹田市大字拝田原１８８</v>
      </c>
      <c r="L720" s="403" t="s">
        <v>9134</v>
      </c>
      <c r="M720" s="403" t="s">
        <v>9135</v>
      </c>
      <c r="N720" s="403" t="s">
        <v>2743</v>
      </c>
      <c r="O720" s="403" t="s">
        <v>7084</v>
      </c>
      <c r="P720" s="403" t="s">
        <v>2744</v>
      </c>
      <c r="Q720" s="403" t="s">
        <v>7345</v>
      </c>
      <c r="R720" s="403" t="s">
        <v>5505</v>
      </c>
      <c r="S720" s="403" t="s">
        <v>15270</v>
      </c>
      <c r="T720" s="403" t="s">
        <v>15271</v>
      </c>
      <c r="U720" s="403"/>
      <c r="V720" s="403" t="s">
        <v>23024</v>
      </c>
      <c r="W720" s="403" t="s">
        <v>23024</v>
      </c>
      <c r="X720" s="403" t="s">
        <v>23024</v>
      </c>
      <c r="Y720" s="403" t="s">
        <v>23024</v>
      </c>
    </row>
    <row r="721" spans="1:25">
      <c r="A721" s="363">
        <f t="shared" si="95"/>
        <v>720</v>
      </c>
      <c r="B721" s="363" t="str">
        <f t="shared" si="88"/>
        <v>44</v>
      </c>
      <c r="C721" s="405" t="str">
        <f t="shared" si="89"/>
        <v>第006720号</v>
      </c>
      <c r="D721" s="405" t="str">
        <f t="shared" si="90"/>
        <v>（有）久住産業</v>
      </c>
      <c r="E721" s="405" t="str">
        <f t="shared" si="91"/>
        <v>代表取締役</v>
      </c>
      <c r="F721" s="405" t="str">
        <f t="shared" si="92"/>
        <v>衛藤　拓也</v>
      </c>
      <c r="G721" s="405" t="str">
        <f t="shared" si="93"/>
        <v>主たる営業所</v>
      </c>
      <c r="H721" s="405" t="str">
        <f t="shared" si="94"/>
        <v>竹田市久住町大字栢木５７４－７</v>
      </c>
      <c r="L721" s="403" t="s">
        <v>9136</v>
      </c>
      <c r="M721" s="403" t="s">
        <v>9137</v>
      </c>
      <c r="N721" s="403" t="s">
        <v>2745</v>
      </c>
      <c r="O721" s="403" t="s">
        <v>7084</v>
      </c>
      <c r="P721" s="403" t="s">
        <v>2746</v>
      </c>
      <c r="Q721" s="403" t="s">
        <v>9138</v>
      </c>
      <c r="R721" s="403" t="s">
        <v>19140</v>
      </c>
      <c r="S721" s="403" t="s">
        <v>15272</v>
      </c>
      <c r="T721" s="403" t="s">
        <v>15273</v>
      </c>
      <c r="U721" s="403"/>
      <c r="V721" s="403" t="s">
        <v>23024</v>
      </c>
      <c r="W721" s="403" t="s">
        <v>23024</v>
      </c>
      <c r="X721" s="403" t="s">
        <v>23024</v>
      </c>
      <c r="Y721" s="403" t="s">
        <v>23024</v>
      </c>
    </row>
    <row r="722" spans="1:25">
      <c r="A722" s="363">
        <f t="shared" si="95"/>
        <v>721</v>
      </c>
      <c r="B722" s="363" t="str">
        <f t="shared" si="88"/>
        <v>44</v>
      </c>
      <c r="C722" s="405" t="str">
        <f t="shared" si="89"/>
        <v>第006721号</v>
      </c>
      <c r="D722" s="405" t="str">
        <f t="shared" si="90"/>
        <v>（有）岡本建設</v>
      </c>
      <c r="E722" s="405" t="str">
        <f t="shared" si="91"/>
        <v>代表取締役</v>
      </c>
      <c r="F722" s="405" t="str">
        <f t="shared" si="92"/>
        <v>足立　哲也</v>
      </c>
      <c r="G722" s="405" t="str">
        <f t="shared" si="93"/>
        <v>主たる営業所</v>
      </c>
      <c r="H722" s="405" t="str">
        <f t="shared" si="94"/>
        <v>竹田市大字枝１６６９</v>
      </c>
      <c r="L722" s="403" t="s">
        <v>9139</v>
      </c>
      <c r="M722" s="403" t="s">
        <v>9140</v>
      </c>
      <c r="N722" s="403" t="s">
        <v>2747</v>
      </c>
      <c r="O722" s="403" t="s">
        <v>7084</v>
      </c>
      <c r="P722" s="403" t="s">
        <v>2748</v>
      </c>
      <c r="Q722" s="403" t="s">
        <v>9141</v>
      </c>
      <c r="R722" s="403" t="s">
        <v>5506</v>
      </c>
      <c r="S722" s="403" t="s">
        <v>15274</v>
      </c>
      <c r="T722" s="403" t="s">
        <v>15275</v>
      </c>
      <c r="U722" s="403"/>
      <c r="V722" s="403" t="s">
        <v>23024</v>
      </c>
      <c r="W722" s="403" t="s">
        <v>23024</v>
      </c>
      <c r="X722" s="403" t="s">
        <v>23024</v>
      </c>
      <c r="Y722" s="403" t="s">
        <v>23024</v>
      </c>
    </row>
    <row r="723" spans="1:25">
      <c r="A723" s="363">
        <f t="shared" si="95"/>
        <v>722</v>
      </c>
      <c r="B723" s="363" t="str">
        <f t="shared" si="88"/>
        <v>44</v>
      </c>
      <c r="C723" s="405" t="str">
        <f t="shared" si="89"/>
        <v>第006724号</v>
      </c>
      <c r="D723" s="405" t="str">
        <f t="shared" si="90"/>
        <v>（株）竹田重機建設工業</v>
      </c>
      <c r="E723" s="405" t="str">
        <f t="shared" si="91"/>
        <v>代表取締役</v>
      </c>
      <c r="F723" s="405" t="str">
        <f t="shared" si="92"/>
        <v>嶺田　賢太郎</v>
      </c>
      <c r="G723" s="405" t="str">
        <f t="shared" si="93"/>
        <v>主たる営業所</v>
      </c>
      <c r="H723" s="405" t="str">
        <f t="shared" si="94"/>
        <v>竹田市大字植木１９３１－２</v>
      </c>
      <c r="L723" s="403" t="s">
        <v>9142</v>
      </c>
      <c r="M723" s="403" t="s">
        <v>9143</v>
      </c>
      <c r="N723" s="403" t="s">
        <v>2749</v>
      </c>
      <c r="O723" s="403" t="s">
        <v>7084</v>
      </c>
      <c r="P723" s="403" t="s">
        <v>2750</v>
      </c>
      <c r="Q723" s="403" t="s">
        <v>7943</v>
      </c>
      <c r="R723" s="403" t="s">
        <v>19141</v>
      </c>
      <c r="S723" s="403" t="s">
        <v>15276</v>
      </c>
      <c r="T723" s="403" t="s">
        <v>15277</v>
      </c>
      <c r="U723" s="403"/>
      <c r="V723" s="403" t="s">
        <v>23024</v>
      </c>
      <c r="W723" s="403" t="s">
        <v>23024</v>
      </c>
      <c r="X723" s="403" t="s">
        <v>23024</v>
      </c>
      <c r="Y723" s="403" t="s">
        <v>23024</v>
      </c>
    </row>
    <row r="724" spans="1:25">
      <c r="A724" s="363">
        <f t="shared" si="95"/>
        <v>723</v>
      </c>
      <c r="B724" s="363" t="str">
        <f t="shared" si="88"/>
        <v>44</v>
      </c>
      <c r="C724" s="405" t="str">
        <f t="shared" si="89"/>
        <v>第006727号</v>
      </c>
      <c r="D724" s="405" t="str">
        <f t="shared" si="90"/>
        <v>（有）大森開発</v>
      </c>
      <c r="E724" s="405" t="str">
        <f t="shared" si="91"/>
        <v>代表取締役</v>
      </c>
      <c r="F724" s="405" t="str">
        <f t="shared" si="92"/>
        <v>森　節子</v>
      </c>
      <c r="G724" s="405" t="str">
        <f t="shared" si="93"/>
        <v>主たる営業所</v>
      </c>
      <c r="H724" s="405" t="str">
        <f t="shared" si="94"/>
        <v>竹田市大字飛田川２１１５－３</v>
      </c>
      <c r="L724" s="403" t="s">
        <v>9144</v>
      </c>
      <c r="M724" s="403" t="s">
        <v>9145</v>
      </c>
      <c r="N724" s="403" t="s">
        <v>2751</v>
      </c>
      <c r="O724" s="403" t="s">
        <v>7084</v>
      </c>
      <c r="P724" s="403" t="s">
        <v>2752</v>
      </c>
      <c r="Q724" s="403" t="s">
        <v>7937</v>
      </c>
      <c r="R724" s="403" t="s">
        <v>19142</v>
      </c>
      <c r="S724" s="403" t="s">
        <v>15278</v>
      </c>
      <c r="T724" s="403" t="s">
        <v>15279</v>
      </c>
      <c r="U724" s="403"/>
      <c r="V724" s="403" t="s">
        <v>23024</v>
      </c>
      <c r="W724" s="403" t="s">
        <v>23024</v>
      </c>
      <c r="X724" s="403" t="s">
        <v>23024</v>
      </c>
      <c r="Y724" s="403" t="s">
        <v>23024</v>
      </c>
    </row>
    <row r="725" spans="1:25">
      <c r="A725" s="363">
        <f t="shared" si="95"/>
        <v>724</v>
      </c>
      <c r="B725" s="363" t="str">
        <f t="shared" si="88"/>
        <v>44</v>
      </c>
      <c r="C725" s="405" t="str">
        <f t="shared" si="89"/>
        <v>第006732号</v>
      </c>
      <c r="D725" s="405" t="str">
        <f t="shared" si="90"/>
        <v>豊肥産業（有）</v>
      </c>
      <c r="E725" s="405" t="str">
        <f t="shared" si="91"/>
        <v>代表取締役</v>
      </c>
      <c r="F725" s="405" t="str">
        <f t="shared" si="92"/>
        <v>阿部　清志</v>
      </c>
      <c r="G725" s="405" t="str">
        <f t="shared" si="93"/>
        <v>主たる営業所</v>
      </c>
      <c r="H725" s="405" t="str">
        <f t="shared" si="94"/>
        <v>竹田市荻町恵良原７６９－１</v>
      </c>
      <c r="L725" s="403" t="s">
        <v>9146</v>
      </c>
      <c r="M725" s="403" t="s">
        <v>9147</v>
      </c>
      <c r="N725" s="403" t="s">
        <v>2753</v>
      </c>
      <c r="O725" s="403" t="s">
        <v>7084</v>
      </c>
      <c r="P725" s="403" t="s">
        <v>2754</v>
      </c>
      <c r="Q725" s="403" t="s">
        <v>7328</v>
      </c>
      <c r="R725" s="403" t="s">
        <v>18555</v>
      </c>
      <c r="S725" s="403" t="s">
        <v>15280</v>
      </c>
      <c r="T725" s="403" t="s">
        <v>15281</v>
      </c>
      <c r="U725" s="403"/>
      <c r="V725" s="403" t="s">
        <v>23024</v>
      </c>
      <c r="W725" s="403" t="s">
        <v>23024</v>
      </c>
      <c r="X725" s="403" t="s">
        <v>23024</v>
      </c>
      <c r="Y725" s="403" t="s">
        <v>23024</v>
      </c>
    </row>
    <row r="726" spans="1:25">
      <c r="A726" s="363">
        <f t="shared" si="95"/>
        <v>725</v>
      </c>
      <c r="B726" s="363" t="str">
        <f t="shared" si="88"/>
        <v>44</v>
      </c>
      <c r="C726" s="405" t="str">
        <f t="shared" si="89"/>
        <v>第006734号</v>
      </c>
      <c r="D726" s="405" t="str">
        <f t="shared" si="90"/>
        <v>（有）首藤建設</v>
      </c>
      <c r="E726" s="405" t="str">
        <f t="shared" si="91"/>
        <v>代表取締役</v>
      </c>
      <c r="F726" s="405" t="str">
        <f t="shared" si="92"/>
        <v>首藤　徳子</v>
      </c>
      <c r="G726" s="405" t="str">
        <f t="shared" si="93"/>
        <v>主たる営業所</v>
      </c>
      <c r="H726" s="405" t="str">
        <f t="shared" si="94"/>
        <v>竹田市直入町大字下田北５１１</v>
      </c>
      <c r="L726" s="403" t="s">
        <v>9148</v>
      </c>
      <c r="M726" s="403" t="s">
        <v>7519</v>
      </c>
      <c r="N726" s="403" t="s">
        <v>1568</v>
      </c>
      <c r="O726" s="403" t="s">
        <v>7084</v>
      </c>
      <c r="P726" s="403" t="s">
        <v>2755</v>
      </c>
      <c r="Q726" s="403" t="s">
        <v>9149</v>
      </c>
      <c r="R726" s="403" t="s">
        <v>5507</v>
      </c>
      <c r="S726" s="403" t="s">
        <v>15282</v>
      </c>
      <c r="T726" s="403" t="s">
        <v>15283</v>
      </c>
      <c r="U726" s="403"/>
      <c r="V726" s="403" t="s">
        <v>23024</v>
      </c>
      <c r="W726" s="403" t="s">
        <v>23024</v>
      </c>
      <c r="X726" s="403" t="s">
        <v>23024</v>
      </c>
      <c r="Y726" s="403" t="s">
        <v>23024</v>
      </c>
    </row>
    <row r="727" spans="1:25">
      <c r="A727" s="363">
        <f t="shared" si="95"/>
        <v>726</v>
      </c>
      <c r="B727" s="363" t="str">
        <f t="shared" si="88"/>
        <v>44</v>
      </c>
      <c r="C727" s="405" t="str">
        <f t="shared" si="89"/>
        <v>第006745号</v>
      </c>
      <c r="D727" s="405" t="str">
        <f t="shared" si="90"/>
        <v>（有）江上設備企業</v>
      </c>
      <c r="E727" s="405" t="str">
        <f t="shared" si="91"/>
        <v>代表取締役</v>
      </c>
      <c r="F727" s="405" t="str">
        <f t="shared" si="92"/>
        <v>江上　友章</v>
      </c>
      <c r="G727" s="405" t="str">
        <f t="shared" si="93"/>
        <v>主たる営業所</v>
      </c>
      <c r="H727" s="405" t="str">
        <f t="shared" si="94"/>
        <v>竹田市大字竹田町１４５</v>
      </c>
      <c r="L727" s="403" t="s">
        <v>9150</v>
      </c>
      <c r="M727" s="403" t="s">
        <v>9151</v>
      </c>
      <c r="N727" s="403" t="s">
        <v>2756</v>
      </c>
      <c r="O727" s="403" t="s">
        <v>7084</v>
      </c>
      <c r="P727" s="403" t="s">
        <v>2757</v>
      </c>
      <c r="Q727" s="403" t="s">
        <v>9152</v>
      </c>
      <c r="R727" s="403" t="s">
        <v>5508</v>
      </c>
      <c r="S727" s="403" t="s">
        <v>15284</v>
      </c>
      <c r="T727" s="403" t="s">
        <v>15285</v>
      </c>
      <c r="U727" s="403"/>
      <c r="V727" s="403" t="s">
        <v>23024</v>
      </c>
      <c r="W727" s="403" t="s">
        <v>23024</v>
      </c>
      <c r="X727" s="403" t="s">
        <v>23024</v>
      </c>
      <c r="Y727" s="403" t="s">
        <v>23024</v>
      </c>
    </row>
    <row r="728" spans="1:25">
      <c r="A728" s="363">
        <f t="shared" si="95"/>
        <v>727</v>
      </c>
      <c r="B728" s="363" t="str">
        <f t="shared" si="88"/>
        <v>44</v>
      </c>
      <c r="C728" s="405" t="str">
        <f t="shared" si="89"/>
        <v>第006755号</v>
      </c>
      <c r="D728" s="405" t="str">
        <f t="shared" si="90"/>
        <v>大三重機</v>
      </c>
      <c r="E728" s="405" t="str">
        <f t="shared" si="91"/>
        <v>事業主</v>
      </c>
      <c r="F728" s="405" t="str">
        <f t="shared" si="92"/>
        <v>佐藤　賢治</v>
      </c>
      <c r="G728" s="405" t="str">
        <f t="shared" si="93"/>
        <v>主たる営業所</v>
      </c>
      <c r="H728" s="405" t="str">
        <f t="shared" si="94"/>
        <v>竹田市大字三宅９０－１</v>
      </c>
      <c r="L728" s="403" t="s">
        <v>9153</v>
      </c>
      <c r="M728" s="403" t="s">
        <v>9154</v>
      </c>
      <c r="N728" s="403" t="s">
        <v>2758</v>
      </c>
      <c r="O728" s="403" t="s">
        <v>7088</v>
      </c>
      <c r="P728" s="403" t="s">
        <v>2759</v>
      </c>
      <c r="Q728" s="403" t="s">
        <v>9155</v>
      </c>
      <c r="R728" s="403" t="s">
        <v>19143</v>
      </c>
      <c r="S728" s="403" t="s">
        <v>15286</v>
      </c>
      <c r="T728" s="403" t="s">
        <v>15286</v>
      </c>
      <c r="U728" s="403"/>
      <c r="V728" s="403" t="s">
        <v>23024</v>
      </c>
      <c r="W728" s="403" t="s">
        <v>23024</v>
      </c>
      <c r="X728" s="403" t="s">
        <v>23024</v>
      </c>
      <c r="Y728" s="403" t="s">
        <v>23024</v>
      </c>
    </row>
    <row r="729" spans="1:25">
      <c r="A729" s="363">
        <f t="shared" si="95"/>
        <v>728</v>
      </c>
      <c r="B729" s="363" t="str">
        <f t="shared" si="88"/>
        <v>44</v>
      </c>
      <c r="C729" s="405" t="str">
        <f t="shared" si="89"/>
        <v>第006756号</v>
      </c>
      <c r="D729" s="405" t="str">
        <f t="shared" si="90"/>
        <v>（有）岡城工業</v>
      </c>
      <c r="E729" s="405" t="str">
        <f t="shared" si="91"/>
        <v>代表取締役</v>
      </c>
      <c r="F729" s="405" t="str">
        <f t="shared" si="92"/>
        <v>佐藤　詔得</v>
      </c>
      <c r="G729" s="405" t="str">
        <f t="shared" si="93"/>
        <v>主たる営業所</v>
      </c>
      <c r="H729" s="405" t="str">
        <f t="shared" si="94"/>
        <v>竹田市大字飛田川２５４５－２</v>
      </c>
      <c r="L729" s="403" t="s">
        <v>9156</v>
      </c>
      <c r="M729" s="403" t="s">
        <v>9157</v>
      </c>
      <c r="N729" s="403" t="s">
        <v>2760</v>
      </c>
      <c r="O729" s="403" t="s">
        <v>7084</v>
      </c>
      <c r="P729" s="403" t="s">
        <v>2761</v>
      </c>
      <c r="Q729" s="403" t="s">
        <v>7937</v>
      </c>
      <c r="R729" s="403" t="s">
        <v>19144</v>
      </c>
      <c r="S729" s="403" t="s">
        <v>15287</v>
      </c>
      <c r="T729" s="403" t="s">
        <v>15288</v>
      </c>
      <c r="U729" s="403"/>
      <c r="V729" s="403" t="s">
        <v>23024</v>
      </c>
      <c r="W729" s="403" t="s">
        <v>23024</v>
      </c>
      <c r="X729" s="403" t="s">
        <v>23024</v>
      </c>
      <c r="Y729" s="403" t="s">
        <v>23024</v>
      </c>
    </row>
    <row r="730" spans="1:25">
      <c r="A730" s="363">
        <f t="shared" si="95"/>
        <v>729</v>
      </c>
      <c r="B730" s="363" t="str">
        <f t="shared" si="88"/>
        <v>44</v>
      </c>
      <c r="C730" s="405" t="str">
        <f t="shared" si="89"/>
        <v>第006768号</v>
      </c>
      <c r="D730" s="405" t="str">
        <f t="shared" si="90"/>
        <v>（有）加来塗装</v>
      </c>
      <c r="E730" s="405" t="str">
        <f t="shared" si="91"/>
        <v>代表取締役</v>
      </c>
      <c r="F730" s="405" t="str">
        <f t="shared" si="92"/>
        <v>加來　浩祐</v>
      </c>
      <c r="G730" s="405" t="str">
        <f t="shared" si="93"/>
        <v>主たる営業所</v>
      </c>
      <c r="H730" s="405" t="str">
        <f t="shared" si="94"/>
        <v>竹田市大字会々３５４４－１</v>
      </c>
      <c r="L730" s="403" t="s">
        <v>9158</v>
      </c>
      <c r="M730" s="403" t="s">
        <v>9159</v>
      </c>
      <c r="N730" s="403" t="s">
        <v>2762</v>
      </c>
      <c r="O730" s="403" t="s">
        <v>7084</v>
      </c>
      <c r="P730" s="403" t="s">
        <v>5306</v>
      </c>
      <c r="Q730" s="403" t="s">
        <v>7940</v>
      </c>
      <c r="R730" s="403" t="s">
        <v>19145</v>
      </c>
      <c r="S730" s="403" t="s">
        <v>15289</v>
      </c>
      <c r="T730" s="403" t="s">
        <v>15290</v>
      </c>
      <c r="U730" s="403"/>
      <c r="V730" s="403" t="s">
        <v>23024</v>
      </c>
      <c r="W730" s="403" t="s">
        <v>23024</v>
      </c>
      <c r="X730" s="403" t="s">
        <v>23024</v>
      </c>
      <c r="Y730" s="403" t="s">
        <v>23024</v>
      </c>
    </row>
    <row r="731" spans="1:25">
      <c r="A731" s="363">
        <f t="shared" si="95"/>
        <v>730</v>
      </c>
      <c r="B731" s="363" t="str">
        <f t="shared" si="88"/>
        <v>44</v>
      </c>
      <c r="C731" s="405" t="str">
        <f t="shared" si="89"/>
        <v>第006769号</v>
      </c>
      <c r="D731" s="405" t="str">
        <f t="shared" si="90"/>
        <v>（株）三浦石材</v>
      </c>
      <c r="E731" s="405" t="str">
        <f t="shared" si="91"/>
        <v>代表取締役</v>
      </c>
      <c r="F731" s="405" t="str">
        <f t="shared" si="92"/>
        <v>三浦　万二</v>
      </c>
      <c r="G731" s="405" t="str">
        <f t="shared" si="93"/>
        <v>主たる営業所</v>
      </c>
      <c r="H731" s="405" t="str">
        <f t="shared" si="94"/>
        <v>竹田市久住町大字栢木６９３０</v>
      </c>
      <c r="L731" s="403" t="s">
        <v>9160</v>
      </c>
      <c r="M731" s="403" t="s">
        <v>9161</v>
      </c>
      <c r="N731" s="403" t="s">
        <v>2763</v>
      </c>
      <c r="O731" s="403" t="s">
        <v>7084</v>
      </c>
      <c r="P731" s="403" t="s">
        <v>2764</v>
      </c>
      <c r="Q731" s="403" t="s">
        <v>9138</v>
      </c>
      <c r="R731" s="403" t="s">
        <v>5509</v>
      </c>
      <c r="S731" s="403" t="s">
        <v>15291</v>
      </c>
      <c r="T731" s="403" t="s">
        <v>15292</v>
      </c>
      <c r="U731" s="403"/>
      <c r="V731" s="403" t="s">
        <v>23024</v>
      </c>
      <c r="W731" s="403" t="s">
        <v>23024</v>
      </c>
      <c r="X731" s="403" t="s">
        <v>23024</v>
      </c>
      <c r="Y731" s="403" t="s">
        <v>23024</v>
      </c>
    </row>
    <row r="732" spans="1:25">
      <c r="A732" s="363">
        <f t="shared" si="95"/>
        <v>731</v>
      </c>
      <c r="B732" s="363" t="str">
        <f t="shared" si="88"/>
        <v>44</v>
      </c>
      <c r="C732" s="405" t="str">
        <f t="shared" si="89"/>
        <v>第006772号</v>
      </c>
      <c r="D732" s="405" t="str">
        <f t="shared" si="90"/>
        <v>（有）サンキ</v>
      </c>
      <c r="E732" s="405" t="str">
        <f t="shared" si="91"/>
        <v>代表取締役</v>
      </c>
      <c r="F732" s="405" t="str">
        <f t="shared" si="92"/>
        <v>森　真一</v>
      </c>
      <c r="G732" s="405" t="str">
        <f t="shared" si="93"/>
        <v>主たる営業所</v>
      </c>
      <c r="H732" s="405" t="str">
        <f t="shared" si="94"/>
        <v>竹田市大字久保６３１－１</v>
      </c>
      <c r="L732" s="403" t="s">
        <v>9162</v>
      </c>
      <c r="M732" s="403" t="s">
        <v>9163</v>
      </c>
      <c r="N732" s="403" t="s">
        <v>2765</v>
      </c>
      <c r="O732" s="403" t="s">
        <v>7084</v>
      </c>
      <c r="P732" s="403" t="s">
        <v>2766</v>
      </c>
      <c r="Q732" s="403" t="s">
        <v>7948</v>
      </c>
      <c r="R732" s="403" t="s">
        <v>19146</v>
      </c>
      <c r="S732" s="403" t="s">
        <v>15293</v>
      </c>
      <c r="T732" s="403" t="s">
        <v>15293</v>
      </c>
      <c r="U732" s="403"/>
      <c r="V732" s="403" t="s">
        <v>23024</v>
      </c>
      <c r="W732" s="403" t="s">
        <v>23024</v>
      </c>
      <c r="X732" s="403" t="s">
        <v>23024</v>
      </c>
      <c r="Y732" s="403" t="s">
        <v>23024</v>
      </c>
    </row>
    <row r="733" spans="1:25">
      <c r="A733" s="363">
        <f t="shared" si="95"/>
        <v>732</v>
      </c>
      <c r="B733" s="363" t="str">
        <f t="shared" si="88"/>
        <v>44</v>
      </c>
      <c r="C733" s="405" t="str">
        <f t="shared" si="89"/>
        <v>第006776号</v>
      </c>
      <c r="D733" s="405" t="str">
        <f t="shared" si="90"/>
        <v>（有）坂田建設</v>
      </c>
      <c r="E733" s="405" t="str">
        <f t="shared" si="91"/>
        <v>代表取締役</v>
      </c>
      <c r="F733" s="405" t="str">
        <f t="shared" si="92"/>
        <v>坂田　大寛</v>
      </c>
      <c r="G733" s="405" t="str">
        <f t="shared" si="93"/>
        <v>主たる営業所</v>
      </c>
      <c r="H733" s="405" t="str">
        <f t="shared" si="94"/>
        <v>竹田市久住町大字白丹２９５４－１</v>
      </c>
      <c r="L733" s="403" t="s">
        <v>9164</v>
      </c>
      <c r="M733" s="403" t="s">
        <v>9165</v>
      </c>
      <c r="N733" s="403" t="s">
        <v>2767</v>
      </c>
      <c r="O733" s="403" t="s">
        <v>7084</v>
      </c>
      <c r="P733" s="403" t="s">
        <v>2768</v>
      </c>
      <c r="Q733" s="403" t="s">
        <v>9166</v>
      </c>
      <c r="R733" s="403" t="s">
        <v>19147</v>
      </c>
      <c r="S733" s="403" t="s">
        <v>15294</v>
      </c>
      <c r="T733" s="403" t="s">
        <v>15295</v>
      </c>
      <c r="U733" s="403"/>
      <c r="V733" s="403" t="s">
        <v>23024</v>
      </c>
      <c r="W733" s="403" t="s">
        <v>23024</v>
      </c>
      <c r="X733" s="403" t="s">
        <v>23024</v>
      </c>
      <c r="Y733" s="403" t="s">
        <v>23024</v>
      </c>
    </row>
    <row r="734" spans="1:25">
      <c r="A734" s="363">
        <f t="shared" si="95"/>
        <v>733</v>
      </c>
      <c r="B734" s="363" t="str">
        <f t="shared" si="88"/>
        <v>44</v>
      </c>
      <c r="C734" s="405" t="str">
        <f t="shared" si="89"/>
        <v>第006785号</v>
      </c>
      <c r="D734" s="405" t="str">
        <f t="shared" si="90"/>
        <v>（有）上村工業</v>
      </c>
      <c r="E734" s="405" t="str">
        <f t="shared" si="91"/>
        <v>代表取締役</v>
      </c>
      <c r="F734" s="405" t="str">
        <f t="shared" si="92"/>
        <v>上村　秀利</v>
      </c>
      <c r="G734" s="405" t="str">
        <f t="shared" si="93"/>
        <v>主たる営業所</v>
      </c>
      <c r="H734" s="405" t="str">
        <f t="shared" si="94"/>
        <v>竹田市荻町馬場１０７８－３</v>
      </c>
      <c r="L734" s="403" t="s">
        <v>9167</v>
      </c>
      <c r="M734" s="403" t="s">
        <v>9168</v>
      </c>
      <c r="N734" s="403" t="s">
        <v>2769</v>
      </c>
      <c r="O734" s="403" t="s">
        <v>7084</v>
      </c>
      <c r="P734" s="403" t="s">
        <v>2770</v>
      </c>
      <c r="Q734" s="403" t="s">
        <v>9169</v>
      </c>
      <c r="R734" s="403" t="s">
        <v>19148</v>
      </c>
      <c r="S734" s="403" t="s">
        <v>15296</v>
      </c>
      <c r="T734" s="403" t="s">
        <v>15297</v>
      </c>
      <c r="U734" s="403"/>
      <c r="V734" s="403" t="s">
        <v>23024</v>
      </c>
      <c r="W734" s="403" t="s">
        <v>23024</v>
      </c>
      <c r="X734" s="403" t="s">
        <v>23024</v>
      </c>
      <c r="Y734" s="403" t="s">
        <v>23024</v>
      </c>
    </row>
    <row r="735" spans="1:25">
      <c r="A735" s="363">
        <f t="shared" si="95"/>
        <v>734</v>
      </c>
      <c r="B735" s="363" t="str">
        <f t="shared" si="88"/>
        <v>44</v>
      </c>
      <c r="C735" s="405" t="str">
        <f t="shared" si="89"/>
        <v>第006787号</v>
      </c>
      <c r="D735" s="405" t="str">
        <f t="shared" si="90"/>
        <v>（有）大倉産業</v>
      </c>
      <c r="E735" s="405" t="str">
        <f t="shared" si="91"/>
        <v>代表取締役</v>
      </c>
      <c r="F735" s="405" t="str">
        <f t="shared" si="92"/>
        <v>倉野　郁子</v>
      </c>
      <c r="G735" s="405" t="str">
        <f t="shared" si="93"/>
        <v>主たる営業所</v>
      </c>
      <c r="H735" s="405" t="str">
        <f t="shared" si="94"/>
        <v>竹田市荻町北原５００４－３８</v>
      </c>
      <c r="L735" s="403" t="s">
        <v>9170</v>
      </c>
      <c r="M735" s="403" t="s">
        <v>9171</v>
      </c>
      <c r="N735" s="403" t="s">
        <v>2771</v>
      </c>
      <c r="O735" s="403" t="s">
        <v>7084</v>
      </c>
      <c r="P735" s="403" t="s">
        <v>2772</v>
      </c>
      <c r="Q735" s="403" t="s">
        <v>9172</v>
      </c>
      <c r="R735" s="403" t="s">
        <v>19149</v>
      </c>
      <c r="S735" s="403" t="s">
        <v>15298</v>
      </c>
      <c r="T735" s="403" t="s">
        <v>15299</v>
      </c>
      <c r="U735" s="403"/>
      <c r="V735" s="403" t="s">
        <v>23024</v>
      </c>
      <c r="W735" s="403" t="s">
        <v>23024</v>
      </c>
      <c r="X735" s="403" t="s">
        <v>23024</v>
      </c>
      <c r="Y735" s="403" t="s">
        <v>23024</v>
      </c>
    </row>
    <row r="736" spans="1:25">
      <c r="A736" s="363">
        <f t="shared" si="95"/>
        <v>735</v>
      </c>
      <c r="B736" s="363" t="str">
        <f t="shared" si="88"/>
        <v>44</v>
      </c>
      <c r="C736" s="405" t="str">
        <f t="shared" si="89"/>
        <v>第006789号</v>
      </c>
      <c r="D736" s="405" t="str">
        <f t="shared" si="90"/>
        <v>（有）丸昭組</v>
      </c>
      <c r="E736" s="405" t="str">
        <f t="shared" si="91"/>
        <v>代表取締役</v>
      </c>
      <c r="F736" s="405" t="str">
        <f t="shared" si="92"/>
        <v>上塚　里沙</v>
      </c>
      <c r="G736" s="405" t="str">
        <f t="shared" si="93"/>
        <v>主たる営業所</v>
      </c>
      <c r="H736" s="405" t="str">
        <f t="shared" si="94"/>
        <v>豊後大野市大野町大原５１６－１</v>
      </c>
      <c r="L736" s="403" t="s">
        <v>9173</v>
      </c>
      <c r="M736" s="403" t="s">
        <v>9174</v>
      </c>
      <c r="N736" s="403" t="s">
        <v>2773</v>
      </c>
      <c r="O736" s="403" t="s">
        <v>7084</v>
      </c>
      <c r="P736" s="403" t="s">
        <v>2774</v>
      </c>
      <c r="Q736" s="403" t="s">
        <v>7902</v>
      </c>
      <c r="R736" s="403" t="s">
        <v>19150</v>
      </c>
      <c r="S736" s="403" t="s">
        <v>15300</v>
      </c>
      <c r="T736" s="403" t="s">
        <v>15300</v>
      </c>
      <c r="U736" s="403"/>
      <c r="V736" s="403" t="s">
        <v>23024</v>
      </c>
      <c r="W736" s="403" t="s">
        <v>23024</v>
      </c>
      <c r="X736" s="403" t="s">
        <v>23024</v>
      </c>
      <c r="Y736" s="403" t="s">
        <v>23024</v>
      </c>
    </row>
    <row r="737" spans="1:25">
      <c r="A737" s="363">
        <f t="shared" si="95"/>
        <v>736</v>
      </c>
      <c r="B737" s="363" t="str">
        <f t="shared" si="88"/>
        <v>44</v>
      </c>
      <c r="C737" s="405" t="str">
        <f t="shared" si="89"/>
        <v>第006810号</v>
      </c>
      <c r="D737" s="405" t="str">
        <f t="shared" si="90"/>
        <v>（有）豊田緑化</v>
      </c>
      <c r="E737" s="405" t="str">
        <f t="shared" si="91"/>
        <v>代表取締役</v>
      </c>
      <c r="F737" s="405" t="str">
        <f t="shared" si="92"/>
        <v>豊田　憲生</v>
      </c>
      <c r="G737" s="405" t="str">
        <f t="shared" si="93"/>
        <v>主たる営業所</v>
      </c>
      <c r="H737" s="405" t="str">
        <f t="shared" si="94"/>
        <v>別府市大字鶴見２９０－４７</v>
      </c>
      <c r="L737" s="403" t="s">
        <v>9175</v>
      </c>
      <c r="M737" s="403" t="s">
        <v>9176</v>
      </c>
      <c r="N737" s="403" t="s">
        <v>2775</v>
      </c>
      <c r="O737" s="403" t="s">
        <v>7084</v>
      </c>
      <c r="P737" s="403" t="s">
        <v>2776</v>
      </c>
      <c r="Q737" s="403" t="s">
        <v>9177</v>
      </c>
      <c r="R737" s="403" t="s">
        <v>19151</v>
      </c>
      <c r="S737" s="403" t="s">
        <v>15301</v>
      </c>
      <c r="T737" s="403" t="s">
        <v>15302</v>
      </c>
      <c r="U737" s="403"/>
      <c r="V737" s="403" t="s">
        <v>23024</v>
      </c>
      <c r="W737" s="403" t="s">
        <v>23024</v>
      </c>
      <c r="X737" s="403" t="s">
        <v>23024</v>
      </c>
      <c r="Y737" s="403" t="s">
        <v>23024</v>
      </c>
    </row>
    <row r="738" spans="1:25">
      <c r="A738" s="363">
        <f t="shared" si="95"/>
        <v>737</v>
      </c>
      <c r="B738" s="363" t="str">
        <f t="shared" si="88"/>
        <v>44</v>
      </c>
      <c r="C738" s="405" t="str">
        <f t="shared" si="89"/>
        <v>第006813号</v>
      </c>
      <c r="D738" s="405" t="str">
        <f t="shared" si="90"/>
        <v>（株）昭和建設工業</v>
      </c>
      <c r="E738" s="405" t="str">
        <f t="shared" si="91"/>
        <v>代表取締役</v>
      </c>
      <c r="F738" s="405" t="str">
        <f t="shared" si="92"/>
        <v>遠藤　克尚</v>
      </c>
      <c r="G738" s="405" t="str">
        <f t="shared" si="93"/>
        <v>主たる営業所</v>
      </c>
      <c r="H738" s="405" t="str">
        <f t="shared" si="94"/>
        <v>速見郡日出町大字川崎２２３３－１</v>
      </c>
      <c r="L738" s="403" t="s">
        <v>9178</v>
      </c>
      <c r="M738" s="403" t="s">
        <v>9179</v>
      </c>
      <c r="N738" s="403" t="s">
        <v>2777</v>
      </c>
      <c r="O738" s="403" t="s">
        <v>7084</v>
      </c>
      <c r="P738" s="403" t="s">
        <v>2778</v>
      </c>
      <c r="Q738" s="403" t="s">
        <v>7590</v>
      </c>
      <c r="R738" s="403" t="s">
        <v>19152</v>
      </c>
      <c r="S738" s="403" t="s">
        <v>15303</v>
      </c>
      <c r="T738" s="403" t="s">
        <v>15304</v>
      </c>
      <c r="U738" s="403"/>
      <c r="V738" s="403" t="s">
        <v>23024</v>
      </c>
      <c r="W738" s="403" t="s">
        <v>23024</v>
      </c>
      <c r="X738" s="403" t="s">
        <v>23024</v>
      </c>
      <c r="Y738" s="403" t="s">
        <v>23024</v>
      </c>
    </row>
    <row r="739" spans="1:25">
      <c r="A739" s="363">
        <f t="shared" si="95"/>
        <v>738</v>
      </c>
      <c r="B739" s="363" t="str">
        <f t="shared" si="88"/>
        <v>44</v>
      </c>
      <c r="C739" s="405" t="str">
        <f t="shared" si="89"/>
        <v>第006823号</v>
      </c>
      <c r="D739" s="405" t="str">
        <f t="shared" si="90"/>
        <v>（有）橋本電設</v>
      </c>
      <c r="E739" s="405" t="str">
        <f t="shared" si="91"/>
        <v>代表取締役</v>
      </c>
      <c r="F739" s="405" t="str">
        <f t="shared" si="92"/>
        <v>橋本　亮</v>
      </c>
      <c r="G739" s="405" t="str">
        <f t="shared" si="93"/>
        <v>主たる営業所</v>
      </c>
      <c r="H739" s="405" t="str">
        <f t="shared" si="94"/>
        <v>別府市東荘園２－７－９</v>
      </c>
      <c r="L739" s="403" t="s">
        <v>9180</v>
      </c>
      <c r="M739" s="403" t="s">
        <v>9181</v>
      </c>
      <c r="N739" s="403" t="s">
        <v>2779</v>
      </c>
      <c r="O739" s="403" t="s">
        <v>7084</v>
      </c>
      <c r="P739" s="403" t="s">
        <v>2780</v>
      </c>
      <c r="Q739" s="403" t="s">
        <v>7646</v>
      </c>
      <c r="R739" s="403" t="s">
        <v>19153</v>
      </c>
      <c r="S739" s="403" t="s">
        <v>15305</v>
      </c>
      <c r="T739" s="403" t="s">
        <v>15306</v>
      </c>
      <c r="U739" s="403"/>
      <c r="V739" s="403" t="s">
        <v>23024</v>
      </c>
      <c r="W739" s="403" t="s">
        <v>23024</v>
      </c>
      <c r="X739" s="403" t="s">
        <v>23024</v>
      </c>
      <c r="Y739" s="403" t="s">
        <v>23024</v>
      </c>
    </row>
    <row r="740" spans="1:25">
      <c r="A740" s="363">
        <f t="shared" si="95"/>
        <v>739</v>
      </c>
      <c r="B740" s="363" t="str">
        <f t="shared" si="88"/>
        <v>44</v>
      </c>
      <c r="C740" s="405" t="str">
        <f t="shared" si="89"/>
        <v>第006830号</v>
      </c>
      <c r="D740" s="405" t="str">
        <f t="shared" si="90"/>
        <v>（株）ユウキ</v>
      </c>
      <c r="E740" s="405" t="str">
        <f t="shared" si="91"/>
        <v>代表取締役</v>
      </c>
      <c r="F740" s="405" t="str">
        <f t="shared" si="92"/>
        <v>小林　哲也</v>
      </c>
      <c r="G740" s="405" t="str">
        <f t="shared" si="93"/>
        <v>主たる営業所</v>
      </c>
      <c r="H740" s="405" t="str">
        <f t="shared" si="94"/>
        <v>別府市幸町８－３２</v>
      </c>
      <c r="L740" s="403" t="s">
        <v>9182</v>
      </c>
      <c r="M740" s="403" t="s">
        <v>7953</v>
      </c>
      <c r="N740" s="403" t="s">
        <v>2781</v>
      </c>
      <c r="O740" s="403" t="s">
        <v>7084</v>
      </c>
      <c r="P740" s="403" t="s">
        <v>5307</v>
      </c>
      <c r="Q740" s="403" t="s">
        <v>9183</v>
      </c>
      <c r="R740" s="403" t="s">
        <v>19154</v>
      </c>
      <c r="S740" s="403" t="s">
        <v>15307</v>
      </c>
      <c r="T740" s="403" t="s">
        <v>15308</v>
      </c>
      <c r="U740" s="403"/>
      <c r="V740" s="403" t="s">
        <v>23024</v>
      </c>
      <c r="W740" s="403" t="s">
        <v>23024</v>
      </c>
      <c r="X740" s="403" t="s">
        <v>23024</v>
      </c>
      <c r="Y740" s="403" t="s">
        <v>23024</v>
      </c>
    </row>
    <row r="741" spans="1:25">
      <c r="A741" s="363">
        <f t="shared" si="95"/>
        <v>740</v>
      </c>
      <c r="B741" s="363" t="str">
        <f t="shared" si="88"/>
        <v>44</v>
      </c>
      <c r="C741" s="405" t="str">
        <f t="shared" si="89"/>
        <v>第006838号</v>
      </c>
      <c r="D741" s="405" t="str">
        <f t="shared" si="90"/>
        <v>（有）糸永造園</v>
      </c>
      <c r="E741" s="405" t="str">
        <f t="shared" si="91"/>
        <v>取締役</v>
      </c>
      <c r="F741" s="405" t="str">
        <f t="shared" si="92"/>
        <v>生永　庸子</v>
      </c>
      <c r="G741" s="405" t="str">
        <f t="shared" si="93"/>
        <v>主たる営業所</v>
      </c>
      <c r="H741" s="405" t="str">
        <f t="shared" si="94"/>
        <v>別府市原町１０－１</v>
      </c>
      <c r="L741" s="403" t="s">
        <v>9184</v>
      </c>
      <c r="M741" s="403" t="s">
        <v>9185</v>
      </c>
      <c r="N741" s="403" t="s">
        <v>2782</v>
      </c>
      <c r="O741" s="403" t="s">
        <v>7085</v>
      </c>
      <c r="P741" s="403" t="s">
        <v>2783</v>
      </c>
      <c r="Q741" s="403" t="s">
        <v>7585</v>
      </c>
      <c r="R741" s="403" t="s">
        <v>18645</v>
      </c>
      <c r="S741" s="403" t="s">
        <v>15309</v>
      </c>
      <c r="T741" s="403">
        <v>0</v>
      </c>
      <c r="U741" s="403"/>
      <c r="V741" s="403" t="s">
        <v>23024</v>
      </c>
      <c r="W741" s="403" t="s">
        <v>23024</v>
      </c>
      <c r="X741" s="403" t="s">
        <v>23024</v>
      </c>
      <c r="Y741" s="403" t="s">
        <v>23024</v>
      </c>
    </row>
    <row r="742" spans="1:25">
      <c r="A742" s="363">
        <f t="shared" si="95"/>
        <v>741</v>
      </c>
      <c r="B742" s="363" t="str">
        <f t="shared" si="88"/>
        <v>44</v>
      </c>
      <c r="C742" s="405" t="str">
        <f t="shared" si="89"/>
        <v>第006857号</v>
      </c>
      <c r="D742" s="405" t="str">
        <f t="shared" si="90"/>
        <v>佐々木設備</v>
      </c>
      <c r="E742" s="405" t="str">
        <f t="shared" si="91"/>
        <v>代表者</v>
      </c>
      <c r="F742" s="405" t="str">
        <f t="shared" si="92"/>
        <v>佐々木　文利</v>
      </c>
      <c r="G742" s="405" t="str">
        <f t="shared" si="93"/>
        <v>主たる営業所</v>
      </c>
      <c r="H742" s="405" t="str">
        <f t="shared" si="94"/>
        <v>杵築市大字大内３７８５－１７</v>
      </c>
      <c r="L742" s="403" t="s">
        <v>9186</v>
      </c>
      <c r="M742" s="403" t="s">
        <v>9187</v>
      </c>
      <c r="N742" s="403" t="s">
        <v>2784</v>
      </c>
      <c r="O742" s="403" t="s">
        <v>7086</v>
      </c>
      <c r="P742" s="403" t="s">
        <v>2785</v>
      </c>
      <c r="Q742" s="403" t="s">
        <v>7631</v>
      </c>
      <c r="R742" s="403" t="s">
        <v>19155</v>
      </c>
      <c r="S742" s="403" t="s">
        <v>15310</v>
      </c>
      <c r="T742" s="403" t="s">
        <v>15311</v>
      </c>
      <c r="U742" s="403"/>
      <c r="V742" s="403" t="s">
        <v>23024</v>
      </c>
      <c r="W742" s="403" t="s">
        <v>23024</v>
      </c>
      <c r="X742" s="403" t="s">
        <v>23024</v>
      </c>
      <c r="Y742" s="403" t="s">
        <v>23024</v>
      </c>
    </row>
    <row r="743" spans="1:25">
      <c r="A743" s="363">
        <f t="shared" si="95"/>
        <v>742</v>
      </c>
      <c r="B743" s="363" t="str">
        <f t="shared" si="88"/>
        <v>44</v>
      </c>
      <c r="C743" s="405" t="str">
        <f t="shared" si="89"/>
        <v>第006859号</v>
      </c>
      <c r="D743" s="405" t="str">
        <f t="shared" si="90"/>
        <v>（株）昭和良建設</v>
      </c>
      <c r="E743" s="405" t="str">
        <f t="shared" si="91"/>
        <v>代表取締役</v>
      </c>
      <c r="F743" s="405" t="str">
        <f t="shared" si="92"/>
        <v>中山　良一</v>
      </c>
      <c r="G743" s="405" t="str">
        <f t="shared" si="93"/>
        <v>主たる営業所</v>
      </c>
      <c r="H743" s="405" t="str">
        <f t="shared" si="94"/>
        <v>別府市船小路町２－１０</v>
      </c>
      <c r="L743" s="403" t="s">
        <v>9188</v>
      </c>
      <c r="M743" s="403" t="s">
        <v>9189</v>
      </c>
      <c r="N743" s="403" t="s">
        <v>2786</v>
      </c>
      <c r="O743" s="403" t="s">
        <v>7084</v>
      </c>
      <c r="P743" s="403" t="s">
        <v>2787</v>
      </c>
      <c r="Q743" s="403" t="s">
        <v>9190</v>
      </c>
      <c r="R743" s="403" t="s">
        <v>19156</v>
      </c>
      <c r="S743" s="403" t="s">
        <v>15312</v>
      </c>
      <c r="T743" s="403" t="s">
        <v>15313</v>
      </c>
      <c r="U743" s="403"/>
      <c r="V743" s="403" t="s">
        <v>23024</v>
      </c>
      <c r="W743" s="403" t="s">
        <v>23024</v>
      </c>
      <c r="X743" s="403" t="s">
        <v>23024</v>
      </c>
      <c r="Y743" s="403" t="s">
        <v>23024</v>
      </c>
    </row>
    <row r="744" spans="1:25">
      <c r="A744" s="363">
        <f t="shared" si="95"/>
        <v>743</v>
      </c>
      <c r="B744" s="363" t="str">
        <f t="shared" si="88"/>
        <v>44</v>
      </c>
      <c r="C744" s="405" t="str">
        <f t="shared" si="89"/>
        <v>第006862号</v>
      </c>
      <c r="D744" s="405" t="str">
        <f t="shared" si="90"/>
        <v>（有）荷宮電工</v>
      </c>
      <c r="E744" s="405" t="str">
        <f t="shared" si="91"/>
        <v>代表取締役</v>
      </c>
      <c r="F744" s="405" t="str">
        <f t="shared" si="92"/>
        <v>荷宮　孝之</v>
      </c>
      <c r="G744" s="405" t="str">
        <f t="shared" si="93"/>
        <v>主たる営業所</v>
      </c>
      <c r="H744" s="405" t="str">
        <f t="shared" si="94"/>
        <v>速見郡日出町八日市２４８０－２</v>
      </c>
      <c r="L744" s="403" t="s">
        <v>9191</v>
      </c>
      <c r="M744" s="403" t="s">
        <v>9192</v>
      </c>
      <c r="N744" s="403" t="s">
        <v>2788</v>
      </c>
      <c r="O744" s="403" t="s">
        <v>7084</v>
      </c>
      <c r="P744" s="403" t="s">
        <v>2789</v>
      </c>
      <c r="Q744" s="403" t="s">
        <v>7628</v>
      </c>
      <c r="R744" s="403" t="s">
        <v>19157</v>
      </c>
      <c r="S744" s="403" t="s">
        <v>15314</v>
      </c>
      <c r="T744" s="403" t="s">
        <v>15315</v>
      </c>
      <c r="U744" s="403"/>
      <c r="V744" s="403" t="s">
        <v>23024</v>
      </c>
      <c r="W744" s="403" t="s">
        <v>23024</v>
      </c>
      <c r="X744" s="403" t="s">
        <v>23024</v>
      </c>
      <c r="Y744" s="403" t="s">
        <v>23024</v>
      </c>
    </row>
    <row r="745" spans="1:25">
      <c r="A745" s="363">
        <f t="shared" si="95"/>
        <v>744</v>
      </c>
      <c r="B745" s="363" t="str">
        <f t="shared" si="88"/>
        <v>44</v>
      </c>
      <c r="C745" s="405" t="str">
        <f t="shared" si="89"/>
        <v>第006864号</v>
      </c>
      <c r="D745" s="405" t="str">
        <f t="shared" si="90"/>
        <v>亀川設備工業（株）</v>
      </c>
      <c r="E745" s="405" t="str">
        <f t="shared" si="91"/>
        <v>代表取締役</v>
      </c>
      <c r="F745" s="405" t="str">
        <f t="shared" si="92"/>
        <v>河村　耕一</v>
      </c>
      <c r="G745" s="405" t="str">
        <f t="shared" si="93"/>
        <v>主たる営業所</v>
      </c>
      <c r="H745" s="405" t="str">
        <f t="shared" si="94"/>
        <v>別府市亀川東町１７－２０</v>
      </c>
      <c r="L745" s="403" t="s">
        <v>9193</v>
      </c>
      <c r="M745" s="403" t="s">
        <v>9194</v>
      </c>
      <c r="N745" s="403" t="s">
        <v>2790</v>
      </c>
      <c r="O745" s="403" t="s">
        <v>7084</v>
      </c>
      <c r="P745" s="403" t="s">
        <v>2791</v>
      </c>
      <c r="Q745" s="403" t="s">
        <v>7640</v>
      </c>
      <c r="R745" s="403" t="s">
        <v>19158</v>
      </c>
      <c r="S745" s="403" t="s">
        <v>15316</v>
      </c>
      <c r="T745" s="403" t="s">
        <v>15317</v>
      </c>
      <c r="U745" s="403"/>
      <c r="V745" s="403" t="s">
        <v>23024</v>
      </c>
      <c r="W745" s="403" t="s">
        <v>23024</v>
      </c>
      <c r="X745" s="403" t="s">
        <v>23024</v>
      </c>
      <c r="Y745" s="403" t="s">
        <v>23024</v>
      </c>
    </row>
    <row r="746" spans="1:25">
      <c r="A746" s="363">
        <f t="shared" si="95"/>
        <v>745</v>
      </c>
      <c r="B746" s="363" t="str">
        <f t="shared" si="88"/>
        <v>44</v>
      </c>
      <c r="C746" s="405" t="str">
        <f t="shared" si="89"/>
        <v>第006869号</v>
      </c>
      <c r="D746" s="405" t="str">
        <f t="shared" si="90"/>
        <v>（株）小俣電設工業</v>
      </c>
      <c r="E746" s="405" t="str">
        <f t="shared" si="91"/>
        <v>代表取締役</v>
      </c>
      <c r="F746" s="405" t="str">
        <f t="shared" si="92"/>
        <v>小俣　哲哉</v>
      </c>
      <c r="G746" s="405" t="str">
        <f t="shared" si="93"/>
        <v>主たる営業所</v>
      </c>
      <c r="H746" s="405" t="str">
        <f t="shared" si="94"/>
        <v>別府市堀田町２２－２４</v>
      </c>
      <c r="L746" s="403" t="s">
        <v>9195</v>
      </c>
      <c r="M746" s="403" t="s">
        <v>9196</v>
      </c>
      <c r="N746" s="403" t="s">
        <v>2792</v>
      </c>
      <c r="O746" s="403" t="s">
        <v>7084</v>
      </c>
      <c r="P746" s="403" t="s">
        <v>2793</v>
      </c>
      <c r="Q746" s="403" t="s">
        <v>8352</v>
      </c>
      <c r="R746" s="403" t="s">
        <v>19159</v>
      </c>
      <c r="S746" s="403" t="s">
        <v>15318</v>
      </c>
      <c r="T746" s="403" t="s">
        <v>15319</v>
      </c>
      <c r="U746" s="403"/>
      <c r="V746" s="403" t="s">
        <v>23024</v>
      </c>
      <c r="W746" s="403" t="s">
        <v>23024</v>
      </c>
      <c r="X746" s="403" t="s">
        <v>23024</v>
      </c>
      <c r="Y746" s="403" t="s">
        <v>23024</v>
      </c>
    </row>
    <row r="747" spans="1:25">
      <c r="A747" s="363">
        <f t="shared" si="95"/>
        <v>746</v>
      </c>
      <c r="B747" s="363" t="str">
        <f t="shared" si="88"/>
        <v>44</v>
      </c>
      <c r="C747" s="405" t="str">
        <f t="shared" si="89"/>
        <v>第006871号</v>
      </c>
      <c r="D747" s="405" t="str">
        <f t="shared" si="90"/>
        <v>（有）新栄設備</v>
      </c>
      <c r="E747" s="405" t="str">
        <f t="shared" si="91"/>
        <v>代表取締役</v>
      </c>
      <c r="F747" s="405" t="str">
        <f t="shared" si="92"/>
        <v>長野　孝博</v>
      </c>
      <c r="G747" s="405" t="str">
        <f t="shared" si="93"/>
        <v>主たる営業所</v>
      </c>
      <c r="H747" s="405" t="str">
        <f t="shared" si="94"/>
        <v>速見郡日出町藤原４３１１－１</v>
      </c>
      <c r="L747" s="403" t="s">
        <v>9197</v>
      </c>
      <c r="M747" s="403" t="s">
        <v>7522</v>
      </c>
      <c r="N747" s="403" t="s">
        <v>2794</v>
      </c>
      <c r="O747" s="403" t="s">
        <v>7084</v>
      </c>
      <c r="P747" s="403" t="s">
        <v>2795</v>
      </c>
      <c r="Q747" s="403" t="s">
        <v>7619</v>
      </c>
      <c r="R747" s="403" t="s">
        <v>19160</v>
      </c>
      <c r="S747" s="403" t="s">
        <v>15320</v>
      </c>
      <c r="T747" s="403" t="s">
        <v>15321</v>
      </c>
      <c r="U747" s="403"/>
      <c r="V747" s="403" t="s">
        <v>23024</v>
      </c>
      <c r="W747" s="403" t="s">
        <v>23024</v>
      </c>
      <c r="X747" s="403" t="s">
        <v>23024</v>
      </c>
      <c r="Y747" s="403" t="s">
        <v>23024</v>
      </c>
    </row>
    <row r="748" spans="1:25">
      <c r="A748" s="363">
        <f t="shared" si="95"/>
        <v>747</v>
      </c>
      <c r="B748" s="363" t="str">
        <f t="shared" si="88"/>
        <v>44</v>
      </c>
      <c r="C748" s="405" t="str">
        <f t="shared" si="89"/>
        <v>第006873号</v>
      </c>
      <c r="D748" s="405" t="str">
        <f t="shared" si="90"/>
        <v>斎藤土木（有）</v>
      </c>
      <c r="E748" s="405" t="str">
        <f t="shared" si="91"/>
        <v>代表取締役</v>
      </c>
      <c r="F748" s="405" t="str">
        <f t="shared" si="92"/>
        <v>斎藤　哲夫</v>
      </c>
      <c r="G748" s="405" t="str">
        <f t="shared" si="93"/>
        <v>主たる営業所</v>
      </c>
      <c r="H748" s="405" t="str">
        <f t="shared" si="94"/>
        <v>別府市上原町１３－３５</v>
      </c>
      <c r="L748" s="403" t="s">
        <v>9198</v>
      </c>
      <c r="M748" s="403" t="s">
        <v>9199</v>
      </c>
      <c r="N748" s="403" t="s">
        <v>2796</v>
      </c>
      <c r="O748" s="403" t="s">
        <v>7084</v>
      </c>
      <c r="P748" s="403" t="s">
        <v>2797</v>
      </c>
      <c r="Q748" s="403" t="s">
        <v>9200</v>
      </c>
      <c r="R748" s="403" t="s">
        <v>19161</v>
      </c>
      <c r="S748" s="403" t="s">
        <v>15322</v>
      </c>
      <c r="T748" s="403" t="s">
        <v>15323</v>
      </c>
      <c r="U748" s="403"/>
      <c r="V748" s="403" t="s">
        <v>23024</v>
      </c>
      <c r="W748" s="403" t="s">
        <v>23024</v>
      </c>
      <c r="X748" s="403" t="s">
        <v>23024</v>
      </c>
      <c r="Y748" s="403" t="s">
        <v>23024</v>
      </c>
    </row>
    <row r="749" spans="1:25">
      <c r="A749" s="363">
        <f t="shared" si="95"/>
        <v>748</v>
      </c>
      <c r="B749" s="363" t="str">
        <f t="shared" si="88"/>
        <v>44</v>
      </c>
      <c r="C749" s="405" t="str">
        <f t="shared" si="89"/>
        <v>第006887号</v>
      </c>
      <c r="D749" s="405" t="str">
        <f t="shared" si="90"/>
        <v>（有）加藤ボーリング工業</v>
      </c>
      <c r="E749" s="405" t="str">
        <f t="shared" si="91"/>
        <v>取締役</v>
      </c>
      <c r="F749" s="405" t="str">
        <f t="shared" si="92"/>
        <v>加藤　啓一</v>
      </c>
      <c r="G749" s="405" t="str">
        <f t="shared" si="93"/>
        <v>主たる営業所</v>
      </c>
      <c r="H749" s="405" t="str">
        <f t="shared" si="94"/>
        <v>別府市扇山６－１７－３６</v>
      </c>
      <c r="L749" s="403" t="s">
        <v>9201</v>
      </c>
      <c r="M749" s="403" t="s">
        <v>9202</v>
      </c>
      <c r="N749" s="403" t="s">
        <v>2798</v>
      </c>
      <c r="O749" s="403" t="s">
        <v>7085</v>
      </c>
      <c r="P749" s="403" t="s">
        <v>2799</v>
      </c>
      <c r="Q749" s="403" t="s">
        <v>9203</v>
      </c>
      <c r="R749" s="403" t="s">
        <v>19162</v>
      </c>
      <c r="S749" s="403" t="s">
        <v>15324</v>
      </c>
      <c r="T749" s="403" t="s">
        <v>15325</v>
      </c>
      <c r="U749" s="403"/>
      <c r="V749" s="403" t="s">
        <v>23024</v>
      </c>
      <c r="W749" s="403" t="s">
        <v>23024</v>
      </c>
      <c r="X749" s="403" t="s">
        <v>23024</v>
      </c>
      <c r="Y749" s="403" t="s">
        <v>23024</v>
      </c>
    </row>
    <row r="750" spans="1:25">
      <c r="A750" s="363">
        <f t="shared" si="95"/>
        <v>749</v>
      </c>
      <c r="B750" s="363" t="str">
        <f t="shared" si="88"/>
        <v>44</v>
      </c>
      <c r="C750" s="405" t="str">
        <f t="shared" si="89"/>
        <v>第006892号</v>
      </c>
      <c r="D750" s="405" t="str">
        <f t="shared" si="90"/>
        <v>（有）大塚組</v>
      </c>
      <c r="E750" s="405" t="str">
        <f t="shared" si="91"/>
        <v>代表取締役</v>
      </c>
      <c r="F750" s="405" t="str">
        <f t="shared" si="92"/>
        <v>大塚　貴佳</v>
      </c>
      <c r="G750" s="405" t="str">
        <f t="shared" si="93"/>
        <v>主たる営業所</v>
      </c>
      <c r="H750" s="405" t="str">
        <f t="shared" si="94"/>
        <v>速見郡日出町大字藤原４７０８－４８</v>
      </c>
      <c r="L750" s="403" t="s">
        <v>9204</v>
      </c>
      <c r="M750" s="403" t="s">
        <v>9205</v>
      </c>
      <c r="N750" s="403" t="s">
        <v>2800</v>
      </c>
      <c r="O750" s="403" t="s">
        <v>7084</v>
      </c>
      <c r="P750" s="403" t="s">
        <v>5241</v>
      </c>
      <c r="Q750" s="403" t="s">
        <v>7619</v>
      </c>
      <c r="R750" s="403" t="s">
        <v>19163</v>
      </c>
      <c r="S750" s="403" t="s">
        <v>15326</v>
      </c>
      <c r="T750" s="403" t="s">
        <v>15327</v>
      </c>
      <c r="U750" s="403"/>
      <c r="V750" s="403" t="s">
        <v>23024</v>
      </c>
      <c r="W750" s="403" t="s">
        <v>23024</v>
      </c>
      <c r="X750" s="403" t="s">
        <v>23024</v>
      </c>
      <c r="Y750" s="403" t="s">
        <v>23024</v>
      </c>
    </row>
    <row r="751" spans="1:25">
      <c r="A751" s="363">
        <f t="shared" si="95"/>
        <v>750</v>
      </c>
      <c r="B751" s="363" t="str">
        <f t="shared" si="88"/>
        <v>44</v>
      </c>
      <c r="C751" s="405" t="str">
        <f t="shared" si="89"/>
        <v>第006908号</v>
      </c>
      <c r="D751" s="405" t="str">
        <f t="shared" si="90"/>
        <v>（有）渡辺土木</v>
      </c>
      <c r="E751" s="405" t="str">
        <f t="shared" si="91"/>
        <v>代表取締役</v>
      </c>
      <c r="F751" s="405" t="str">
        <f t="shared" si="92"/>
        <v>矢野　武史</v>
      </c>
      <c r="G751" s="405" t="str">
        <f t="shared" si="93"/>
        <v>主たる営業所</v>
      </c>
      <c r="H751" s="405" t="str">
        <f t="shared" si="94"/>
        <v>速見郡日出町大字大神７０９７－５</v>
      </c>
      <c r="L751" s="403" t="s">
        <v>9206</v>
      </c>
      <c r="M751" s="403" t="s">
        <v>9207</v>
      </c>
      <c r="N751" s="403" t="s">
        <v>2801</v>
      </c>
      <c r="O751" s="403" t="s">
        <v>7084</v>
      </c>
      <c r="P751" s="403" t="s">
        <v>2802</v>
      </c>
      <c r="Q751" s="403" t="s">
        <v>8382</v>
      </c>
      <c r="R751" s="403" t="s">
        <v>19164</v>
      </c>
      <c r="S751" s="403" t="s">
        <v>15328</v>
      </c>
      <c r="T751" s="403" t="s">
        <v>15329</v>
      </c>
      <c r="U751" s="403"/>
      <c r="V751" s="403" t="s">
        <v>23024</v>
      </c>
      <c r="W751" s="403" t="s">
        <v>23024</v>
      </c>
      <c r="X751" s="403" t="s">
        <v>23024</v>
      </c>
      <c r="Y751" s="403" t="s">
        <v>23024</v>
      </c>
    </row>
    <row r="752" spans="1:25">
      <c r="A752" s="363">
        <f t="shared" si="95"/>
        <v>751</v>
      </c>
      <c r="B752" s="363" t="str">
        <f t="shared" si="88"/>
        <v>44</v>
      </c>
      <c r="C752" s="405" t="str">
        <f t="shared" si="89"/>
        <v>第006916号</v>
      </c>
      <c r="D752" s="405" t="str">
        <f t="shared" si="90"/>
        <v>平成建設（株）</v>
      </c>
      <c r="E752" s="405" t="str">
        <f t="shared" si="91"/>
        <v>代表取締役</v>
      </c>
      <c r="F752" s="405" t="str">
        <f t="shared" si="92"/>
        <v>小川　郁</v>
      </c>
      <c r="G752" s="405" t="str">
        <f t="shared" si="93"/>
        <v>主たる営業所</v>
      </c>
      <c r="H752" s="405" t="str">
        <f t="shared" si="94"/>
        <v>杵築市山香町大字内河野３０１２－２</v>
      </c>
      <c r="L752" s="403" t="s">
        <v>9208</v>
      </c>
      <c r="M752" s="403" t="s">
        <v>9209</v>
      </c>
      <c r="N752" s="403" t="s">
        <v>2803</v>
      </c>
      <c r="O752" s="403" t="s">
        <v>7084</v>
      </c>
      <c r="P752" s="403" t="s">
        <v>2804</v>
      </c>
      <c r="Q752" s="403" t="s">
        <v>9210</v>
      </c>
      <c r="R752" s="403" t="s">
        <v>19165</v>
      </c>
      <c r="S752" s="403" t="s">
        <v>15330</v>
      </c>
      <c r="T752" s="403" t="s">
        <v>15331</v>
      </c>
      <c r="U752" s="403"/>
      <c r="V752" s="403" t="s">
        <v>23024</v>
      </c>
      <c r="W752" s="403" t="s">
        <v>23024</v>
      </c>
      <c r="X752" s="403" t="s">
        <v>23024</v>
      </c>
      <c r="Y752" s="403" t="s">
        <v>23024</v>
      </c>
    </row>
    <row r="753" spans="1:25">
      <c r="A753" s="363">
        <f t="shared" si="95"/>
        <v>752</v>
      </c>
      <c r="B753" s="363" t="str">
        <f t="shared" si="88"/>
        <v>44</v>
      </c>
      <c r="C753" s="405" t="str">
        <f t="shared" si="89"/>
        <v>第006918号</v>
      </c>
      <c r="D753" s="405" t="str">
        <f t="shared" si="90"/>
        <v>（有）河野組</v>
      </c>
      <c r="E753" s="405" t="str">
        <f t="shared" si="91"/>
        <v>代表取締役</v>
      </c>
      <c r="F753" s="405" t="str">
        <f t="shared" si="92"/>
        <v>河野　三七年</v>
      </c>
      <c r="G753" s="405" t="str">
        <f t="shared" si="93"/>
        <v>主たる営業所</v>
      </c>
      <c r="H753" s="405" t="str">
        <f t="shared" si="94"/>
        <v>杵築市大字宮司２７４－１</v>
      </c>
      <c r="L753" s="403" t="s">
        <v>9211</v>
      </c>
      <c r="M753" s="403" t="s">
        <v>7556</v>
      </c>
      <c r="N753" s="403" t="s">
        <v>1732</v>
      </c>
      <c r="O753" s="403" t="s">
        <v>7084</v>
      </c>
      <c r="P753" s="403" t="s">
        <v>2805</v>
      </c>
      <c r="Q753" s="403" t="s">
        <v>9212</v>
      </c>
      <c r="R753" s="403" t="s">
        <v>19166</v>
      </c>
      <c r="S753" s="403" t="s">
        <v>15332</v>
      </c>
      <c r="T753" s="403" t="s">
        <v>15332</v>
      </c>
      <c r="U753" s="403"/>
      <c r="V753" s="403" t="s">
        <v>23024</v>
      </c>
      <c r="W753" s="403" t="s">
        <v>23024</v>
      </c>
      <c r="X753" s="403" t="s">
        <v>23024</v>
      </c>
      <c r="Y753" s="403" t="s">
        <v>23024</v>
      </c>
    </row>
    <row r="754" spans="1:25">
      <c r="A754" s="363">
        <f t="shared" si="95"/>
        <v>753</v>
      </c>
      <c r="B754" s="363" t="str">
        <f t="shared" si="88"/>
        <v>44</v>
      </c>
      <c r="C754" s="405" t="str">
        <f t="shared" si="89"/>
        <v>第006924号</v>
      </c>
      <c r="D754" s="405" t="str">
        <f t="shared" si="90"/>
        <v>大分瓦斯（株）</v>
      </c>
      <c r="E754" s="405" t="str">
        <f t="shared" si="91"/>
        <v>代表取締役</v>
      </c>
      <c r="F754" s="405" t="str">
        <f t="shared" si="92"/>
        <v>福島　知克</v>
      </c>
      <c r="G754" s="405" t="str">
        <f t="shared" si="93"/>
        <v>主たる営業所</v>
      </c>
      <c r="H754" s="405" t="str">
        <f t="shared" si="94"/>
        <v>別府市北的ケ浜町５－２５</v>
      </c>
      <c r="L754" s="403" t="s">
        <v>9213</v>
      </c>
      <c r="M754" s="403" t="s">
        <v>9214</v>
      </c>
      <c r="N754" s="403" t="s">
        <v>2806</v>
      </c>
      <c r="O754" s="403" t="s">
        <v>7084</v>
      </c>
      <c r="P754" s="403" t="s">
        <v>2807</v>
      </c>
      <c r="Q754" s="403" t="s">
        <v>9215</v>
      </c>
      <c r="R754" s="403" t="s">
        <v>19167</v>
      </c>
      <c r="S754" s="403" t="s">
        <v>15333</v>
      </c>
      <c r="T754" s="403" t="s">
        <v>15334</v>
      </c>
      <c r="U754" s="403"/>
      <c r="V754" s="403" t="s">
        <v>23024</v>
      </c>
      <c r="W754" s="403" t="s">
        <v>23024</v>
      </c>
      <c r="X754" s="403" t="s">
        <v>23024</v>
      </c>
      <c r="Y754" s="403" t="s">
        <v>23024</v>
      </c>
    </row>
    <row r="755" spans="1:25">
      <c r="A755" s="363">
        <f t="shared" si="95"/>
        <v>754</v>
      </c>
      <c r="B755" s="363" t="str">
        <f t="shared" si="88"/>
        <v>44</v>
      </c>
      <c r="C755" s="405" t="str">
        <f t="shared" si="89"/>
        <v>第006927号</v>
      </c>
      <c r="D755" s="405" t="str">
        <f t="shared" si="90"/>
        <v>（有）大東造園</v>
      </c>
      <c r="E755" s="405" t="str">
        <f t="shared" si="91"/>
        <v>取締役</v>
      </c>
      <c r="F755" s="405" t="str">
        <f t="shared" si="92"/>
        <v>大東　憲次郎</v>
      </c>
      <c r="G755" s="405" t="str">
        <f t="shared" si="93"/>
        <v>主たる営業所</v>
      </c>
      <c r="H755" s="405" t="str">
        <f t="shared" si="94"/>
        <v>別府市大字鶴見９０４－１</v>
      </c>
      <c r="L755" s="403" t="s">
        <v>9216</v>
      </c>
      <c r="M755" s="403" t="s">
        <v>9217</v>
      </c>
      <c r="N755" s="403" t="s">
        <v>2808</v>
      </c>
      <c r="O755" s="403" t="s">
        <v>7085</v>
      </c>
      <c r="P755" s="403" t="s">
        <v>2809</v>
      </c>
      <c r="Q755" s="403" t="s">
        <v>9218</v>
      </c>
      <c r="R755" s="403" t="s">
        <v>19168</v>
      </c>
      <c r="S755" s="403" t="s">
        <v>15335</v>
      </c>
      <c r="T755" s="403" t="s">
        <v>15336</v>
      </c>
      <c r="U755" s="403"/>
      <c r="V755" s="403" t="s">
        <v>23024</v>
      </c>
      <c r="W755" s="403" t="s">
        <v>23024</v>
      </c>
      <c r="X755" s="403" t="s">
        <v>23024</v>
      </c>
      <c r="Y755" s="403" t="s">
        <v>23024</v>
      </c>
    </row>
    <row r="756" spans="1:25">
      <c r="A756" s="363">
        <f t="shared" si="95"/>
        <v>755</v>
      </c>
      <c r="B756" s="363" t="str">
        <f t="shared" si="88"/>
        <v>44</v>
      </c>
      <c r="C756" s="405" t="str">
        <f t="shared" si="89"/>
        <v>第006928号</v>
      </c>
      <c r="D756" s="405" t="str">
        <f t="shared" si="90"/>
        <v>新星産業（株）</v>
      </c>
      <c r="E756" s="405" t="str">
        <f t="shared" si="91"/>
        <v>代表取締役</v>
      </c>
      <c r="F756" s="405" t="str">
        <f t="shared" si="92"/>
        <v>村上　直史</v>
      </c>
      <c r="G756" s="405" t="str">
        <f t="shared" si="93"/>
        <v>主たる営業所</v>
      </c>
      <c r="H756" s="405" t="str">
        <f t="shared" si="94"/>
        <v>別府市実相寺町３－１７</v>
      </c>
      <c r="L756" s="403" t="s">
        <v>9219</v>
      </c>
      <c r="M756" s="403" t="s">
        <v>9220</v>
      </c>
      <c r="N756" s="403" t="s">
        <v>2810</v>
      </c>
      <c r="O756" s="403" t="s">
        <v>7084</v>
      </c>
      <c r="P756" s="403" t="s">
        <v>19169</v>
      </c>
      <c r="Q756" s="403" t="s">
        <v>9221</v>
      </c>
      <c r="R756" s="403" t="s">
        <v>19170</v>
      </c>
      <c r="S756" s="403" t="s">
        <v>15337</v>
      </c>
      <c r="T756" s="403" t="s">
        <v>15338</v>
      </c>
      <c r="U756" s="403"/>
      <c r="V756" s="403" t="s">
        <v>23024</v>
      </c>
      <c r="W756" s="403" t="s">
        <v>23024</v>
      </c>
      <c r="X756" s="403" t="s">
        <v>23024</v>
      </c>
      <c r="Y756" s="403" t="s">
        <v>23024</v>
      </c>
    </row>
    <row r="757" spans="1:25">
      <c r="A757" s="363">
        <f t="shared" si="95"/>
        <v>756</v>
      </c>
      <c r="B757" s="363" t="str">
        <f t="shared" si="88"/>
        <v>44</v>
      </c>
      <c r="C757" s="405" t="str">
        <f t="shared" si="89"/>
        <v>第006930号</v>
      </c>
      <c r="D757" s="405" t="str">
        <f t="shared" si="90"/>
        <v>大神建設（有）</v>
      </c>
      <c r="E757" s="405" t="str">
        <f t="shared" si="91"/>
        <v>代表取締役</v>
      </c>
      <c r="F757" s="405" t="str">
        <f t="shared" si="92"/>
        <v>大神　康司</v>
      </c>
      <c r="G757" s="405" t="str">
        <f t="shared" si="93"/>
        <v>主たる営業所</v>
      </c>
      <c r="H757" s="405" t="str">
        <f t="shared" si="94"/>
        <v>杵築市大字本庄１３５７－１</v>
      </c>
      <c r="L757" s="404" t="s">
        <v>9222</v>
      </c>
      <c r="M757" s="404" t="s">
        <v>9223</v>
      </c>
      <c r="N757" s="404" t="s">
        <v>2811</v>
      </c>
      <c r="O757" s="404" t="s">
        <v>7084</v>
      </c>
      <c r="P757" s="404" t="s">
        <v>5242</v>
      </c>
      <c r="Q757" s="404" t="s">
        <v>9224</v>
      </c>
      <c r="R757" s="404" t="s">
        <v>19171</v>
      </c>
      <c r="S757" s="404" t="s">
        <v>15339</v>
      </c>
      <c r="T757" s="404" t="s">
        <v>15340</v>
      </c>
      <c r="U757" s="404"/>
      <c r="V757" s="404" t="s">
        <v>23024</v>
      </c>
      <c r="W757" s="404" t="s">
        <v>23024</v>
      </c>
      <c r="X757" s="404" t="s">
        <v>23024</v>
      </c>
      <c r="Y757" s="404" t="s">
        <v>23024</v>
      </c>
    </row>
    <row r="758" spans="1:25">
      <c r="A758" s="363">
        <f t="shared" si="95"/>
        <v>757</v>
      </c>
      <c r="B758" s="363" t="str">
        <f t="shared" si="88"/>
        <v>44</v>
      </c>
      <c r="C758" s="405" t="str">
        <f t="shared" si="89"/>
        <v>第006932号</v>
      </c>
      <c r="D758" s="405" t="str">
        <f t="shared" si="90"/>
        <v>（株）小松建設</v>
      </c>
      <c r="E758" s="405" t="str">
        <f t="shared" si="91"/>
        <v>代表取締役</v>
      </c>
      <c r="F758" s="405" t="str">
        <f t="shared" si="92"/>
        <v>小松　正二</v>
      </c>
      <c r="G758" s="405" t="str">
        <f t="shared" si="93"/>
        <v>主たる営業所</v>
      </c>
      <c r="H758" s="405" t="str">
        <f t="shared" si="94"/>
        <v>杵築市山香町大字野原１６００</v>
      </c>
      <c r="L758" s="402" t="s">
        <v>9225</v>
      </c>
      <c r="M758" s="402" t="s">
        <v>9226</v>
      </c>
      <c r="N758" s="402" t="s">
        <v>2812</v>
      </c>
      <c r="O758" s="402" t="s">
        <v>7084</v>
      </c>
      <c r="P758" s="402" t="s">
        <v>2813</v>
      </c>
      <c r="Q758" s="402" t="s">
        <v>8398</v>
      </c>
      <c r="R758" s="402" t="s">
        <v>5510</v>
      </c>
      <c r="S758" s="402" t="s">
        <v>15341</v>
      </c>
      <c r="T758" s="402" t="s">
        <v>15342</v>
      </c>
      <c r="U758" s="402"/>
      <c r="V758" s="402" t="s">
        <v>23024</v>
      </c>
      <c r="W758" s="402" t="s">
        <v>23024</v>
      </c>
      <c r="X758" s="402" t="s">
        <v>23024</v>
      </c>
      <c r="Y758" s="402" t="s">
        <v>23024</v>
      </c>
    </row>
    <row r="759" spans="1:25">
      <c r="A759" s="363">
        <f t="shared" si="95"/>
        <v>758</v>
      </c>
      <c r="B759" s="363" t="str">
        <f t="shared" si="88"/>
        <v>44</v>
      </c>
      <c r="C759" s="405" t="str">
        <f t="shared" si="89"/>
        <v>第006998号</v>
      </c>
      <c r="D759" s="405" t="str">
        <f t="shared" si="90"/>
        <v>（有）石川建設</v>
      </c>
      <c r="E759" s="405" t="str">
        <f t="shared" si="91"/>
        <v>代表取締役</v>
      </c>
      <c r="F759" s="405" t="str">
        <f t="shared" si="92"/>
        <v>石川　正洋</v>
      </c>
      <c r="G759" s="405" t="str">
        <f t="shared" si="93"/>
        <v>主たる営業所</v>
      </c>
      <c r="H759" s="405" t="str">
        <f t="shared" si="94"/>
        <v>杵築市山香町大字久木野尾３９１５－１</v>
      </c>
      <c r="L759" s="403" t="s">
        <v>9227</v>
      </c>
      <c r="M759" s="403" t="s">
        <v>9228</v>
      </c>
      <c r="N759" s="403" t="s">
        <v>2814</v>
      </c>
      <c r="O759" s="403" t="s">
        <v>7084</v>
      </c>
      <c r="P759" s="403" t="s">
        <v>2815</v>
      </c>
      <c r="Q759" s="403" t="s">
        <v>8385</v>
      </c>
      <c r="R759" s="403" t="s">
        <v>19172</v>
      </c>
      <c r="S759" s="403" t="s">
        <v>15343</v>
      </c>
      <c r="T759" s="403" t="s">
        <v>15344</v>
      </c>
      <c r="U759" s="403"/>
      <c r="V759" s="403" t="s">
        <v>23024</v>
      </c>
      <c r="W759" s="403" t="s">
        <v>23024</v>
      </c>
      <c r="X759" s="403" t="s">
        <v>23024</v>
      </c>
      <c r="Y759" s="403" t="s">
        <v>23024</v>
      </c>
    </row>
    <row r="760" spans="1:25">
      <c r="A760" s="363">
        <f t="shared" si="95"/>
        <v>759</v>
      </c>
      <c r="B760" s="363" t="str">
        <f t="shared" si="88"/>
        <v>44</v>
      </c>
      <c r="C760" s="405" t="str">
        <f t="shared" si="89"/>
        <v>第007001号</v>
      </c>
      <c r="D760" s="405" t="str">
        <f t="shared" si="90"/>
        <v>伊藤建設（株）</v>
      </c>
      <c r="E760" s="405" t="str">
        <f t="shared" si="91"/>
        <v>代表取締役</v>
      </c>
      <c r="F760" s="405" t="str">
        <f t="shared" si="92"/>
        <v>伊藤　博文</v>
      </c>
      <c r="G760" s="405" t="str">
        <f t="shared" si="93"/>
        <v>主たる営業所</v>
      </c>
      <c r="H760" s="405" t="str">
        <f t="shared" si="94"/>
        <v>中津市東本町３－７</v>
      </c>
      <c r="L760" s="403" t="s">
        <v>9229</v>
      </c>
      <c r="M760" s="403" t="s">
        <v>9230</v>
      </c>
      <c r="N760" s="403" t="s">
        <v>2816</v>
      </c>
      <c r="O760" s="403" t="s">
        <v>7084</v>
      </c>
      <c r="P760" s="403" t="s">
        <v>2817</v>
      </c>
      <c r="Q760" s="403" t="s">
        <v>9231</v>
      </c>
      <c r="R760" s="403" t="s">
        <v>19173</v>
      </c>
      <c r="S760" s="403" t="s">
        <v>15345</v>
      </c>
      <c r="T760" s="403" t="s">
        <v>15346</v>
      </c>
      <c r="U760" s="403"/>
      <c r="V760" s="403" t="s">
        <v>23024</v>
      </c>
      <c r="W760" s="403" t="s">
        <v>23024</v>
      </c>
      <c r="X760" s="403" t="s">
        <v>23024</v>
      </c>
      <c r="Y760" s="403" t="s">
        <v>23024</v>
      </c>
    </row>
    <row r="761" spans="1:25">
      <c r="A761" s="363">
        <f t="shared" si="95"/>
        <v>760</v>
      </c>
      <c r="B761" s="363" t="str">
        <f t="shared" si="88"/>
        <v>44</v>
      </c>
      <c r="C761" s="405" t="str">
        <f t="shared" si="89"/>
        <v>第007002号</v>
      </c>
      <c r="D761" s="405" t="str">
        <f t="shared" si="90"/>
        <v>（有）熊谷組</v>
      </c>
      <c r="E761" s="405" t="str">
        <f t="shared" si="91"/>
        <v>代表取締役</v>
      </c>
      <c r="F761" s="405" t="str">
        <f t="shared" si="92"/>
        <v>熊谷　正巳</v>
      </c>
      <c r="G761" s="405" t="str">
        <f t="shared" si="93"/>
        <v>主たる営業所</v>
      </c>
      <c r="H761" s="405" t="str">
        <f t="shared" si="94"/>
        <v>中津市山国町小屋川８５２</v>
      </c>
      <c r="L761" s="403" t="s">
        <v>9232</v>
      </c>
      <c r="M761" s="403" t="s">
        <v>9233</v>
      </c>
      <c r="N761" s="403" t="s">
        <v>2818</v>
      </c>
      <c r="O761" s="403" t="s">
        <v>7084</v>
      </c>
      <c r="P761" s="403" t="s">
        <v>2819</v>
      </c>
      <c r="Q761" s="403" t="s">
        <v>9234</v>
      </c>
      <c r="R761" s="403" t="s">
        <v>5511</v>
      </c>
      <c r="S761" s="403" t="s">
        <v>15347</v>
      </c>
      <c r="T761" s="403" t="s">
        <v>15348</v>
      </c>
      <c r="U761" s="403"/>
      <c r="V761" s="403" t="s">
        <v>23024</v>
      </c>
      <c r="W761" s="403" t="s">
        <v>23024</v>
      </c>
      <c r="X761" s="403" t="s">
        <v>23024</v>
      </c>
      <c r="Y761" s="403" t="s">
        <v>23024</v>
      </c>
    </row>
    <row r="762" spans="1:25">
      <c r="A762" s="363">
        <f t="shared" si="95"/>
        <v>761</v>
      </c>
      <c r="B762" s="363" t="str">
        <f t="shared" si="88"/>
        <v>44</v>
      </c>
      <c r="C762" s="405" t="str">
        <f t="shared" si="89"/>
        <v>第007003号</v>
      </c>
      <c r="D762" s="405" t="str">
        <f t="shared" si="90"/>
        <v>中一建設（有）</v>
      </c>
      <c r="E762" s="405" t="str">
        <f t="shared" si="91"/>
        <v>代表取締役</v>
      </c>
      <c r="F762" s="405" t="str">
        <f t="shared" si="92"/>
        <v>荒瀬　和俊</v>
      </c>
      <c r="G762" s="405" t="str">
        <f t="shared" si="93"/>
        <v>主たる営業所</v>
      </c>
      <c r="H762" s="405" t="str">
        <f t="shared" si="94"/>
        <v>中津市三光臼木４０２－２</v>
      </c>
      <c r="L762" s="403" t="s">
        <v>9235</v>
      </c>
      <c r="M762" s="403" t="s">
        <v>9236</v>
      </c>
      <c r="N762" s="403" t="s">
        <v>2820</v>
      </c>
      <c r="O762" s="403" t="s">
        <v>7084</v>
      </c>
      <c r="P762" s="403" t="s">
        <v>2821</v>
      </c>
      <c r="Q762" s="403" t="s">
        <v>9237</v>
      </c>
      <c r="R762" s="403" t="s">
        <v>19174</v>
      </c>
      <c r="S762" s="403" t="s">
        <v>15349</v>
      </c>
      <c r="T762" s="403" t="s">
        <v>15350</v>
      </c>
      <c r="U762" s="403"/>
      <c r="V762" s="403" t="s">
        <v>23024</v>
      </c>
      <c r="W762" s="403" t="s">
        <v>23024</v>
      </c>
      <c r="X762" s="403" t="s">
        <v>23024</v>
      </c>
      <c r="Y762" s="403" t="s">
        <v>23024</v>
      </c>
    </row>
    <row r="763" spans="1:25">
      <c r="A763" s="363">
        <f t="shared" si="95"/>
        <v>762</v>
      </c>
      <c r="B763" s="363" t="str">
        <f t="shared" si="88"/>
        <v>44</v>
      </c>
      <c r="C763" s="405" t="str">
        <f t="shared" si="89"/>
        <v>第007004号</v>
      </c>
      <c r="D763" s="405" t="str">
        <f t="shared" si="90"/>
        <v>村本重機興（有）</v>
      </c>
      <c r="E763" s="405" t="str">
        <f t="shared" si="91"/>
        <v>代表取締役</v>
      </c>
      <c r="F763" s="405" t="str">
        <f t="shared" si="92"/>
        <v>村本　茂</v>
      </c>
      <c r="G763" s="405" t="str">
        <f t="shared" si="93"/>
        <v>主たる営業所</v>
      </c>
      <c r="H763" s="405" t="str">
        <f t="shared" si="94"/>
        <v>中津市大字田尻２７４－１２</v>
      </c>
      <c r="L763" s="403" t="s">
        <v>9238</v>
      </c>
      <c r="M763" s="403" t="s">
        <v>9239</v>
      </c>
      <c r="N763" s="403" t="s">
        <v>2822</v>
      </c>
      <c r="O763" s="403" t="s">
        <v>7084</v>
      </c>
      <c r="P763" s="403" t="s">
        <v>2823</v>
      </c>
      <c r="Q763" s="403" t="s">
        <v>8108</v>
      </c>
      <c r="R763" s="403" t="s">
        <v>19175</v>
      </c>
      <c r="S763" s="403" t="s">
        <v>15351</v>
      </c>
      <c r="T763" s="403" t="s">
        <v>15352</v>
      </c>
      <c r="U763" s="403"/>
      <c r="V763" s="403" t="s">
        <v>23024</v>
      </c>
      <c r="W763" s="403" t="s">
        <v>23024</v>
      </c>
      <c r="X763" s="403" t="s">
        <v>23024</v>
      </c>
      <c r="Y763" s="403" t="s">
        <v>23024</v>
      </c>
    </row>
    <row r="764" spans="1:25">
      <c r="A764" s="363">
        <f t="shared" si="95"/>
        <v>763</v>
      </c>
      <c r="B764" s="363" t="str">
        <f t="shared" si="88"/>
        <v>44</v>
      </c>
      <c r="C764" s="405" t="str">
        <f t="shared" si="89"/>
        <v>第007012号</v>
      </c>
      <c r="D764" s="405" t="str">
        <f t="shared" si="90"/>
        <v>（株）日伸</v>
      </c>
      <c r="E764" s="405" t="str">
        <f t="shared" si="91"/>
        <v>代表取締役</v>
      </c>
      <c r="F764" s="405" t="str">
        <f t="shared" si="92"/>
        <v>金山　敬美</v>
      </c>
      <c r="G764" s="405" t="str">
        <f t="shared" si="93"/>
        <v>主たる営業所</v>
      </c>
      <c r="H764" s="405" t="str">
        <f t="shared" si="94"/>
        <v>中津市大字犬丸７３７－１</v>
      </c>
      <c r="L764" s="403" t="s">
        <v>9240</v>
      </c>
      <c r="M764" s="403" t="s">
        <v>9241</v>
      </c>
      <c r="N764" s="403" t="s">
        <v>2824</v>
      </c>
      <c r="O764" s="403" t="s">
        <v>7084</v>
      </c>
      <c r="P764" s="403" t="s">
        <v>2825</v>
      </c>
      <c r="Q764" s="403" t="s">
        <v>9242</v>
      </c>
      <c r="R764" s="403" t="s">
        <v>19176</v>
      </c>
      <c r="S764" s="403" t="s">
        <v>15353</v>
      </c>
      <c r="T764" s="403" t="s">
        <v>15354</v>
      </c>
      <c r="U764" s="403"/>
      <c r="V764" s="403" t="s">
        <v>23024</v>
      </c>
      <c r="W764" s="403" t="s">
        <v>23024</v>
      </c>
      <c r="X764" s="403" t="s">
        <v>23024</v>
      </c>
      <c r="Y764" s="403" t="s">
        <v>23024</v>
      </c>
    </row>
    <row r="765" spans="1:25">
      <c r="A765" s="363">
        <f t="shared" si="95"/>
        <v>764</v>
      </c>
      <c r="B765" s="363" t="str">
        <f t="shared" si="88"/>
        <v>44</v>
      </c>
      <c r="C765" s="405" t="str">
        <f t="shared" si="89"/>
        <v>第007034号</v>
      </c>
      <c r="D765" s="405" t="str">
        <f t="shared" si="90"/>
        <v>（株）豊進</v>
      </c>
      <c r="E765" s="405" t="str">
        <f t="shared" si="91"/>
        <v>代表取締役</v>
      </c>
      <c r="F765" s="405" t="str">
        <f t="shared" si="92"/>
        <v>高山　健児</v>
      </c>
      <c r="G765" s="405" t="str">
        <f t="shared" si="93"/>
        <v>主たる営業所</v>
      </c>
      <c r="H765" s="405" t="str">
        <f t="shared" si="94"/>
        <v>中津市山国町守実４１７－３</v>
      </c>
      <c r="L765" s="403" t="s">
        <v>9243</v>
      </c>
      <c r="M765" s="403" t="s">
        <v>9244</v>
      </c>
      <c r="N765" s="403" t="s">
        <v>2826</v>
      </c>
      <c r="O765" s="403" t="s">
        <v>7084</v>
      </c>
      <c r="P765" s="403" t="s">
        <v>2827</v>
      </c>
      <c r="Q765" s="403" t="s">
        <v>9245</v>
      </c>
      <c r="R765" s="403" t="s">
        <v>19177</v>
      </c>
      <c r="S765" s="403" t="s">
        <v>15355</v>
      </c>
      <c r="T765" s="403" t="s">
        <v>15356</v>
      </c>
      <c r="U765" s="403"/>
      <c r="V765" s="403" t="s">
        <v>23024</v>
      </c>
      <c r="W765" s="403" t="s">
        <v>23024</v>
      </c>
      <c r="X765" s="403" t="s">
        <v>23024</v>
      </c>
      <c r="Y765" s="403" t="s">
        <v>23024</v>
      </c>
    </row>
    <row r="766" spans="1:25">
      <c r="A766" s="363">
        <f t="shared" si="95"/>
        <v>765</v>
      </c>
      <c r="B766" s="363" t="str">
        <f t="shared" si="88"/>
        <v>44</v>
      </c>
      <c r="C766" s="405" t="str">
        <f t="shared" si="89"/>
        <v>第007063号</v>
      </c>
      <c r="D766" s="405" t="str">
        <f t="shared" si="90"/>
        <v>友松産業（有）</v>
      </c>
      <c r="E766" s="405" t="str">
        <f t="shared" si="91"/>
        <v>代表取締役</v>
      </c>
      <c r="F766" s="405" t="str">
        <f t="shared" si="92"/>
        <v>友松　豊彦</v>
      </c>
      <c r="G766" s="405" t="str">
        <f t="shared" si="93"/>
        <v>主たる営業所</v>
      </c>
      <c r="H766" s="405" t="str">
        <f t="shared" si="94"/>
        <v>中津市大字定留８１６－１</v>
      </c>
      <c r="L766" s="403" t="s">
        <v>9246</v>
      </c>
      <c r="M766" s="403" t="s">
        <v>9247</v>
      </c>
      <c r="N766" s="403" t="s">
        <v>2828</v>
      </c>
      <c r="O766" s="403" t="s">
        <v>7084</v>
      </c>
      <c r="P766" s="403" t="s">
        <v>2829</v>
      </c>
      <c r="Q766" s="403" t="s">
        <v>9248</v>
      </c>
      <c r="R766" s="403" t="s">
        <v>19178</v>
      </c>
      <c r="S766" s="403" t="s">
        <v>15357</v>
      </c>
      <c r="T766" s="403" t="s">
        <v>15358</v>
      </c>
      <c r="U766" s="403"/>
      <c r="V766" s="403" t="s">
        <v>23024</v>
      </c>
      <c r="W766" s="403" t="s">
        <v>23024</v>
      </c>
      <c r="X766" s="403" t="s">
        <v>23024</v>
      </c>
      <c r="Y766" s="403" t="s">
        <v>23024</v>
      </c>
    </row>
    <row r="767" spans="1:25">
      <c r="A767" s="363">
        <f t="shared" si="95"/>
        <v>766</v>
      </c>
      <c r="B767" s="363" t="str">
        <f t="shared" si="88"/>
        <v>44</v>
      </c>
      <c r="C767" s="405" t="str">
        <f t="shared" si="89"/>
        <v>第007064号</v>
      </c>
      <c r="D767" s="405" t="str">
        <f t="shared" si="90"/>
        <v>角産業（有）</v>
      </c>
      <c r="E767" s="405" t="str">
        <f t="shared" si="91"/>
        <v>代表取締役</v>
      </c>
      <c r="F767" s="405" t="str">
        <f t="shared" si="92"/>
        <v>尾上　理恵</v>
      </c>
      <c r="G767" s="405" t="str">
        <f t="shared" si="93"/>
        <v>主たる営業所</v>
      </c>
      <c r="H767" s="405" t="str">
        <f t="shared" si="94"/>
        <v>中津市大字大貞３６６－３グランドベルサス１０６</v>
      </c>
      <c r="L767" s="403" t="s">
        <v>9249</v>
      </c>
      <c r="M767" s="403" t="s">
        <v>9250</v>
      </c>
      <c r="N767" s="403" t="s">
        <v>2830</v>
      </c>
      <c r="O767" s="403" t="s">
        <v>7084</v>
      </c>
      <c r="P767" s="403" t="s">
        <v>5243</v>
      </c>
      <c r="Q767" s="403" t="s">
        <v>9475</v>
      </c>
      <c r="R767" s="403" t="s">
        <v>19179</v>
      </c>
      <c r="S767" s="403" t="s">
        <v>19180</v>
      </c>
      <c r="T767" s="403" t="s">
        <v>19181</v>
      </c>
      <c r="U767" s="403"/>
      <c r="V767" s="403" t="s">
        <v>23024</v>
      </c>
      <c r="W767" s="403" t="s">
        <v>23024</v>
      </c>
      <c r="X767" s="403" t="s">
        <v>23024</v>
      </c>
      <c r="Y767" s="403" t="s">
        <v>23024</v>
      </c>
    </row>
    <row r="768" spans="1:25">
      <c r="A768" s="363">
        <f t="shared" si="95"/>
        <v>767</v>
      </c>
      <c r="B768" s="363" t="str">
        <f t="shared" si="88"/>
        <v>44</v>
      </c>
      <c r="C768" s="405" t="str">
        <f t="shared" si="89"/>
        <v>第007077号</v>
      </c>
      <c r="D768" s="405" t="str">
        <f t="shared" si="90"/>
        <v>（有）平原土木</v>
      </c>
      <c r="E768" s="405" t="str">
        <f t="shared" si="91"/>
        <v>代表取締役</v>
      </c>
      <c r="F768" s="405" t="str">
        <f t="shared" si="92"/>
        <v>大土　恭広</v>
      </c>
      <c r="G768" s="405" t="str">
        <f t="shared" si="93"/>
        <v>主たる営業所</v>
      </c>
      <c r="H768" s="405" t="str">
        <f t="shared" si="94"/>
        <v>中津市本耶馬渓町跡田字中島１３－８</v>
      </c>
      <c r="L768" s="403" t="s">
        <v>9252</v>
      </c>
      <c r="M768" s="403" t="s">
        <v>9253</v>
      </c>
      <c r="N768" s="403" t="s">
        <v>2831</v>
      </c>
      <c r="O768" s="403" t="s">
        <v>7084</v>
      </c>
      <c r="P768" s="403" t="s">
        <v>2832</v>
      </c>
      <c r="Q768" s="403" t="s">
        <v>8900</v>
      </c>
      <c r="R768" s="403" t="s">
        <v>19182</v>
      </c>
      <c r="S768" s="403" t="s">
        <v>15359</v>
      </c>
      <c r="T768" s="403" t="s">
        <v>15360</v>
      </c>
      <c r="U768" s="403"/>
      <c r="V768" s="403" t="s">
        <v>23024</v>
      </c>
      <c r="W768" s="403" t="s">
        <v>23024</v>
      </c>
      <c r="X768" s="403" t="s">
        <v>23024</v>
      </c>
      <c r="Y768" s="403" t="s">
        <v>23024</v>
      </c>
    </row>
    <row r="769" spans="1:25">
      <c r="A769" s="363">
        <f t="shared" si="95"/>
        <v>768</v>
      </c>
      <c r="B769" s="363" t="str">
        <f t="shared" si="88"/>
        <v>44</v>
      </c>
      <c r="C769" s="405" t="str">
        <f t="shared" si="89"/>
        <v>第007078号</v>
      </c>
      <c r="D769" s="405" t="str">
        <f t="shared" si="90"/>
        <v>（株）東正路建設</v>
      </c>
      <c r="E769" s="405" t="str">
        <f t="shared" si="91"/>
        <v>代表取締役</v>
      </c>
      <c r="F769" s="405" t="str">
        <f t="shared" si="92"/>
        <v>東正路　茂</v>
      </c>
      <c r="G769" s="405" t="str">
        <f t="shared" si="93"/>
        <v>主たる営業所</v>
      </c>
      <c r="H769" s="405" t="str">
        <f t="shared" si="94"/>
        <v>中津市中殿町３－２７－３</v>
      </c>
      <c r="L769" s="403" t="s">
        <v>9254</v>
      </c>
      <c r="M769" s="403" t="s">
        <v>9255</v>
      </c>
      <c r="N769" s="403" t="s">
        <v>2833</v>
      </c>
      <c r="O769" s="403" t="s">
        <v>7084</v>
      </c>
      <c r="P769" s="403" t="s">
        <v>2834</v>
      </c>
      <c r="Q769" s="403" t="s">
        <v>9256</v>
      </c>
      <c r="R769" s="403" t="s">
        <v>19183</v>
      </c>
      <c r="S769" s="403" t="s">
        <v>15361</v>
      </c>
      <c r="T769" s="403" t="s">
        <v>15362</v>
      </c>
      <c r="U769" s="403"/>
      <c r="V769" s="403" t="s">
        <v>23024</v>
      </c>
      <c r="W769" s="403" t="s">
        <v>23024</v>
      </c>
      <c r="X769" s="403" t="s">
        <v>23024</v>
      </c>
      <c r="Y769" s="403" t="s">
        <v>23024</v>
      </c>
    </row>
    <row r="770" spans="1:25">
      <c r="A770" s="363">
        <f t="shared" si="95"/>
        <v>769</v>
      </c>
      <c r="B770" s="363" t="str">
        <f t="shared" ref="B770:B833" si="96">LEFT(L770,2)</f>
        <v>44</v>
      </c>
      <c r="C770" s="405" t="str">
        <f t="shared" ref="C770:C833" si="97">IF(B770="","","第"&amp;RIGHT(L770,6)&amp;"号")</f>
        <v>第007088号</v>
      </c>
      <c r="D770" s="405" t="str">
        <f t="shared" ref="D770:D833" si="98">N770</f>
        <v>二豊土建（株）</v>
      </c>
      <c r="E770" s="405" t="str">
        <f t="shared" ref="E770:E833" si="99">IF(V770="　",O770,"")</f>
        <v>代表取締役</v>
      </c>
      <c r="F770" s="405" t="str">
        <f t="shared" ref="F770:F833" si="100">IF(V770="　",P770,W770)</f>
        <v>恒藤　雅彦</v>
      </c>
      <c r="G770" s="405" t="str">
        <f t="shared" ref="G770:G833" si="101">IF(V770="　","主たる営業所",V770)</f>
        <v>主たる営業所</v>
      </c>
      <c r="H770" s="405" t="str">
        <f t="shared" ref="H770:H833" si="102">IF(V770="　",R770,Y770)</f>
        <v>中津市中殿町３－２４－１</v>
      </c>
      <c r="L770" s="403" t="s">
        <v>9257</v>
      </c>
      <c r="M770" s="403" t="s">
        <v>9258</v>
      </c>
      <c r="N770" s="403" t="s">
        <v>2835</v>
      </c>
      <c r="O770" s="403" t="s">
        <v>7084</v>
      </c>
      <c r="P770" s="403" t="s">
        <v>2836</v>
      </c>
      <c r="Q770" s="403" t="s">
        <v>9256</v>
      </c>
      <c r="R770" s="403" t="s">
        <v>19184</v>
      </c>
      <c r="S770" s="403" t="s">
        <v>15363</v>
      </c>
      <c r="T770" s="403" t="s">
        <v>15364</v>
      </c>
      <c r="U770" s="403"/>
      <c r="V770" s="403" t="s">
        <v>23024</v>
      </c>
      <c r="W770" s="403" t="s">
        <v>23024</v>
      </c>
      <c r="X770" s="403" t="s">
        <v>23024</v>
      </c>
      <c r="Y770" s="403" t="s">
        <v>23024</v>
      </c>
    </row>
    <row r="771" spans="1:25">
      <c r="A771" s="363">
        <f t="shared" ref="A771:A834" si="103">IF(B771="","",A770+1)</f>
        <v>770</v>
      </c>
      <c r="B771" s="363" t="str">
        <f t="shared" si="96"/>
        <v>44</v>
      </c>
      <c r="C771" s="405" t="str">
        <f t="shared" si="97"/>
        <v>第007092号</v>
      </c>
      <c r="D771" s="405" t="str">
        <f t="shared" si="98"/>
        <v>（有）中津川田塗装</v>
      </c>
      <c r="E771" s="405" t="str">
        <f t="shared" si="99"/>
        <v>代表取締役</v>
      </c>
      <c r="F771" s="405" t="str">
        <f t="shared" si="100"/>
        <v>川田　智幸</v>
      </c>
      <c r="G771" s="405" t="str">
        <f t="shared" si="101"/>
        <v>主たる営業所</v>
      </c>
      <c r="H771" s="405" t="str">
        <f t="shared" si="102"/>
        <v>中津市沖代町２－６－３４</v>
      </c>
      <c r="L771" s="403" t="s">
        <v>9259</v>
      </c>
      <c r="M771" s="403" t="s">
        <v>9260</v>
      </c>
      <c r="N771" s="403" t="s">
        <v>2837</v>
      </c>
      <c r="O771" s="403" t="s">
        <v>7084</v>
      </c>
      <c r="P771" s="403" t="s">
        <v>2838</v>
      </c>
      <c r="Q771" s="403" t="s">
        <v>7276</v>
      </c>
      <c r="R771" s="403" t="s">
        <v>19185</v>
      </c>
      <c r="S771" s="403" t="s">
        <v>15365</v>
      </c>
      <c r="T771" s="403" t="s">
        <v>15366</v>
      </c>
      <c r="U771" s="403"/>
      <c r="V771" s="403" t="s">
        <v>23024</v>
      </c>
      <c r="W771" s="403" t="s">
        <v>23024</v>
      </c>
      <c r="X771" s="403" t="s">
        <v>23024</v>
      </c>
      <c r="Y771" s="403" t="s">
        <v>23024</v>
      </c>
    </row>
    <row r="772" spans="1:25">
      <c r="A772" s="363">
        <f t="shared" si="103"/>
        <v>771</v>
      </c>
      <c r="B772" s="363" t="str">
        <f t="shared" si="96"/>
        <v>44</v>
      </c>
      <c r="C772" s="405" t="str">
        <f t="shared" si="97"/>
        <v>第007107号</v>
      </c>
      <c r="D772" s="405" t="str">
        <f t="shared" si="98"/>
        <v>（有）双美工務店</v>
      </c>
      <c r="E772" s="405" t="str">
        <f t="shared" si="99"/>
        <v>代表取締役</v>
      </c>
      <c r="F772" s="405" t="str">
        <f t="shared" si="100"/>
        <v>高倉　英治</v>
      </c>
      <c r="G772" s="405" t="str">
        <f t="shared" si="101"/>
        <v>主たる営業所</v>
      </c>
      <c r="H772" s="405" t="str">
        <f t="shared" si="102"/>
        <v>日田市大字西有田２６４－４</v>
      </c>
      <c r="L772" s="403" t="s">
        <v>9261</v>
      </c>
      <c r="M772" s="403" t="s">
        <v>9262</v>
      </c>
      <c r="N772" s="403" t="s">
        <v>2839</v>
      </c>
      <c r="O772" s="403" t="s">
        <v>7084</v>
      </c>
      <c r="P772" s="403" t="s">
        <v>2840</v>
      </c>
      <c r="Q772" s="403" t="s">
        <v>9263</v>
      </c>
      <c r="R772" s="403" t="s">
        <v>19186</v>
      </c>
      <c r="S772" s="403" t="s">
        <v>15367</v>
      </c>
      <c r="T772" s="403" t="s">
        <v>15367</v>
      </c>
      <c r="U772" s="403"/>
      <c r="V772" s="403" t="s">
        <v>23024</v>
      </c>
      <c r="W772" s="403" t="s">
        <v>23024</v>
      </c>
      <c r="X772" s="403" t="s">
        <v>23024</v>
      </c>
      <c r="Y772" s="403" t="s">
        <v>23024</v>
      </c>
    </row>
    <row r="773" spans="1:25">
      <c r="A773" s="363">
        <f t="shared" si="103"/>
        <v>772</v>
      </c>
      <c r="B773" s="363" t="str">
        <f t="shared" si="96"/>
        <v>44</v>
      </c>
      <c r="C773" s="405" t="str">
        <f t="shared" si="97"/>
        <v>第007116号</v>
      </c>
      <c r="D773" s="405" t="str">
        <f t="shared" si="98"/>
        <v>（株）梶原興業</v>
      </c>
      <c r="E773" s="405" t="str">
        <f t="shared" si="99"/>
        <v>代表取締役</v>
      </c>
      <c r="F773" s="405" t="str">
        <f t="shared" si="100"/>
        <v>梶原　健一</v>
      </c>
      <c r="G773" s="405" t="str">
        <f t="shared" si="101"/>
        <v>主たる営業所</v>
      </c>
      <c r="H773" s="405" t="str">
        <f t="shared" si="102"/>
        <v>日田市大字北豆田１２８４－１</v>
      </c>
      <c r="L773" s="403" t="s">
        <v>9264</v>
      </c>
      <c r="M773" s="403" t="s">
        <v>9265</v>
      </c>
      <c r="N773" s="403" t="s">
        <v>2841</v>
      </c>
      <c r="O773" s="403" t="s">
        <v>7084</v>
      </c>
      <c r="P773" s="403" t="s">
        <v>2842</v>
      </c>
      <c r="Q773" s="403" t="s">
        <v>8066</v>
      </c>
      <c r="R773" s="403" t="s">
        <v>19187</v>
      </c>
      <c r="S773" s="403" t="s">
        <v>15368</v>
      </c>
      <c r="T773" s="403" t="s">
        <v>15369</v>
      </c>
      <c r="U773" s="403"/>
      <c r="V773" s="403" t="s">
        <v>23024</v>
      </c>
      <c r="W773" s="403" t="s">
        <v>23024</v>
      </c>
      <c r="X773" s="403" t="s">
        <v>23024</v>
      </c>
      <c r="Y773" s="403" t="s">
        <v>23024</v>
      </c>
    </row>
    <row r="774" spans="1:25">
      <c r="A774" s="363">
        <f t="shared" si="103"/>
        <v>773</v>
      </c>
      <c r="B774" s="363" t="str">
        <f t="shared" si="96"/>
        <v>44</v>
      </c>
      <c r="C774" s="405" t="str">
        <f t="shared" si="97"/>
        <v>第007123号</v>
      </c>
      <c r="D774" s="405" t="str">
        <f t="shared" si="98"/>
        <v>（有）小林造園</v>
      </c>
      <c r="E774" s="405" t="str">
        <f t="shared" si="99"/>
        <v>代表取締役</v>
      </c>
      <c r="F774" s="405" t="str">
        <f t="shared" si="100"/>
        <v>小林　宏</v>
      </c>
      <c r="G774" s="405" t="str">
        <f t="shared" si="101"/>
        <v>主たる営業所</v>
      </c>
      <c r="H774" s="405" t="str">
        <f t="shared" si="102"/>
        <v>日田市大字渡里２７５－３</v>
      </c>
      <c r="L774" s="403" t="s">
        <v>9266</v>
      </c>
      <c r="M774" s="403" t="s">
        <v>9267</v>
      </c>
      <c r="N774" s="403" t="s">
        <v>2843</v>
      </c>
      <c r="O774" s="403" t="s">
        <v>7084</v>
      </c>
      <c r="P774" s="403" t="s">
        <v>2844</v>
      </c>
      <c r="Q774" s="403" t="s">
        <v>8035</v>
      </c>
      <c r="R774" s="403" t="s">
        <v>19188</v>
      </c>
      <c r="S774" s="403" t="s">
        <v>15370</v>
      </c>
      <c r="T774" s="403" t="s">
        <v>15370</v>
      </c>
      <c r="U774" s="403"/>
      <c r="V774" s="403" t="s">
        <v>23024</v>
      </c>
      <c r="W774" s="403" t="s">
        <v>23024</v>
      </c>
      <c r="X774" s="403" t="s">
        <v>23024</v>
      </c>
      <c r="Y774" s="403" t="s">
        <v>23024</v>
      </c>
    </row>
    <row r="775" spans="1:25">
      <c r="A775" s="363">
        <f t="shared" si="103"/>
        <v>774</v>
      </c>
      <c r="B775" s="363" t="str">
        <f t="shared" si="96"/>
        <v>44</v>
      </c>
      <c r="C775" s="405" t="str">
        <f t="shared" si="97"/>
        <v>第007129号</v>
      </c>
      <c r="D775" s="405" t="str">
        <f t="shared" si="98"/>
        <v>（有）三隈造園</v>
      </c>
      <c r="E775" s="405" t="str">
        <f t="shared" si="99"/>
        <v>代表取締役</v>
      </c>
      <c r="F775" s="405" t="str">
        <f t="shared" si="100"/>
        <v>河津　進</v>
      </c>
      <c r="G775" s="405" t="str">
        <f t="shared" si="101"/>
        <v>主たる営業所</v>
      </c>
      <c r="H775" s="405" t="str">
        <f t="shared" si="102"/>
        <v>日田市大字石井４９８</v>
      </c>
      <c r="L775" s="403" t="s">
        <v>9268</v>
      </c>
      <c r="M775" s="403" t="s">
        <v>9269</v>
      </c>
      <c r="N775" s="403" t="s">
        <v>2845</v>
      </c>
      <c r="O775" s="403" t="s">
        <v>7084</v>
      </c>
      <c r="P775" s="403" t="s">
        <v>2846</v>
      </c>
      <c r="Q775" s="403" t="s">
        <v>8573</v>
      </c>
      <c r="R775" s="403" t="s">
        <v>5512</v>
      </c>
      <c r="S775" s="403" t="s">
        <v>15371</v>
      </c>
      <c r="T775" s="403" t="s">
        <v>15372</v>
      </c>
      <c r="U775" s="403"/>
      <c r="V775" s="403" t="s">
        <v>23024</v>
      </c>
      <c r="W775" s="403" t="s">
        <v>23024</v>
      </c>
      <c r="X775" s="403" t="s">
        <v>23024</v>
      </c>
      <c r="Y775" s="403" t="s">
        <v>23024</v>
      </c>
    </row>
    <row r="776" spans="1:25">
      <c r="A776" s="363">
        <f t="shared" si="103"/>
        <v>775</v>
      </c>
      <c r="B776" s="363" t="str">
        <f t="shared" si="96"/>
        <v>44</v>
      </c>
      <c r="C776" s="405" t="str">
        <f t="shared" si="97"/>
        <v>第007138号</v>
      </c>
      <c r="D776" s="405" t="str">
        <f t="shared" si="98"/>
        <v>（有）宏栄建設</v>
      </c>
      <c r="E776" s="405" t="str">
        <f t="shared" si="99"/>
        <v>代表取締役</v>
      </c>
      <c r="F776" s="405" t="str">
        <f t="shared" si="100"/>
        <v>原田　樹</v>
      </c>
      <c r="G776" s="405" t="str">
        <f t="shared" si="101"/>
        <v>主たる営業所</v>
      </c>
      <c r="H776" s="405" t="str">
        <f t="shared" si="102"/>
        <v>日田市大字石井３８５－３</v>
      </c>
      <c r="L776" s="403" t="s">
        <v>9270</v>
      </c>
      <c r="M776" s="403" t="s">
        <v>8491</v>
      </c>
      <c r="N776" s="403" t="s">
        <v>2847</v>
      </c>
      <c r="O776" s="403" t="s">
        <v>7084</v>
      </c>
      <c r="P776" s="403" t="s">
        <v>5244</v>
      </c>
      <c r="Q776" s="403" t="s">
        <v>8573</v>
      </c>
      <c r="R776" s="403" t="s">
        <v>19189</v>
      </c>
      <c r="S776" s="403" t="s">
        <v>15373</v>
      </c>
      <c r="T776" s="403" t="s">
        <v>15374</v>
      </c>
      <c r="U776" s="403"/>
      <c r="V776" s="403" t="s">
        <v>23024</v>
      </c>
      <c r="W776" s="403" t="s">
        <v>23024</v>
      </c>
      <c r="X776" s="403" t="s">
        <v>23024</v>
      </c>
      <c r="Y776" s="403" t="s">
        <v>23024</v>
      </c>
    </row>
    <row r="777" spans="1:25">
      <c r="A777" s="363">
        <f t="shared" si="103"/>
        <v>776</v>
      </c>
      <c r="B777" s="363" t="str">
        <f t="shared" si="96"/>
        <v>44</v>
      </c>
      <c r="C777" s="405" t="str">
        <f t="shared" si="97"/>
        <v>第007145号</v>
      </c>
      <c r="D777" s="405" t="str">
        <f t="shared" si="98"/>
        <v>（有）有田興建</v>
      </c>
      <c r="E777" s="405" t="str">
        <f t="shared" si="99"/>
        <v>代表取締役</v>
      </c>
      <c r="F777" s="405" t="str">
        <f t="shared" si="100"/>
        <v>後藤　慎太郎</v>
      </c>
      <c r="G777" s="405" t="str">
        <f t="shared" si="101"/>
        <v>主たる営業所</v>
      </c>
      <c r="H777" s="405" t="str">
        <f t="shared" si="102"/>
        <v>日田市大字西有田２９３８</v>
      </c>
      <c r="L777" s="403" t="s">
        <v>9271</v>
      </c>
      <c r="M777" s="403" t="s">
        <v>9272</v>
      </c>
      <c r="N777" s="403" t="s">
        <v>2848</v>
      </c>
      <c r="O777" s="403" t="s">
        <v>7084</v>
      </c>
      <c r="P777" s="403" t="s">
        <v>2849</v>
      </c>
      <c r="Q777" s="403" t="s">
        <v>9273</v>
      </c>
      <c r="R777" s="403" t="s">
        <v>5513</v>
      </c>
      <c r="S777" s="403" t="s">
        <v>15375</v>
      </c>
      <c r="T777" s="403" t="s">
        <v>15376</v>
      </c>
      <c r="U777" s="403"/>
      <c r="V777" s="403" t="s">
        <v>23024</v>
      </c>
      <c r="W777" s="403" t="s">
        <v>23024</v>
      </c>
      <c r="X777" s="403" t="s">
        <v>23024</v>
      </c>
      <c r="Y777" s="403" t="s">
        <v>23024</v>
      </c>
    </row>
    <row r="778" spans="1:25">
      <c r="A778" s="363">
        <f t="shared" si="103"/>
        <v>777</v>
      </c>
      <c r="B778" s="363" t="str">
        <f t="shared" si="96"/>
        <v>44</v>
      </c>
      <c r="C778" s="405" t="str">
        <f t="shared" si="97"/>
        <v>第007148号</v>
      </c>
      <c r="D778" s="405" t="str">
        <f t="shared" si="98"/>
        <v>（有）大蔵重機</v>
      </c>
      <c r="E778" s="405" t="str">
        <f t="shared" si="99"/>
        <v>代表取締役</v>
      </c>
      <c r="F778" s="405" t="str">
        <f t="shared" si="100"/>
        <v>大蔵　康介</v>
      </c>
      <c r="G778" s="405" t="str">
        <f t="shared" si="101"/>
        <v>主たる営業所</v>
      </c>
      <c r="H778" s="405" t="str">
        <f t="shared" si="102"/>
        <v>日田市吹上町９－２３</v>
      </c>
      <c r="L778" s="403" t="s">
        <v>9274</v>
      </c>
      <c r="M778" s="403" t="s">
        <v>9275</v>
      </c>
      <c r="N778" s="403" t="s">
        <v>2850</v>
      </c>
      <c r="O778" s="403" t="s">
        <v>7084</v>
      </c>
      <c r="P778" s="403" t="s">
        <v>2851</v>
      </c>
      <c r="Q778" s="403" t="s">
        <v>9276</v>
      </c>
      <c r="R778" s="403" t="s">
        <v>19190</v>
      </c>
      <c r="S778" s="403" t="s">
        <v>15377</v>
      </c>
      <c r="T778" s="403" t="s">
        <v>15378</v>
      </c>
      <c r="U778" s="403"/>
      <c r="V778" s="403" t="s">
        <v>23024</v>
      </c>
      <c r="W778" s="403" t="s">
        <v>23024</v>
      </c>
      <c r="X778" s="403" t="s">
        <v>23024</v>
      </c>
      <c r="Y778" s="403" t="s">
        <v>23024</v>
      </c>
    </row>
    <row r="779" spans="1:25">
      <c r="A779" s="363">
        <f t="shared" si="103"/>
        <v>778</v>
      </c>
      <c r="B779" s="363" t="str">
        <f t="shared" si="96"/>
        <v>44</v>
      </c>
      <c r="C779" s="405" t="str">
        <f t="shared" si="97"/>
        <v>第007153号</v>
      </c>
      <c r="D779" s="405" t="str">
        <f t="shared" si="98"/>
        <v>（有）梅木土砂</v>
      </c>
      <c r="E779" s="405" t="str">
        <f t="shared" si="99"/>
        <v>代表取締役</v>
      </c>
      <c r="F779" s="405" t="str">
        <f t="shared" si="100"/>
        <v>梅木　駿</v>
      </c>
      <c r="G779" s="405" t="str">
        <f t="shared" si="101"/>
        <v>主たる営業所</v>
      </c>
      <c r="H779" s="405" t="str">
        <f t="shared" si="102"/>
        <v>日田市大字求来里８４６</v>
      </c>
      <c r="L779" s="403" t="s">
        <v>9277</v>
      </c>
      <c r="M779" s="403" t="s">
        <v>9278</v>
      </c>
      <c r="N779" s="403" t="s">
        <v>2852</v>
      </c>
      <c r="O779" s="403" t="s">
        <v>7084</v>
      </c>
      <c r="P779" s="403" t="s">
        <v>19191</v>
      </c>
      <c r="Q779" s="403" t="s">
        <v>8547</v>
      </c>
      <c r="R779" s="403" t="s">
        <v>5514</v>
      </c>
      <c r="S779" s="403" t="s">
        <v>15379</v>
      </c>
      <c r="T779" s="403" t="s">
        <v>15380</v>
      </c>
      <c r="U779" s="403"/>
      <c r="V779" s="403" t="s">
        <v>23024</v>
      </c>
      <c r="W779" s="403" t="s">
        <v>23024</v>
      </c>
      <c r="X779" s="403" t="s">
        <v>23024</v>
      </c>
      <c r="Y779" s="403" t="s">
        <v>23024</v>
      </c>
    </row>
    <row r="780" spans="1:25">
      <c r="A780" s="363">
        <f t="shared" si="103"/>
        <v>779</v>
      </c>
      <c r="B780" s="363" t="str">
        <f t="shared" si="96"/>
        <v>44</v>
      </c>
      <c r="C780" s="405" t="str">
        <f t="shared" si="97"/>
        <v>第007158号</v>
      </c>
      <c r="D780" s="405" t="str">
        <f t="shared" si="98"/>
        <v>（有）西日本古里造園</v>
      </c>
      <c r="E780" s="405" t="str">
        <f t="shared" si="99"/>
        <v>代表取締役</v>
      </c>
      <c r="F780" s="405" t="str">
        <f t="shared" si="100"/>
        <v>宮崎　洋利宏</v>
      </c>
      <c r="G780" s="405" t="str">
        <f t="shared" si="101"/>
        <v>主たる営業所</v>
      </c>
      <c r="H780" s="405" t="str">
        <f t="shared" si="102"/>
        <v>日田市大字山田７６４－１</v>
      </c>
      <c r="L780" s="403" t="s">
        <v>9279</v>
      </c>
      <c r="M780" s="403" t="s">
        <v>9280</v>
      </c>
      <c r="N780" s="403" t="s">
        <v>2853</v>
      </c>
      <c r="O780" s="403" t="s">
        <v>7084</v>
      </c>
      <c r="P780" s="403" t="s">
        <v>2854</v>
      </c>
      <c r="Q780" s="403" t="s">
        <v>9281</v>
      </c>
      <c r="R780" s="403" t="s">
        <v>19192</v>
      </c>
      <c r="S780" s="403" t="s">
        <v>15381</v>
      </c>
      <c r="T780" s="403" t="s">
        <v>15382</v>
      </c>
      <c r="U780" s="403"/>
      <c r="V780" s="403" t="s">
        <v>23024</v>
      </c>
      <c r="W780" s="403" t="s">
        <v>23024</v>
      </c>
      <c r="X780" s="403" t="s">
        <v>23024</v>
      </c>
      <c r="Y780" s="403" t="s">
        <v>23024</v>
      </c>
    </row>
    <row r="781" spans="1:25">
      <c r="A781" s="363">
        <f t="shared" si="103"/>
        <v>780</v>
      </c>
      <c r="B781" s="363" t="str">
        <f t="shared" si="96"/>
        <v>44</v>
      </c>
      <c r="C781" s="405" t="str">
        <f t="shared" si="97"/>
        <v>第007163号</v>
      </c>
      <c r="D781" s="405" t="str">
        <f t="shared" si="98"/>
        <v>（有）後藤建設</v>
      </c>
      <c r="E781" s="405" t="str">
        <f t="shared" si="99"/>
        <v>代表取締役</v>
      </c>
      <c r="F781" s="405" t="str">
        <f t="shared" si="100"/>
        <v>後藤　友次郎</v>
      </c>
      <c r="G781" s="405" t="str">
        <f t="shared" si="101"/>
        <v>主たる営業所</v>
      </c>
      <c r="H781" s="405" t="str">
        <f t="shared" si="102"/>
        <v>日田市大字西有田１２２３</v>
      </c>
      <c r="L781" s="403" t="s">
        <v>9282</v>
      </c>
      <c r="M781" s="403" t="s">
        <v>9102</v>
      </c>
      <c r="N781" s="403" t="s">
        <v>2717</v>
      </c>
      <c r="O781" s="403" t="s">
        <v>7084</v>
      </c>
      <c r="P781" s="403" t="s">
        <v>2855</v>
      </c>
      <c r="Q781" s="403" t="s">
        <v>9283</v>
      </c>
      <c r="R781" s="403" t="s">
        <v>5515</v>
      </c>
      <c r="S781" s="403" t="s">
        <v>15383</v>
      </c>
      <c r="T781" s="403" t="s">
        <v>15384</v>
      </c>
      <c r="U781" s="403"/>
      <c r="V781" s="403" t="s">
        <v>23024</v>
      </c>
      <c r="W781" s="403" t="s">
        <v>23024</v>
      </c>
      <c r="X781" s="403" t="s">
        <v>23024</v>
      </c>
      <c r="Y781" s="403" t="s">
        <v>23024</v>
      </c>
    </row>
    <row r="782" spans="1:25">
      <c r="A782" s="363">
        <f t="shared" si="103"/>
        <v>781</v>
      </c>
      <c r="B782" s="363" t="str">
        <f t="shared" si="96"/>
        <v>44</v>
      </c>
      <c r="C782" s="405" t="str">
        <f t="shared" si="97"/>
        <v>第007179号</v>
      </c>
      <c r="D782" s="405" t="str">
        <f t="shared" si="98"/>
        <v>トウブ建設（株）</v>
      </c>
      <c r="E782" s="405" t="str">
        <f t="shared" si="99"/>
        <v>代表取締役</v>
      </c>
      <c r="F782" s="405" t="str">
        <f t="shared" si="100"/>
        <v>藤武　幸夫</v>
      </c>
      <c r="G782" s="405" t="str">
        <f t="shared" si="101"/>
        <v>主たる営業所</v>
      </c>
      <c r="H782" s="405" t="str">
        <f t="shared" si="102"/>
        <v>日田市大字高瀬６４０－１</v>
      </c>
      <c r="L782" s="403" t="s">
        <v>9284</v>
      </c>
      <c r="M782" s="403" t="s">
        <v>9285</v>
      </c>
      <c r="N782" s="403" t="s">
        <v>2856</v>
      </c>
      <c r="O782" s="403" t="s">
        <v>7084</v>
      </c>
      <c r="P782" s="403" t="s">
        <v>2857</v>
      </c>
      <c r="Q782" s="403" t="s">
        <v>7342</v>
      </c>
      <c r="R782" s="403" t="s">
        <v>19193</v>
      </c>
      <c r="S782" s="403" t="s">
        <v>15385</v>
      </c>
      <c r="T782" s="403" t="s">
        <v>15386</v>
      </c>
      <c r="U782" s="403"/>
      <c r="V782" s="403" t="s">
        <v>23024</v>
      </c>
      <c r="W782" s="403" t="s">
        <v>23024</v>
      </c>
      <c r="X782" s="403" t="s">
        <v>23024</v>
      </c>
      <c r="Y782" s="403" t="s">
        <v>23024</v>
      </c>
    </row>
    <row r="783" spans="1:25">
      <c r="A783" s="363">
        <f t="shared" si="103"/>
        <v>782</v>
      </c>
      <c r="B783" s="363" t="str">
        <f t="shared" si="96"/>
        <v>44</v>
      </c>
      <c r="C783" s="405" t="str">
        <f t="shared" si="97"/>
        <v>第007181号</v>
      </c>
      <c r="D783" s="405" t="str">
        <f t="shared" si="98"/>
        <v>（株）エース電設</v>
      </c>
      <c r="E783" s="405" t="str">
        <f t="shared" si="99"/>
        <v>代表取締役</v>
      </c>
      <c r="F783" s="405" t="str">
        <f t="shared" si="100"/>
        <v>古川　克敏</v>
      </c>
      <c r="G783" s="405" t="str">
        <f t="shared" si="101"/>
        <v>主たる営業所</v>
      </c>
      <c r="H783" s="405" t="str">
        <f t="shared" si="102"/>
        <v>日田市亀山町４－１５</v>
      </c>
      <c r="L783" s="403" t="s">
        <v>9286</v>
      </c>
      <c r="M783" s="403" t="s">
        <v>9287</v>
      </c>
      <c r="N783" s="403" t="s">
        <v>2858</v>
      </c>
      <c r="O783" s="403" t="s">
        <v>7084</v>
      </c>
      <c r="P783" s="403" t="s">
        <v>2859</v>
      </c>
      <c r="Q783" s="403" t="s">
        <v>9288</v>
      </c>
      <c r="R783" s="403" t="s">
        <v>19194</v>
      </c>
      <c r="S783" s="403" t="s">
        <v>15387</v>
      </c>
      <c r="T783" s="403" t="s">
        <v>15388</v>
      </c>
      <c r="U783" s="403"/>
      <c r="V783" s="403" t="s">
        <v>23024</v>
      </c>
      <c r="W783" s="403" t="s">
        <v>23024</v>
      </c>
      <c r="X783" s="403" t="s">
        <v>23024</v>
      </c>
      <c r="Y783" s="403" t="s">
        <v>23024</v>
      </c>
    </row>
    <row r="784" spans="1:25">
      <c r="A784" s="363">
        <f t="shared" si="103"/>
        <v>783</v>
      </c>
      <c r="B784" s="363" t="str">
        <f t="shared" si="96"/>
        <v>44</v>
      </c>
      <c r="C784" s="405" t="str">
        <f t="shared" si="97"/>
        <v>第007190号</v>
      </c>
      <c r="D784" s="405" t="str">
        <f t="shared" si="98"/>
        <v>（株）川浪組</v>
      </c>
      <c r="E784" s="405" t="str">
        <f t="shared" si="99"/>
        <v>代表取締役社長</v>
      </c>
      <c r="F784" s="405" t="str">
        <f t="shared" si="100"/>
        <v>川浪　龍哉</v>
      </c>
      <c r="G784" s="405" t="str">
        <f t="shared" si="101"/>
        <v>主たる営業所</v>
      </c>
      <c r="H784" s="405" t="str">
        <f t="shared" si="102"/>
        <v>日田市大字友田３７２５</v>
      </c>
      <c r="L784" s="403" t="s">
        <v>9289</v>
      </c>
      <c r="M784" s="403" t="s">
        <v>9290</v>
      </c>
      <c r="N784" s="403" t="s">
        <v>2860</v>
      </c>
      <c r="O784" s="403" t="s">
        <v>7083</v>
      </c>
      <c r="P784" s="403" t="s">
        <v>2861</v>
      </c>
      <c r="Q784" s="403" t="s">
        <v>8059</v>
      </c>
      <c r="R784" s="403" t="s">
        <v>5516</v>
      </c>
      <c r="S784" s="403" t="s">
        <v>15389</v>
      </c>
      <c r="T784" s="403" t="s">
        <v>15390</v>
      </c>
      <c r="U784" s="403"/>
      <c r="V784" s="403" t="s">
        <v>23024</v>
      </c>
      <c r="W784" s="403" t="s">
        <v>23024</v>
      </c>
      <c r="X784" s="403" t="s">
        <v>23024</v>
      </c>
      <c r="Y784" s="403" t="s">
        <v>23024</v>
      </c>
    </row>
    <row r="785" spans="1:25">
      <c r="A785" s="363">
        <f t="shared" si="103"/>
        <v>784</v>
      </c>
      <c r="B785" s="363" t="str">
        <f t="shared" si="96"/>
        <v>44</v>
      </c>
      <c r="C785" s="405" t="str">
        <f t="shared" si="97"/>
        <v>第007196号</v>
      </c>
      <c r="D785" s="405" t="str">
        <f t="shared" si="98"/>
        <v>（有）溝田工務店</v>
      </c>
      <c r="E785" s="405" t="str">
        <f t="shared" si="99"/>
        <v>代表取締役</v>
      </c>
      <c r="F785" s="405" t="str">
        <f t="shared" si="100"/>
        <v>溝田　伸二</v>
      </c>
      <c r="G785" s="405" t="str">
        <f t="shared" si="101"/>
        <v>主たる営業所</v>
      </c>
      <c r="H785" s="405" t="str">
        <f t="shared" si="102"/>
        <v>日田市大山町西大山４３５３－２</v>
      </c>
      <c r="L785" s="403" t="s">
        <v>9291</v>
      </c>
      <c r="M785" s="403" t="s">
        <v>9292</v>
      </c>
      <c r="N785" s="403" t="s">
        <v>2862</v>
      </c>
      <c r="O785" s="403" t="s">
        <v>7084</v>
      </c>
      <c r="P785" s="403" t="s">
        <v>2863</v>
      </c>
      <c r="Q785" s="403" t="s">
        <v>8983</v>
      </c>
      <c r="R785" s="403" t="s">
        <v>19195</v>
      </c>
      <c r="S785" s="403" t="s">
        <v>15391</v>
      </c>
      <c r="T785" s="403" t="s">
        <v>15391</v>
      </c>
      <c r="U785" s="403"/>
      <c r="V785" s="403" t="s">
        <v>23024</v>
      </c>
      <c r="W785" s="403" t="s">
        <v>23024</v>
      </c>
      <c r="X785" s="403" t="s">
        <v>23024</v>
      </c>
      <c r="Y785" s="403" t="s">
        <v>23024</v>
      </c>
    </row>
    <row r="786" spans="1:25">
      <c r="A786" s="363">
        <f t="shared" si="103"/>
        <v>785</v>
      </c>
      <c r="B786" s="363" t="str">
        <f t="shared" si="96"/>
        <v>44</v>
      </c>
      <c r="C786" s="405" t="str">
        <f t="shared" si="97"/>
        <v>第007201号</v>
      </c>
      <c r="D786" s="405" t="str">
        <f t="shared" si="98"/>
        <v>（株）野中エンタプライズ</v>
      </c>
      <c r="E786" s="405" t="str">
        <f t="shared" si="99"/>
        <v>代表取締役</v>
      </c>
      <c r="F786" s="405" t="str">
        <f t="shared" si="100"/>
        <v>野中　昭良</v>
      </c>
      <c r="G786" s="405" t="str">
        <f t="shared" si="101"/>
        <v>主たる営業所</v>
      </c>
      <c r="H786" s="405" t="str">
        <f t="shared" si="102"/>
        <v>臼杵市大字板知屋１２５７</v>
      </c>
      <c r="L786" s="403" t="s">
        <v>9293</v>
      </c>
      <c r="M786" s="403" t="s">
        <v>9294</v>
      </c>
      <c r="N786" s="403" t="s">
        <v>2864</v>
      </c>
      <c r="O786" s="403" t="s">
        <v>7084</v>
      </c>
      <c r="P786" s="403" t="s">
        <v>2865</v>
      </c>
      <c r="Q786" s="403" t="s">
        <v>7744</v>
      </c>
      <c r="R786" s="403" t="s">
        <v>5476</v>
      </c>
      <c r="S786" s="403" t="s">
        <v>15392</v>
      </c>
      <c r="T786" s="403" t="s">
        <v>15393</v>
      </c>
      <c r="U786" s="403"/>
      <c r="V786" s="403" t="s">
        <v>23024</v>
      </c>
      <c r="W786" s="403" t="s">
        <v>23024</v>
      </c>
      <c r="X786" s="403" t="s">
        <v>23024</v>
      </c>
      <c r="Y786" s="403" t="s">
        <v>23024</v>
      </c>
    </row>
    <row r="787" spans="1:25">
      <c r="A787" s="363">
        <f t="shared" si="103"/>
        <v>786</v>
      </c>
      <c r="B787" s="363" t="str">
        <f t="shared" si="96"/>
        <v>44</v>
      </c>
      <c r="C787" s="405" t="str">
        <f t="shared" si="97"/>
        <v>第007203号</v>
      </c>
      <c r="D787" s="405" t="str">
        <f t="shared" si="98"/>
        <v>（株）臼杵環境センター</v>
      </c>
      <c r="E787" s="405" t="str">
        <f t="shared" si="99"/>
        <v>代表取締役</v>
      </c>
      <c r="F787" s="405" t="str">
        <f t="shared" si="100"/>
        <v>荻野　理規</v>
      </c>
      <c r="G787" s="405" t="str">
        <f t="shared" si="101"/>
        <v>主たる営業所</v>
      </c>
      <c r="H787" s="405" t="str">
        <f t="shared" si="102"/>
        <v>臼杵市大字臼杵字洲崎７２－１８１</v>
      </c>
      <c r="L787" s="403" t="s">
        <v>9295</v>
      </c>
      <c r="M787" s="403" t="s">
        <v>9296</v>
      </c>
      <c r="N787" s="403" t="s">
        <v>5199</v>
      </c>
      <c r="O787" s="403" t="s">
        <v>7084</v>
      </c>
      <c r="P787" s="403" t="s">
        <v>5245</v>
      </c>
      <c r="Q787" s="403" t="s">
        <v>7757</v>
      </c>
      <c r="R787" s="403" t="s">
        <v>19196</v>
      </c>
      <c r="S787" s="403" t="s">
        <v>15394</v>
      </c>
      <c r="T787" s="403" t="s">
        <v>15395</v>
      </c>
      <c r="U787" s="403"/>
      <c r="V787" s="403" t="s">
        <v>23024</v>
      </c>
      <c r="W787" s="403" t="s">
        <v>23024</v>
      </c>
      <c r="X787" s="403" t="s">
        <v>23024</v>
      </c>
      <c r="Y787" s="403" t="s">
        <v>23024</v>
      </c>
    </row>
    <row r="788" spans="1:25">
      <c r="A788" s="363">
        <f t="shared" si="103"/>
        <v>787</v>
      </c>
      <c r="B788" s="363" t="str">
        <f t="shared" si="96"/>
        <v>44</v>
      </c>
      <c r="C788" s="405" t="str">
        <f t="shared" si="97"/>
        <v>第007204号</v>
      </c>
      <c r="D788" s="405" t="str">
        <f t="shared" si="98"/>
        <v>現代建設（株）</v>
      </c>
      <c r="E788" s="405" t="str">
        <f t="shared" si="99"/>
        <v>代表取締役</v>
      </c>
      <c r="F788" s="405" t="str">
        <f t="shared" si="100"/>
        <v>板井　登喜雄</v>
      </c>
      <c r="G788" s="405" t="str">
        <f t="shared" si="101"/>
        <v>主たる営業所</v>
      </c>
      <c r="H788" s="405" t="str">
        <f t="shared" si="102"/>
        <v>臼杵市大字市浜字京泊り７０４－４</v>
      </c>
      <c r="L788" s="403" t="s">
        <v>9297</v>
      </c>
      <c r="M788" s="403" t="s">
        <v>9298</v>
      </c>
      <c r="N788" s="403" t="s">
        <v>2866</v>
      </c>
      <c r="O788" s="403" t="s">
        <v>7084</v>
      </c>
      <c r="P788" s="403" t="s">
        <v>2867</v>
      </c>
      <c r="Q788" s="403" t="s">
        <v>7741</v>
      </c>
      <c r="R788" s="403" t="s">
        <v>19197</v>
      </c>
      <c r="S788" s="403" t="s">
        <v>15396</v>
      </c>
      <c r="T788" s="403" t="s">
        <v>14252</v>
      </c>
      <c r="U788" s="403"/>
      <c r="V788" s="403" t="s">
        <v>23024</v>
      </c>
      <c r="W788" s="403" t="s">
        <v>23024</v>
      </c>
      <c r="X788" s="403" t="s">
        <v>23024</v>
      </c>
      <c r="Y788" s="403" t="s">
        <v>23024</v>
      </c>
    </row>
    <row r="789" spans="1:25">
      <c r="A789" s="363">
        <f t="shared" si="103"/>
        <v>788</v>
      </c>
      <c r="B789" s="363" t="str">
        <f t="shared" si="96"/>
        <v>44</v>
      </c>
      <c r="C789" s="405" t="str">
        <f t="shared" si="97"/>
        <v>第007213号</v>
      </c>
      <c r="D789" s="405" t="str">
        <f t="shared" si="98"/>
        <v>（有）高野電気</v>
      </c>
      <c r="E789" s="405" t="str">
        <f t="shared" si="99"/>
        <v>代表取締役</v>
      </c>
      <c r="F789" s="405" t="str">
        <f t="shared" si="100"/>
        <v>高野　晃</v>
      </c>
      <c r="G789" s="405" t="str">
        <f t="shared" si="101"/>
        <v>主たる営業所</v>
      </c>
      <c r="H789" s="405" t="str">
        <f t="shared" si="102"/>
        <v>臼杵市大字市浜１１３３－７</v>
      </c>
      <c r="L789" s="403" t="s">
        <v>9299</v>
      </c>
      <c r="M789" s="403" t="s">
        <v>9300</v>
      </c>
      <c r="N789" s="403" t="s">
        <v>2868</v>
      </c>
      <c r="O789" s="403" t="s">
        <v>7084</v>
      </c>
      <c r="P789" s="403" t="s">
        <v>2869</v>
      </c>
      <c r="Q789" s="403" t="s">
        <v>7741</v>
      </c>
      <c r="R789" s="403" t="s">
        <v>19198</v>
      </c>
      <c r="S789" s="403" t="s">
        <v>15397</v>
      </c>
      <c r="T789" s="403" t="s">
        <v>15398</v>
      </c>
      <c r="U789" s="403"/>
      <c r="V789" s="403" t="s">
        <v>23024</v>
      </c>
      <c r="W789" s="403" t="s">
        <v>23024</v>
      </c>
      <c r="X789" s="403" t="s">
        <v>23024</v>
      </c>
      <c r="Y789" s="403" t="s">
        <v>23024</v>
      </c>
    </row>
    <row r="790" spans="1:25">
      <c r="A790" s="363">
        <f t="shared" si="103"/>
        <v>789</v>
      </c>
      <c r="B790" s="363" t="str">
        <f t="shared" si="96"/>
        <v>44</v>
      </c>
      <c r="C790" s="405" t="str">
        <f t="shared" si="97"/>
        <v>第007249号</v>
      </c>
      <c r="D790" s="405" t="str">
        <f t="shared" si="98"/>
        <v>（有）川野組</v>
      </c>
      <c r="E790" s="405" t="str">
        <f t="shared" si="99"/>
        <v>代表取締役</v>
      </c>
      <c r="F790" s="405" t="str">
        <f t="shared" si="100"/>
        <v>安藤　正毅</v>
      </c>
      <c r="G790" s="405" t="str">
        <f t="shared" si="101"/>
        <v>主たる営業所</v>
      </c>
      <c r="H790" s="405" t="str">
        <f t="shared" si="102"/>
        <v>津久見市大字上青江３７４８－１</v>
      </c>
      <c r="L790" s="403" t="s">
        <v>9301</v>
      </c>
      <c r="M790" s="403" t="s">
        <v>7762</v>
      </c>
      <c r="N790" s="403" t="s">
        <v>1866</v>
      </c>
      <c r="O790" s="403" t="s">
        <v>7084</v>
      </c>
      <c r="P790" s="403" t="s">
        <v>2870</v>
      </c>
      <c r="Q790" s="403" t="s">
        <v>7771</v>
      </c>
      <c r="R790" s="403" t="s">
        <v>18720</v>
      </c>
      <c r="S790" s="403" t="s">
        <v>15399</v>
      </c>
      <c r="T790" s="403" t="s">
        <v>14272</v>
      </c>
      <c r="U790" s="403"/>
      <c r="V790" s="403" t="s">
        <v>23024</v>
      </c>
      <c r="W790" s="403" t="s">
        <v>23024</v>
      </c>
      <c r="X790" s="403" t="s">
        <v>23024</v>
      </c>
      <c r="Y790" s="403" t="s">
        <v>23024</v>
      </c>
    </row>
    <row r="791" spans="1:25">
      <c r="A791" s="363">
        <f t="shared" si="103"/>
        <v>790</v>
      </c>
      <c r="B791" s="363" t="str">
        <f t="shared" si="96"/>
        <v>44</v>
      </c>
      <c r="C791" s="405" t="str">
        <f t="shared" si="97"/>
        <v>第007251号</v>
      </c>
      <c r="D791" s="405" t="str">
        <f t="shared" si="98"/>
        <v>（有）奥久組</v>
      </c>
      <c r="E791" s="405" t="str">
        <f t="shared" si="99"/>
        <v>代表取締役</v>
      </c>
      <c r="F791" s="405" t="str">
        <f t="shared" si="100"/>
        <v>奥久　栄治</v>
      </c>
      <c r="G791" s="405" t="str">
        <f t="shared" si="101"/>
        <v>主たる営業所</v>
      </c>
      <c r="H791" s="405" t="str">
        <f t="shared" si="102"/>
        <v>中津市本耶馬渓町多志田４３０</v>
      </c>
      <c r="L791" s="403" t="s">
        <v>9302</v>
      </c>
      <c r="M791" s="403" t="s">
        <v>9303</v>
      </c>
      <c r="N791" s="403" t="s">
        <v>2871</v>
      </c>
      <c r="O791" s="403" t="s">
        <v>7084</v>
      </c>
      <c r="P791" s="403" t="s">
        <v>2872</v>
      </c>
      <c r="Q791" s="403" t="s">
        <v>9304</v>
      </c>
      <c r="R791" s="403" t="s">
        <v>5517</v>
      </c>
      <c r="S791" s="403" t="s">
        <v>15400</v>
      </c>
      <c r="T791" s="403" t="s">
        <v>15401</v>
      </c>
      <c r="U791" s="403"/>
      <c r="V791" s="403" t="s">
        <v>23024</v>
      </c>
      <c r="W791" s="403" t="s">
        <v>23024</v>
      </c>
      <c r="X791" s="403" t="s">
        <v>23024</v>
      </c>
      <c r="Y791" s="403" t="s">
        <v>23024</v>
      </c>
    </row>
    <row r="792" spans="1:25">
      <c r="A792" s="363">
        <f t="shared" si="103"/>
        <v>791</v>
      </c>
      <c r="B792" s="363" t="str">
        <f t="shared" si="96"/>
        <v>44</v>
      </c>
      <c r="C792" s="405" t="str">
        <f t="shared" si="97"/>
        <v>第007254号</v>
      </c>
      <c r="D792" s="405" t="str">
        <f t="shared" si="98"/>
        <v>（有）尾形組</v>
      </c>
      <c r="E792" s="405" t="str">
        <f t="shared" si="99"/>
        <v>代表取締役</v>
      </c>
      <c r="F792" s="405" t="str">
        <f t="shared" si="100"/>
        <v>尾形　年勝</v>
      </c>
      <c r="G792" s="405" t="str">
        <f t="shared" si="101"/>
        <v>主たる営業所</v>
      </c>
      <c r="H792" s="405" t="str">
        <f t="shared" si="102"/>
        <v>中津市耶馬溪町大字大野１２５１</v>
      </c>
      <c r="L792" s="403" t="s">
        <v>9305</v>
      </c>
      <c r="M792" s="403" t="s">
        <v>9306</v>
      </c>
      <c r="N792" s="403" t="s">
        <v>2873</v>
      </c>
      <c r="O792" s="403" t="s">
        <v>7084</v>
      </c>
      <c r="P792" s="403" t="s">
        <v>2874</v>
      </c>
      <c r="Q792" s="403" t="s">
        <v>9307</v>
      </c>
      <c r="R792" s="403" t="s">
        <v>5518</v>
      </c>
      <c r="S792" s="403" t="s">
        <v>15402</v>
      </c>
      <c r="T792" s="403" t="s">
        <v>15403</v>
      </c>
      <c r="U792" s="403"/>
      <c r="V792" s="403" t="s">
        <v>23024</v>
      </c>
      <c r="W792" s="403" t="s">
        <v>23024</v>
      </c>
      <c r="X792" s="403" t="s">
        <v>23024</v>
      </c>
      <c r="Y792" s="403" t="s">
        <v>23024</v>
      </c>
    </row>
    <row r="793" spans="1:25">
      <c r="A793" s="363">
        <f t="shared" si="103"/>
        <v>792</v>
      </c>
      <c r="B793" s="363" t="str">
        <f t="shared" si="96"/>
        <v>44</v>
      </c>
      <c r="C793" s="405" t="str">
        <f t="shared" si="97"/>
        <v>第007259号</v>
      </c>
      <c r="D793" s="405" t="str">
        <f t="shared" si="98"/>
        <v>（株）つねひろ</v>
      </c>
      <c r="E793" s="405" t="str">
        <f t="shared" si="99"/>
        <v>代表取締役</v>
      </c>
      <c r="F793" s="405" t="str">
        <f t="shared" si="100"/>
        <v>恒廣　倫光</v>
      </c>
      <c r="G793" s="405" t="str">
        <f t="shared" si="101"/>
        <v>主たる営業所</v>
      </c>
      <c r="H793" s="405" t="str">
        <f t="shared" si="102"/>
        <v>中津市大字永添３４６－６</v>
      </c>
      <c r="L793" s="403" t="s">
        <v>9308</v>
      </c>
      <c r="M793" s="403" t="s">
        <v>9309</v>
      </c>
      <c r="N793" s="403" t="s">
        <v>2875</v>
      </c>
      <c r="O793" s="403" t="s">
        <v>7084</v>
      </c>
      <c r="P793" s="403" t="s">
        <v>2876</v>
      </c>
      <c r="Q793" s="403" t="s">
        <v>8111</v>
      </c>
      <c r="R793" s="403" t="s">
        <v>19199</v>
      </c>
      <c r="S793" s="403" t="s">
        <v>15404</v>
      </c>
      <c r="T793" s="403" t="s">
        <v>15405</v>
      </c>
      <c r="U793" s="403"/>
      <c r="V793" s="403" t="s">
        <v>23024</v>
      </c>
      <c r="W793" s="403" t="s">
        <v>23024</v>
      </c>
      <c r="X793" s="403" t="s">
        <v>23024</v>
      </c>
      <c r="Y793" s="403" t="s">
        <v>23024</v>
      </c>
    </row>
    <row r="794" spans="1:25">
      <c r="A794" s="363">
        <f t="shared" si="103"/>
        <v>793</v>
      </c>
      <c r="B794" s="363" t="str">
        <f t="shared" si="96"/>
        <v>44</v>
      </c>
      <c r="C794" s="405" t="str">
        <f t="shared" si="97"/>
        <v>第007261号</v>
      </c>
      <c r="D794" s="405" t="str">
        <f t="shared" si="98"/>
        <v>（株）沖代建設工業</v>
      </c>
      <c r="E794" s="405" t="str">
        <f t="shared" si="99"/>
        <v>代表取締役</v>
      </c>
      <c r="F794" s="405" t="str">
        <f t="shared" si="100"/>
        <v>山崎　賢太郎</v>
      </c>
      <c r="G794" s="405" t="str">
        <f t="shared" si="101"/>
        <v>主たる営業所</v>
      </c>
      <c r="H794" s="405" t="str">
        <f t="shared" si="102"/>
        <v>中津市大字犬丸８４６－３</v>
      </c>
      <c r="L794" s="403" t="s">
        <v>9310</v>
      </c>
      <c r="M794" s="403" t="s">
        <v>9311</v>
      </c>
      <c r="N794" s="403" t="s">
        <v>2877</v>
      </c>
      <c r="O794" s="403" t="s">
        <v>7084</v>
      </c>
      <c r="P794" s="403" t="s">
        <v>5308</v>
      </c>
      <c r="Q794" s="403" t="s">
        <v>9242</v>
      </c>
      <c r="R794" s="403" t="s">
        <v>19200</v>
      </c>
      <c r="S794" s="403" t="s">
        <v>15406</v>
      </c>
      <c r="T794" s="403" t="s">
        <v>15407</v>
      </c>
      <c r="U794" s="403"/>
      <c r="V794" s="403" t="s">
        <v>23024</v>
      </c>
      <c r="W794" s="403" t="s">
        <v>23024</v>
      </c>
      <c r="X794" s="403" t="s">
        <v>23024</v>
      </c>
      <c r="Y794" s="403" t="s">
        <v>23024</v>
      </c>
    </row>
    <row r="795" spans="1:25">
      <c r="A795" s="363">
        <f t="shared" si="103"/>
        <v>794</v>
      </c>
      <c r="B795" s="363" t="str">
        <f t="shared" si="96"/>
        <v>44</v>
      </c>
      <c r="C795" s="405" t="str">
        <f t="shared" si="97"/>
        <v>第007269号</v>
      </c>
      <c r="D795" s="405" t="str">
        <f t="shared" si="98"/>
        <v>（有）三光建設</v>
      </c>
      <c r="E795" s="405" t="str">
        <f t="shared" si="99"/>
        <v>代表取締役</v>
      </c>
      <c r="F795" s="405" t="str">
        <f t="shared" si="100"/>
        <v>森山　男一</v>
      </c>
      <c r="G795" s="405" t="str">
        <f t="shared" si="101"/>
        <v>主たる営業所</v>
      </c>
      <c r="H795" s="405" t="str">
        <f t="shared" si="102"/>
        <v>中津市三光原口６５５－１４</v>
      </c>
      <c r="L795" s="403" t="s">
        <v>9312</v>
      </c>
      <c r="M795" s="403" t="s">
        <v>9313</v>
      </c>
      <c r="N795" s="403" t="s">
        <v>2878</v>
      </c>
      <c r="O795" s="403" t="s">
        <v>7084</v>
      </c>
      <c r="P795" s="403" t="s">
        <v>2879</v>
      </c>
      <c r="Q795" s="403" t="s">
        <v>9314</v>
      </c>
      <c r="R795" s="403" t="s">
        <v>19201</v>
      </c>
      <c r="S795" s="403" t="s">
        <v>15408</v>
      </c>
      <c r="T795" s="403" t="s">
        <v>15409</v>
      </c>
      <c r="U795" s="403"/>
      <c r="V795" s="403" t="s">
        <v>23024</v>
      </c>
      <c r="W795" s="403" t="s">
        <v>23024</v>
      </c>
      <c r="X795" s="403" t="s">
        <v>23024</v>
      </c>
      <c r="Y795" s="403" t="s">
        <v>23024</v>
      </c>
    </row>
    <row r="796" spans="1:25">
      <c r="A796" s="363">
        <f t="shared" si="103"/>
        <v>795</v>
      </c>
      <c r="B796" s="363" t="str">
        <f t="shared" si="96"/>
        <v>44</v>
      </c>
      <c r="C796" s="405" t="str">
        <f t="shared" si="97"/>
        <v>第007276号</v>
      </c>
      <c r="D796" s="405" t="str">
        <f t="shared" si="98"/>
        <v>東九工業（株）</v>
      </c>
      <c r="E796" s="405" t="str">
        <f t="shared" si="99"/>
        <v>代表取締役</v>
      </c>
      <c r="F796" s="405" t="str">
        <f t="shared" si="100"/>
        <v>金城　洋平</v>
      </c>
      <c r="G796" s="405" t="str">
        <f t="shared" si="101"/>
        <v>主たる営業所</v>
      </c>
      <c r="H796" s="405" t="str">
        <f t="shared" si="102"/>
        <v>中津市大字永添９８５－１６７</v>
      </c>
      <c r="L796" s="403" t="s">
        <v>9315</v>
      </c>
      <c r="M796" s="403" t="s">
        <v>9316</v>
      </c>
      <c r="N796" s="403" t="s">
        <v>2880</v>
      </c>
      <c r="O796" s="403" t="s">
        <v>7084</v>
      </c>
      <c r="P796" s="403" t="s">
        <v>2881</v>
      </c>
      <c r="Q796" s="403" t="s">
        <v>8111</v>
      </c>
      <c r="R796" s="403" t="s">
        <v>19202</v>
      </c>
      <c r="S796" s="403" t="s">
        <v>15410</v>
      </c>
      <c r="T796" s="403" t="s">
        <v>15411</v>
      </c>
      <c r="U796" s="403"/>
      <c r="V796" s="403" t="s">
        <v>23024</v>
      </c>
      <c r="W796" s="403" t="s">
        <v>23024</v>
      </c>
      <c r="X796" s="403" t="s">
        <v>23024</v>
      </c>
      <c r="Y796" s="403" t="s">
        <v>23024</v>
      </c>
    </row>
    <row r="797" spans="1:25">
      <c r="A797" s="363">
        <f t="shared" si="103"/>
        <v>796</v>
      </c>
      <c r="B797" s="363" t="str">
        <f t="shared" si="96"/>
        <v>44</v>
      </c>
      <c r="C797" s="405" t="str">
        <f t="shared" si="97"/>
        <v>第007326号</v>
      </c>
      <c r="D797" s="405" t="str">
        <f t="shared" si="98"/>
        <v>（有）麻美土木</v>
      </c>
      <c r="E797" s="405" t="str">
        <f t="shared" si="99"/>
        <v>代表取締役</v>
      </c>
      <c r="F797" s="405" t="str">
        <f t="shared" si="100"/>
        <v>麻生　冬美</v>
      </c>
      <c r="G797" s="405" t="str">
        <f t="shared" si="101"/>
        <v>主たる営業所</v>
      </c>
      <c r="H797" s="405" t="str">
        <f t="shared" si="102"/>
        <v>大分市大字中尾６６１－１</v>
      </c>
      <c r="L797" s="403" t="s">
        <v>9317</v>
      </c>
      <c r="M797" s="403" t="s">
        <v>9318</v>
      </c>
      <c r="N797" s="403" t="s">
        <v>2882</v>
      </c>
      <c r="O797" s="403" t="s">
        <v>7084</v>
      </c>
      <c r="P797" s="403" t="s">
        <v>2883</v>
      </c>
      <c r="Q797" s="403" t="s">
        <v>8329</v>
      </c>
      <c r="R797" s="403" t="s">
        <v>19203</v>
      </c>
      <c r="S797" s="403" t="s">
        <v>15412</v>
      </c>
      <c r="T797" s="403" t="s">
        <v>15413</v>
      </c>
      <c r="U797" s="403"/>
      <c r="V797" s="403" t="s">
        <v>23024</v>
      </c>
      <c r="W797" s="403" t="s">
        <v>23024</v>
      </c>
      <c r="X797" s="403" t="s">
        <v>23024</v>
      </c>
      <c r="Y797" s="403" t="s">
        <v>23024</v>
      </c>
    </row>
    <row r="798" spans="1:25">
      <c r="A798" s="363">
        <f t="shared" si="103"/>
        <v>797</v>
      </c>
      <c r="B798" s="363" t="str">
        <f t="shared" si="96"/>
        <v>44</v>
      </c>
      <c r="C798" s="405" t="str">
        <f t="shared" si="97"/>
        <v>第007327号</v>
      </c>
      <c r="D798" s="405" t="str">
        <f t="shared" si="98"/>
        <v>幸産業（有）</v>
      </c>
      <c r="E798" s="405" t="str">
        <f t="shared" si="99"/>
        <v>代表取締役</v>
      </c>
      <c r="F798" s="405" t="str">
        <f t="shared" si="100"/>
        <v>幸　鉄也</v>
      </c>
      <c r="G798" s="405" t="str">
        <f t="shared" si="101"/>
        <v>主たる営業所</v>
      </c>
      <c r="H798" s="405" t="str">
        <f t="shared" si="102"/>
        <v>大分市大字森１２４０－２</v>
      </c>
      <c r="L798" s="403" t="s">
        <v>9319</v>
      </c>
      <c r="M798" s="403" t="s">
        <v>9320</v>
      </c>
      <c r="N798" s="403" t="s">
        <v>2884</v>
      </c>
      <c r="O798" s="403" t="s">
        <v>7084</v>
      </c>
      <c r="P798" s="403" t="s">
        <v>2885</v>
      </c>
      <c r="Q798" s="403" t="s">
        <v>8725</v>
      </c>
      <c r="R798" s="403" t="s">
        <v>19204</v>
      </c>
      <c r="S798" s="403" t="s">
        <v>15414</v>
      </c>
      <c r="T798" s="403" t="s">
        <v>15415</v>
      </c>
      <c r="U798" s="403"/>
      <c r="V798" s="403" t="s">
        <v>23024</v>
      </c>
      <c r="W798" s="403" t="s">
        <v>23024</v>
      </c>
      <c r="X798" s="403" t="s">
        <v>23024</v>
      </c>
      <c r="Y798" s="403" t="s">
        <v>23024</v>
      </c>
    </row>
    <row r="799" spans="1:25">
      <c r="A799" s="363">
        <f t="shared" si="103"/>
        <v>798</v>
      </c>
      <c r="B799" s="363" t="str">
        <f t="shared" si="96"/>
        <v>44</v>
      </c>
      <c r="C799" s="405" t="str">
        <f t="shared" si="97"/>
        <v>第007331号</v>
      </c>
      <c r="D799" s="405" t="str">
        <f t="shared" si="98"/>
        <v>（有）岩賢住宅</v>
      </c>
      <c r="E799" s="405" t="str">
        <f t="shared" si="99"/>
        <v>代表取締役</v>
      </c>
      <c r="F799" s="405" t="str">
        <f t="shared" si="100"/>
        <v>岩本　賢二</v>
      </c>
      <c r="G799" s="405" t="str">
        <f t="shared" si="101"/>
        <v>主たる営業所</v>
      </c>
      <c r="H799" s="405" t="str">
        <f t="shared" si="102"/>
        <v>大分市大字小野鶴６３５－１</v>
      </c>
      <c r="L799" s="403" t="s">
        <v>9321</v>
      </c>
      <c r="M799" s="403" t="s">
        <v>9322</v>
      </c>
      <c r="N799" s="403" t="s">
        <v>2886</v>
      </c>
      <c r="O799" s="403" t="s">
        <v>7084</v>
      </c>
      <c r="P799" s="403" t="s">
        <v>2887</v>
      </c>
      <c r="Q799" s="403" t="s">
        <v>8283</v>
      </c>
      <c r="R799" s="403" t="s">
        <v>19205</v>
      </c>
      <c r="S799" s="403" t="s">
        <v>15416</v>
      </c>
      <c r="T799" s="403" t="s">
        <v>15417</v>
      </c>
      <c r="U799" s="403"/>
      <c r="V799" s="403" t="s">
        <v>23024</v>
      </c>
      <c r="W799" s="403" t="s">
        <v>23024</v>
      </c>
      <c r="X799" s="403" t="s">
        <v>23024</v>
      </c>
      <c r="Y799" s="403" t="s">
        <v>23024</v>
      </c>
    </row>
    <row r="800" spans="1:25">
      <c r="A800" s="363">
        <f t="shared" si="103"/>
        <v>799</v>
      </c>
      <c r="B800" s="363" t="str">
        <f t="shared" si="96"/>
        <v>44</v>
      </c>
      <c r="C800" s="405" t="str">
        <f t="shared" si="97"/>
        <v>第007346号</v>
      </c>
      <c r="D800" s="405" t="str">
        <f t="shared" si="98"/>
        <v>西ノ洲環境（株）</v>
      </c>
      <c r="E800" s="405" t="str">
        <f t="shared" si="99"/>
        <v>代表取締役</v>
      </c>
      <c r="F800" s="405" t="str">
        <f t="shared" si="100"/>
        <v>池田　富士生</v>
      </c>
      <c r="G800" s="405" t="str">
        <f t="shared" si="101"/>
        <v>主たる営業所</v>
      </c>
      <c r="H800" s="405" t="str">
        <f t="shared" si="102"/>
        <v>大分市向原沖１－１－６３</v>
      </c>
      <c r="L800" s="403" t="s">
        <v>9323</v>
      </c>
      <c r="M800" s="403" t="s">
        <v>9324</v>
      </c>
      <c r="N800" s="403" t="s">
        <v>2888</v>
      </c>
      <c r="O800" s="403" t="s">
        <v>7084</v>
      </c>
      <c r="P800" s="403" t="s">
        <v>19206</v>
      </c>
      <c r="Q800" s="403" t="s">
        <v>7458</v>
      </c>
      <c r="R800" s="403" t="s">
        <v>19207</v>
      </c>
      <c r="S800" s="403" t="s">
        <v>15418</v>
      </c>
      <c r="T800" s="403" t="s">
        <v>15419</v>
      </c>
      <c r="U800" s="403"/>
      <c r="V800" s="403" t="s">
        <v>23024</v>
      </c>
      <c r="W800" s="403" t="s">
        <v>23024</v>
      </c>
      <c r="X800" s="403" t="s">
        <v>23024</v>
      </c>
      <c r="Y800" s="403" t="s">
        <v>23024</v>
      </c>
    </row>
    <row r="801" spans="1:25">
      <c r="A801" s="363">
        <f t="shared" si="103"/>
        <v>800</v>
      </c>
      <c r="B801" s="363" t="str">
        <f t="shared" si="96"/>
        <v>44</v>
      </c>
      <c r="C801" s="405" t="str">
        <f t="shared" si="97"/>
        <v>第007349号</v>
      </c>
      <c r="D801" s="405" t="str">
        <f t="shared" si="98"/>
        <v>トーテル建設（株）</v>
      </c>
      <c r="E801" s="405" t="str">
        <f t="shared" si="99"/>
        <v>代表取締役</v>
      </c>
      <c r="F801" s="405" t="str">
        <f t="shared" si="100"/>
        <v>釘宮　照男</v>
      </c>
      <c r="G801" s="405" t="str">
        <f t="shared" si="101"/>
        <v>主たる営業所</v>
      </c>
      <c r="H801" s="405" t="str">
        <f t="shared" si="102"/>
        <v>大分市大字松岡４９６０－２５</v>
      </c>
      <c r="L801" s="403" t="s">
        <v>9325</v>
      </c>
      <c r="M801" s="403" t="s">
        <v>9326</v>
      </c>
      <c r="N801" s="403" t="s">
        <v>2890</v>
      </c>
      <c r="O801" s="403" t="s">
        <v>7084</v>
      </c>
      <c r="P801" s="403" t="s">
        <v>2891</v>
      </c>
      <c r="Q801" s="403" t="s">
        <v>7498</v>
      </c>
      <c r="R801" s="403" t="s">
        <v>19208</v>
      </c>
      <c r="S801" s="403" t="s">
        <v>15420</v>
      </c>
      <c r="T801" s="403" t="s">
        <v>15421</v>
      </c>
      <c r="U801" s="403"/>
      <c r="V801" s="403" t="s">
        <v>23024</v>
      </c>
      <c r="W801" s="403" t="s">
        <v>23024</v>
      </c>
      <c r="X801" s="403" t="s">
        <v>23024</v>
      </c>
      <c r="Y801" s="403" t="s">
        <v>23024</v>
      </c>
    </row>
    <row r="802" spans="1:25">
      <c r="A802" s="363">
        <f t="shared" si="103"/>
        <v>801</v>
      </c>
      <c r="B802" s="363" t="str">
        <f t="shared" si="96"/>
        <v>44</v>
      </c>
      <c r="C802" s="405" t="str">
        <f t="shared" si="97"/>
        <v>第007372号</v>
      </c>
      <c r="D802" s="405" t="str">
        <f t="shared" si="98"/>
        <v>（株）羽野住建</v>
      </c>
      <c r="E802" s="405" t="str">
        <f t="shared" si="99"/>
        <v>代表取締役</v>
      </c>
      <c r="F802" s="405" t="str">
        <f t="shared" si="100"/>
        <v>羽野　三男</v>
      </c>
      <c r="G802" s="405" t="str">
        <f t="shared" si="101"/>
        <v>主たる営業所</v>
      </c>
      <c r="H802" s="405" t="str">
        <f t="shared" si="102"/>
        <v>大分市ふじが丘東３－２－６</v>
      </c>
      <c r="L802" s="403" t="s">
        <v>9327</v>
      </c>
      <c r="M802" s="403" t="s">
        <v>9328</v>
      </c>
      <c r="N802" s="403" t="s">
        <v>2892</v>
      </c>
      <c r="O802" s="403" t="s">
        <v>7084</v>
      </c>
      <c r="P802" s="403" t="s">
        <v>2893</v>
      </c>
      <c r="Q802" s="403" t="s">
        <v>9329</v>
      </c>
      <c r="R802" s="403" t="s">
        <v>19209</v>
      </c>
      <c r="S802" s="403" t="s">
        <v>15422</v>
      </c>
      <c r="T802" s="403" t="s">
        <v>15423</v>
      </c>
      <c r="U802" s="403"/>
      <c r="V802" s="403" t="s">
        <v>23024</v>
      </c>
      <c r="W802" s="403" t="s">
        <v>23024</v>
      </c>
      <c r="X802" s="403" t="s">
        <v>23024</v>
      </c>
      <c r="Y802" s="403" t="s">
        <v>23024</v>
      </c>
    </row>
    <row r="803" spans="1:25">
      <c r="A803" s="363">
        <f t="shared" si="103"/>
        <v>802</v>
      </c>
      <c r="B803" s="363" t="str">
        <f t="shared" si="96"/>
        <v>44</v>
      </c>
      <c r="C803" s="405" t="str">
        <f t="shared" si="97"/>
        <v>第007377号</v>
      </c>
      <c r="D803" s="405" t="str">
        <f t="shared" si="98"/>
        <v>（有）一幸建設</v>
      </c>
      <c r="E803" s="405" t="str">
        <f t="shared" si="99"/>
        <v>代表取締役</v>
      </c>
      <c r="F803" s="405" t="str">
        <f t="shared" si="100"/>
        <v>芝崎　一徳</v>
      </c>
      <c r="G803" s="405" t="str">
        <f t="shared" si="101"/>
        <v>主たる営業所</v>
      </c>
      <c r="H803" s="405" t="str">
        <f t="shared" si="102"/>
        <v>大分市大字松岡７３</v>
      </c>
      <c r="L803" s="403" t="s">
        <v>9330</v>
      </c>
      <c r="M803" s="403" t="s">
        <v>9331</v>
      </c>
      <c r="N803" s="403" t="s">
        <v>2894</v>
      </c>
      <c r="O803" s="403" t="s">
        <v>7084</v>
      </c>
      <c r="P803" s="403" t="s">
        <v>5309</v>
      </c>
      <c r="Q803" s="403" t="s">
        <v>7498</v>
      </c>
      <c r="R803" s="403" t="s">
        <v>5519</v>
      </c>
      <c r="S803" s="403" t="s">
        <v>15424</v>
      </c>
      <c r="T803" s="403" t="s">
        <v>15425</v>
      </c>
      <c r="U803" s="403"/>
      <c r="V803" s="403" t="s">
        <v>23024</v>
      </c>
      <c r="W803" s="403" t="s">
        <v>23024</v>
      </c>
      <c r="X803" s="403" t="s">
        <v>23024</v>
      </c>
      <c r="Y803" s="403" t="s">
        <v>23024</v>
      </c>
    </row>
    <row r="804" spans="1:25">
      <c r="A804" s="363">
        <f t="shared" si="103"/>
        <v>803</v>
      </c>
      <c r="B804" s="363" t="str">
        <f t="shared" si="96"/>
        <v>44</v>
      </c>
      <c r="C804" s="405" t="str">
        <f t="shared" si="97"/>
        <v>第007382号</v>
      </c>
      <c r="D804" s="405" t="str">
        <f t="shared" si="98"/>
        <v>大分ノーミ（株）</v>
      </c>
      <c r="E804" s="405" t="str">
        <f t="shared" si="99"/>
        <v>代表取締役</v>
      </c>
      <c r="F804" s="405" t="str">
        <f t="shared" si="100"/>
        <v>松原　伸二郎</v>
      </c>
      <c r="G804" s="405" t="str">
        <f t="shared" si="101"/>
        <v>主たる営業所</v>
      </c>
      <c r="H804" s="405" t="str">
        <f t="shared" si="102"/>
        <v>大分市畑中２－８－５６</v>
      </c>
      <c r="L804" s="403" t="s">
        <v>9332</v>
      </c>
      <c r="M804" s="403" t="s">
        <v>9333</v>
      </c>
      <c r="N804" s="403" t="s">
        <v>2895</v>
      </c>
      <c r="O804" s="403" t="s">
        <v>7084</v>
      </c>
      <c r="P804" s="403" t="s">
        <v>2896</v>
      </c>
      <c r="Q804" s="403" t="s">
        <v>9334</v>
      </c>
      <c r="R804" s="403" t="s">
        <v>19210</v>
      </c>
      <c r="S804" s="403" t="s">
        <v>15426</v>
      </c>
      <c r="T804" s="403" t="s">
        <v>15427</v>
      </c>
      <c r="U804" s="403"/>
      <c r="V804" s="403" t="s">
        <v>23024</v>
      </c>
      <c r="W804" s="403" t="s">
        <v>23024</v>
      </c>
      <c r="X804" s="403" t="s">
        <v>23024</v>
      </c>
      <c r="Y804" s="403" t="s">
        <v>23024</v>
      </c>
    </row>
    <row r="805" spans="1:25">
      <c r="A805" s="363">
        <f t="shared" si="103"/>
        <v>804</v>
      </c>
      <c r="B805" s="363" t="str">
        <f t="shared" si="96"/>
        <v>44</v>
      </c>
      <c r="C805" s="405" t="str">
        <f t="shared" si="97"/>
        <v>第007385号</v>
      </c>
      <c r="D805" s="405" t="str">
        <f t="shared" si="98"/>
        <v>姫建設（有）</v>
      </c>
      <c r="E805" s="405" t="str">
        <f t="shared" si="99"/>
        <v>代表取締役</v>
      </c>
      <c r="F805" s="405" t="str">
        <f t="shared" si="100"/>
        <v>姫野　寛美</v>
      </c>
      <c r="G805" s="405" t="str">
        <f t="shared" si="101"/>
        <v>主たる営業所</v>
      </c>
      <c r="H805" s="405" t="str">
        <f t="shared" si="102"/>
        <v>大分市向原東１－７－１</v>
      </c>
      <c r="L805" s="403" t="s">
        <v>9335</v>
      </c>
      <c r="M805" s="403" t="s">
        <v>9336</v>
      </c>
      <c r="N805" s="403" t="s">
        <v>2897</v>
      </c>
      <c r="O805" s="403" t="s">
        <v>7084</v>
      </c>
      <c r="P805" s="403" t="s">
        <v>2898</v>
      </c>
      <c r="Q805" s="403" t="s">
        <v>7336</v>
      </c>
      <c r="R805" s="403" t="s">
        <v>19211</v>
      </c>
      <c r="S805" s="403" t="s">
        <v>15428</v>
      </c>
      <c r="T805" s="403" t="s">
        <v>15429</v>
      </c>
      <c r="U805" s="403"/>
      <c r="V805" s="403" t="s">
        <v>23024</v>
      </c>
      <c r="W805" s="403" t="s">
        <v>23024</v>
      </c>
      <c r="X805" s="403" t="s">
        <v>23024</v>
      </c>
      <c r="Y805" s="403" t="s">
        <v>23024</v>
      </c>
    </row>
    <row r="806" spans="1:25">
      <c r="A806" s="363">
        <f t="shared" si="103"/>
        <v>805</v>
      </c>
      <c r="B806" s="363" t="str">
        <f t="shared" si="96"/>
        <v>44</v>
      </c>
      <c r="C806" s="405" t="str">
        <f t="shared" si="97"/>
        <v>第007388号</v>
      </c>
      <c r="D806" s="405" t="str">
        <f t="shared" si="98"/>
        <v>道路サービス（株）</v>
      </c>
      <c r="E806" s="405" t="str">
        <f t="shared" si="99"/>
        <v>代表取締役</v>
      </c>
      <c r="F806" s="405" t="str">
        <f t="shared" si="100"/>
        <v>藤島　智彦</v>
      </c>
      <c r="G806" s="405" t="str">
        <f t="shared" si="101"/>
        <v>主たる営業所</v>
      </c>
      <c r="H806" s="405" t="str">
        <f t="shared" si="102"/>
        <v>大分市大字曲１１３０－１</v>
      </c>
      <c r="L806" s="403" t="s">
        <v>9337</v>
      </c>
      <c r="M806" s="403" t="s">
        <v>9338</v>
      </c>
      <c r="N806" s="403" t="s">
        <v>2899</v>
      </c>
      <c r="O806" s="403" t="s">
        <v>7084</v>
      </c>
      <c r="P806" s="403" t="s">
        <v>2900</v>
      </c>
      <c r="Q806" s="403" t="s">
        <v>9339</v>
      </c>
      <c r="R806" s="403" t="s">
        <v>19212</v>
      </c>
      <c r="S806" s="403" t="s">
        <v>15430</v>
      </c>
      <c r="T806" s="403" t="s">
        <v>15431</v>
      </c>
      <c r="U806" s="403"/>
      <c r="V806" s="403" t="s">
        <v>23024</v>
      </c>
      <c r="W806" s="403" t="s">
        <v>23024</v>
      </c>
      <c r="X806" s="403" t="s">
        <v>23024</v>
      </c>
      <c r="Y806" s="403" t="s">
        <v>23024</v>
      </c>
    </row>
    <row r="807" spans="1:25">
      <c r="A807" s="363">
        <f t="shared" si="103"/>
        <v>806</v>
      </c>
      <c r="B807" s="363" t="str">
        <f t="shared" si="96"/>
        <v>44</v>
      </c>
      <c r="C807" s="405" t="str">
        <f t="shared" si="97"/>
        <v>第007398号</v>
      </c>
      <c r="D807" s="405" t="str">
        <f t="shared" si="98"/>
        <v>（有）日野電工</v>
      </c>
      <c r="E807" s="405" t="str">
        <f t="shared" si="99"/>
        <v>代表取締役</v>
      </c>
      <c r="F807" s="405" t="str">
        <f t="shared" si="100"/>
        <v>日野　昌道</v>
      </c>
      <c r="G807" s="405" t="str">
        <f t="shared" si="101"/>
        <v>主たる営業所</v>
      </c>
      <c r="H807" s="405" t="str">
        <f t="shared" si="102"/>
        <v>大分市大字三佐２２３３－１</v>
      </c>
      <c r="L807" s="403" t="s">
        <v>9340</v>
      </c>
      <c r="M807" s="403" t="s">
        <v>9341</v>
      </c>
      <c r="N807" s="403" t="s">
        <v>2901</v>
      </c>
      <c r="O807" s="403" t="s">
        <v>7084</v>
      </c>
      <c r="P807" s="403" t="s">
        <v>2902</v>
      </c>
      <c r="Q807" s="403" t="s">
        <v>7413</v>
      </c>
      <c r="R807" s="403" t="s">
        <v>19213</v>
      </c>
      <c r="S807" s="403" t="s">
        <v>15432</v>
      </c>
      <c r="T807" s="403" t="s">
        <v>15433</v>
      </c>
      <c r="U807" s="403"/>
      <c r="V807" s="403" t="s">
        <v>23024</v>
      </c>
      <c r="W807" s="403" t="s">
        <v>23024</v>
      </c>
      <c r="X807" s="403" t="s">
        <v>23024</v>
      </c>
      <c r="Y807" s="403" t="s">
        <v>23024</v>
      </c>
    </row>
    <row r="808" spans="1:25">
      <c r="A808" s="363">
        <f t="shared" si="103"/>
        <v>807</v>
      </c>
      <c r="B808" s="363" t="str">
        <f t="shared" si="96"/>
        <v>44</v>
      </c>
      <c r="C808" s="405" t="str">
        <f t="shared" si="97"/>
        <v>第007400号</v>
      </c>
      <c r="D808" s="405" t="str">
        <f t="shared" si="98"/>
        <v>（有）九大電設工業</v>
      </c>
      <c r="E808" s="405" t="str">
        <f t="shared" si="99"/>
        <v>代表取締役</v>
      </c>
      <c r="F808" s="405" t="str">
        <f t="shared" si="100"/>
        <v>佐藤　和夫</v>
      </c>
      <c r="G808" s="405" t="str">
        <f t="shared" si="101"/>
        <v>主たる営業所</v>
      </c>
      <c r="H808" s="405" t="str">
        <f t="shared" si="102"/>
        <v>大分市大字片島１３８０－３</v>
      </c>
      <c r="L808" s="403" t="s">
        <v>9342</v>
      </c>
      <c r="M808" s="403" t="s">
        <v>9343</v>
      </c>
      <c r="N808" s="403" t="s">
        <v>2903</v>
      </c>
      <c r="O808" s="403" t="s">
        <v>7084</v>
      </c>
      <c r="P808" s="403" t="s">
        <v>2904</v>
      </c>
      <c r="Q808" s="403" t="s">
        <v>8687</v>
      </c>
      <c r="R808" s="403" t="s">
        <v>19214</v>
      </c>
      <c r="S808" s="403" t="s">
        <v>15434</v>
      </c>
      <c r="T808" s="403" t="s">
        <v>15435</v>
      </c>
      <c r="U808" s="403"/>
      <c r="V808" s="403" t="s">
        <v>23024</v>
      </c>
      <c r="W808" s="403" t="s">
        <v>23024</v>
      </c>
      <c r="X808" s="403" t="s">
        <v>23024</v>
      </c>
      <c r="Y808" s="403" t="s">
        <v>23024</v>
      </c>
    </row>
    <row r="809" spans="1:25">
      <c r="A809" s="363">
        <f t="shared" si="103"/>
        <v>808</v>
      </c>
      <c r="B809" s="363" t="str">
        <f t="shared" si="96"/>
        <v>44</v>
      </c>
      <c r="C809" s="405" t="str">
        <f t="shared" si="97"/>
        <v>第007406号</v>
      </c>
      <c r="D809" s="405" t="str">
        <f t="shared" si="98"/>
        <v>（有）九州管通</v>
      </c>
      <c r="E809" s="405" t="str">
        <f t="shared" si="99"/>
        <v>代表取締役</v>
      </c>
      <c r="F809" s="405" t="str">
        <f t="shared" si="100"/>
        <v>豊田　修彦</v>
      </c>
      <c r="G809" s="405" t="str">
        <f t="shared" si="101"/>
        <v>主たる営業所</v>
      </c>
      <c r="H809" s="405" t="str">
        <f t="shared" si="102"/>
        <v>大分市大字三芳１８５５－１３</v>
      </c>
      <c r="L809" s="403" t="s">
        <v>9344</v>
      </c>
      <c r="M809" s="403" t="s">
        <v>9345</v>
      </c>
      <c r="N809" s="403" t="s">
        <v>2905</v>
      </c>
      <c r="O809" s="403" t="s">
        <v>7084</v>
      </c>
      <c r="P809" s="403" t="s">
        <v>2906</v>
      </c>
      <c r="Q809" s="403" t="s">
        <v>9346</v>
      </c>
      <c r="R809" s="403" t="s">
        <v>19215</v>
      </c>
      <c r="S809" s="403" t="s">
        <v>15436</v>
      </c>
      <c r="T809" s="403" t="s">
        <v>15437</v>
      </c>
      <c r="U809" s="403"/>
      <c r="V809" s="403" t="s">
        <v>23024</v>
      </c>
      <c r="W809" s="403" t="s">
        <v>23024</v>
      </c>
      <c r="X809" s="403" t="s">
        <v>23024</v>
      </c>
      <c r="Y809" s="403" t="s">
        <v>23024</v>
      </c>
    </row>
    <row r="810" spans="1:25">
      <c r="A810" s="363">
        <f t="shared" si="103"/>
        <v>809</v>
      </c>
      <c r="B810" s="363" t="str">
        <f t="shared" si="96"/>
        <v>44</v>
      </c>
      <c r="C810" s="405" t="str">
        <f t="shared" si="97"/>
        <v>第007407号</v>
      </c>
      <c r="D810" s="405" t="str">
        <f t="shared" si="98"/>
        <v>沿海開発工業（株）</v>
      </c>
      <c r="E810" s="405" t="str">
        <f t="shared" si="99"/>
        <v>代表取締役</v>
      </c>
      <c r="F810" s="405" t="str">
        <f t="shared" si="100"/>
        <v>山口　清子</v>
      </c>
      <c r="G810" s="405" t="str">
        <f t="shared" si="101"/>
        <v>主たる営業所</v>
      </c>
      <c r="H810" s="405" t="str">
        <f t="shared" si="102"/>
        <v>大分市大字荏隈７９２－１３９</v>
      </c>
      <c r="L810" s="403" t="s">
        <v>9347</v>
      </c>
      <c r="M810" s="403" t="s">
        <v>9348</v>
      </c>
      <c r="N810" s="403" t="s">
        <v>2907</v>
      </c>
      <c r="O810" s="403" t="s">
        <v>7084</v>
      </c>
      <c r="P810" s="403" t="s">
        <v>2908</v>
      </c>
      <c r="Q810" s="403" t="s">
        <v>9349</v>
      </c>
      <c r="R810" s="403" t="s">
        <v>19216</v>
      </c>
      <c r="S810" s="403" t="s">
        <v>15438</v>
      </c>
      <c r="T810" s="403" t="s">
        <v>15439</v>
      </c>
      <c r="U810" s="403"/>
      <c r="V810" s="403" t="s">
        <v>23024</v>
      </c>
      <c r="W810" s="403" t="s">
        <v>23024</v>
      </c>
      <c r="X810" s="403" t="s">
        <v>23024</v>
      </c>
      <c r="Y810" s="403" t="s">
        <v>23024</v>
      </c>
    </row>
    <row r="811" spans="1:25">
      <c r="A811" s="363">
        <f t="shared" si="103"/>
        <v>810</v>
      </c>
      <c r="B811" s="363" t="str">
        <f t="shared" si="96"/>
        <v>44</v>
      </c>
      <c r="C811" s="405" t="str">
        <f t="shared" si="97"/>
        <v>第007413号</v>
      </c>
      <c r="D811" s="405" t="str">
        <f t="shared" si="98"/>
        <v>玄武電設（株）</v>
      </c>
      <c r="E811" s="405" t="str">
        <f t="shared" si="99"/>
        <v>代表取締役</v>
      </c>
      <c r="F811" s="405" t="str">
        <f t="shared" si="100"/>
        <v>姫野　哲徳</v>
      </c>
      <c r="G811" s="405" t="str">
        <f t="shared" si="101"/>
        <v>主たる営業所</v>
      </c>
      <c r="H811" s="405" t="str">
        <f t="shared" si="102"/>
        <v>大分市大字鴛野１１３１－８</v>
      </c>
      <c r="L811" s="403" t="s">
        <v>9350</v>
      </c>
      <c r="M811" s="403" t="s">
        <v>9351</v>
      </c>
      <c r="N811" s="403" t="s">
        <v>2909</v>
      </c>
      <c r="O811" s="403" t="s">
        <v>7084</v>
      </c>
      <c r="P811" s="403" t="s">
        <v>2910</v>
      </c>
      <c r="Q811" s="403" t="s">
        <v>8710</v>
      </c>
      <c r="R811" s="403" t="s">
        <v>19217</v>
      </c>
      <c r="S811" s="403" t="s">
        <v>15440</v>
      </c>
      <c r="T811" s="403" t="s">
        <v>15441</v>
      </c>
      <c r="U811" s="403"/>
      <c r="V811" s="403" t="s">
        <v>23024</v>
      </c>
      <c r="W811" s="403" t="s">
        <v>23024</v>
      </c>
      <c r="X811" s="403" t="s">
        <v>23024</v>
      </c>
      <c r="Y811" s="403" t="s">
        <v>23024</v>
      </c>
    </row>
    <row r="812" spans="1:25">
      <c r="A812" s="363">
        <f t="shared" si="103"/>
        <v>811</v>
      </c>
      <c r="B812" s="363" t="str">
        <f t="shared" si="96"/>
        <v>44</v>
      </c>
      <c r="C812" s="405" t="str">
        <f t="shared" si="97"/>
        <v>第007437号</v>
      </c>
      <c r="D812" s="405" t="str">
        <f t="shared" si="98"/>
        <v>（株）米山設備工業</v>
      </c>
      <c r="E812" s="405" t="str">
        <f t="shared" si="99"/>
        <v>代表取締役</v>
      </c>
      <c r="F812" s="405" t="str">
        <f t="shared" si="100"/>
        <v>米山　慶彦</v>
      </c>
      <c r="G812" s="405" t="str">
        <f t="shared" si="101"/>
        <v>主たる営業所</v>
      </c>
      <c r="H812" s="405" t="str">
        <f t="shared" si="102"/>
        <v>大分市大字光吉２１０９－１</v>
      </c>
      <c r="L812" s="403" t="s">
        <v>9352</v>
      </c>
      <c r="M812" s="403" t="s">
        <v>9353</v>
      </c>
      <c r="N812" s="403" t="s">
        <v>2911</v>
      </c>
      <c r="O812" s="403" t="s">
        <v>7084</v>
      </c>
      <c r="P812" s="403" t="s">
        <v>2912</v>
      </c>
      <c r="Q812" s="403" t="s">
        <v>8297</v>
      </c>
      <c r="R812" s="403" t="s">
        <v>19218</v>
      </c>
      <c r="S812" s="403" t="s">
        <v>15442</v>
      </c>
      <c r="T812" s="403" t="s">
        <v>15443</v>
      </c>
      <c r="U812" s="403"/>
      <c r="V812" s="403" t="s">
        <v>23024</v>
      </c>
      <c r="W812" s="403" t="s">
        <v>23024</v>
      </c>
      <c r="X812" s="403" t="s">
        <v>23024</v>
      </c>
      <c r="Y812" s="403" t="s">
        <v>23024</v>
      </c>
    </row>
    <row r="813" spans="1:25">
      <c r="A813" s="363">
        <f t="shared" si="103"/>
        <v>812</v>
      </c>
      <c r="B813" s="363" t="str">
        <f t="shared" si="96"/>
        <v>44</v>
      </c>
      <c r="C813" s="405" t="str">
        <f t="shared" si="97"/>
        <v>第007438号</v>
      </c>
      <c r="D813" s="405" t="str">
        <f t="shared" si="98"/>
        <v>（株）木崎工業</v>
      </c>
      <c r="E813" s="405" t="str">
        <f t="shared" si="99"/>
        <v>代表取締役</v>
      </c>
      <c r="F813" s="405" t="str">
        <f t="shared" si="100"/>
        <v>木崎　憲二</v>
      </c>
      <c r="G813" s="405" t="str">
        <f t="shared" si="101"/>
        <v>主たる営業所</v>
      </c>
      <c r="H813" s="405" t="str">
        <f t="shared" si="102"/>
        <v>大分市大字屋山５９５</v>
      </c>
      <c r="L813" s="403" t="s">
        <v>9354</v>
      </c>
      <c r="M813" s="403" t="s">
        <v>9355</v>
      </c>
      <c r="N813" s="403" t="s">
        <v>5285</v>
      </c>
      <c r="O813" s="403" t="s">
        <v>7084</v>
      </c>
      <c r="P813" s="403" t="s">
        <v>5310</v>
      </c>
      <c r="Q813" s="403" t="s">
        <v>9356</v>
      </c>
      <c r="R813" s="403" t="s">
        <v>5520</v>
      </c>
      <c r="S813" s="403" t="s">
        <v>15444</v>
      </c>
      <c r="T813" s="403" t="s">
        <v>15445</v>
      </c>
      <c r="U813" s="403"/>
      <c r="V813" s="403" t="s">
        <v>23024</v>
      </c>
      <c r="W813" s="403" t="s">
        <v>23024</v>
      </c>
      <c r="X813" s="403" t="s">
        <v>23024</v>
      </c>
      <c r="Y813" s="403" t="s">
        <v>23024</v>
      </c>
    </row>
    <row r="814" spans="1:25">
      <c r="A814" s="363">
        <f t="shared" si="103"/>
        <v>813</v>
      </c>
      <c r="B814" s="363" t="str">
        <f t="shared" si="96"/>
        <v>44</v>
      </c>
      <c r="C814" s="405" t="str">
        <f t="shared" si="97"/>
        <v>第007441号</v>
      </c>
      <c r="D814" s="405" t="str">
        <f t="shared" si="98"/>
        <v>（有）市原工業</v>
      </c>
      <c r="E814" s="405" t="str">
        <f t="shared" si="99"/>
        <v>代表取締役</v>
      </c>
      <c r="F814" s="405" t="str">
        <f t="shared" si="100"/>
        <v>市原　敏秀</v>
      </c>
      <c r="G814" s="405" t="str">
        <f t="shared" si="101"/>
        <v>主たる営業所</v>
      </c>
      <c r="H814" s="405" t="str">
        <f t="shared" si="102"/>
        <v>大分市大字葛木１９８</v>
      </c>
      <c r="L814" s="403" t="s">
        <v>19219</v>
      </c>
      <c r="M814" s="403" t="s">
        <v>19220</v>
      </c>
      <c r="N814" s="403" t="s">
        <v>19221</v>
      </c>
      <c r="O814" s="403" t="s">
        <v>7084</v>
      </c>
      <c r="P814" s="403" t="s">
        <v>19222</v>
      </c>
      <c r="Q814" s="403" t="s">
        <v>7954</v>
      </c>
      <c r="R814" s="403" t="s">
        <v>19223</v>
      </c>
      <c r="S814" s="403" t="s">
        <v>19224</v>
      </c>
      <c r="T814" s="403" t="s">
        <v>19225</v>
      </c>
      <c r="U814" s="403"/>
      <c r="V814" s="403" t="s">
        <v>23024</v>
      </c>
      <c r="W814" s="403" t="s">
        <v>23024</v>
      </c>
      <c r="X814" s="403" t="s">
        <v>23024</v>
      </c>
      <c r="Y814" s="403" t="s">
        <v>23024</v>
      </c>
    </row>
    <row r="815" spans="1:25">
      <c r="A815" s="363">
        <f t="shared" si="103"/>
        <v>814</v>
      </c>
      <c r="B815" s="363" t="str">
        <f t="shared" si="96"/>
        <v>44</v>
      </c>
      <c r="C815" s="405" t="str">
        <f t="shared" si="97"/>
        <v>第007443号</v>
      </c>
      <c r="D815" s="405" t="str">
        <f t="shared" si="98"/>
        <v>冨国電機（有）</v>
      </c>
      <c r="E815" s="405" t="str">
        <f t="shared" si="99"/>
        <v>代表取締役</v>
      </c>
      <c r="F815" s="405" t="str">
        <f t="shared" si="100"/>
        <v>冨永　英雄</v>
      </c>
      <c r="G815" s="405" t="str">
        <f t="shared" si="101"/>
        <v>主たる営業所</v>
      </c>
      <c r="H815" s="405" t="str">
        <f t="shared" si="102"/>
        <v>大分市三佐１－２－８３</v>
      </c>
      <c r="L815" s="403" t="s">
        <v>9357</v>
      </c>
      <c r="M815" s="403" t="s">
        <v>9358</v>
      </c>
      <c r="N815" s="403" t="s">
        <v>2913</v>
      </c>
      <c r="O815" s="403" t="s">
        <v>7084</v>
      </c>
      <c r="P815" s="403" t="s">
        <v>2914</v>
      </c>
      <c r="Q815" s="403" t="s">
        <v>7413</v>
      </c>
      <c r="R815" s="403" t="s">
        <v>19226</v>
      </c>
      <c r="S815" s="403" t="s">
        <v>15446</v>
      </c>
      <c r="T815" s="403" t="s">
        <v>15447</v>
      </c>
      <c r="U815" s="403"/>
      <c r="V815" s="403" t="s">
        <v>23024</v>
      </c>
      <c r="W815" s="403" t="s">
        <v>23024</v>
      </c>
      <c r="X815" s="403" t="s">
        <v>23024</v>
      </c>
      <c r="Y815" s="403" t="s">
        <v>23024</v>
      </c>
    </row>
    <row r="816" spans="1:25">
      <c r="A816" s="363">
        <f t="shared" si="103"/>
        <v>815</v>
      </c>
      <c r="B816" s="363" t="str">
        <f t="shared" si="96"/>
        <v>44</v>
      </c>
      <c r="C816" s="405" t="str">
        <f t="shared" si="97"/>
        <v>第007445号</v>
      </c>
      <c r="D816" s="405" t="str">
        <f t="shared" si="98"/>
        <v>（有）泉電設</v>
      </c>
      <c r="E816" s="405" t="str">
        <f t="shared" si="99"/>
        <v>代表取締役</v>
      </c>
      <c r="F816" s="405" t="str">
        <f t="shared" si="100"/>
        <v>玉田　隆義</v>
      </c>
      <c r="G816" s="405" t="str">
        <f t="shared" si="101"/>
        <v>主たる営業所</v>
      </c>
      <c r="H816" s="405" t="str">
        <f t="shared" si="102"/>
        <v>大分市高松１－９－８</v>
      </c>
      <c r="L816" s="403" t="s">
        <v>9359</v>
      </c>
      <c r="M816" s="403" t="s">
        <v>9360</v>
      </c>
      <c r="N816" s="403" t="s">
        <v>2915</v>
      </c>
      <c r="O816" s="403" t="s">
        <v>7084</v>
      </c>
      <c r="P816" s="403" t="s">
        <v>2916</v>
      </c>
      <c r="Q816" s="403" t="s">
        <v>7322</v>
      </c>
      <c r="R816" s="403" t="s">
        <v>19227</v>
      </c>
      <c r="S816" s="403" t="s">
        <v>15448</v>
      </c>
      <c r="T816" s="403" t="s">
        <v>15449</v>
      </c>
      <c r="U816" s="403"/>
      <c r="V816" s="403" t="s">
        <v>23024</v>
      </c>
      <c r="W816" s="403" t="s">
        <v>23024</v>
      </c>
      <c r="X816" s="403" t="s">
        <v>23024</v>
      </c>
      <c r="Y816" s="403" t="s">
        <v>23024</v>
      </c>
    </row>
    <row r="817" spans="1:25">
      <c r="A817" s="363">
        <f t="shared" si="103"/>
        <v>816</v>
      </c>
      <c r="B817" s="363" t="str">
        <f t="shared" si="96"/>
        <v>44</v>
      </c>
      <c r="C817" s="405" t="str">
        <f t="shared" si="97"/>
        <v>第007453号</v>
      </c>
      <c r="D817" s="405" t="str">
        <f t="shared" si="98"/>
        <v>大分冷機（株）</v>
      </c>
      <c r="E817" s="405" t="str">
        <f t="shared" si="99"/>
        <v>代表取締役</v>
      </c>
      <c r="F817" s="405" t="str">
        <f t="shared" si="100"/>
        <v>池田　成二</v>
      </c>
      <c r="G817" s="405" t="str">
        <f t="shared" si="101"/>
        <v>主たる営業所</v>
      </c>
      <c r="H817" s="405" t="str">
        <f t="shared" si="102"/>
        <v>大分市大字片島３８３－２</v>
      </c>
      <c r="L817" s="403" t="s">
        <v>9361</v>
      </c>
      <c r="M817" s="403" t="s">
        <v>9362</v>
      </c>
      <c r="N817" s="403" t="s">
        <v>2917</v>
      </c>
      <c r="O817" s="403" t="s">
        <v>7084</v>
      </c>
      <c r="P817" s="403" t="s">
        <v>2918</v>
      </c>
      <c r="Q817" s="403" t="s">
        <v>8687</v>
      </c>
      <c r="R817" s="403" t="s">
        <v>19228</v>
      </c>
      <c r="S817" s="403" t="s">
        <v>15450</v>
      </c>
      <c r="T817" s="403" t="s">
        <v>15451</v>
      </c>
      <c r="U817" s="403"/>
      <c r="V817" s="403" t="s">
        <v>23024</v>
      </c>
      <c r="W817" s="403" t="s">
        <v>23024</v>
      </c>
      <c r="X817" s="403" t="s">
        <v>23024</v>
      </c>
      <c r="Y817" s="403" t="s">
        <v>23024</v>
      </c>
    </row>
    <row r="818" spans="1:25">
      <c r="A818" s="363">
        <f t="shared" si="103"/>
        <v>817</v>
      </c>
      <c r="B818" s="363" t="str">
        <f t="shared" si="96"/>
        <v>44</v>
      </c>
      <c r="C818" s="405" t="str">
        <f t="shared" si="97"/>
        <v>第007462号</v>
      </c>
      <c r="D818" s="405" t="str">
        <f t="shared" si="98"/>
        <v>（株）オフィスコミニケーションサービス</v>
      </c>
      <c r="E818" s="405" t="str">
        <f t="shared" si="99"/>
        <v>代表取締役</v>
      </c>
      <c r="F818" s="405" t="str">
        <f t="shared" si="100"/>
        <v>黒木　聖詞</v>
      </c>
      <c r="G818" s="405" t="str">
        <f t="shared" si="101"/>
        <v>主たる営業所</v>
      </c>
      <c r="H818" s="405" t="str">
        <f t="shared" si="102"/>
        <v>大分市下郡南３－５－４６</v>
      </c>
      <c r="L818" s="403" t="s">
        <v>9363</v>
      </c>
      <c r="M818" s="403" t="s">
        <v>9364</v>
      </c>
      <c r="N818" s="403" t="s">
        <v>2919</v>
      </c>
      <c r="O818" s="403" t="s">
        <v>7084</v>
      </c>
      <c r="P818" s="403" t="s">
        <v>2920</v>
      </c>
      <c r="Q818" s="403" t="s">
        <v>7539</v>
      </c>
      <c r="R818" s="403" t="s">
        <v>19229</v>
      </c>
      <c r="S818" s="403" t="s">
        <v>15452</v>
      </c>
      <c r="T818" s="403" t="s">
        <v>15453</v>
      </c>
      <c r="U818" s="403"/>
      <c r="V818" s="403" t="s">
        <v>23024</v>
      </c>
      <c r="W818" s="403" t="s">
        <v>23024</v>
      </c>
      <c r="X818" s="403" t="s">
        <v>23024</v>
      </c>
      <c r="Y818" s="403" t="s">
        <v>23024</v>
      </c>
    </row>
    <row r="819" spans="1:25">
      <c r="A819" s="363">
        <f t="shared" si="103"/>
        <v>818</v>
      </c>
      <c r="B819" s="363" t="str">
        <f t="shared" si="96"/>
        <v>44</v>
      </c>
      <c r="C819" s="405" t="str">
        <f t="shared" si="97"/>
        <v>第007464号</v>
      </c>
      <c r="D819" s="405" t="str">
        <f t="shared" si="98"/>
        <v>サンワテック（株）</v>
      </c>
      <c r="E819" s="405" t="str">
        <f t="shared" si="99"/>
        <v>代表取締役</v>
      </c>
      <c r="F819" s="405" t="str">
        <f t="shared" si="100"/>
        <v>岩尾　雅史</v>
      </c>
      <c r="G819" s="405" t="str">
        <f t="shared" si="101"/>
        <v>主たる営業所</v>
      </c>
      <c r="H819" s="405" t="str">
        <f t="shared" si="102"/>
        <v>大分市大字中戸次１５４０－１</v>
      </c>
      <c r="L819" s="403" t="s">
        <v>9365</v>
      </c>
      <c r="M819" s="403" t="s">
        <v>9366</v>
      </c>
      <c r="N819" s="403" t="s">
        <v>2921</v>
      </c>
      <c r="O819" s="403" t="s">
        <v>7084</v>
      </c>
      <c r="P819" s="403" t="s">
        <v>2922</v>
      </c>
      <c r="Q819" s="403" t="s">
        <v>7531</v>
      </c>
      <c r="R819" s="403" t="s">
        <v>19230</v>
      </c>
      <c r="S819" s="403" t="s">
        <v>15454</v>
      </c>
      <c r="T819" s="403" t="s">
        <v>15455</v>
      </c>
      <c r="U819" s="403"/>
      <c r="V819" s="403" t="s">
        <v>23024</v>
      </c>
      <c r="W819" s="403" t="s">
        <v>23024</v>
      </c>
      <c r="X819" s="403" t="s">
        <v>23024</v>
      </c>
      <c r="Y819" s="403" t="s">
        <v>23024</v>
      </c>
    </row>
    <row r="820" spans="1:25">
      <c r="A820" s="363">
        <f t="shared" si="103"/>
        <v>819</v>
      </c>
      <c r="B820" s="363" t="str">
        <f t="shared" si="96"/>
        <v>44</v>
      </c>
      <c r="C820" s="405" t="str">
        <f t="shared" si="97"/>
        <v>第007482号</v>
      </c>
      <c r="D820" s="405" t="str">
        <f t="shared" si="98"/>
        <v>豊中建設（株）</v>
      </c>
      <c r="E820" s="405" t="str">
        <f t="shared" si="99"/>
        <v>代表取締役</v>
      </c>
      <c r="F820" s="405" t="str">
        <f t="shared" si="100"/>
        <v>古賀　悦夫</v>
      </c>
      <c r="G820" s="405" t="str">
        <f t="shared" si="101"/>
        <v>主たる営業所</v>
      </c>
      <c r="H820" s="405" t="str">
        <f t="shared" si="102"/>
        <v>日田市大字高瀬８０５８－１</v>
      </c>
      <c r="L820" s="404" t="s">
        <v>9367</v>
      </c>
      <c r="M820" s="404" t="s">
        <v>9368</v>
      </c>
      <c r="N820" s="404" t="s">
        <v>2923</v>
      </c>
      <c r="O820" s="404" t="s">
        <v>7084</v>
      </c>
      <c r="P820" s="404" t="s">
        <v>2924</v>
      </c>
      <c r="Q820" s="404" t="s">
        <v>9369</v>
      </c>
      <c r="R820" s="404" t="s">
        <v>19231</v>
      </c>
      <c r="S820" s="404" t="s">
        <v>15456</v>
      </c>
      <c r="T820" s="404" t="s">
        <v>15457</v>
      </c>
      <c r="U820" s="404"/>
      <c r="V820" s="404" t="s">
        <v>23024</v>
      </c>
      <c r="W820" s="404" t="s">
        <v>23024</v>
      </c>
      <c r="X820" s="404" t="s">
        <v>23024</v>
      </c>
      <c r="Y820" s="404" t="s">
        <v>23024</v>
      </c>
    </row>
    <row r="821" spans="1:25">
      <c r="A821" s="363">
        <f t="shared" si="103"/>
        <v>820</v>
      </c>
      <c r="B821" s="363" t="str">
        <f t="shared" si="96"/>
        <v>44</v>
      </c>
      <c r="C821" s="405" t="str">
        <f t="shared" si="97"/>
        <v>第007492号</v>
      </c>
      <c r="D821" s="405" t="str">
        <f t="shared" si="98"/>
        <v>（株）サン商工</v>
      </c>
      <c r="E821" s="405" t="str">
        <f t="shared" si="99"/>
        <v>代表取締役</v>
      </c>
      <c r="F821" s="405" t="str">
        <f t="shared" si="100"/>
        <v>福岡　龍一郎</v>
      </c>
      <c r="G821" s="405" t="str">
        <f t="shared" si="101"/>
        <v>主たる営業所</v>
      </c>
      <c r="H821" s="405" t="str">
        <f t="shared" si="102"/>
        <v>大分市大州浜１－４－１０</v>
      </c>
      <c r="L821" s="402" t="s">
        <v>9370</v>
      </c>
      <c r="M821" s="402" t="s">
        <v>9371</v>
      </c>
      <c r="N821" s="402" t="s">
        <v>2925</v>
      </c>
      <c r="O821" s="402" t="s">
        <v>7084</v>
      </c>
      <c r="P821" s="402" t="s">
        <v>2926</v>
      </c>
      <c r="Q821" s="402" t="s">
        <v>7397</v>
      </c>
      <c r="R821" s="402" t="s">
        <v>19232</v>
      </c>
      <c r="S821" s="402" t="s">
        <v>15458</v>
      </c>
      <c r="T821" s="402" t="s">
        <v>15459</v>
      </c>
      <c r="U821" s="402"/>
      <c r="V821" s="402" t="s">
        <v>23024</v>
      </c>
      <c r="W821" s="402" t="s">
        <v>23024</v>
      </c>
      <c r="X821" s="402" t="s">
        <v>23024</v>
      </c>
      <c r="Y821" s="402" t="s">
        <v>23024</v>
      </c>
    </row>
    <row r="822" spans="1:25">
      <c r="A822" s="363">
        <f t="shared" si="103"/>
        <v>821</v>
      </c>
      <c r="B822" s="363" t="str">
        <f t="shared" si="96"/>
        <v>44</v>
      </c>
      <c r="C822" s="405" t="str">
        <f t="shared" si="97"/>
        <v>第007502号</v>
      </c>
      <c r="D822" s="405" t="str">
        <f t="shared" si="98"/>
        <v>（有）竹林建設</v>
      </c>
      <c r="E822" s="405" t="str">
        <f t="shared" si="99"/>
        <v>取締役</v>
      </c>
      <c r="F822" s="405" t="str">
        <f t="shared" si="100"/>
        <v>竹林　大記</v>
      </c>
      <c r="G822" s="405" t="str">
        <f t="shared" si="101"/>
        <v>主たる営業所</v>
      </c>
      <c r="H822" s="405" t="str">
        <f t="shared" si="102"/>
        <v>杵築市山香町大字広瀬６３０－１</v>
      </c>
      <c r="L822" s="403" t="s">
        <v>9372</v>
      </c>
      <c r="M822" s="403" t="s">
        <v>9373</v>
      </c>
      <c r="N822" s="403" t="s">
        <v>2927</v>
      </c>
      <c r="O822" s="403" t="s">
        <v>7085</v>
      </c>
      <c r="P822" s="403" t="s">
        <v>2928</v>
      </c>
      <c r="Q822" s="403" t="s">
        <v>9374</v>
      </c>
      <c r="R822" s="403" t="s">
        <v>19233</v>
      </c>
      <c r="S822" s="403" t="s">
        <v>15460</v>
      </c>
      <c r="T822" s="403" t="s">
        <v>15461</v>
      </c>
      <c r="U822" s="403"/>
      <c r="V822" s="403" t="s">
        <v>23024</v>
      </c>
      <c r="W822" s="403" t="s">
        <v>23024</v>
      </c>
      <c r="X822" s="403" t="s">
        <v>23024</v>
      </c>
      <c r="Y822" s="403" t="s">
        <v>23024</v>
      </c>
    </row>
    <row r="823" spans="1:25">
      <c r="A823" s="363">
        <f t="shared" si="103"/>
        <v>822</v>
      </c>
      <c r="B823" s="363" t="str">
        <f t="shared" si="96"/>
        <v>44</v>
      </c>
      <c r="C823" s="405" t="str">
        <f t="shared" si="97"/>
        <v>第007516号</v>
      </c>
      <c r="D823" s="405" t="str">
        <f t="shared" si="98"/>
        <v>（有）松本産業</v>
      </c>
      <c r="E823" s="405" t="str">
        <f t="shared" si="99"/>
        <v>代表取締役</v>
      </c>
      <c r="F823" s="405" t="str">
        <f t="shared" si="100"/>
        <v>松本　英悟</v>
      </c>
      <c r="G823" s="405" t="str">
        <f t="shared" si="101"/>
        <v>主たる営業所</v>
      </c>
      <c r="H823" s="405" t="str">
        <f t="shared" si="102"/>
        <v>速見郡日出町大字大神４６１３</v>
      </c>
      <c r="L823" s="403" t="s">
        <v>9375</v>
      </c>
      <c r="M823" s="403" t="s">
        <v>9376</v>
      </c>
      <c r="N823" s="403" t="s">
        <v>2929</v>
      </c>
      <c r="O823" s="403" t="s">
        <v>7084</v>
      </c>
      <c r="P823" s="403" t="s">
        <v>2930</v>
      </c>
      <c r="Q823" s="403" t="s">
        <v>8382</v>
      </c>
      <c r="R823" s="403" t="s">
        <v>5521</v>
      </c>
      <c r="S823" s="403" t="s">
        <v>15462</v>
      </c>
      <c r="T823" s="403" t="s">
        <v>15463</v>
      </c>
      <c r="U823" s="403"/>
      <c r="V823" s="403" t="s">
        <v>23024</v>
      </c>
      <c r="W823" s="403" t="s">
        <v>23024</v>
      </c>
      <c r="X823" s="403" t="s">
        <v>23024</v>
      </c>
      <c r="Y823" s="403" t="s">
        <v>23024</v>
      </c>
    </row>
    <row r="824" spans="1:25">
      <c r="A824" s="363">
        <f t="shared" si="103"/>
        <v>823</v>
      </c>
      <c r="B824" s="363" t="str">
        <f t="shared" si="96"/>
        <v>44</v>
      </c>
      <c r="C824" s="405" t="str">
        <f t="shared" si="97"/>
        <v>第007521号</v>
      </c>
      <c r="D824" s="405" t="str">
        <f t="shared" si="98"/>
        <v>（株）光伸電気工事</v>
      </c>
      <c r="E824" s="405" t="str">
        <f t="shared" si="99"/>
        <v>代表取締役</v>
      </c>
      <c r="F824" s="405" t="str">
        <f t="shared" si="100"/>
        <v>藤本　哲生</v>
      </c>
      <c r="G824" s="405" t="str">
        <f t="shared" si="101"/>
        <v>主たる営業所</v>
      </c>
      <c r="H824" s="405" t="str">
        <f t="shared" si="102"/>
        <v>杵築市大字八坂２８３０－１</v>
      </c>
      <c r="L824" s="403" t="s">
        <v>9377</v>
      </c>
      <c r="M824" s="403" t="s">
        <v>9378</v>
      </c>
      <c r="N824" s="403" t="s">
        <v>2931</v>
      </c>
      <c r="O824" s="403" t="s">
        <v>7084</v>
      </c>
      <c r="P824" s="403" t="s">
        <v>2932</v>
      </c>
      <c r="Q824" s="403" t="s">
        <v>9379</v>
      </c>
      <c r="R824" s="403" t="s">
        <v>19234</v>
      </c>
      <c r="S824" s="403" t="s">
        <v>15464</v>
      </c>
      <c r="T824" s="403" t="s">
        <v>15465</v>
      </c>
      <c r="U824" s="403"/>
      <c r="V824" s="403" t="s">
        <v>23024</v>
      </c>
      <c r="W824" s="403" t="s">
        <v>23024</v>
      </c>
      <c r="X824" s="403" t="s">
        <v>23024</v>
      </c>
      <c r="Y824" s="403" t="s">
        <v>23024</v>
      </c>
    </row>
    <row r="825" spans="1:25">
      <c r="A825" s="363">
        <f t="shared" si="103"/>
        <v>824</v>
      </c>
      <c r="B825" s="363" t="str">
        <f t="shared" si="96"/>
        <v>44</v>
      </c>
      <c r="C825" s="405" t="str">
        <f t="shared" si="97"/>
        <v>第007529号</v>
      </c>
      <c r="D825" s="405" t="str">
        <f t="shared" si="98"/>
        <v>高原建設（株）</v>
      </c>
      <c r="E825" s="405" t="str">
        <f t="shared" si="99"/>
        <v>代表取締役</v>
      </c>
      <c r="F825" s="405" t="str">
        <f t="shared" si="100"/>
        <v>瀬立　英生</v>
      </c>
      <c r="G825" s="405" t="str">
        <f t="shared" si="101"/>
        <v>主たる営業所</v>
      </c>
      <c r="H825" s="405" t="str">
        <f t="shared" si="102"/>
        <v>大分市大字野津原１７０－１</v>
      </c>
      <c r="L825" s="403" t="s">
        <v>9380</v>
      </c>
      <c r="M825" s="403" t="s">
        <v>8426</v>
      </c>
      <c r="N825" s="403" t="s">
        <v>2933</v>
      </c>
      <c r="O825" s="403" t="s">
        <v>7084</v>
      </c>
      <c r="P825" s="403" t="s">
        <v>2934</v>
      </c>
      <c r="Q825" s="403" t="s">
        <v>7469</v>
      </c>
      <c r="R825" s="403" t="s">
        <v>19235</v>
      </c>
      <c r="S825" s="403" t="s">
        <v>15466</v>
      </c>
      <c r="T825" s="403" t="s">
        <v>15467</v>
      </c>
      <c r="U825" s="403"/>
      <c r="V825" s="403" t="s">
        <v>23024</v>
      </c>
      <c r="W825" s="403" t="s">
        <v>23024</v>
      </c>
      <c r="X825" s="403" t="s">
        <v>23024</v>
      </c>
      <c r="Y825" s="403" t="s">
        <v>23024</v>
      </c>
    </row>
    <row r="826" spans="1:25">
      <c r="A826" s="363">
        <f t="shared" si="103"/>
        <v>825</v>
      </c>
      <c r="B826" s="363" t="str">
        <f t="shared" si="96"/>
        <v>44</v>
      </c>
      <c r="C826" s="405" t="str">
        <f t="shared" si="97"/>
        <v>第007532号</v>
      </c>
      <c r="D826" s="405" t="str">
        <f t="shared" si="98"/>
        <v>菅建材工業（株）</v>
      </c>
      <c r="E826" s="405" t="str">
        <f t="shared" si="99"/>
        <v>代表取締役</v>
      </c>
      <c r="F826" s="405" t="str">
        <f t="shared" si="100"/>
        <v>菅　健一</v>
      </c>
      <c r="G826" s="405" t="str">
        <f t="shared" si="101"/>
        <v>主たる営業所</v>
      </c>
      <c r="H826" s="405" t="str">
        <f t="shared" si="102"/>
        <v>別府市石垣東４－１－３</v>
      </c>
      <c r="L826" s="403" t="s">
        <v>9381</v>
      </c>
      <c r="M826" s="403" t="s">
        <v>9382</v>
      </c>
      <c r="N826" s="403" t="s">
        <v>2935</v>
      </c>
      <c r="O826" s="403" t="s">
        <v>7084</v>
      </c>
      <c r="P826" s="403" t="s">
        <v>2936</v>
      </c>
      <c r="Q826" s="403" t="s">
        <v>7363</v>
      </c>
      <c r="R826" s="403" t="s">
        <v>19236</v>
      </c>
      <c r="S826" s="403" t="s">
        <v>15468</v>
      </c>
      <c r="T826" s="403" t="s">
        <v>15469</v>
      </c>
      <c r="U826" s="403"/>
      <c r="V826" s="403" t="s">
        <v>23024</v>
      </c>
      <c r="W826" s="403" t="s">
        <v>23024</v>
      </c>
      <c r="X826" s="403" t="s">
        <v>23024</v>
      </c>
      <c r="Y826" s="403" t="s">
        <v>23024</v>
      </c>
    </row>
    <row r="827" spans="1:25">
      <c r="A827" s="363">
        <f t="shared" si="103"/>
        <v>826</v>
      </c>
      <c r="B827" s="363" t="str">
        <f t="shared" si="96"/>
        <v>44</v>
      </c>
      <c r="C827" s="405" t="str">
        <f t="shared" si="97"/>
        <v>第007543号</v>
      </c>
      <c r="D827" s="405" t="str">
        <f t="shared" si="98"/>
        <v>（株）エー・イー・デー</v>
      </c>
      <c r="E827" s="405" t="str">
        <f t="shared" si="99"/>
        <v>代表取締役</v>
      </c>
      <c r="F827" s="405" t="str">
        <f t="shared" si="100"/>
        <v>二宮　孝詞</v>
      </c>
      <c r="G827" s="405" t="str">
        <f t="shared" si="101"/>
        <v>主たる営業所</v>
      </c>
      <c r="H827" s="405" t="str">
        <f t="shared" si="102"/>
        <v>別府市野口中町１７－４</v>
      </c>
      <c r="L827" s="403" t="s">
        <v>9383</v>
      </c>
      <c r="M827" s="403" t="s">
        <v>9384</v>
      </c>
      <c r="N827" s="403" t="s">
        <v>2937</v>
      </c>
      <c r="O827" s="403" t="s">
        <v>7084</v>
      </c>
      <c r="P827" s="403" t="s">
        <v>2938</v>
      </c>
      <c r="Q827" s="403" t="s">
        <v>9385</v>
      </c>
      <c r="R827" s="403" t="s">
        <v>19237</v>
      </c>
      <c r="S827" s="403" t="s">
        <v>15470</v>
      </c>
      <c r="T827" s="403" t="s">
        <v>15471</v>
      </c>
      <c r="U827" s="403"/>
      <c r="V827" s="403" t="s">
        <v>23024</v>
      </c>
      <c r="W827" s="403" t="s">
        <v>23024</v>
      </c>
      <c r="X827" s="403" t="s">
        <v>23024</v>
      </c>
      <c r="Y827" s="403" t="s">
        <v>23024</v>
      </c>
    </row>
    <row r="828" spans="1:25">
      <c r="A828" s="363">
        <f t="shared" si="103"/>
        <v>827</v>
      </c>
      <c r="B828" s="363" t="str">
        <f t="shared" si="96"/>
        <v>44</v>
      </c>
      <c r="C828" s="405" t="str">
        <f t="shared" si="97"/>
        <v>第007548号</v>
      </c>
      <c r="D828" s="405" t="str">
        <f t="shared" si="98"/>
        <v>（有）上杉土木</v>
      </c>
      <c r="E828" s="405" t="str">
        <f t="shared" si="99"/>
        <v>取締役</v>
      </c>
      <c r="F828" s="405" t="str">
        <f t="shared" si="100"/>
        <v>上杉　貞己</v>
      </c>
      <c r="G828" s="405" t="str">
        <f t="shared" si="101"/>
        <v>主たる営業所</v>
      </c>
      <c r="H828" s="405" t="str">
        <f t="shared" si="102"/>
        <v>杵築市大字大内６８５３－１６</v>
      </c>
      <c r="L828" s="403" t="s">
        <v>9386</v>
      </c>
      <c r="M828" s="403" t="s">
        <v>9387</v>
      </c>
      <c r="N828" s="403" t="s">
        <v>2939</v>
      </c>
      <c r="O828" s="403" t="s">
        <v>7085</v>
      </c>
      <c r="P828" s="403" t="s">
        <v>2940</v>
      </c>
      <c r="Q828" s="403" t="s">
        <v>7631</v>
      </c>
      <c r="R828" s="403" t="s">
        <v>19238</v>
      </c>
      <c r="S828" s="403" t="s">
        <v>15472</v>
      </c>
      <c r="T828" s="403" t="s">
        <v>15473</v>
      </c>
      <c r="U828" s="403"/>
      <c r="V828" s="403" t="s">
        <v>23024</v>
      </c>
      <c r="W828" s="403" t="s">
        <v>23024</v>
      </c>
      <c r="X828" s="403" t="s">
        <v>23024</v>
      </c>
      <c r="Y828" s="403" t="s">
        <v>23024</v>
      </c>
    </row>
    <row r="829" spans="1:25">
      <c r="A829" s="363">
        <f t="shared" si="103"/>
        <v>828</v>
      </c>
      <c r="B829" s="363" t="str">
        <f t="shared" si="96"/>
        <v>44</v>
      </c>
      <c r="C829" s="405" t="str">
        <f t="shared" si="97"/>
        <v>第007549号</v>
      </c>
      <c r="D829" s="405" t="str">
        <f t="shared" si="98"/>
        <v>（株）阿部工務店</v>
      </c>
      <c r="E829" s="405" t="str">
        <f t="shared" si="99"/>
        <v>代表取締役</v>
      </c>
      <c r="F829" s="405" t="str">
        <f t="shared" si="100"/>
        <v>阿部　敦</v>
      </c>
      <c r="G829" s="405" t="str">
        <f t="shared" si="101"/>
        <v>主たる営業所</v>
      </c>
      <c r="H829" s="405" t="str">
        <f t="shared" si="102"/>
        <v>杵築市大字日野１３２５</v>
      </c>
      <c r="L829" s="403" t="s">
        <v>9388</v>
      </c>
      <c r="M829" s="403" t="s">
        <v>9389</v>
      </c>
      <c r="N829" s="403" t="s">
        <v>2941</v>
      </c>
      <c r="O829" s="403" t="s">
        <v>7084</v>
      </c>
      <c r="P829" s="403" t="s">
        <v>2942</v>
      </c>
      <c r="Q829" s="403" t="s">
        <v>8441</v>
      </c>
      <c r="R829" s="403" t="s">
        <v>5522</v>
      </c>
      <c r="S829" s="403" t="s">
        <v>15474</v>
      </c>
      <c r="T829" s="403" t="s">
        <v>15475</v>
      </c>
      <c r="U829" s="403"/>
      <c r="V829" s="403" t="s">
        <v>23024</v>
      </c>
      <c r="W829" s="403" t="s">
        <v>23024</v>
      </c>
      <c r="X829" s="403" t="s">
        <v>23024</v>
      </c>
      <c r="Y829" s="403" t="s">
        <v>23024</v>
      </c>
    </row>
    <row r="830" spans="1:25">
      <c r="A830" s="363">
        <f t="shared" si="103"/>
        <v>829</v>
      </c>
      <c r="B830" s="363" t="str">
        <f t="shared" si="96"/>
        <v>44</v>
      </c>
      <c r="C830" s="405" t="str">
        <f t="shared" si="97"/>
        <v>第007550号</v>
      </c>
      <c r="D830" s="405" t="str">
        <f t="shared" si="98"/>
        <v>（株）東邦建設</v>
      </c>
      <c r="E830" s="405" t="str">
        <f t="shared" si="99"/>
        <v>代表取締役</v>
      </c>
      <c r="F830" s="405" t="str">
        <f t="shared" si="100"/>
        <v>吉田　國康</v>
      </c>
      <c r="G830" s="405" t="str">
        <f t="shared" si="101"/>
        <v>主たる営業所</v>
      </c>
      <c r="H830" s="405" t="str">
        <f t="shared" si="102"/>
        <v>杵築市大字片野３１２</v>
      </c>
      <c r="L830" s="403" t="s">
        <v>9390</v>
      </c>
      <c r="M830" s="403" t="s">
        <v>9391</v>
      </c>
      <c r="N830" s="403" t="s">
        <v>2943</v>
      </c>
      <c r="O830" s="403" t="s">
        <v>7084</v>
      </c>
      <c r="P830" s="403" t="s">
        <v>2944</v>
      </c>
      <c r="Q830" s="403" t="s">
        <v>9392</v>
      </c>
      <c r="R830" s="403" t="s">
        <v>5523</v>
      </c>
      <c r="S830" s="403" t="s">
        <v>15476</v>
      </c>
      <c r="T830" s="403" t="s">
        <v>15477</v>
      </c>
      <c r="U830" s="403"/>
      <c r="V830" s="403" t="s">
        <v>23024</v>
      </c>
      <c r="W830" s="403" t="s">
        <v>23024</v>
      </c>
      <c r="X830" s="403" t="s">
        <v>23024</v>
      </c>
      <c r="Y830" s="403" t="s">
        <v>23024</v>
      </c>
    </row>
    <row r="831" spans="1:25">
      <c r="A831" s="363">
        <f t="shared" si="103"/>
        <v>830</v>
      </c>
      <c r="B831" s="363" t="str">
        <f t="shared" si="96"/>
        <v>44</v>
      </c>
      <c r="C831" s="405" t="str">
        <f t="shared" si="97"/>
        <v>第007556号</v>
      </c>
      <c r="D831" s="405" t="str">
        <f t="shared" si="98"/>
        <v>（有）渡辺土木</v>
      </c>
      <c r="E831" s="405" t="str">
        <f t="shared" si="99"/>
        <v>取締役</v>
      </c>
      <c r="F831" s="405" t="str">
        <f t="shared" si="100"/>
        <v>渡邊　努</v>
      </c>
      <c r="G831" s="405" t="str">
        <f t="shared" si="101"/>
        <v>主たる営業所</v>
      </c>
      <c r="H831" s="405" t="str">
        <f t="shared" si="102"/>
        <v>別府市石垣東６－６－１８</v>
      </c>
      <c r="L831" s="403" t="s">
        <v>9393</v>
      </c>
      <c r="M831" s="403" t="s">
        <v>9207</v>
      </c>
      <c r="N831" s="403" t="s">
        <v>2801</v>
      </c>
      <c r="O831" s="403" t="s">
        <v>7085</v>
      </c>
      <c r="P831" s="403" t="s">
        <v>2945</v>
      </c>
      <c r="Q831" s="403" t="s">
        <v>7363</v>
      </c>
      <c r="R831" s="403" t="s">
        <v>19239</v>
      </c>
      <c r="S831" s="403" t="s">
        <v>15478</v>
      </c>
      <c r="T831" s="403" t="s">
        <v>15479</v>
      </c>
      <c r="U831" s="403"/>
      <c r="V831" s="403" t="s">
        <v>23024</v>
      </c>
      <c r="W831" s="403" t="s">
        <v>23024</v>
      </c>
      <c r="X831" s="403" t="s">
        <v>23024</v>
      </c>
      <c r="Y831" s="403" t="s">
        <v>23024</v>
      </c>
    </row>
    <row r="832" spans="1:25">
      <c r="A832" s="363">
        <f t="shared" si="103"/>
        <v>831</v>
      </c>
      <c r="B832" s="363" t="str">
        <f t="shared" si="96"/>
        <v>44</v>
      </c>
      <c r="C832" s="405" t="str">
        <f t="shared" si="97"/>
        <v>第007565号</v>
      </c>
      <c r="D832" s="405" t="str">
        <f t="shared" si="98"/>
        <v>（有）飯田土木</v>
      </c>
      <c r="E832" s="405" t="str">
        <f t="shared" si="99"/>
        <v>代表取締役</v>
      </c>
      <c r="F832" s="405" t="str">
        <f t="shared" si="100"/>
        <v>飯田　新二</v>
      </c>
      <c r="G832" s="405" t="str">
        <f t="shared" si="101"/>
        <v>主たる営業所</v>
      </c>
      <c r="H832" s="405" t="str">
        <f t="shared" si="102"/>
        <v>別府市南立石板地町９－７</v>
      </c>
      <c r="L832" s="403" t="s">
        <v>9394</v>
      </c>
      <c r="M832" s="403" t="s">
        <v>9395</v>
      </c>
      <c r="N832" s="403" t="s">
        <v>2946</v>
      </c>
      <c r="O832" s="403" t="s">
        <v>7084</v>
      </c>
      <c r="P832" s="403" t="s">
        <v>2947</v>
      </c>
      <c r="Q832" s="403" t="s">
        <v>9396</v>
      </c>
      <c r="R832" s="403" t="s">
        <v>19240</v>
      </c>
      <c r="S832" s="403" t="s">
        <v>15480</v>
      </c>
      <c r="T832" s="403" t="s">
        <v>15481</v>
      </c>
      <c r="U832" s="403"/>
      <c r="V832" s="403" t="s">
        <v>23024</v>
      </c>
      <c r="W832" s="403" t="s">
        <v>23024</v>
      </c>
      <c r="X832" s="403" t="s">
        <v>23024</v>
      </c>
      <c r="Y832" s="403" t="s">
        <v>23024</v>
      </c>
    </row>
    <row r="833" spans="1:25">
      <c r="A833" s="363">
        <f t="shared" si="103"/>
        <v>832</v>
      </c>
      <c r="B833" s="363" t="str">
        <f t="shared" si="96"/>
        <v>44</v>
      </c>
      <c r="C833" s="405" t="str">
        <f t="shared" si="97"/>
        <v>第007575号</v>
      </c>
      <c r="D833" s="405" t="str">
        <f t="shared" si="98"/>
        <v>（有）永野工務店</v>
      </c>
      <c r="E833" s="405" t="str">
        <f t="shared" si="99"/>
        <v>代表取締役</v>
      </c>
      <c r="F833" s="405" t="str">
        <f t="shared" si="100"/>
        <v>永野　英範</v>
      </c>
      <c r="G833" s="405" t="str">
        <f t="shared" si="101"/>
        <v>主たる営業所</v>
      </c>
      <c r="H833" s="405" t="str">
        <f t="shared" si="102"/>
        <v>別府市春木町４－６</v>
      </c>
      <c r="L833" s="403" t="s">
        <v>9397</v>
      </c>
      <c r="M833" s="403" t="s">
        <v>9398</v>
      </c>
      <c r="N833" s="403" t="s">
        <v>2948</v>
      </c>
      <c r="O833" s="403" t="s">
        <v>7084</v>
      </c>
      <c r="P833" s="403" t="s">
        <v>2949</v>
      </c>
      <c r="Q833" s="403" t="s">
        <v>9399</v>
      </c>
      <c r="R833" s="403" t="s">
        <v>19241</v>
      </c>
      <c r="S833" s="403" t="s">
        <v>15482</v>
      </c>
      <c r="T833" s="403" t="s">
        <v>15483</v>
      </c>
      <c r="U833" s="403"/>
      <c r="V833" s="403" t="s">
        <v>23024</v>
      </c>
      <c r="W833" s="403" t="s">
        <v>23024</v>
      </c>
      <c r="X833" s="403" t="s">
        <v>23024</v>
      </c>
      <c r="Y833" s="403" t="s">
        <v>23024</v>
      </c>
    </row>
    <row r="834" spans="1:25">
      <c r="A834" s="363">
        <f t="shared" si="103"/>
        <v>833</v>
      </c>
      <c r="B834" s="363" t="str">
        <f t="shared" ref="B834:B897" si="104">LEFT(L834,2)</f>
        <v>44</v>
      </c>
      <c r="C834" s="405" t="str">
        <f t="shared" ref="C834:C897" si="105">IF(B834="","","第"&amp;RIGHT(L834,6)&amp;"号")</f>
        <v>第007579号</v>
      </c>
      <c r="D834" s="405" t="str">
        <f t="shared" ref="D834:D897" si="106">N834</f>
        <v>（有）フジ設備工業</v>
      </c>
      <c r="E834" s="405" t="str">
        <f t="shared" ref="E834:E897" si="107">IF(V834="　",O834,"")</f>
        <v>代表取締役</v>
      </c>
      <c r="F834" s="405" t="str">
        <f t="shared" ref="F834:F897" si="108">IF(V834="　",P834,W834)</f>
        <v>熊谷　浩孝</v>
      </c>
      <c r="G834" s="405" t="str">
        <f t="shared" ref="G834:G897" si="109">IF(V834="　","主たる営業所",V834)</f>
        <v>主たる営業所</v>
      </c>
      <c r="H834" s="405" t="str">
        <f t="shared" ref="H834:H897" si="110">IF(V834="　",R834,Y834)</f>
        <v>別府市大字北石垣１１１０－１９</v>
      </c>
      <c r="L834" s="403" t="s">
        <v>9400</v>
      </c>
      <c r="M834" s="403" t="s">
        <v>9401</v>
      </c>
      <c r="N834" s="403" t="s">
        <v>2950</v>
      </c>
      <c r="O834" s="403" t="s">
        <v>7084</v>
      </c>
      <c r="P834" s="403" t="s">
        <v>2951</v>
      </c>
      <c r="Q834" s="403" t="s">
        <v>9402</v>
      </c>
      <c r="R834" s="403" t="s">
        <v>19242</v>
      </c>
      <c r="S834" s="403" t="s">
        <v>15484</v>
      </c>
      <c r="T834" s="403" t="s">
        <v>15485</v>
      </c>
      <c r="U834" s="403"/>
      <c r="V834" s="403" t="s">
        <v>23024</v>
      </c>
      <c r="W834" s="403" t="s">
        <v>23024</v>
      </c>
      <c r="X834" s="403" t="s">
        <v>23024</v>
      </c>
      <c r="Y834" s="403" t="s">
        <v>23024</v>
      </c>
    </row>
    <row r="835" spans="1:25">
      <c r="A835" s="363">
        <f t="shared" ref="A835:A898" si="111">IF(B835="","",A834+1)</f>
        <v>834</v>
      </c>
      <c r="B835" s="363" t="str">
        <f t="shared" si="104"/>
        <v>44</v>
      </c>
      <c r="C835" s="405" t="str">
        <f t="shared" si="105"/>
        <v>第007604号</v>
      </c>
      <c r="D835" s="405" t="str">
        <f t="shared" si="106"/>
        <v>（有）阿部土木</v>
      </c>
      <c r="E835" s="405" t="str">
        <f t="shared" si="107"/>
        <v>代表取締役</v>
      </c>
      <c r="F835" s="405" t="str">
        <f t="shared" si="108"/>
        <v>阿部　優子</v>
      </c>
      <c r="G835" s="405" t="str">
        <f t="shared" si="109"/>
        <v>主たる営業所</v>
      </c>
      <c r="H835" s="405" t="str">
        <f t="shared" si="110"/>
        <v>別府市小倉町６６－２７</v>
      </c>
      <c r="L835" s="403" t="s">
        <v>9403</v>
      </c>
      <c r="M835" s="403" t="s">
        <v>9404</v>
      </c>
      <c r="N835" s="403" t="s">
        <v>2952</v>
      </c>
      <c r="O835" s="403" t="s">
        <v>7084</v>
      </c>
      <c r="P835" s="403" t="s">
        <v>2953</v>
      </c>
      <c r="Q835" s="403" t="s">
        <v>7625</v>
      </c>
      <c r="R835" s="403" t="s">
        <v>19243</v>
      </c>
      <c r="S835" s="403" t="s">
        <v>15486</v>
      </c>
      <c r="T835" s="403" t="s">
        <v>15486</v>
      </c>
      <c r="U835" s="403"/>
      <c r="V835" s="403" t="s">
        <v>23024</v>
      </c>
      <c r="W835" s="403" t="s">
        <v>23024</v>
      </c>
      <c r="X835" s="403" t="s">
        <v>23024</v>
      </c>
      <c r="Y835" s="403" t="s">
        <v>23024</v>
      </c>
    </row>
    <row r="836" spans="1:25">
      <c r="A836" s="363">
        <f t="shared" si="111"/>
        <v>835</v>
      </c>
      <c r="B836" s="363" t="str">
        <f t="shared" si="104"/>
        <v>44</v>
      </c>
      <c r="C836" s="405" t="str">
        <f t="shared" si="105"/>
        <v>第007609号</v>
      </c>
      <c r="D836" s="405" t="str">
        <f t="shared" si="106"/>
        <v>地熱ワールド工業（株）</v>
      </c>
      <c r="E836" s="405" t="str">
        <f t="shared" si="107"/>
        <v>代表取締役</v>
      </c>
      <c r="F836" s="405" t="str">
        <f t="shared" si="108"/>
        <v>小島　賢太郎</v>
      </c>
      <c r="G836" s="405" t="str">
        <f t="shared" si="109"/>
        <v>主たる営業所</v>
      </c>
      <c r="H836" s="405" t="str">
        <f t="shared" si="110"/>
        <v>別府市朝日ケ丘町５－１９</v>
      </c>
      <c r="L836" s="403" t="s">
        <v>9405</v>
      </c>
      <c r="M836" s="403" t="s">
        <v>9406</v>
      </c>
      <c r="N836" s="403" t="s">
        <v>2954</v>
      </c>
      <c r="O836" s="403" t="s">
        <v>7084</v>
      </c>
      <c r="P836" s="403" t="s">
        <v>2955</v>
      </c>
      <c r="Q836" s="403" t="s">
        <v>9407</v>
      </c>
      <c r="R836" s="403" t="s">
        <v>19244</v>
      </c>
      <c r="S836" s="403" t="s">
        <v>15487</v>
      </c>
      <c r="T836" s="403" t="s">
        <v>15488</v>
      </c>
      <c r="U836" s="403"/>
      <c r="V836" s="403" t="s">
        <v>23024</v>
      </c>
      <c r="W836" s="403" t="s">
        <v>23024</v>
      </c>
      <c r="X836" s="403" t="s">
        <v>23024</v>
      </c>
      <c r="Y836" s="403" t="s">
        <v>23024</v>
      </c>
    </row>
    <row r="837" spans="1:25">
      <c r="A837" s="363">
        <f t="shared" si="111"/>
        <v>836</v>
      </c>
      <c r="B837" s="363" t="str">
        <f t="shared" si="104"/>
        <v>44</v>
      </c>
      <c r="C837" s="405" t="str">
        <f t="shared" si="105"/>
        <v>第007611号</v>
      </c>
      <c r="D837" s="405" t="str">
        <f t="shared" si="106"/>
        <v>（株）板井装飾</v>
      </c>
      <c r="E837" s="405" t="str">
        <f t="shared" si="107"/>
        <v>代表取締役</v>
      </c>
      <c r="F837" s="405" t="str">
        <f t="shared" si="108"/>
        <v>板井　覚</v>
      </c>
      <c r="G837" s="405" t="str">
        <f t="shared" si="109"/>
        <v>主たる営業所</v>
      </c>
      <c r="H837" s="405" t="str">
        <f t="shared" si="110"/>
        <v>別府市小倉町６５－５０</v>
      </c>
      <c r="L837" s="403" t="s">
        <v>9408</v>
      </c>
      <c r="M837" s="403" t="s">
        <v>9409</v>
      </c>
      <c r="N837" s="403" t="s">
        <v>2956</v>
      </c>
      <c r="O837" s="403" t="s">
        <v>7084</v>
      </c>
      <c r="P837" s="403" t="s">
        <v>2957</v>
      </c>
      <c r="Q837" s="403" t="s">
        <v>7625</v>
      </c>
      <c r="R837" s="403" t="s">
        <v>19245</v>
      </c>
      <c r="S837" s="403" t="s">
        <v>15489</v>
      </c>
      <c r="T837" s="403" t="s">
        <v>15490</v>
      </c>
      <c r="U837" s="403"/>
      <c r="V837" s="403" t="s">
        <v>23024</v>
      </c>
      <c r="W837" s="403" t="s">
        <v>23024</v>
      </c>
      <c r="X837" s="403" t="s">
        <v>23024</v>
      </c>
      <c r="Y837" s="403" t="s">
        <v>23024</v>
      </c>
    </row>
    <row r="838" spans="1:25">
      <c r="A838" s="363">
        <f t="shared" si="111"/>
        <v>837</v>
      </c>
      <c r="B838" s="363" t="str">
        <f t="shared" si="104"/>
        <v>44</v>
      </c>
      <c r="C838" s="405" t="str">
        <f t="shared" si="105"/>
        <v>第007613号</v>
      </c>
      <c r="D838" s="405" t="str">
        <f t="shared" si="106"/>
        <v>村井建設（有）</v>
      </c>
      <c r="E838" s="405" t="str">
        <f t="shared" si="107"/>
        <v>代表取締役</v>
      </c>
      <c r="F838" s="405" t="str">
        <f t="shared" si="108"/>
        <v>村井　良一</v>
      </c>
      <c r="G838" s="405" t="str">
        <f t="shared" si="109"/>
        <v>主たる営業所</v>
      </c>
      <c r="H838" s="405" t="str">
        <f t="shared" si="110"/>
        <v>別府市大字鶴見１０３－２０</v>
      </c>
      <c r="L838" s="403" t="s">
        <v>9410</v>
      </c>
      <c r="M838" s="403" t="s">
        <v>9411</v>
      </c>
      <c r="N838" s="403" t="s">
        <v>2958</v>
      </c>
      <c r="O838" s="403" t="s">
        <v>7084</v>
      </c>
      <c r="P838" s="403" t="s">
        <v>2959</v>
      </c>
      <c r="Q838" s="403" t="s">
        <v>9412</v>
      </c>
      <c r="R838" s="403" t="s">
        <v>19246</v>
      </c>
      <c r="S838" s="403" t="s">
        <v>15491</v>
      </c>
      <c r="T838" s="403" t="s">
        <v>15492</v>
      </c>
      <c r="U838" s="403"/>
      <c r="V838" s="403" t="s">
        <v>23024</v>
      </c>
      <c r="W838" s="403" t="s">
        <v>23024</v>
      </c>
      <c r="X838" s="403" t="s">
        <v>23024</v>
      </c>
      <c r="Y838" s="403" t="s">
        <v>23024</v>
      </c>
    </row>
    <row r="839" spans="1:25">
      <c r="A839" s="363">
        <f t="shared" si="111"/>
        <v>838</v>
      </c>
      <c r="B839" s="363" t="str">
        <f t="shared" si="104"/>
        <v>44</v>
      </c>
      <c r="C839" s="405" t="str">
        <f t="shared" si="105"/>
        <v>第007615号</v>
      </c>
      <c r="D839" s="405" t="str">
        <f t="shared" si="106"/>
        <v>（株）サン・タナカ</v>
      </c>
      <c r="E839" s="405" t="str">
        <f t="shared" si="107"/>
        <v>代表取締役</v>
      </c>
      <c r="F839" s="405" t="str">
        <f t="shared" si="108"/>
        <v>首藤　崇宏</v>
      </c>
      <c r="G839" s="405" t="str">
        <f t="shared" si="109"/>
        <v>主たる営業所</v>
      </c>
      <c r="H839" s="405" t="str">
        <f t="shared" si="110"/>
        <v>別府市新別府町３３－３６</v>
      </c>
      <c r="L839" s="403" t="s">
        <v>9413</v>
      </c>
      <c r="M839" s="403" t="s">
        <v>9414</v>
      </c>
      <c r="N839" s="403" t="s">
        <v>2960</v>
      </c>
      <c r="O839" s="403" t="s">
        <v>7084</v>
      </c>
      <c r="P839" s="403" t="s">
        <v>2961</v>
      </c>
      <c r="Q839" s="403" t="s">
        <v>9415</v>
      </c>
      <c r="R839" s="403" t="s">
        <v>19247</v>
      </c>
      <c r="S839" s="403" t="s">
        <v>15493</v>
      </c>
      <c r="T839" s="403" t="s">
        <v>15494</v>
      </c>
      <c r="U839" s="403"/>
      <c r="V839" s="403" t="s">
        <v>23024</v>
      </c>
      <c r="W839" s="403" t="s">
        <v>23024</v>
      </c>
      <c r="X839" s="403" t="s">
        <v>23024</v>
      </c>
      <c r="Y839" s="403" t="s">
        <v>23024</v>
      </c>
    </row>
    <row r="840" spans="1:25">
      <c r="A840" s="363">
        <f t="shared" si="111"/>
        <v>839</v>
      </c>
      <c r="B840" s="363" t="str">
        <f t="shared" si="104"/>
        <v>44</v>
      </c>
      <c r="C840" s="405" t="str">
        <f t="shared" si="105"/>
        <v>第007621号</v>
      </c>
      <c r="D840" s="405" t="str">
        <f t="shared" si="106"/>
        <v>（有）アーク</v>
      </c>
      <c r="E840" s="405" t="str">
        <f t="shared" si="107"/>
        <v>取締役</v>
      </c>
      <c r="F840" s="405" t="str">
        <f t="shared" si="108"/>
        <v>亀井　孝</v>
      </c>
      <c r="G840" s="405" t="str">
        <f t="shared" si="109"/>
        <v>主たる営業所</v>
      </c>
      <c r="H840" s="405" t="str">
        <f t="shared" si="110"/>
        <v>別府市北浜３－１１－２５</v>
      </c>
      <c r="L840" s="403" t="s">
        <v>9416</v>
      </c>
      <c r="M840" s="403" t="s">
        <v>9417</v>
      </c>
      <c r="N840" s="403" t="s">
        <v>2962</v>
      </c>
      <c r="O840" s="403" t="s">
        <v>7085</v>
      </c>
      <c r="P840" s="403" t="s">
        <v>2963</v>
      </c>
      <c r="Q840" s="403" t="s">
        <v>9418</v>
      </c>
      <c r="R840" s="403" t="s">
        <v>19248</v>
      </c>
      <c r="S840" s="403" t="s">
        <v>15495</v>
      </c>
      <c r="T840" s="403" t="s">
        <v>15496</v>
      </c>
      <c r="U840" s="403"/>
      <c r="V840" s="403" t="s">
        <v>23024</v>
      </c>
      <c r="W840" s="403" t="s">
        <v>23024</v>
      </c>
      <c r="X840" s="403" t="s">
        <v>23024</v>
      </c>
      <c r="Y840" s="403" t="s">
        <v>23024</v>
      </c>
    </row>
    <row r="841" spans="1:25">
      <c r="A841" s="363">
        <f t="shared" si="111"/>
        <v>840</v>
      </c>
      <c r="B841" s="363" t="str">
        <f t="shared" si="104"/>
        <v>44</v>
      </c>
      <c r="C841" s="405" t="str">
        <f t="shared" si="105"/>
        <v>第007624号</v>
      </c>
      <c r="D841" s="405" t="str">
        <f t="shared" si="106"/>
        <v>（有）樋口建設</v>
      </c>
      <c r="E841" s="405" t="str">
        <f t="shared" si="107"/>
        <v>代表取締役</v>
      </c>
      <c r="F841" s="405" t="str">
        <f t="shared" si="108"/>
        <v>樋口　浩</v>
      </c>
      <c r="G841" s="405" t="str">
        <f t="shared" si="109"/>
        <v>主たる営業所</v>
      </c>
      <c r="H841" s="405" t="str">
        <f t="shared" si="110"/>
        <v>速見郡日出町３４０８－２</v>
      </c>
      <c r="L841" s="403" t="s">
        <v>9419</v>
      </c>
      <c r="M841" s="403" t="s">
        <v>9420</v>
      </c>
      <c r="N841" s="403" t="s">
        <v>2964</v>
      </c>
      <c r="O841" s="403" t="s">
        <v>7084</v>
      </c>
      <c r="P841" s="403" t="s">
        <v>2965</v>
      </c>
      <c r="Q841" s="403" t="s">
        <v>7628</v>
      </c>
      <c r="R841" s="403" t="s">
        <v>19249</v>
      </c>
      <c r="S841" s="403" t="s">
        <v>15497</v>
      </c>
      <c r="T841" s="403" t="s">
        <v>15498</v>
      </c>
      <c r="U841" s="403"/>
      <c r="V841" s="403" t="s">
        <v>23024</v>
      </c>
      <c r="W841" s="403" t="s">
        <v>23024</v>
      </c>
      <c r="X841" s="403" t="s">
        <v>23024</v>
      </c>
      <c r="Y841" s="403" t="s">
        <v>23024</v>
      </c>
    </row>
    <row r="842" spans="1:25">
      <c r="A842" s="363">
        <f t="shared" si="111"/>
        <v>841</v>
      </c>
      <c r="B842" s="363" t="str">
        <f t="shared" si="104"/>
        <v>44</v>
      </c>
      <c r="C842" s="405" t="str">
        <f t="shared" si="105"/>
        <v>第007632号</v>
      </c>
      <c r="D842" s="405" t="str">
        <f t="shared" si="106"/>
        <v>（有）大塚ボーリング工業</v>
      </c>
      <c r="E842" s="405" t="str">
        <f t="shared" si="107"/>
        <v>代表取締役</v>
      </c>
      <c r="F842" s="405" t="str">
        <f t="shared" si="108"/>
        <v>大塚　博之</v>
      </c>
      <c r="G842" s="405" t="str">
        <f t="shared" si="109"/>
        <v>主たる営業所</v>
      </c>
      <c r="H842" s="405" t="str">
        <f t="shared" si="110"/>
        <v>別府市上原町１－３０</v>
      </c>
      <c r="L842" s="403" t="s">
        <v>9421</v>
      </c>
      <c r="M842" s="403" t="s">
        <v>9422</v>
      </c>
      <c r="N842" s="403" t="s">
        <v>2966</v>
      </c>
      <c r="O842" s="403" t="s">
        <v>7084</v>
      </c>
      <c r="P842" s="403" t="s">
        <v>2967</v>
      </c>
      <c r="Q842" s="403" t="s">
        <v>9200</v>
      </c>
      <c r="R842" s="403" t="s">
        <v>19250</v>
      </c>
      <c r="S842" s="403" t="s">
        <v>15499</v>
      </c>
      <c r="T842" s="403" t="s">
        <v>15500</v>
      </c>
      <c r="U842" s="403"/>
      <c r="V842" s="403" t="s">
        <v>23024</v>
      </c>
      <c r="W842" s="403" t="s">
        <v>23024</v>
      </c>
      <c r="X842" s="403" t="s">
        <v>23024</v>
      </c>
      <c r="Y842" s="403" t="s">
        <v>23024</v>
      </c>
    </row>
    <row r="843" spans="1:25">
      <c r="A843" s="363">
        <f t="shared" si="111"/>
        <v>842</v>
      </c>
      <c r="B843" s="363" t="str">
        <f t="shared" si="104"/>
        <v>44</v>
      </c>
      <c r="C843" s="405" t="str">
        <f t="shared" si="105"/>
        <v>第007635号</v>
      </c>
      <c r="D843" s="405" t="str">
        <f t="shared" si="106"/>
        <v>（有）友永設備工業</v>
      </c>
      <c r="E843" s="405" t="str">
        <f t="shared" si="107"/>
        <v>代表取締役</v>
      </c>
      <c r="F843" s="405" t="str">
        <f t="shared" si="108"/>
        <v>友永　忠幸</v>
      </c>
      <c r="G843" s="405" t="str">
        <f t="shared" si="109"/>
        <v>主たる営業所</v>
      </c>
      <c r="H843" s="405" t="str">
        <f t="shared" si="110"/>
        <v>別府市大字鉄輪１３５３－４</v>
      </c>
      <c r="L843" s="403" t="s">
        <v>9423</v>
      </c>
      <c r="M843" s="403" t="s">
        <v>9424</v>
      </c>
      <c r="N843" s="403" t="s">
        <v>2968</v>
      </c>
      <c r="O843" s="403" t="s">
        <v>7084</v>
      </c>
      <c r="P843" s="403" t="s">
        <v>2969</v>
      </c>
      <c r="Q843" s="403" t="s">
        <v>9425</v>
      </c>
      <c r="R843" s="403" t="s">
        <v>19251</v>
      </c>
      <c r="S843" s="403" t="s">
        <v>15501</v>
      </c>
      <c r="T843" s="403" t="s">
        <v>15502</v>
      </c>
      <c r="U843" s="403"/>
      <c r="V843" s="403" t="s">
        <v>23024</v>
      </c>
      <c r="W843" s="403" t="s">
        <v>23024</v>
      </c>
      <c r="X843" s="403" t="s">
        <v>23024</v>
      </c>
      <c r="Y843" s="403" t="s">
        <v>23024</v>
      </c>
    </row>
    <row r="844" spans="1:25">
      <c r="A844" s="363">
        <f t="shared" si="111"/>
        <v>843</v>
      </c>
      <c r="B844" s="363" t="str">
        <f t="shared" si="104"/>
        <v>44</v>
      </c>
      <c r="C844" s="405" t="str">
        <f t="shared" si="105"/>
        <v>第007641号</v>
      </c>
      <c r="D844" s="405" t="str">
        <f t="shared" si="106"/>
        <v>（有）清森建設</v>
      </c>
      <c r="E844" s="405" t="str">
        <f t="shared" si="107"/>
        <v>代表取締役</v>
      </c>
      <c r="F844" s="405" t="str">
        <f t="shared" si="108"/>
        <v>森本　直樹</v>
      </c>
      <c r="G844" s="405" t="str">
        <f t="shared" si="109"/>
        <v>主たる営業所</v>
      </c>
      <c r="H844" s="405" t="str">
        <f t="shared" si="110"/>
        <v>別府市扇山６－７－１</v>
      </c>
      <c r="L844" s="403" t="s">
        <v>9426</v>
      </c>
      <c r="M844" s="403" t="s">
        <v>9427</v>
      </c>
      <c r="N844" s="403" t="s">
        <v>2970</v>
      </c>
      <c r="O844" s="403" t="s">
        <v>7084</v>
      </c>
      <c r="P844" s="403" t="s">
        <v>2971</v>
      </c>
      <c r="Q844" s="403" t="s">
        <v>9203</v>
      </c>
      <c r="R844" s="403" t="s">
        <v>19252</v>
      </c>
      <c r="S844" s="403" t="s">
        <v>15503</v>
      </c>
      <c r="T844" s="403" t="s">
        <v>15504</v>
      </c>
      <c r="U844" s="403"/>
      <c r="V844" s="403" t="s">
        <v>23024</v>
      </c>
      <c r="W844" s="403" t="s">
        <v>23024</v>
      </c>
      <c r="X844" s="403" t="s">
        <v>23024</v>
      </c>
      <c r="Y844" s="403" t="s">
        <v>23024</v>
      </c>
    </row>
    <row r="845" spans="1:25">
      <c r="A845" s="363">
        <f t="shared" si="111"/>
        <v>844</v>
      </c>
      <c r="B845" s="363" t="str">
        <f t="shared" si="104"/>
        <v>44</v>
      </c>
      <c r="C845" s="405" t="str">
        <f t="shared" si="105"/>
        <v>第007649号</v>
      </c>
      <c r="D845" s="405" t="str">
        <f t="shared" si="106"/>
        <v>（有）藤原建築</v>
      </c>
      <c r="E845" s="405" t="str">
        <f t="shared" si="107"/>
        <v>代表取締役</v>
      </c>
      <c r="F845" s="405" t="str">
        <f t="shared" si="108"/>
        <v>加藤　浩二</v>
      </c>
      <c r="G845" s="405" t="str">
        <f t="shared" si="109"/>
        <v>主たる営業所</v>
      </c>
      <c r="H845" s="405" t="str">
        <f t="shared" si="110"/>
        <v>杵築市大字宮司９０５</v>
      </c>
      <c r="L845" s="403" t="s">
        <v>19253</v>
      </c>
      <c r="M845" s="403" t="s">
        <v>11071</v>
      </c>
      <c r="N845" s="403" t="s">
        <v>19254</v>
      </c>
      <c r="O845" s="403" t="s">
        <v>7084</v>
      </c>
      <c r="P845" s="403" t="s">
        <v>19255</v>
      </c>
      <c r="Q845" s="403" t="s">
        <v>9212</v>
      </c>
      <c r="R845" s="403" t="s">
        <v>19256</v>
      </c>
      <c r="S845" s="403" t="s">
        <v>19257</v>
      </c>
      <c r="T845" s="403" t="s">
        <v>19258</v>
      </c>
      <c r="U845" s="403"/>
      <c r="V845" s="403" t="s">
        <v>23024</v>
      </c>
      <c r="W845" s="403" t="s">
        <v>23024</v>
      </c>
      <c r="X845" s="403" t="s">
        <v>23024</v>
      </c>
      <c r="Y845" s="403" t="s">
        <v>23024</v>
      </c>
    </row>
    <row r="846" spans="1:25">
      <c r="A846" s="363">
        <f t="shared" si="111"/>
        <v>845</v>
      </c>
      <c r="B846" s="363" t="str">
        <f t="shared" si="104"/>
        <v>44</v>
      </c>
      <c r="C846" s="405" t="str">
        <f t="shared" si="105"/>
        <v>第007685号</v>
      </c>
      <c r="D846" s="405" t="str">
        <f t="shared" si="106"/>
        <v>トータルハウジング河野建業（有）</v>
      </c>
      <c r="E846" s="405" t="str">
        <f t="shared" si="107"/>
        <v>代表取締役</v>
      </c>
      <c r="F846" s="405" t="str">
        <f t="shared" si="108"/>
        <v>小野　亮子</v>
      </c>
      <c r="G846" s="405" t="str">
        <f t="shared" si="109"/>
        <v>主たる営業所</v>
      </c>
      <c r="H846" s="405" t="str">
        <f t="shared" si="110"/>
        <v>別府市石垣西７－４－１３</v>
      </c>
      <c r="L846" s="403" t="s">
        <v>9429</v>
      </c>
      <c r="M846" s="403" t="s">
        <v>9430</v>
      </c>
      <c r="N846" s="403" t="s">
        <v>2972</v>
      </c>
      <c r="O846" s="403" t="s">
        <v>7084</v>
      </c>
      <c r="P846" s="403" t="s">
        <v>5246</v>
      </c>
      <c r="Q846" s="403" t="s">
        <v>8438</v>
      </c>
      <c r="R846" s="403" t="s">
        <v>19259</v>
      </c>
      <c r="S846" s="403" t="s">
        <v>15505</v>
      </c>
      <c r="T846" s="403" t="s">
        <v>15506</v>
      </c>
      <c r="U846" s="403"/>
      <c r="V846" s="403" t="s">
        <v>23024</v>
      </c>
      <c r="W846" s="403" t="s">
        <v>23024</v>
      </c>
      <c r="X846" s="403" t="s">
        <v>23024</v>
      </c>
      <c r="Y846" s="403" t="s">
        <v>23024</v>
      </c>
    </row>
    <row r="847" spans="1:25">
      <c r="A847" s="363">
        <f t="shared" si="111"/>
        <v>846</v>
      </c>
      <c r="B847" s="363" t="str">
        <f t="shared" si="104"/>
        <v>44</v>
      </c>
      <c r="C847" s="405" t="str">
        <f t="shared" si="105"/>
        <v>第007690号</v>
      </c>
      <c r="D847" s="405" t="str">
        <f t="shared" si="106"/>
        <v>（株）安部勇建設</v>
      </c>
      <c r="E847" s="405" t="str">
        <f t="shared" si="107"/>
        <v>代表取締役</v>
      </c>
      <c r="F847" s="405" t="str">
        <f t="shared" si="108"/>
        <v>安部　勇</v>
      </c>
      <c r="G847" s="405" t="str">
        <f t="shared" si="109"/>
        <v>主たる営業所</v>
      </c>
      <c r="H847" s="405" t="str">
        <f t="shared" si="110"/>
        <v>別府市鶴見４－１５－１</v>
      </c>
      <c r="L847" s="403" t="s">
        <v>9431</v>
      </c>
      <c r="M847" s="403" t="s">
        <v>9432</v>
      </c>
      <c r="N847" s="403" t="s">
        <v>2973</v>
      </c>
      <c r="O847" s="403" t="s">
        <v>7084</v>
      </c>
      <c r="P847" s="403" t="s">
        <v>2974</v>
      </c>
      <c r="Q847" s="403" t="s">
        <v>9433</v>
      </c>
      <c r="R847" s="403" t="s">
        <v>19260</v>
      </c>
      <c r="S847" s="403" t="s">
        <v>15507</v>
      </c>
      <c r="T847" s="403" t="s">
        <v>15508</v>
      </c>
      <c r="U847" s="403"/>
      <c r="V847" s="403" t="s">
        <v>23024</v>
      </c>
      <c r="W847" s="403" t="s">
        <v>23024</v>
      </c>
      <c r="X847" s="403" t="s">
        <v>23024</v>
      </c>
      <c r="Y847" s="403" t="s">
        <v>23024</v>
      </c>
    </row>
    <row r="848" spans="1:25">
      <c r="A848" s="363">
        <f t="shared" si="111"/>
        <v>847</v>
      </c>
      <c r="B848" s="363" t="str">
        <f t="shared" si="104"/>
        <v>44</v>
      </c>
      <c r="C848" s="405" t="str">
        <f t="shared" si="105"/>
        <v>第007695号</v>
      </c>
      <c r="D848" s="405" t="str">
        <f t="shared" si="106"/>
        <v>（有）ゴトー造園クリエイト</v>
      </c>
      <c r="E848" s="405" t="str">
        <f t="shared" si="107"/>
        <v>代表取締役</v>
      </c>
      <c r="F848" s="405" t="str">
        <f t="shared" si="108"/>
        <v>加納　基晴</v>
      </c>
      <c r="G848" s="405" t="str">
        <f t="shared" si="109"/>
        <v>主たる営業所</v>
      </c>
      <c r="H848" s="405" t="str">
        <f t="shared" si="110"/>
        <v>別府市古市町１０－２７</v>
      </c>
      <c r="L848" s="403" t="s">
        <v>9434</v>
      </c>
      <c r="M848" s="403" t="s">
        <v>9435</v>
      </c>
      <c r="N848" s="403" t="s">
        <v>2975</v>
      </c>
      <c r="O848" s="403" t="s">
        <v>7084</v>
      </c>
      <c r="P848" s="403" t="s">
        <v>2976</v>
      </c>
      <c r="Q848" s="403" t="s">
        <v>8414</v>
      </c>
      <c r="R848" s="403" t="s">
        <v>19261</v>
      </c>
      <c r="S848" s="403" t="s">
        <v>15509</v>
      </c>
      <c r="T848" s="403" t="s">
        <v>15510</v>
      </c>
      <c r="U848" s="403"/>
      <c r="V848" s="403" t="s">
        <v>23024</v>
      </c>
      <c r="W848" s="403" t="s">
        <v>23024</v>
      </c>
      <c r="X848" s="403" t="s">
        <v>23024</v>
      </c>
      <c r="Y848" s="403" t="s">
        <v>23024</v>
      </c>
    </row>
    <row r="849" spans="1:25">
      <c r="A849" s="363">
        <f t="shared" si="111"/>
        <v>848</v>
      </c>
      <c r="B849" s="363" t="str">
        <f t="shared" si="104"/>
        <v>44</v>
      </c>
      <c r="C849" s="405" t="str">
        <f t="shared" si="105"/>
        <v>第007705号</v>
      </c>
      <c r="D849" s="405" t="str">
        <f t="shared" si="106"/>
        <v>（株）豊産業</v>
      </c>
      <c r="E849" s="405" t="str">
        <f t="shared" si="107"/>
        <v>代表取締役</v>
      </c>
      <c r="F849" s="405" t="str">
        <f t="shared" si="108"/>
        <v>川邉　透</v>
      </c>
      <c r="G849" s="405" t="str">
        <f t="shared" si="109"/>
        <v>主たる営業所</v>
      </c>
      <c r="H849" s="405" t="str">
        <f t="shared" si="110"/>
        <v>臼杵市大字末広２６３２－２</v>
      </c>
      <c r="L849" s="403" t="s">
        <v>9436</v>
      </c>
      <c r="M849" s="403" t="s">
        <v>9437</v>
      </c>
      <c r="N849" s="403" t="s">
        <v>2977</v>
      </c>
      <c r="O849" s="403" t="s">
        <v>7084</v>
      </c>
      <c r="P849" s="403" t="s">
        <v>2978</v>
      </c>
      <c r="Q849" s="403" t="s">
        <v>7780</v>
      </c>
      <c r="R849" s="403" t="s">
        <v>19262</v>
      </c>
      <c r="S849" s="403" t="s">
        <v>15511</v>
      </c>
      <c r="T849" s="403" t="s">
        <v>15512</v>
      </c>
      <c r="U849" s="403"/>
      <c r="V849" s="403" t="s">
        <v>23024</v>
      </c>
      <c r="W849" s="403" t="s">
        <v>23024</v>
      </c>
      <c r="X849" s="403" t="s">
        <v>23024</v>
      </c>
      <c r="Y849" s="403" t="s">
        <v>23024</v>
      </c>
    </row>
    <row r="850" spans="1:25">
      <c r="A850" s="363">
        <f t="shared" si="111"/>
        <v>849</v>
      </c>
      <c r="B850" s="363" t="str">
        <f t="shared" si="104"/>
        <v>44</v>
      </c>
      <c r="C850" s="405" t="str">
        <f t="shared" si="105"/>
        <v>第007710号</v>
      </c>
      <c r="D850" s="405" t="str">
        <f t="shared" si="106"/>
        <v>（株）小坂設備工業</v>
      </c>
      <c r="E850" s="405" t="str">
        <f t="shared" si="107"/>
        <v>代表取締役</v>
      </c>
      <c r="F850" s="405" t="str">
        <f t="shared" si="108"/>
        <v>小坂　定</v>
      </c>
      <c r="G850" s="405" t="str">
        <f t="shared" si="109"/>
        <v>主たる営業所</v>
      </c>
      <c r="H850" s="405" t="str">
        <f t="shared" si="110"/>
        <v>臼杵市大字井村字黒友２１４５－３</v>
      </c>
      <c r="L850" s="403" t="s">
        <v>9438</v>
      </c>
      <c r="M850" s="403" t="s">
        <v>9439</v>
      </c>
      <c r="N850" s="403" t="s">
        <v>2979</v>
      </c>
      <c r="O850" s="403" t="s">
        <v>7084</v>
      </c>
      <c r="P850" s="403" t="s">
        <v>2980</v>
      </c>
      <c r="Q850" s="403" t="s">
        <v>8961</v>
      </c>
      <c r="R850" s="403" t="s">
        <v>19263</v>
      </c>
      <c r="S850" s="403" t="s">
        <v>15513</v>
      </c>
      <c r="T850" s="403" t="s">
        <v>15514</v>
      </c>
      <c r="U850" s="403"/>
      <c r="V850" s="403" t="s">
        <v>23024</v>
      </c>
      <c r="W850" s="403" t="s">
        <v>23024</v>
      </c>
      <c r="X850" s="403" t="s">
        <v>23024</v>
      </c>
      <c r="Y850" s="403" t="s">
        <v>23024</v>
      </c>
    </row>
    <row r="851" spans="1:25">
      <c r="A851" s="363">
        <f t="shared" si="111"/>
        <v>850</v>
      </c>
      <c r="B851" s="363" t="str">
        <f t="shared" si="104"/>
        <v>44</v>
      </c>
      <c r="C851" s="405" t="str">
        <f t="shared" si="105"/>
        <v>第007717号</v>
      </c>
      <c r="D851" s="405" t="str">
        <f t="shared" si="106"/>
        <v>（株）臼杵造船所</v>
      </c>
      <c r="E851" s="405" t="str">
        <f t="shared" si="107"/>
        <v>代表取締役</v>
      </c>
      <c r="F851" s="405" t="str">
        <f t="shared" si="108"/>
        <v>山本　勇一</v>
      </c>
      <c r="G851" s="405" t="str">
        <f t="shared" si="109"/>
        <v>主たる営業所</v>
      </c>
      <c r="H851" s="405" t="str">
        <f t="shared" si="110"/>
        <v>臼杵市大字板知屋１－１２</v>
      </c>
      <c r="L851" s="403" t="s">
        <v>9440</v>
      </c>
      <c r="M851" s="403" t="s">
        <v>9441</v>
      </c>
      <c r="N851" s="403" t="s">
        <v>2981</v>
      </c>
      <c r="O851" s="403" t="s">
        <v>7084</v>
      </c>
      <c r="P851" s="403" t="s">
        <v>2982</v>
      </c>
      <c r="Q851" s="403" t="s">
        <v>7744</v>
      </c>
      <c r="R851" s="403" t="s">
        <v>19264</v>
      </c>
      <c r="S851" s="403" t="s">
        <v>15515</v>
      </c>
      <c r="T851" s="403" t="s">
        <v>15516</v>
      </c>
      <c r="U851" s="403"/>
      <c r="V851" s="403" t="s">
        <v>23024</v>
      </c>
      <c r="W851" s="403" t="s">
        <v>23024</v>
      </c>
      <c r="X851" s="403" t="s">
        <v>23024</v>
      </c>
      <c r="Y851" s="403" t="s">
        <v>23024</v>
      </c>
    </row>
    <row r="852" spans="1:25">
      <c r="A852" s="363">
        <f t="shared" si="111"/>
        <v>851</v>
      </c>
      <c r="B852" s="363" t="str">
        <f t="shared" si="104"/>
        <v>44</v>
      </c>
      <c r="C852" s="405" t="str">
        <f t="shared" si="105"/>
        <v>第007726号</v>
      </c>
      <c r="D852" s="405" t="str">
        <f t="shared" si="106"/>
        <v>（有）遠藤水道</v>
      </c>
      <c r="E852" s="405" t="str">
        <f t="shared" si="107"/>
        <v>代表取締役</v>
      </c>
      <c r="F852" s="405" t="str">
        <f t="shared" si="108"/>
        <v>遠藤　陽介</v>
      </c>
      <c r="G852" s="405" t="str">
        <f t="shared" si="109"/>
        <v>主たる営業所</v>
      </c>
      <c r="H852" s="405" t="str">
        <f t="shared" si="110"/>
        <v>臼杵市大字市浜１５８</v>
      </c>
      <c r="L852" s="403" t="s">
        <v>9442</v>
      </c>
      <c r="M852" s="403" t="s">
        <v>9443</v>
      </c>
      <c r="N852" s="403" t="s">
        <v>2983</v>
      </c>
      <c r="O852" s="403" t="s">
        <v>7084</v>
      </c>
      <c r="P852" s="403" t="s">
        <v>2984</v>
      </c>
      <c r="Q852" s="403" t="s">
        <v>7741</v>
      </c>
      <c r="R852" s="403" t="s">
        <v>5524</v>
      </c>
      <c r="S852" s="403" t="s">
        <v>15517</v>
      </c>
      <c r="T852" s="403" t="s">
        <v>15518</v>
      </c>
      <c r="U852" s="403"/>
      <c r="V852" s="403" t="s">
        <v>23024</v>
      </c>
      <c r="W852" s="403" t="s">
        <v>23024</v>
      </c>
      <c r="X852" s="403" t="s">
        <v>23024</v>
      </c>
      <c r="Y852" s="403" t="s">
        <v>23024</v>
      </c>
    </row>
    <row r="853" spans="1:25">
      <c r="A853" s="363">
        <f t="shared" si="111"/>
        <v>852</v>
      </c>
      <c r="B853" s="363" t="str">
        <f t="shared" si="104"/>
        <v>44</v>
      </c>
      <c r="C853" s="405" t="str">
        <f t="shared" si="105"/>
        <v>第007728号</v>
      </c>
      <c r="D853" s="405" t="str">
        <f t="shared" si="106"/>
        <v>（有）臼杵設備</v>
      </c>
      <c r="E853" s="405" t="str">
        <f t="shared" si="107"/>
        <v>代表取締役</v>
      </c>
      <c r="F853" s="405" t="str">
        <f t="shared" si="108"/>
        <v>薬師寺　満知子</v>
      </c>
      <c r="G853" s="405" t="str">
        <f t="shared" si="109"/>
        <v>主たる営業所</v>
      </c>
      <c r="H853" s="405" t="str">
        <f t="shared" si="110"/>
        <v>臼杵市大字臼杵７２－２２</v>
      </c>
      <c r="L853" s="403" t="s">
        <v>9444</v>
      </c>
      <c r="M853" s="403" t="s">
        <v>9445</v>
      </c>
      <c r="N853" s="403" t="s">
        <v>2985</v>
      </c>
      <c r="O853" s="403" t="s">
        <v>7084</v>
      </c>
      <c r="P853" s="403" t="s">
        <v>2986</v>
      </c>
      <c r="Q853" s="403" t="s">
        <v>7757</v>
      </c>
      <c r="R853" s="403" t="s">
        <v>19265</v>
      </c>
      <c r="S853" s="403" t="s">
        <v>15519</v>
      </c>
      <c r="T853" s="403" t="s">
        <v>15520</v>
      </c>
      <c r="U853" s="403"/>
      <c r="V853" s="403" t="s">
        <v>23024</v>
      </c>
      <c r="W853" s="403" t="s">
        <v>23024</v>
      </c>
      <c r="X853" s="403" t="s">
        <v>23024</v>
      </c>
      <c r="Y853" s="403" t="s">
        <v>23024</v>
      </c>
    </row>
    <row r="854" spans="1:25">
      <c r="A854" s="363">
        <f t="shared" si="111"/>
        <v>853</v>
      </c>
      <c r="B854" s="363" t="str">
        <f t="shared" si="104"/>
        <v>44</v>
      </c>
      <c r="C854" s="405" t="str">
        <f t="shared" si="105"/>
        <v>第007731号</v>
      </c>
      <c r="D854" s="405" t="str">
        <f t="shared" si="106"/>
        <v>（株）板井林業</v>
      </c>
      <c r="E854" s="405" t="str">
        <f t="shared" si="107"/>
        <v>代表取締役</v>
      </c>
      <c r="F854" s="405" t="str">
        <f t="shared" si="108"/>
        <v>板井　信一郎</v>
      </c>
      <c r="G854" s="405" t="str">
        <f t="shared" si="109"/>
        <v>主たる営業所</v>
      </c>
      <c r="H854" s="405" t="str">
        <f t="shared" si="110"/>
        <v>臼杵市大字臼杵字洲崎７２－２６６</v>
      </c>
      <c r="L854" s="403" t="s">
        <v>9446</v>
      </c>
      <c r="M854" s="403" t="s">
        <v>9447</v>
      </c>
      <c r="N854" s="403" t="s">
        <v>2987</v>
      </c>
      <c r="O854" s="403" t="s">
        <v>7084</v>
      </c>
      <c r="P854" s="403" t="s">
        <v>2988</v>
      </c>
      <c r="Q854" s="403" t="s">
        <v>7757</v>
      </c>
      <c r="R854" s="403" t="s">
        <v>19266</v>
      </c>
      <c r="S854" s="403" t="s">
        <v>15521</v>
      </c>
      <c r="T854" s="403" t="s">
        <v>15522</v>
      </c>
      <c r="U854" s="403"/>
      <c r="V854" s="403" t="s">
        <v>23024</v>
      </c>
      <c r="W854" s="403" t="s">
        <v>23024</v>
      </c>
      <c r="X854" s="403" t="s">
        <v>23024</v>
      </c>
      <c r="Y854" s="403" t="s">
        <v>23024</v>
      </c>
    </row>
    <row r="855" spans="1:25">
      <c r="A855" s="363">
        <f t="shared" si="111"/>
        <v>854</v>
      </c>
      <c r="B855" s="363" t="str">
        <f t="shared" si="104"/>
        <v>44</v>
      </c>
      <c r="C855" s="405" t="str">
        <f t="shared" si="105"/>
        <v>第007737号</v>
      </c>
      <c r="D855" s="405" t="str">
        <f t="shared" si="106"/>
        <v>（株）丸勝組</v>
      </c>
      <c r="E855" s="405" t="str">
        <f t="shared" si="107"/>
        <v>代表取締役</v>
      </c>
      <c r="F855" s="405" t="str">
        <f t="shared" si="108"/>
        <v>三浦　良昭</v>
      </c>
      <c r="G855" s="405" t="str">
        <f t="shared" si="109"/>
        <v>主たる営業所</v>
      </c>
      <c r="H855" s="405" t="str">
        <f t="shared" si="110"/>
        <v>臼杵市大字諏訪１７４８</v>
      </c>
      <c r="L855" s="403" t="s">
        <v>9448</v>
      </c>
      <c r="M855" s="403" t="s">
        <v>9449</v>
      </c>
      <c r="N855" s="403" t="s">
        <v>2989</v>
      </c>
      <c r="O855" s="403" t="s">
        <v>7084</v>
      </c>
      <c r="P855" s="403" t="s">
        <v>2990</v>
      </c>
      <c r="Q855" s="403" t="s">
        <v>7788</v>
      </c>
      <c r="R855" s="403" t="s">
        <v>5525</v>
      </c>
      <c r="S855" s="403" t="s">
        <v>15523</v>
      </c>
      <c r="T855" s="403" t="s">
        <v>15524</v>
      </c>
      <c r="U855" s="403"/>
      <c r="V855" s="403" t="s">
        <v>23024</v>
      </c>
      <c r="W855" s="403" t="s">
        <v>23024</v>
      </c>
      <c r="X855" s="403" t="s">
        <v>23024</v>
      </c>
      <c r="Y855" s="403" t="s">
        <v>23024</v>
      </c>
    </row>
    <row r="856" spans="1:25">
      <c r="A856" s="363">
        <f t="shared" si="111"/>
        <v>855</v>
      </c>
      <c r="B856" s="363" t="str">
        <f t="shared" si="104"/>
        <v>44</v>
      </c>
      <c r="C856" s="405" t="str">
        <f t="shared" si="105"/>
        <v>第007747号</v>
      </c>
      <c r="D856" s="405" t="str">
        <f t="shared" si="106"/>
        <v>（有）政栄建設工業</v>
      </c>
      <c r="E856" s="405" t="str">
        <f t="shared" si="107"/>
        <v>代表取締役</v>
      </c>
      <c r="F856" s="405" t="str">
        <f t="shared" si="108"/>
        <v>新納　行政</v>
      </c>
      <c r="G856" s="405" t="str">
        <f t="shared" si="109"/>
        <v>主たる営業所</v>
      </c>
      <c r="H856" s="405" t="str">
        <f t="shared" si="110"/>
        <v>津久見市大字津久見７８９４</v>
      </c>
      <c r="L856" s="403" t="s">
        <v>9450</v>
      </c>
      <c r="M856" s="403" t="s">
        <v>9451</v>
      </c>
      <c r="N856" s="403" t="s">
        <v>2991</v>
      </c>
      <c r="O856" s="403" t="s">
        <v>7084</v>
      </c>
      <c r="P856" s="403" t="s">
        <v>2992</v>
      </c>
      <c r="Q856" s="403" t="s">
        <v>7319</v>
      </c>
      <c r="R856" s="403" t="s">
        <v>5526</v>
      </c>
      <c r="S856" s="403" t="s">
        <v>15525</v>
      </c>
      <c r="T856" s="403" t="s">
        <v>15526</v>
      </c>
      <c r="U856" s="403"/>
      <c r="V856" s="403" t="s">
        <v>23024</v>
      </c>
      <c r="W856" s="403" t="s">
        <v>23024</v>
      </c>
      <c r="X856" s="403" t="s">
        <v>23024</v>
      </c>
      <c r="Y856" s="403" t="s">
        <v>23024</v>
      </c>
    </row>
    <row r="857" spans="1:25">
      <c r="A857" s="363">
        <f t="shared" si="111"/>
        <v>856</v>
      </c>
      <c r="B857" s="363" t="str">
        <f t="shared" si="104"/>
        <v>44</v>
      </c>
      <c r="C857" s="405" t="str">
        <f t="shared" si="105"/>
        <v>第007752号</v>
      </c>
      <c r="D857" s="405" t="str">
        <f t="shared" si="106"/>
        <v>（有）臼杵緑地</v>
      </c>
      <c r="E857" s="405" t="str">
        <f t="shared" si="107"/>
        <v>代表取締役</v>
      </c>
      <c r="F857" s="405" t="str">
        <f t="shared" si="108"/>
        <v>川邉　倫子</v>
      </c>
      <c r="G857" s="405" t="str">
        <f t="shared" si="109"/>
        <v>主たる営業所</v>
      </c>
      <c r="H857" s="405" t="str">
        <f t="shared" si="110"/>
        <v>臼杵市大字戸室３５５－５</v>
      </c>
      <c r="L857" s="403" t="s">
        <v>9452</v>
      </c>
      <c r="M857" s="403" t="s">
        <v>9453</v>
      </c>
      <c r="N857" s="403" t="s">
        <v>2993</v>
      </c>
      <c r="O857" s="403" t="s">
        <v>7084</v>
      </c>
      <c r="P857" s="403" t="s">
        <v>2994</v>
      </c>
      <c r="Q857" s="403" t="s">
        <v>8997</v>
      </c>
      <c r="R857" s="403" t="s">
        <v>19267</v>
      </c>
      <c r="S857" s="403" t="s">
        <v>15527</v>
      </c>
      <c r="T857" s="403" t="s">
        <v>15512</v>
      </c>
      <c r="U857" s="403"/>
      <c r="V857" s="403" t="s">
        <v>23024</v>
      </c>
      <c r="W857" s="403" t="s">
        <v>23024</v>
      </c>
      <c r="X857" s="403" t="s">
        <v>23024</v>
      </c>
      <c r="Y857" s="403" t="s">
        <v>23024</v>
      </c>
    </row>
    <row r="858" spans="1:25">
      <c r="A858" s="363">
        <f t="shared" si="111"/>
        <v>857</v>
      </c>
      <c r="B858" s="363" t="str">
        <f t="shared" si="104"/>
        <v>44</v>
      </c>
      <c r="C858" s="405" t="str">
        <f t="shared" si="105"/>
        <v>第007754号</v>
      </c>
      <c r="D858" s="405" t="str">
        <f t="shared" si="106"/>
        <v>（有）日本国土開発</v>
      </c>
      <c r="E858" s="405" t="str">
        <f t="shared" si="107"/>
        <v>取締役社長</v>
      </c>
      <c r="F858" s="405" t="str">
        <f t="shared" si="108"/>
        <v>椎原　和子</v>
      </c>
      <c r="G858" s="405" t="str">
        <f t="shared" si="109"/>
        <v>主たる営業所</v>
      </c>
      <c r="H858" s="405" t="str">
        <f t="shared" si="110"/>
        <v>臼杵市大字福良１８０８－２</v>
      </c>
      <c r="L858" s="403" t="s">
        <v>9454</v>
      </c>
      <c r="M858" s="403" t="s">
        <v>9455</v>
      </c>
      <c r="N858" s="403" t="s">
        <v>2995</v>
      </c>
      <c r="O858" s="403" t="s">
        <v>7089</v>
      </c>
      <c r="P858" s="403" t="s">
        <v>2996</v>
      </c>
      <c r="Q858" s="403" t="s">
        <v>9456</v>
      </c>
      <c r="R858" s="403" t="s">
        <v>19268</v>
      </c>
      <c r="S858" s="403" t="s">
        <v>15528</v>
      </c>
      <c r="T858" s="403" t="s">
        <v>15529</v>
      </c>
      <c r="U858" s="403"/>
      <c r="V858" s="403" t="s">
        <v>23024</v>
      </c>
      <c r="W858" s="403" t="s">
        <v>23024</v>
      </c>
      <c r="X858" s="403" t="s">
        <v>23024</v>
      </c>
      <c r="Y858" s="403" t="s">
        <v>23024</v>
      </c>
    </row>
    <row r="859" spans="1:25">
      <c r="A859" s="363">
        <f t="shared" si="111"/>
        <v>858</v>
      </c>
      <c r="B859" s="363" t="str">
        <f t="shared" si="104"/>
        <v>44</v>
      </c>
      <c r="C859" s="405" t="str">
        <f t="shared" si="105"/>
        <v>第007761号</v>
      </c>
      <c r="D859" s="405" t="str">
        <f t="shared" si="106"/>
        <v>稗田建設工業（株）</v>
      </c>
      <c r="E859" s="405" t="str">
        <f t="shared" si="107"/>
        <v>代表取締役</v>
      </c>
      <c r="F859" s="405" t="str">
        <f t="shared" si="108"/>
        <v>稗田　正治</v>
      </c>
      <c r="G859" s="405" t="str">
        <f t="shared" si="109"/>
        <v>主たる営業所</v>
      </c>
      <c r="H859" s="405" t="str">
        <f t="shared" si="110"/>
        <v>臼杵市大字江無田１６６４－２</v>
      </c>
      <c r="L859" s="403" t="s">
        <v>9457</v>
      </c>
      <c r="M859" s="403" t="s">
        <v>9458</v>
      </c>
      <c r="N859" s="403" t="s">
        <v>2997</v>
      </c>
      <c r="O859" s="403" t="s">
        <v>7084</v>
      </c>
      <c r="P859" s="403" t="s">
        <v>2998</v>
      </c>
      <c r="Q859" s="403" t="s">
        <v>7768</v>
      </c>
      <c r="R859" s="403" t="s">
        <v>19269</v>
      </c>
      <c r="S859" s="403" t="s">
        <v>15530</v>
      </c>
      <c r="T859" s="403" t="s">
        <v>15531</v>
      </c>
      <c r="U859" s="403"/>
      <c r="V859" s="403" t="s">
        <v>23024</v>
      </c>
      <c r="W859" s="403" t="s">
        <v>23024</v>
      </c>
      <c r="X859" s="403" t="s">
        <v>23024</v>
      </c>
      <c r="Y859" s="403" t="s">
        <v>23024</v>
      </c>
    </row>
    <row r="860" spans="1:25">
      <c r="A860" s="363">
        <f t="shared" si="111"/>
        <v>859</v>
      </c>
      <c r="B860" s="363" t="str">
        <f t="shared" si="104"/>
        <v>44</v>
      </c>
      <c r="C860" s="405" t="str">
        <f t="shared" si="105"/>
        <v>第007763号</v>
      </c>
      <c r="D860" s="405" t="str">
        <f t="shared" si="106"/>
        <v>（株）ライフテック・井上</v>
      </c>
      <c r="E860" s="405" t="str">
        <f t="shared" si="107"/>
        <v>代表取締役</v>
      </c>
      <c r="F860" s="405" t="str">
        <f t="shared" si="108"/>
        <v>井上　雅順</v>
      </c>
      <c r="G860" s="405" t="str">
        <f t="shared" si="109"/>
        <v>主たる営業所</v>
      </c>
      <c r="H860" s="405" t="str">
        <f t="shared" si="110"/>
        <v>大分市大字一尺屋３０１３</v>
      </c>
      <c r="L860" s="403" t="s">
        <v>9459</v>
      </c>
      <c r="M860" s="403" t="s">
        <v>9460</v>
      </c>
      <c r="N860" s="403" t="s">
        <v>2999</v>
      </c>
      <c r="O860" s="403" t="s">
        <v>7084</v>
      </c>
      <c r="P860" s="403" t="s">
        <v>3000</v>
      </c>
      <c r="Q860" s="403" t="s">
        <v>9461</v>
      </c>
      <c r="R860" s="403" t="s">
        <v>5527</v>
      </c>
      <c r="S860" s="403" t="s">
        <v>15532</v>
      </c>
      <c r="T860" s="403" t="s">
        <v>15533</v>
      </c>
      <c r="U860" s="403"/>
      <c r="V860" s="403" t="s">
        <v>23024</v>
      </c>
      <c r="W860" s="403" t="s">
        <v>23024</v>
      </c>
      <c r="X860" s="403" t="s">
        <v>23024</v>
      </c>
      <c r="Y860" s="403" t="s">
        <v>23024</v>
      </c>
    </row>
    <row r="861" spans="1:25">
      <c r="A861" s="363">
        <f t="shared" si="111"/>
        <v>860</v>
      </c>
      <c r="B861" s="363" t="str">
        <f t="shared" si="104"/>
        <v>44</v>
      </c>
      <c r="C861" s="405" t="str">
        <f t="shared" si="105"/>
        <v>第007770号</v>
      </c>
      <c r="D861" s="405" t="str">
        <f t="shared" si="106"/>
        <v>鶴兼興産（株）</v>
      </c>
      <c r="E861" s="405" t="str">
        <f t="shared" si="107"/>
        <v>代表取締役</v>
      </c>
      <c r="F861" s="405" t="str">
        <f t="shared" si="108"/>
        <v>河野　美恵子</v>
      </c>
      <c r="G861" s="405" t="str">
        <f t="shared" si="109"/>
        <v>主たる営業所</v>
      </c>
      <c r="H861" s="405" t="str">
        <f t="shared" si="110"/>
        <v>臼杵市大字海添３５０</v>
      </c>
      <c r="L861" s="403" t="s">
        <v>9462</v>
      </c>
      <c r="M861" s="403" t="s">
        <v>9463</v>
      </c>
      <c r="N861" s="403" t="s">
        <v>3001</v>
      </c>
      <c r="O861" s="403" t="s">
        <v>7084</v>
      </c>
      <c r="P861" s="403" t="s">
        <v>3002</v>
      </c>
      <c r="Q861" s="403" t="s">
        <v>7763</v>
      </c>
      <c r="R861" s="403" t="s">
        <v>5528</v>
      </c>
      <c r="S861" s="403" t="s">
        <v>15534</v>
      </c>
      <c r="T861" s="403" t="s">
        <v>15534</v>
      </c>
      <c r="U861" s="403"/>
      <c r="V861" s="403" t="s">
        <v>23024</v>
      </c>
      <c r="W861" s="403" t="s">
        <v>23024</v>
      </c>
      <c r="X861" s="403" t="s">
        <v>23024</v>
      </c>
      <c r="Y861" s="403" t="s">
        <v>23024</v>
      </c>
    </row>
    <row r="862" spans="1:25">
      <c r="A862" s="363">
        <f t="shared" si="111"/>
        <v>861</v>
      </c>
      <c r="B862" s="363" t="str">
        <f t="shared" si="104"/>
        <v>44</v>
      </c>
      <c r="C862" s="405" t="str">
        <f t="shared" si="105"/>
        <v>第007771号</v>
      </c>
      <c r="D862" s="405" t="str">
        <f t="shared" si="106"/>
        <v>（有）首藤建設</v>
      </c>
      <c r="E862" s="405" t="str">
        <f t="shared" si="107"/>
        <v>代表取締役</v>
      </c>
      <c r="F862" s="405" t="str">
        <f t="shared" si="108"/>
        <v>首藤　康信</v>
      </c>
      <c r="G862" s="405" t="str">
        <f t="shared" si="109"/>
        <v>主たる営業所</v>
      </c>
      <c r="H862" s="405" t="str">
        <f t="shared" si="110"/>
        <v>臼杵市大字前田字西谷１２５３</v>
      </c>
      <c r="L862" s="403" t="s">
        <v>9464</v>
      </c>
      <c r="M862" s="403" t="s">
        <v>7519</v>
      </c>
      <c r="N862" s="403" t="s">
        <v>1568</v>
      </c>
      <c r="O862" s="403" t="s">
        <v>7084</v>
      </c>
      <c r="P862" s="403" t="s">
        <v>3003</v>
      </c>
      <c r="Q862" s="403" t="s">
        <v>7574</v>
      </c>
      <c r="R862" s="403" t="s">
        <v>5529</v>
      </c>
      <c r="S862" s="403" t="s">
        <v>15535</v>
      </c>
      <c r="T862" s="403" t="s">
        <v>15536</v>
      </c>
      <c r="U862" s="403"/>
      <c r="V862" s="403" t="s">
        <v>23024</v>
      </c>
      <c r="W862" s="403" t="s">
        <v>23024</v>
      </c>
      <c r="X862" s="403" t="s">
        <v>23024</v>
      </c>
      <c r="Y862" s="403" t="s">
        <v>23024</v>
      </c>
    </row>
    <row r="863" spans="1:25">
      <c r="A863" s="363">
        <f t="shared" si="111"/>
        <v>862</v>
      </c>
      <c r="B863" s="363" t="str">
        <f t="shared" si="104"/>
        <v>44</v>
      </c>
      <c r="C863" s="405" t="str">
        <f t="shared" si="105"/>
        <v>第007776号</v>
      </c>
      <c r="D863" s="405" t="str">
        <f t="shared" si="106"/>
        <v>（有）藤沢工業</v>
      </c>
      <c r="E863" s="405" t="str">
        <f t="shared" si="107"/>
        <v>取締役</v>
      </c>
      <c r="F863" s="405" t="str">
        <f t="shared" si="108"/>
        <v>藤澤　誠司</v>
      </c>
      <c r="G863" s="405" t="str">
        <f t="shared" si="109"/>
        <v>主たる営業所</v>
      </c>
      <c r="H863" s="405" t="str">
        <f t="shared" si="110"/>
        <v>臼杵市大字田井９９３－１</v>
      </c>
      <c r="L863" s="403" t="s">
        <v>9465</v>
      </c>
      <c r="M863" s="403" t="s">
        <v>9466</v>
      </c>
      <c r="N863" s="403" t="s">
        <v>3004</v>
      </c>
      <c r="O863" s="403" t="s">
        <v>7085</v>
      </c>
      <c r="P863" s="403" t="s">
        <v>3005</v>
      </c>
      <c r="Q863" s="403" t="s">
        <v>9467</v>
      </c>
      <c r="R863" s="403" t="s">
        <v>19270</v>
      </c>
      <c r="S863" s="403" t="s">
        <v>15537</v>
      </c>
      <c r="T863" s="403" t="s">
        <v>15538</v>
      </c>
      <c r="U863" s="403"/>
      <c r="V863" s="403" t="s">
        <v>23024</v>
      </c>
      <c r="W863" s="403" t="s">
        <v>23024</v>
      </c>
      <c r="X863" s="403" t="s">
        <v>23024</v>
      </c>
      <c r="Y863" s="403" t="s">
        <v>23024</v>
      </c>
    </row>
    <row r="864" spans="1:25">
      <c r="A864" s="363">
        <f t="shared" si="111"/>
        <v>863</v>
      </c>
      <c r="B864" s="363" t="str">
        <f t="shared" si="104"/>
        <v>44</v>
      </c>
      <c r="C864" s="405" t="str">
        <f t="shared" si="105"/>
        <v>第007820号</v>
      </c>
      <c r="D864" s="405" t="str">
        <f t="shared" si="106"/>
        <v>（有）三好電気</v>
      </c>
      <c r="E864" s="405" t="str">
        <f t="shared" si="107"/>
        <v>代表取締役</v>
      </c>
      <c r="F864" s="405" t="str">
        <f t="shared" si="108"/>
        <v>三好　和宏</v>
      </c>
      <c r="G864" s="405" t="str">
        <f t="shared" si="109"/>
        <v>主たる営業所</v>
      </c>
      <c r="H864" s="405" t="str">
        <f t="shared" si="110"/>
        <v>中津市大字永添１８６４－１４</v>
      </c>
      <c r="L864" s="403" t="s">
        <v>9468</v>
      </c>
      <c r="M864" s="403" t="s">
        <v>9469</v>
      </c>
      <c r="N864" s="403" t="s">
        <v>3006</v>
      </c>
      <c r="O864" s="403" t="s">
        <v>7084</v>
      </c>
      <c r="P864" s="403" t="s">
        <v>3007</v>
      </c>
      <c r="Q864" s="403" t="s">
        <v>8111</v>
      </c>
      <c r="R864" s="403" t="s">
        <v>19271</v>
      </c>
      <c r="S864" s="403" t="s">
        <v>15539</v>
      </c>
      <c r="T864" s="403" t="s">
        <v>15540</v>
      </c>
      <c r="U864" s="403"/>
      <c r="V864" s="403" t="s">
        <v>23024</v>
      </c>
      <c r="W864" s="403" t="s">
        <v>23024</v>
      </c>
      <c r="X864" s="403" t="s">
        <v>23024</v>
      </c>
      <c r="Y864" s="403" t="s">
        <v>23024</v>
      </c>
    </row>
    <row r="865" spans="1:25">
      <c r="A865" s="363">
        <f t="shared" si="111"/>
        <v>864</v>
      </c>
      <c r="B865" s="363" t="str">
        <f t="shared" si="104"/>
        <v>44</v>
      </c>
      <c r="C865" s="405" t="str">
        <f t="shared" si="105"/>
        <v>第007823号</v>
      </c>
      <c r="D865" s="405" t="str">
        <f t="shared" si="106"/>
        <v>朝日建設（有）</v>
      </c>
      <c r="E865" s="405" t="str">
        <f t="shared" si="107"/>
        <v>代表取締役</v>
      </c>
      <c r="F865" s="405" t="str">
        <f t="shared" si="108"/>
        <v>尾形　四郎</v>
      </c>
      <c r="G865" s="405" t="str">
        <f t="shared" si="109"/>
        <v>主たる営業所</v>
      </c>
      <c r="H865" s="405" t="str">
        <f t="shared" si="110"/>
        <v>中津市耶馬溪町大字戸原１０７９－２</v>
      </c>
      <c r="L865" s="403" t="s">
        <v>9470</v>
      </c>
      <c r="M865" s="403" t="s">
        <v>9471</v>
      </c>
      <c r="N865" s="403" t="s">
        <v>3008</v>
      </c>
      <c r="O865" s="403" t="s">
        <v>7084</v>
      </c>
      <c r="P865" s="403" t="s">
        <v>3009</v>
      </c>
      <c r="Q865" s="403" t="s">
        <v>9472</v>
      </c>
      <c r="R865" s="403" t="s">
        <v>19272</v>
      </c>
      <c r="S865" s="403" t="s">
        <v>15541</v>
      </c>
      <c r="T865" s="403" t="s">
        <v>15541</v>
      </c>
      <c r="U865" s="403"/>
      <c r="V865" s="403" t="s">
        <v>23024</v>
      </c>
      <c r="W865" s="403" t="s">
        <v>23024</v>
      </c>
      <c r="X865" s="403" t="s">
        <v>23024</v>
      </c>
      <c r="Y865" s="403" t="s">
        <v>23024</v>
      </c>
    </row>
    <row r="866" spans="1:25">
      <c r="A866" s="363">
        <f t="shared" si="111"/>
        <v>865</v>
      </c>
      <c r="B866" s="363" t="str">
        <f t="shared" si="104"/>
        <v>44</v>
      </c>
      <c r="C866" s="405" t="str">
        <f t="shared" si="105"/>
        <v>第007834号</v>
      </c>
      <c r="D866" s="405" t="str">
        <f t="shared" si="106"/>
        <v>立石建設工業（株）</v>
      </c>
      <c r="E866" s="405" t="str">
        <f t="shared" si="107"/>
        <v>代表取締役</v>
      </c>
      <c r="F866" s="405" t="str">
        <f t="shared" si="108"/>
        <v>廣原　謙二</v>
      </c>
      <c r="G866" s="405" t="str">
        <f t="shared" si="109"/>
        <v>主たる営業所</v>
      </c>
      <c r="H866" s="405" t="str">
        <f t="shared" si="110"/>
        <v>中津市大字大貞３７１－１６４</v>
      </c>
      <c r="L866" s="403" t="s">
        <v>9473</v>
      </c>
      <c r="M866" s="403" t="s">
        <v>9474</v>
      </c>
      <c r="N866" s="403" t="s">
        <v>3010</v>
      </c>
      <c r="O866" s="403" t="s">
        <v>7084</v>
      </c>
      <c r="P866" s="403" t="s">
        <v>3011</v>
      </c>
      <c r="Q866" s="403" t="s">
        <v>9475</v>
      </c>
      <c r="R866" s="403" t="s">
        <v>19273</v>
      </c>
      <c r="S866" s="403" t="s">
        <v>15542</v>
      </c>
      <c r="T866" s="403" t="s">
        <v>15543</v>
      </c>
      <c r="U866" s="403"/>
      <c r="V866" s="403" t="s">
        <v>23024</v>
      </c>
      <c r="W866" s="403" t="s">
        <v>23024</v>
      </c>
      <c r="X866" s="403" t="s">
        <v>23024</v>
      </c>
      <c r="Y866" s="403" t="s">
        <v>23024</v>
      </c>
    </row>
    <row r="867" spans="1:25">
      <c r="A867" s="363">
        <f t="shared" si="111"/>
        <v>866</v>
      </c>
      <c r="B867" s="363" t="str">
        <f t="shared" si="104"/>
        <v>44</v>
      </c>
      <c r="C867" s="405" t="str">
        <f t="shared" si="105"/>
        <v>第007839号</v>
      </c>
      <c r="D867" s="405" t="str">
        <f t="shared" si="106"/>
        <v>（株）トップインターナショナル</v>
      </c>
      <c r="E867" s="405" t="str">
        <f t="shared" si="107"/>
        <v>代表取締役</v>
      </c>
      <c r="F867" s="405" t="str">
        <f t="shared" si="108"/>
        <v>林　誠司</v>
      </c>
      <c r="G867" s="405" t="str">
        <f t="shared" si="109"/>
        <v>主たる営業所</v>
      </c>
      <c r="H867" s="405" t="str">
        <f t="shared" si="110"/>
        <v>中津市豊田町７－２</v>
      </c>
      <c r="L867" s="403" t="s">
        <v>9476</v>
      </c>
      <c r="M867" s="403" t="s">
        <v>9477</v>
      </c>
      <c r="N867" s="403" t="s">
        <v>3012</v>
      </c>
      <c r="O867" s="403" t="s">
        <v>7084</v>
      </c>
      <c r="P867" s="403" t="s">
        <v>3013</v>
      </c>
      <c r="Q867" s="403" t="s">
        <v>9478</v>
      </c>
      <c r="R867" s="403" t="s">
        <v>19274</v>
      </c>
      <c r="S867" s="403" t="s">
        <v>15544</v>
      </c>
      <c r="T867" s="403" t="s">
        <v>15545</v>
      </c>
      <c r="U867" s="403"/>
      <c r="V867" s="403" t="s">
        <v>23024</v>
      </c>
      <c r="W867" s="403" t="s">
        <v>23024</v>
      </c>
      <c r="X867" s="403" t="s">
        <v>23024</v>
      </c>
      <c r="Y867" s="403" t="s">
        <v>23024</v>
      </c>
    </row>
    <row r="868" spans="1:25">
      <c r="A868" s="363">
        <f t="shared" si="111"/>
        <v>867</v>
      </c>
      <c r="B868" s="363" t="str">
        <f t="shared" si="104"/>
        <v>44</v>
      </c>
      <c r="C868" s="405" t="str">
        <f t="shared" si="105"/>
        <v>第007840号</v>
      </c>
      <c r="D868" s="405" t="str">
        <f t="shared" si="106"/>
        <v>（株）永田建設</v>
      </c>
      <c r="E868" s="405" t="str">
        <f t="shared" si="107"/>
        <v>代表取締役</v>
      </c>
      <c r="F868" s="405" t="str">
        <f t="shared" si="108"/>
        <v>永田　政清</v>
      </c>
      <c r="G868" s="405" t="str">
        <f t="shared" si="109"/>
        <v>主たる営業所</v>
      </c>
      <c r="H868" s="405" t="str">
        <f t="shared" si="110"/>
        <v>中津市本耶馬渓町西谷３５７</v>
      </c>
      <c r="L868" s="403" t="s">
        <v>9479</v>
      </c>
      <c r="M868" s="403" t="s">
        <v>9480</v>
      </c>
      <c r="N868" s="403" t="s">
        <v>3014</v>
      </c>
      <c r="O868" s="403" t="s">
        <v>7084</v>
      </c>
      <c r="P868" s="403" t="s">
        <v>3015</v>
      </c>
      <c r="Q868" s="403" t="s">
        <v>9481</v>
      </c>
      <c r="R868" s="403" t="s">
        <v>5530</v>
      </c>
      <c r="S868" s="403" t="s">
        <v>15546</v>
      </c>
      <c r="T868" s="403" t="s">
        <v>15547</v>
      </c>
      <c r="U868" s="403"/>
      <c r="V868" s="403" t="s">
        <v>23024</v>
      </c>
      <c r="W868" s="403" t="s">
        <v>23024</v>
      </c>
      <c r="X868" s="403" t="s">
        <v>23024</v>
      </c>
      <c r="Y868" s="403" t="s">
        <v>23024</v>
      </c>
    </row>
    <row r="869" spans="1:25">
      <c r="A869" s="363">
        <f t="shared" si="111"/>
        <v>868</v>
      </c>
      <c r="B869" s="363" t="str">
        <f t="shared" si="104"/>
        <v>44</v>
      </c>
      <c r="C869" s="405" t="str">
        <f t="shared" si="105"/>
        <v>第007842号</v>
      </c>
      <c r="D869" s="405" t="str">
        <f t="shared" si="106"/>
        <v>（有）小野建設</v>
      </c>
      <c r="E869" s="405" t="str">
        <f t="shared" si="107"/>
        <v>代表取締役</v>
      </c>
      <c r="F869" s="405" t="str">
        <f t="shared" si="108"/>
        <v>小野　龍彦</v>
      </c>
      <c r="G869" s="405" t="str">
        <f t="shared" si="109"/>
        <v>主たる営業所</v>
      </c>
      <c r="H869" s="405" t="str">
        <f t="shared" si="110"/>
        <v>中津市大字永添１４６８</v>
      </c>
      <c r="L869" s="403" t="s">
        <v>9482</v>
      </c>
      <c r="M869" s="403" t="s">
        <v>9483</v>
      </c>
      <c r="N869" s="403" t="s">
        <v>3016</v>
      </c>
      <c r="O869" s="403" t="s">
        <v>7084</v>
      </c>
      <c r="P869" s="403" t="s">
        <v>3017</v>
      </c>
      <c r="Q869" s="403" t="s">
        <v>8111</v>
      </c>
      <c r="R869" s="403" t="s">
        <v>5531</v>
      </c>
      <c r="S869" s="403" t="s">
        <v>15548</v>
      </c>
      <c r="T869" s="403" t="s">
        <v>15549</v>
      </c>
      <c r="U869" s="403"/>
      <c r="V869" s="403" t="s">
        <v>23024</v>
      </c>
      <c r="W869" s="403" t="s">
        <v>23024</v>
      </c>
      <c r="X869" s="403" t="s">
        <v>23024</v>
      </c>
      <c r="Y869" s="403" t="s">
        <v>23024</v>
      </c>
    </row>
    <row r="870" spans="1:25">
      <c r="A870" s="363">
        <f t="shared" si="111"/>
        <v>869</v>
      </c>
      <c r="B870" s="363" t="str">
        <f t="shared" si="104"/>
        <v>44</v>
      </c>
      <c r="C870" s="405" t="str">
        <f t="shared" si="105"/>
        <v>第007846号</v>
      </c>
      <c r="D870" s="405" t="str">
        <f t="shared" si="106"/>
        <v>平成工業（有）</v>
      </c>
      <c r="E870" s="405" t="str">
        <f t="shared" si="107"/>
        <v>代表取締役</v>
      </c>
      <c r="F870" s="405" t="str">
        <f t="shared" si="108"/>
        <v>友冨　一馬</v>
      </c>
      <c r="G870" s="405" t="str">
        <f t="shared" si="109"/>
        <v>主たる営業所</v>
      </c>
      <c r="H870" s="405" t="str">
        <f t="shared" si="110"/>
        <v>中津市大字湯屋３３８－２</v>
      </c>
      <c r="L870" s="403" t="s">
        <v>9484</v>
      </c>
      <c r="M870" s="403" t="s">
        <v>9485</v>
      </c>
      <c r="N870" s="403" t="s">
        <v>3018</v>
      </c>
      <c r="O870" s="403" t="s">
        <v>7084</v>
      </c>
      <c r="P870" s="403" t="s">
        <v>3019</v>
      </c>
      <c r="Q870" s="403" t="s">
        <v>9486</v>
      </c>
      <c r="R870" s="403" t="s">
        <v>19275</v>
      </c>
      <c r="S870" s="403" t="s">
        <v>15550</v>
      </c>
      <c r="T870" s="403" t="s">
        <v>15550</v>
      </c>
      <c r="U870" s="403"/>
      <c r="V870" s="403" t="s">
        <v>23024</v>
      </c>
      <c r="W870" s="403" t="s">
        <v>23024</v>
      </c>
      <c r="X870" s="403" t="s">
        <v>23024</v>
      </c>
      <c r="Y870" s="403" t="s">
        <v>23024</v>
      </c>
    </row>
    <row r="871" spans="1:25">
      <c r="A871" s="363">
        <f t="shared" si="111"/>
        <v>870</v>
      </c>
      <c r="B871" s="363" t="str">
        <f t="shared" si="104"/>
        <v>44</v>
      </c>
      <c r="C871" s="405" t="str">
        <f t="shared" si="105"/>
        <v>第007848号</v>
      </c>
      <c r="D871" s="405" t="str">
        <f t="shared" si="106"/>
        <v>カッパー化成（株）</v>
      </c>
      <c r="E871" s="405" t="str">
        <f t="shared" si="107"/>
        <v>代表取締役</v>
      </c>
      <c r="F871" s="405" t="str">
        <f t="shared" si="108"/>
        <v>藤原　哲治</v>
      </c>
      <c r="G871" s="405" t="str">
        <f t="shared" si="109"/>
        <v>主たる営業所</v>
      </c>
      <c r="H871" s="405" t="str">
        <f t="shared" si="110"/>
        <v>中津市三光臼木９６４－１</v>
      </c>
      <c r="L871" s="403" t="s">
        <v>9487</v>
      </c>
      <c r="M871" s="403" t="s">
        <v>9488</v>
      </c>
      <c r="N871" s="403" t="s">
        <v>3020</v>
      </c>
      <c r="O871" s="403" t="s">
        <v>7084</v>
      </c>
      <c r="P871" s="403" t="s">
        <v>3021</v>
      </c>
      <c r="Q871" s="403" t="s">
        <v>9237</v>
      </c>
      <c r="R871" s="403" t="s">
        <v>19276</v>
      </c>
      <c r="S871" s="403" t="s">
        <v>19277</v>
      </c>
      <c r="T871" s="403" t="s">
        <v>19278</v>
      </c>
      <c r="U871" s="403"/>
      <c r="V871" s="403" t="s">
        <v>23024</v>
      </c>
      <c r="W871" s="403" t="s">
        <v>23024</v>
      </c>
      <c r="X871" s="403" t="s">
        <v>23024</v>
      </c>
      <c r="Y871" s="403" t="s">
        <v>23024</v>
      </c>
    </row>
    <row r="872" spans="1:25">
      <c r="A872" s="363">
        <f t="shared" si="111"/>
        <v>871</v>
      </c>
      <c r="B872" s="363" t="str">
        <f t="shared" si="104"/>
        <v>44</v>
      </c>
      <c r="C872" s="405" t="str">
        <f t="shared" si="105"/>
        <v>第007851号</v>
      </c>
      <c r="D872" s="405" t="str">
        <f t="shared" si="106"/>
        <v>ナカノス建設工業（株）</v>
      </c>
      <c r="E872" s="405" t="str">
        <f t="shared" si="107"/>
        <v>代表取締役</v>
      </c>
      <c r="F872" s="405" t="str">
        <f t="shared" si="108"/>
        <v>目野　陽一</v>
      </c>
      <c r="G872" s="405" t="str">
        <f t="shared" si="109"/>
        <v>主たる営業所</v>
      </c>
      <c r="H872" s="405" t="str">
        <f t="shared" si="110"/>
        <v>大分市大字三佐９８８</v>
      </c>
      <c r="L872" s="403" t="s">
        <v>9489</v>
      </c>
      <c r="M872" s="403" t="s">
        <v>9490</v>
      </c>
      <c r="N872" s="403" t="s">
        <v>3022</v>
      </c>
      <c r="O872" s="403" t="s">
        <v>7084</v>
      </c>
      <c r="P872" s="403" t="s">
        <v>2889</v>
      </c>
      <c r="Q872" s="403" t="s">
        <v>7413</v>
      </c>
      <c r="R872" s="403" t="s">
        <v>5532</v>
      </c>
      <c r="S872" s="403" t="s">
        <v>15551</v>
      </c>
      <c r="T872" s="403" t="s">
        <v>15552</v>
      </c>
      <c r="U872" s="403"/>
      <c r="V872" s="403" t="s">
        <v>23024</v>
      </c>
      <c r="W872" s="403" t="s">
        <v>23024</v>
      </c>
      <c r="X872" s="403" t="s">
        <v>23024</v>
      </c>
      <c r="Y872" s="403" t="s">
        <v>23024</v>
      </c>
    </row>
    <row r="873" spans="1:25">
      <c r="A873" s="363">
        <f t="shared" si="111"/>
        <v>872</v>
      </c>
      <c r="B873" s="363" t="str">
        <f t="shared" si="104"/>
        <v>44</v>
      </c>
      <c r="C873" s="405" t="str">
        <f t="shared" si="105"/>
        <v>第007860号</v>
      </c>
      <c r="D873" s="405" t="str">
        <f t="shared" si="106"/>
        <v>協栄工業（株）</v>
      </c>
      <c r="E873" s="405" t="str">
        <f t="shared" si="107"/>
        <v>代表取締役</v>
      </c>
      <c r="F873" s="405" t="str">
        <f t="shared" si="108"/>
        <v>大賀　豊文</v>
      </c>
      <c r="G873" s="405" t="str">
        <f t="shared" si="109"/>
        <v>主たる営業所</v>
      </c>
      <c r="H873" s="405" t="str">
        <f t="shared" si="110"/>
        <v>大分市大字下郡字千鳥３２２５－２３</v>
      </c>
      <c r="L873" s="403" t="s">
        <v>9491</v>
      </c>
      <c r="M873" s="403" t="s">
        <v>9492</v>
      </c>
      <c r="N873" s="403" t="s">
        <v>3023</v>
      </c>
      <c r="O873" s="403" t="s">
        <v>7084</v>
      </c>
      <c r="P873" s="403" t="s">
        <v>3024</v>
      </c>
      <c r="Q873" s="403" t="s">
        <v>8658</v>
      </c>
      <c r="R873" s="403" t="s">
        <v>19279</v>
      </c>
      <c r="S873" s="403" t="s">
        <v>15553</v>
      </c>
      <c r="T873" s="403" t="s">
        <v>15554</v>
      </c>
      <c r="U873" s="403"/>
      <c r="V873" s="403" t="s">
        <v>23024</v>
      </c>
      <c r="W873" s="403" t="s">
        <v>23024</v>
      </c>
      <c r="X873" s="403" t="s">
        <v>23024</v>
      </c>
      <c r="Y873" s="403" t="s">
        <v>23024</v>
      </c>
    </row>
    <row r="874" spans="1:25">
      <c r="A874" s="363">
        <f t="shared" si="111"/>
        <v>873</v>
      </c>
      <c r="B874" s="363" t="str">
        <f t="shared" si="104"/>
        <v>44</v>
      </c>
      <c r="C874" s="405" t="str">
        <f t="shared" si="105"/>
        <v>第007866号</v>
      </c>
      <c r="D874" s="405" t="str">
        <f t="shared" si="106"/>
        <v>（有）稲葉電気工事</v>
      </c>
      <c r="E874" s="405" t="str">
        <f t="shared" si="107"/>
        <v>代表取締役</v>
      </c>
      <c r="F874" s="405" t="str">
        <f t="shared" si="108"/>
        <v>稲葉　洋一</v>
      </c>
      <c r="G874" s="405" t="str">
        <f t="shared" si="109"/>
        <v>主たる営業所</v>
      </c>
      <c r="H874" s="405" t="str">
        <f t="shared" si="110"/>
        <v>由布市湯布院町中川６２０</v>
      </c>
      <c r="L874" s="403" t="s">
        <v>9493</v>
      </c>
      <c r="M874" s="403" t="s">
        <v>9494</v>
      </c>
      <c r="N874" s="403" t="s">
        <v>3025</v>
      </c>
      <c r="O874" s="403" t="s">
        <v>7084</v>
      </c>
      <c r="P874" s="403" t="s">
        <v>3026</v>
      </c>
      <c r="Q874" s="403" t="s">
        <v>9495</v>
      </c>
      <c r="R874" s="403" t="s">
        <v>5533</v>
      </c>
      <c r="S874" s="403" t="s">
        <v>15555</v>
      </c>
      <c r="T874" s="403" t="s">
        <v>15556</v>
      </c>
      <c r="U874" s="403"/>
      <c r="V874" s="403" t="s">
        <v>23024</v>
      </c>
      <c r="W874" s="403" t="s">
        <v>23024</v>
      </c>
      <c r="X874" s="403" t="s">
        <v>23024</v>
      </c>
      <c r="Y874" s="403" t="s">
        <v>23024</v>
      </c>
    </row>
    <row r="875" spans="1:25">
      <c r="A875" s="363">
        <f t="shared" si="111"/>
        <v>874</v>
      </c>
      <c r="B875" s="363" t="str">
        <f t="shared" si="104"/>
        <v>44</v>
      </c>
      <c r="C875" s="405" t="str">
        <f t="shared" si="105"/>
        <v>第007891号</v>
      </c>
      <c r="D875" s="405" t="str">
        <f t="shared" si="106"/>
        <v>大塚電設産業（有）</v>
      </c>
      <c r="E875" s="405" t="str">
        <f t="shared" si="107"/>
        <v>代表取締役</v>
      </c>
      <c r="F875" s="405" t="str">
        <f t="shared" si="108"/>
        <v>大塚　誠市</v>
      </c>
      <c r="G875" s="405" t="str">
        <f t="shared" si="109"/>
        <v>主たる営業所</v>
      </c>
      <c r="H875" s="405" t="str">
        <f t="shared" si="110"/>
        <v>竹田市久住町大字栢木６６５７</v>
      </c>
      <c r="L875" s="403" t="s">
        <v>9496</v>
      </c>
      <c r="M875" s="403" t="s">
        <v>9497</v>
      </c>
      <c r="N875" s="403" t="s">
        <v>3027</v>
      </c>
      <c r="O875" s="403" t="s">
        <v>7084</v>
      </c>
      <c r="P875" s="403" t="s">
        <v>3028</v>
      </c>
      <c r="Q875" s="403" t="s">
        <v>9138</v>
      </c>
      <c r="R875" s="403" t="s">
        <v>5534</v>
      </c>
      <c r="S875" s="403" t="s">
        <v>15557</v>
      </c>
      <c r="T875" s="403" t="s">
        <v>15558</v>
      </c>
      <c r="U875" s="403"/>
      <c r="V875" s="403" t="s">
        <v>23024</v>
      </c>
      <c r="W875" s="403" t="s">
        <v>23024</v>
      </c>
      <c r="X875" s="403" t="s">
        <v>23024</v>
      </c>
      <c r="Y875" s="403" t="s">
        <v>23024</v>
      </c>
    </row>
    <row r="876" spans="1:25">
      <c r="A876" s="363">
        <f t="shared" si="111"/>
        <v>875</v>
      </c>
      <c r="B876" s="363" t="str">
        <f t="shared" si="104"/>
        <v>44</v>
      </c>
      <c r="C876" s="405" t="str">
        <f t="shared" si="105"/>
        <v>第007892号</v>
      </c>
      <c r="D876" s="405" t="str">
        <f t="shared" si="106"/>
        <v>（有）酒井建設</v>
      </c>
      <c r="E876" s="405" t="str">
        <f t="shared" si="107"/>
        <v>代表取締役</v>
      </c>
      <c r="F876" s="405" t="str">
        <f t="shared" si="108"/>
        <v>酒井　忍</v>
      </c>
      <c r="G876" s="405" t="str">
        <f t="shared" si="109"/>
        <v>主たる営業所</v>
      </c>
      <c r="H876" s="405" t="str">
        <f t="shared" si="110"/>
        <v>大分市大字常行１９７－３</v>
      </c>
      <c r="L876" s="403" t="s">
        <v>9498</v>
      </c>
      <c r="M876" s="403" t="s">
        <v>9499</v>
      </c>
      <c r="N876" s="403" t="s">
        <v>3029</v>
      </c>
      <c r="O876" s="403" t="s">
        <v>7084</v>
      </c>
      <c r="P876" s="403" t="s">
        <v>3030</v>
      </c>
      <c r="Q876" s="403" t="s">
        <v>9500</v>
      </c>
      <c r="R876" s="403" t="s">
        <v>19280</v>
      </c>
      <c r="S876" s="403" t="s">
        <v>15559</v>
      </c>
      <c r="T876" s="403" t="s">
        <v>15560</v>
      </c>
      <c r="U876" s="403"/>
      <c r="V876" s="403" t="s">
        <v>23024</v>
      </c>
      <c r="W876" s="403" t="s">
        <v>23024</v>
      </c>
      <c r="X876" s="403" t="s">
        <v>23024</v>
      </c>
      <c r="Y876" s="403" t="s">
        <v>23024</v>
      </c>
    </row>
    <row r="877" spans="1:25">
      <c r="A877" s="363">
        <f t="shared" si="111"/>
        <v>876</v>
      </c>
      <c r="B877" s="363" t="str">
        <f t="shared" si="104"/>
        <v>44</v>
      </c>
      <c r="C877" s="405" t="str">
        <f t="shared" si="105"/>
        <v>第007903号</v>
      </c>
      <c r="D877" s="405" t="str">
        <f t="shared" si="106"/>
        <v>（株）南部電気工事</v>
      </c>
      <c r="E877" s="405" t="str">
        <f t="shared" si="107"/>
        <v>代表取締役</v>
      </c>
      <c r="F877" s="405" t="str">
        <f t="shared" si="108"/>
        <v>三重野　亮</v>
      </c>
      <c r="G877" s="405" t="str">
        <f t="shared" si="109"/>
        <v>主たる営業所</v>
      </c>
      <c r="H877" s="405" t="str">
        <f t="shared" si="110"/>
        <v>大分市花園２－１１－２３</v>
      </c>
      <c r="L877" s="403" t="s">
        <v>9501</v>
      </c>
      <c r="M877" s="403" t="s">
        <v>9502</v>
      </c>
      <c r="N877" s="403" t="s">
        <v>3031</v>
      </c>
      <c r="O877" s="403" t="s">
        <v>7084</v>
      </c>
      <c r="P877" s="403" t="s">
        <v>3032</v>
      </c>
      <c r="Q877" s="403" t="s">
        <v>7428</v>
      </c>
      <c r="R877" s="403" t="s">
        <v>19281</v>
      </c>
      <c r="S877" s="403" t="s">
        <v>15561</v>
      </c>
      <c r="T877" s="403" t="s">
        <v>15562</v>
      </c>
      <c r="U877" s="403"/>
      <c r="V877" s="403" t="s">
        <v>23024</v>
      </c>
      <c r="W877" s="403" t="s">
        <v>23024</v>
      </c>
      <c r="X877" s="403" t="s">
        <v>23024</v>
      </c>
      <c r="Y877" s="403" t="s">
        <v>23024</v>
      </c>
    </row>
    <row r="878" spans="1:25">
      <c r="A878" s="363">
        <f t="shared" si="111"/>
        <v>877</v>
      </c>
      <c r="B878" s="363" t="str">
        <f t="shared" si="104"/>
        <v>44</v>
      </c>
      <c r="C878" s="405" t="str">
        <f t="shared" si="105"/>
        <v>第007904号</v>
      </c>
      <c r="D878" s="405" t="str">
        <f t="shared" si="106"/>
        <v>（株）ユニティーシステム</v>
      </c>
      <c r="E878" s="405" t="str">
        <f t="shared" si="107"/>
        <v>代表取締役</v>
      </c>
      <c r="F878" s="405" t="str">
        <f t="shared" si="108"/>
        <v>鎌田　義明</v>
      </c>
      <c r="G878" s="405" t="str">
        <f t="shared" si="109"/>
        <v>主たる営業所</v>
      </c>
      <c r="H878" s="405" t="str">
        <f t="shared" si="110"/>
        <v>大分市羽屋４－８－１０</v>
      </c>
      <c r="L878" s="403" t="s">
        <v>9503</v>
      </c>
      <c r="M878" s="403" t="s">
        <v>9504</v>
      </c>
      <c r="N878" s="403" t="s">
        <v>3033</v>
      </c>
      <c r="O878" s="403" t="s">
        <v>7084</v>
      </c>
      <c r="P878" s="403" t="s">
        <v>3034</v>
      </c>
      <c r="Q878" s="403" t="s">
        <v>9505</v>
      </c>
      <c r="R878" s="403" t="s">
        <v>19282</v>
      </c>
      <c r="S878" s="403" t="s">
        <v>15563</v>
      </c>
      <c r="T878" s="403" t="s">
        <v>15564</v>
      </c>
      <c r="U878" s="403"/>
      <c r="V878" s="403" t="s">
        <v>23024</v>
      </c>
      <c r="W878" s="403" t="s">
        <v>23024</v>
      </c>
      <c r="X878" s="403" t="s">
        <v>23024</v>
      </c>
      <c r="Y878" s="403" t="s">
        <v>23024</v>
      </c>
    </row>
    <row r="879" spans="1:25">
      <c r="A879" s="363">
        <f t="shared" si="111"/>
        <v>878</v>
      </c>
      <c r="B879" s="363" t="str">
        <f t="shared" si="104"/>
        <v>44</v>
      </c>
      <c r="C879" s="405" t="str">
        <f t="shared" si="105"/>
        <v>第007930号</v>
      </c>
      <c r="D879" s="405" t="str">
        <f t="shared" si="106"/>
        <v>（有）安藤建材店</v>
      </c>
      <c r="E879" s="405" t="str">
        <f t="shared" si="107"/>
        <v>代表取締役</v>
      </c>
      <c r="F879" s="405" t="str">
        <f t="shared" si="108"/>
        <v>安藤　栄彦</v>
      </c>
      <c r="G879" s="405" t="str">
        <f t="shared" si="109"/>
        <v>主たる営業所</v>
      </c>
      <c r="H879" s="405" t="str">
        <f t="shared" si="110"/>
        <v>大分市岩田町３－２－１</v>
      </c>
      <c r="L879" s="403" t="s">
        <v>9506</v>
      </c>
      <c r="M879" s="403" t="s">
        <v>9507</v>
      </c>
      <c r="N879" s="403" t="s">
        <v>3035</v>
      </c>
      <c r="O879" s="403" t="s">
        <v>7084</v>
      </c>
      <c r="P879" s="403" t="s">
        <v>3036</v>
      </c>
      <c r="Q879" s="403" t="s">
        <v>9508</v>
      </c>
      <c r="R879" s="403" t="s">
        <v>19283</v>
      </c>
      <c r="S879" s="403" t="s">
        <v>15565</v>
      </c>
      <c r="T879" s="403" t="s">
        <v>15566</v>
      </c>
      <c r="U879" s="403"/>
      <c r="V879" s="403" t="s">
        <v>23024</v>
      </c>
      <c r="W879" s="403" t="s">
        <v>23024</v>
      </c>
      <c r="X879" s="403" t="s">
        <v>23024</v>
      </c>
      <c r="Y879" s="403" t="s">
        <v>23024</v>
      </c>
    </row>
    <row r="880" spans="1:25">
      <c r="A880" s="363">
        <f t="shared" si="111"/>
        <v>879</v>
      </c>
      <c r="B880" s="363" t="str">
        <f t="shared" si="104"/>
        <v>44</v>
      </c>
      <c r="C880" s="405" t="str">
        <f t="shared" si="105"/>
        <v>第007947号</v>
      </c>
      <c r="D880" s="405" t="str">
        <f t="shared" si="106"/>
        <v>（株）トミオ大分</v>
      </c>
      <c r="E880" s="405" t="str">
        <f t="shared" si="107"/>
        <v>代表取締役</v>
      </c>
      <c r="F880" s="405" t="str">
        <f t="shared" si="108"/>
        <v>佐藤　裕俊</v>
      </c>
      <c r="G880" s="405" t="str">
        <f t="shared" si="109"/>
        <v>主たる営業所</v>
      </c>
      <c r="H880" s="405" t="str">
        <f t="shared" si="110"/>
        <v>大分市新明治６－５－１</v>
      </c>
      <c r="L880" s="403" t="s">
        <v>9509</v>
      </c>
      <c r="M880" s="403" t="s">
        <v>9510</v>
      </c>
      <c r="N880" s="403" t="s">
        <v>3037</v>
      </c>
      <c r="O880" s="403" t="s">
        <v>7084</v>
      </c>
      <c r="P880" s="403" t="s">
        <v>3038</v>
      </c>
      <c r="Q880" s="403" t="s">
        <v>9511</v>
      </c>
      <c r="R880" s="403" t="s">
        <v>19284</v>
      </c>
      <c r="S880" s="403" t="s">
        <v>15567</v>
      </c>
      <c r="T880" s="403" t="s">
        <v>15568</v>
      </c>
      <c r="U880" s="403"/>
      <c r="V880" s="403" t="s">
        <v>23024</v>
      </c>
      <c r="W880" s="403" t="s">
        <v>23024</v>
      </c>
      <c r="X880" s="403" t="s">
        <v>23024</v>
      </c>
      <c r="Y880" s="403" t="s">
        <v>23024</v>
      </c>
    </row>
    <row r="881" spans="1:25">
      <c r="A881" s="363">
        <f t="shared" si="111"/>
        <v>880</v>
      </c>
      <c r="B881" s="363" t="str">
        <f t="shared" si="104"/>
        <v>44</v>
      </c>
      <c r="C881" s="405" t="str">
        <f t="shared" si="105"/>
        <v>第007957号</v>
      </c>
      <c r="D881" s="405" t="str">
        <f t="shared" si="106"/>
        <v>大分ロード（有）</v>
      </c>
      <c r="E881" s="405" t="str">
        <f t="shared" si="107"/>
        <v>代表取締役</v>
      </c>
      <c r="F881" s="405" t="str">
        <f t="shared" si="108"/>
        <v>宝仙　富隆</v>
      </c>
      <c r="G881" s="405" t="str">
        <f t="shared" si="109"/>
        <v>主たる営業所</v>
      </c>
      <c r="H881" s="405" t="str">
        <f t="shared" si="110"/>
        <v>宇佐市院内町香下字妙見７４４－２</v>
      </c>
      <c r="L881" s="403" t="s">
        <v>9512</v>
      </c>
      <c r="M881" s="403" t="s">
        <v>9513</v>
      </c>
      <c r="N881" s="403" t="s">
        <v>3039</v>
      </c>
      <c r="O881" s="403" t="s">
        <v>7084</v>
      </c>
      <c r="P881" s="403" t="s">
        <v>3040</v>
      </c>
      <c r="Q881" s="403" t="s">
        <v>9514</v>
      </c>
      <c r="R881" s="403" t="s">
        <v>19285</v>
      </c>
      <c r="S881" s="403" t="s">
        <v>15569</v>
      </c>
      <c r="T881" s="403" t="s">
        <v>15570</v>
      </c>
      <c r="U881" s="403"/>
      <c r="V881" s="403" t="s">
        <v>23024</v>
      </c>
      <c r="W881" s="403" t="s">
        <v>23024</v>
      </c>
      <c r="X881" s="403" t="s">
        <v>23024</v>
      </c>
      <c r="Y881" s="403" t="s">
        <v>23024</v>
      </c>
    </row>
    <row r="882" spans="1:25">
      <c r="A882" s="363">
        <f t="shared" si="111"/>
        <v>881</v>
      </c>
      <c r="B882" s="363" t="str">
        <f t="shared" si="104"/>
        <v>44</v>
      </c>
      <c r="C882" s="405" t="str">
        <f t="shared" si="105"/>
        <v>第007958号</v>
      </c>
      <c r="D882" s="405" t="str">
        <f t="shared" si="106"/>
        <v>（株）三井エアーテック</v>
      </c>
      <c r="E882" s="405" t="str">
        <f t="shared" si="107"/>
        <v>代表取締役</v>
      </c>
      <c r="F882" s="405" t="str">
        <f t="shared" si="108"/>
        <v>三井　肇</v>
      </c>
      <c r="G882" s="405" t="str">
        <f t="shared" si="109"/>
        <v>主たる営業所</v>
      </c>
      <c r="H882" s="405" t="str">
        <f t="shared" si="110"/>
        <v>大分市大字日吉原１－３５</v>
      </c>
      <c r="L882" s="403" t="s">
        <v>9515</v>
      </c>
      <c r="M882" s="403" t="s">
        <v>9516</v>
      </c>
      <c r="N882" s="403" t="s">
        <v>3041</v>
      </c>
      <c r="O882" s="403" t="s">
        <v>7084</v>
      </c>
      <c r="P882" s="403" t="s">
        <v>3042</v>
      </c>
      <c r="Q882" s="403" t="s">
        <v>9517</v>
      </c>
      <c r="R882" s="403" t="s">
        <v>19286</v>
      </c>
      <c r="S882" s="403" t="s">
        <v>15571</v>
      </c>
      <c r="T882" s="403" t="s">
        <v>15572</v>
      </c>
      <c r="U882" s="403"/>
      <c r="V882" s="403" t="s">
        <v>23024</v>
      </c>
      <c r="W882" s="403" t="s">
        <v>23024</v>
      </c>
      <c r="X882" s="403" t="s">
        <v>23024</v>
      </c>
      <c r="Y882" s="403" t="s">
        <v>23024</v>
      </c>
    </row>
    <row r="883" spans="1:25">
      <c r="A883" s="363">
        <f t="shared" si="111"/>
        <v>882</v>
      </c>
      <c r="B883" s="363" t="str">
        <f t="shared" si="104"/>
        <v>44</v>
      </c>
      <c r="C883" s="405" t="str">
        <f t="shared" si="105"/>
        <v>第007965号</v>
      </c>
      <c r="D883" s="405" t="str">
        <f t="shared" si="106"/>
        <v>（株）平野建設</v>
      </c>
      <c r="E883" s="405" t="str">
        <f t="shared" si="107"/>
        <v>代表取締役</v>
      </c>
      <c r="F883" s="405" t="str">
        <f t="shared" si="108"/>
        <v>平野　孝治</v>
      </c>
      <c r="G883" s="405" t="str">
        <f t="shared" si="109"/>
        <v>主たる営業所</v>
      </c>
      <c r="H883" s="405" t="str">
        <f t="shared" si="110"/>
        <v>大分市高松１－２－５</v>
      </c>
      <c r="L883" s="404" t="s">
        <v>9518</v>
      </c>
      <c r="M883" s="404" t="s">
        <v>9519</v>
      </c>
      <c r="N883" s="404" t="s">
        <v>3043</v>
      </c>
      <c r="O883" s="404" t="s">
        <v>7084</v>
      </c>
      <c r="P883" s="404" t="s">
        <v>3044</v>
      </c>
      <c r="Q883" s="404" t="s">
        <v>7322</v>
      </c>
      <c r="R883" s="404" t="s">
        <v>19287</v>
      </c>
      <c r="S883" s="404" t="s">
        <v>15573</v>
      </c>
      <c r="T883" s="404" t="s">
        <v>15574</v>
      </c>
      <c r="U883" s="404"/>
      <c r="V883" s="404" t="s">
        <v>23024</v>
      </c>
      <c r="W883" s="404" t="s">
        <v>23024</v>
      </c>
      <c r="X883" s="404" t="s">
        <v>23024</v>
      </c>
      <c r="Y883" s="404" t="s">
        <v>23024</v>
      </c>
    </row>
    <row r="884" spans="1:25">
      <c r="A884" s="363">
        <f t="shared" si="111"/>
        <v>883</v>
      </c>
      <c r="B884" s="363" t="str">
        <f t="shared" si="104"/>
        <v>44</v>
      </c>
      <c r="C884" s="405" t="str">
        <f t="shared" si="105"/>
        <v>第007966号</v>
      </c>
      <c r="D884" s="405" t="str">
        <f t="shared" si="106"/>
        <v>（株）献崇開発</v>
      </c>
      <c r="E884" s="405" t="str">
        <f t="shared" si="107"/>
        <v>代表取締役</v>
      </c>
      <c r="F884" s="405" t="str">
        <f t="shared" si="108"/>
        <v>朝倉　和代</v>
      </c>
      <c r="G884" s="405" t="str">
        <f t="shared" si="109"/>
        <v>主たる営業所</v>
      </c>
      <c r="H884" s="405" t="str">
        <f t="shared" si="110"/>
        <v>大分市大字中戸次３７１０－２</v>
      </c>
      <c r="L884" s="402" t="s">
        <v>9520</v>
      </c>
      <c r="M884" s="402" t="s">
        <v>9521</v>
      </c>
      <c r="N884" s="402" t="s">
        <v>3045</v>
      </c>
      <c r="O884" s="402" t="s">
        <v>7084</v>
      </c>
      <c r="P884" s="402" t="s">
        <v>3046</v>
      </c>
      <c r="Q884" s="402" t="s">
        <v>7531</v>
      </c>
      <c r="R884" s="402" t="s">
        <v>19288</v>
      </c>
      <c r="S884" s="402" t="s">
        <v>15575</v>
      </c>
      <c r="T884" s="402" t="s">
        <v>15576</v>
      </c>
      <c r="U884" s="402"/>
      <c r="V884" s="402" t="s">
        <v>23024</v>
      </c>
      <c r="W884" s="402" t="s">
        <v>23024</v>
      </c>
      <c r="X884" s="402" t="s">
        <v>23024</v>
      </c>
      <c r="Y884" s="402" t="s">
        <v>23024</v>
      </c>
    </row>
    <row r="885" spans="1:25">
      <c r="A885" s="363">
        <f t="shared" si="111"/>
        <v>884</v>
      </c>
      <c r="B885" s="363" t="str">
        <f t="shared" si="104"/>
        <v>44</v>
      </c>
      <c r="C885" s="405" t="str">
        <f t="shared" si="105"/>
        <v>第007973号</v>
      </c>
      <c r="D885" s="405" t="str">
        <f t="shared" si="106"/>
        <v>（株）マイカン</v>
      </c>
      <c r="E885" s="405" t="str">
        <f t="shared" si="107"/>
        <v>代表取締役</v>
      </c>
      <c r="F885" s="405" t="str">
        <f t="shared" si="108"/>
        <v>安倍　直</v>
      </c>
      <c r="G885" s="405" t="str">
        <f t="shared" si="109"/>
        <v>主たる営業所</v>
      </c>
      <c r="H885" s="405" t="str">
        <f t="shared" si="110"/>
        <v>大分市大州浜１－９－４</v>
      </c>
      <c r="L885" s="403" t="s">
        <v>9522</v>
      </c>
      <c r="M885" s="403" t="s">
        <v>9523</v>
      </c>
      <c r="N885" s="403" t="s">
        <v>3047</v>
      </c>
      <c r="O885" s="403" t="s">
        <v>7084</v>
      </c>
      <c r="P885" s="403" t="s">
        <v>3048</v>
      </c>
      <c r="Q885" s="403" t="s">
        <v>7397</v>
      </c>
      <c r="R885" s="403" t="s">
        <v>19289</v>
      </c>
      <c r="S885" s="403" t="s">
        <v>15577</v>
      </c>
      <c r="T885" s="403" t="s">
        <v>15578</v>
      </c>
      <c r="U885" s="403"/>
      <c r="V885" s="403" t="s">
        <v>23024</v>
      </c>
      <c r="W885" s="403" t="s">
        <v>23024</v>
      </c>
      <c r="X885" s="403" t="s">
        <v>23024</v>
      </c>
      <c r="Y885" s="403" t="s">
        <v>23024</v>
      </c>
    </row>
    <row r="886" spans="1:25">
      <c r="A886" s="363">
        <f t="shared" si="111"/>
        <v>885</v>
      </c>
      <c r="B886" s="363" t="str">
        <f t="shared" si="104"/>
        <v>44</v>
      </c>
      <c r="C886" s="405" t="str">
        <f t="shared" si="105"/>
        <v>第007993号</v>
      </c>
      <c r="D886" s="405" t="str">
        <f t="shared" si="106"/>
        <v>（有）西工業</v>
      </c>
      <c r="E886" s="405" t="str">
        <f t="shared" si="107"/>
        <v>代表取締役</v>
      </c>
      <c r="F886" s="405" t="str">
        <f t="shared" si="108"/>
        <v>佐藤　宏哲</v>
      </c>
      <c r="G886" s="405" t="str">
        <f t="shared" si="109"/>
        <v>主たる営業所</v>
      </c>
      <c r="H886" s="405" t="str">
        <f t="shared" si="110"/>
        <v>大分市大字三佐１９６７</v>
      </c>
      <c r="L886" s="403" t="s">
        <v>9525</v>
      </c>
      <c r="M886" s="403" t="s">
        <v>9526</v>
      </c>
      <c r="N886" s="403" t="s">
        <v>3049</v>
      </c>
      <c r="O886" s="403" t="s">
        <v>7084</v>
      </c>
      <c r="P886" s="403" t="s">
        <v>3050</v>
      </c>
      <c r="Q886" s="403" t="s">
        <v>7413</v>
      </c>
      <c r="R886" s="403" t="s">
        <v>5535</v>
      </c>
      <c r="S886" s="403" t="s">
        <v>15579</v>
      </c>
      <c r="T886" s="403" t="s">
        <v>15580</v>
      </c>
      <c r="U886" s="403"/>
      <c r="V886" s="403" t="s">
        <v>23024</v>
      </c>
      <c r="W886" s="403" t="s">
        <v>23024</v>
      </c>
      <c r="X886" s="403" t="s">
        <v>23024</v>
      </c>
      <c r="Y886" s="403" t="s">
        <v>23024</v>
      </c>
    </row>
    <row r="887" spans="1:25">
      <c r="A887" s="363">
        <f t="shared" si="111"/>
        <v>886</v>
      </c>
      <c r="B887" s="363" t="str">
        <f t="shared" si="104"/>
        <v>44</v>
      </c>
      <c r="C887" s="405" t="str">
        <f t="shared" si="105"/>
        <v>第007998号</v>
      </c>
      <c r="D887" s="405" t="str">
        <f t="shared" si="106"/>
        <v>（有）堀防水工事</v>
      </c>
      <c r="E887" s="405" t="str">
        <f t="shared" si="107"/>
        <v>代表取締役</v>
      </c>
      <c r="F887" s="405" t="str">
        <f t="shared" si="108"/>
        <v>堀　智樹</v>
      </c>
      <c r="G887" s="405" t="str">
        <f t="shared" si="109"/>
        <v>主たる営業所</v>
      </c>
      <c r="H887" s="405" t="str">
        <f t="shared" si="110"/>
        <v>大分市大字寒田７７３－１</v>
      </c>
      <c r="L887" s="403" t="s">
        <v>9527</v>
      </c>
      <c r="M887" s="403" t="s">
        <v>9528</v>
      </c>
      <c r="N887" s="403" t="s">
        <v>3051</v>
      </c>
      <c r="O887" s="403" t="s">
        <v>7084</v>
      </c>
      <c r="P887" s="403" t="s">
        <v>3052</v>
      </c>
      <c r="Q887" s="403" t="s">
        <v>8820</v>
      </c>
      <c r="R887" s="403" t="s">
        <v>19290</v>
      </c>
      <c r="S887" s="403" t="s">
        <v>15581</v>
      </c>
      <c r="T887" s="403" t="s">
        <v>15582</v>
      </c>
      <c r="U887" s="403"/>
      <c r="V887" s="403" t="s">
        <v>23024</v>
      </c>
      <c r="W887" s="403" t="s">
        <v>23024</v>
      </c>
      <c r="X887" s="403" t="s">
        <v>23024</v>
      </c>
      <c r="Y887" s="403" t="s">
        <v>23024</v>
      </c>
    </row>
    <row r="888" spans="1:25">
      <c r="A888" s="363">
        <f t="shared" si="111"/>
        <v>887</v>
      </c>
      <c r="B888" s="363" t="str">
        <f t="shared" si="104"/>
        <v>44</v>
      </c>
      <c r="C888" s="405" t="str">
        <f t="shared" si="105"/>
        <v>第008004号</v>
      </c>
      <c r="D888" s="405" t="str">
        <f t="shared" si="106"/>
        <v>崔本土建（株）</v>
      </c>
      <c r="E888" s="405" t="str">
        <f t="shared" si="107"/>
        <v>代表取締役</v>
      </c>
      <c r="F888" s="405" t="str">
        <f t="shared" si="108"/>
        <v>崔本　正義</v>
      </c>
      <c r="G888" s="405" t="str">
        <f t="shared" si="109"/>
        <v>主たる営業所</v>
      </c>
      <c r="H888" s="405" t="str">
        <f t="shared" si="110"/>
        <v>日田市大字渡里字後の迫３７３－２</v>
      </c>
      <c r="L888" s="403" t="s">
        <v>9529</v>
      </c>
      <c r="M888" s="403" t="s">
        <v>9530</v>
      </c>
      <c r="N888" s="403" t="s">
        <v>3053</v>
      </c>
      <c r="O888" s="403" t="s">
        <v>7084</v>
      </c>
      <c r="P888" s="403" t="s">
        <v>3054</v>
      </c>
      <c r="Q888" s="403" t="s">
        <v>7311</v>
      </c>
      <c r="R888" s="403" t="s">
        <v>19291</v>
      </c>
      <c r="S888" s="403" t="s">
        <v>15583</v>
      </c>
      <c r="T888" s="403" t="s">
        <v>15584</v>
      </c>
      <c r="U888" s="403"/>
      <c r="V888" s="403" t="s">
        <v>23024</v>
      </c>
      <c r="W888" s="403" t="s">
        <v>23024</v>
      </c>
      <c r="X888" s="403" t="s">
        <v>23024</v>
      </c>
      <c r="Y888" s="403" t="s">
        <v>23024</v>
      </c>
    </row>
    <row r="889" spans="1:25">
      <c r="A889" s="363">
        <f t="shared" si="111"/>
        <v>888</v>
      </c>
      <c r="B889" s="363" t="str">
        <f t="shared" si="104"/>
        <v>44</v>
      </c>
      <c r="C889" s="405" t="str">
        <f t="shared" si="105"/>
        <v>第008005号</v>
      </c>
      <c r="D889" s="405" t="str">
        <f t="shared" si="106"/>
        <v>（有）松本土木</v>
      </c>
      <c r="E889" s="405" t="str">
        <f t="shared" si="107"/>
        <v>代表取締役</v>
      </c>
      <c r="F889" s="405" t="str">
        <f t="shared" si="108"/>
        <v>松本　清広</v>
      </c>
      <c r="G889" s="405" t="str">
        <f t="shared" si="109"/>
        <v>主たる営業所</v>
      </c>
      <c r="H889" s="405" t="str">
        <f t="shared" si="110"/>
        <v>日田市大字有田４７１</v>
      </c>
      <c r="L889" s="403" t="s">
        <v>9531</v>
      </c>
      <c r="M889" s="403" t="s">
        <v>9532</v>
      </c>
      <c r="N889" s="403" t="s">
        <v>3055</v>
      </c>
      <c r="O889" s="403" t="s">
        <v>7084</v>
      </c>
      <c r="P889" s="403" t="s">
        <v>3056</v>
      </c>
      <c r="Q889" s="403" t="s">
        <v>8038</v>
      </c>
      <c r="R889" s="403" t="s">
        <v>5536</v>
      </c>
      <c r="S889" s="403" t="s">
        <v>15585</v>
      </c>
      <c r="T889" s="403" t="s">
        <v>15586</v>
      </c>
      <c r="U889" s="403"/>
      <c r="V889" s="403" t="s">
        <v>23024</v>
      </c>
      <c r="W889" s="403" t="s">
        <v>23024</v>
      </c>
      <c r="X889" s="403" t="s">
        <v>23024</v>
      </c>
      <c r="Y889" s="403" t="s">
        <v>23024</v>
      </c>
    </row>
    <row r="890" spans="1:25">
      <c r="A890" s="363">
        <f t="shared" si="111"/>
        <v>889</v>
      </c>
      <c r="B890" s="363" t="str">
        <f t="shared" si="104"/>
        <v>44</v>
      </c>
      <c r="C890" s="405" t="str">
        <f t="shared" si="105"/>
        <v>第008015号</v>
      </c>
      <c r="D890" s="405" t="str">
        <f t="shared" si="106"/>
        <v>（有）松岡ガーデン</v>
      </c>
      <c r="E890" s="405" t="str">
        <f t="shared" si="107"/>
        <v>代表取締役</v>
      </c>
      <c r="F890" s="405" t="str">
        <f t="shared" si="108"/>
        <v>松岡　勉</v>
      </c>
      <c r="G890" s="405" t="str">
        <f t="shared" si="109"/>
        <v>主たる営業所</v>
      </c>
      <c r="H890" s="405" t="str">
        <f t="shared" si="110"/>
        <v>日田市大字二串７６５－１</v>
      </c>
      <c r="L890" s="403" t="s">
        <v>9533</v>
      </c>
      <c r="M890" s="403" t="s">
        <v>9534</v>
      </c>
      <c r="N890" s="403" t="s">
        <v>3057</v>
      </c>
      <c r="O890" s="403" t="s">
        <v>7084</v>
      </c>
      <c r="P890" s="403" t="s">
        <v>3058</v>
      </c>
      <c r="Q890" s="403" t="s">
        <v>9535</v>
      </c>
      <c r="R890" s="403" t="s">
        <v>19292</v>
      </c>
      <c r="S890" s="403" t="s">
        <v>15587</v>
      </c>
      <c r="T890" s="403" t="s">
        <v>15588</v>
      </c>
      <c r="U890" s="403"/>
      <c r="V890" s="403" t="s">
        <v>23024</v>
      </c>
      <c r="W890" s="403" t="s">
        <v>23024</v>
      </c>
      <c r="X890" s="403" t="s">
        <v>23024</v>
      </c>
      <c r="Y890" s="403" t="s">
        <v>23024</v>
      </c>
    </row>
    <row r="891" spans="1:25">
      <c r="A891" s="363">
        <f t="shared" si="111"/>
        <v>890</v>
      </c>
      <c r="B891" s="363" t="str">
        <f t="shared" si="104"/>
        <v>44</v>
      </c>
      <c r="C891" s="405" t="str">
        <f t="shared" si="105"/>
        <v>第008016号</v>
      </c>
      <c r="D891" s="405" t="str">
        <f t="shared" si="106"/>
        <v>（有）末廣土木</v>
      </c>
      <c r="E891" s="405" t="str">
        <f t="shared" si="107"/>
        <v>代表取締役</v>
      </c>
      <c r="F891" s="405" t="str">
        <f t="shared" si="108"/>
        <v>平川　正明</v>
      </c>
      <c r="G891" s="405" t="str">
        <f t="shared" si="109"/>
        <v>主たる営業所</v>
      </c>
      <c r="H891" s="405" t="str">
        <f t="shared" si="110"/>
        <v>日田市大字石井２８５－１</v>
      </c>
      <c r="L891" s="403" t="s">
        <v>9536</v>
      </c>
      <c r="M891" s="403" t="s">
        <v>9537</v>
      </c>
      <c r="N891" s="403" t="s">
        <v>3059</v>
      </c>
      <c r="O891" s="403" t="s">
        <v>7084</v>
      </c>
      <c r="P891" s="403" t="s">
        <v>3060</v>
      </c>
      <c r="Q891" s="403" t="s">
        <v>8573</v>
      </c>
      <c r="R891" s="403" t="s">
        <v>19293</v>
      </c>
      <c r="S891" s="403" t="s">
        <v>15589</v>
      </c>
      <c r="T891" s="403" t="s">
        <v>15590</v>
      </c>
      <c r="U891" s="403"/>
      <c r="V891" s="403" t="s">
        <v>23024</v>
      </c>
      <c r="W891" s="403" t="s">
        <v>23024</v>
      </c>
      <c r="X891" s="403" t="s">
        <v>23024</v>
      </c>
      <c r="Y891" s="403" t="s">
        <v>23024</v>
      </c>
    </row>
    <row r="892" spans="1:25">
      <c r="A892" s="363">
        <f t="shared" si="111"/>
        <v>891</v>
      </c>
      <c r="B892" s="363" t="str">
        <f t="shared" si="104"/>
        <v>44</v>
      </c>
      <c r="C892" s="405" t="str">
        <f t="shared" si="105"/>
        <v>第008022号</v>
      </c>
      <c r="D892" s="405" t="str">
        <f t="shared" si="106"/>
        <v>（株）大征産業</v>
      </c>
      <c r="E892" s="405" t="str">
        <f t="shared" si="107"/>
        <v>代表取締役</v>
      </c>
      <c r="F892" s="405" t="str">
        <f t="shared" si="108"/>
        <v>大村　淳一郎</v>
      </c>
      <c r="G892" s="405" t="str">
        <f t="shared" si="109"/>
        <v>主たる営業所</v>
      </c>
      <c r="H892" s="405" t="str">
        <f t="shared" si="110"/>
        <v>日田市天瀬町塚田１４４３</v>
      </c>
      <c r="L892" s="403" t="s">
        <v>9538</v>
      </c>
      <c r="M892" s="403" t="s">
        <v>9539</v>
      </c>
      <c r="N892" s="403" t="s">
        <v>3061</v>
      </c>
      <c r="O892" s="403" t="s">
        <v>7084</v>
      </c>
      <c r="P892" s="403" t="s">
        <v>3062</v>
      </c>
      <c r="Q892" s="403" t="s">
        <v>9540</v>
      </c>
      <c r="R892" s="403" t="s">
        <v>5537</v>
      </c>
      <c r="S892" s="403" t="s">
        <v>15591</v>
      </c>
      <c r="T892" s="403" t="s">
        <v>15592</v>
      </c>
      <c r="U892" s="403"/>
      <c r="V892" s="403" t="s">
        <v>23024</v>
      </c>
      <c r="W892" s="403" t="s">
        <v>23024</v>
      </c>
      <c r="X892" s="403" t="s">
        <v>23024</v>
      </c>
      <c r="Y892" s="403" t="s">
        <v>23024</v>
      </c>
    </row>
    <row r="893" spans="1:25">
      <c r="A893" s="363">
        <f t="shared" si="111"/>
        <v>892</v>
      </c>
      <c r="B893" s="363" t="str">
        <f t="shared" si="104"/>
        <v>44</v>
      </c>
      <c r="C893" s="405" t="str">
        <f t="shared" si="105"/>
        <v>第008025号</v>
      </c>
      <c r="D893" s="405" t="str">
        <f t="shared" si="106"/>
        <v>（株）平成建設</v>
      </c>
      <c r="E893" s="405" t="str">
        <f t="shared" si="107"/>
        <v>代表取締役</v>
      </c>
      <c r="F893" s="405" t="str">
        <f t="shared" si="108"/>
        <v>高嶋　秀武</v>
      </c>
      <c r="G893" s="405" t="str">
        <f t="shared" si="109"/>
        <v>主たる営業所</v>
      </c>
      <c r="H893" s="405" t="str">
        <f t="shared" si="110"/>
        <v>日田市大字有田字水目３１６－１</v>
      </c>
      <c r="L893" s="403" t="s">
        <v>9541</v>
      </c>
      <c r="M893" s="403" t="s">
        <v>9209</v>
      </c>
      <c r="N893" s="403" t="s">
        <v>3063</v>
      </c>
      <c r="O893" s="403" t="s">
        <v>7084</v>
      </c>
      <c r="P893" s="403" t="s">
        <v>3064</v>
      </c>
      <c r="Q893" s="403" t="s">
        <v>8029</v>
      </c>
      <c r="R893" s="403" t="s">
        <v>19294</v>
      </c>
      <c r="S893" s="403" t="s">
        <v>15593</v>
      </c>
      <c r="T893" s="403" t="s">
        <v>15594</v>
      </c>
      <c r="U893" s="403"/>
      <c r="V893" s="403" t="s">
        <v>23024</v>
      </c>
      <c r="W893" s="403" t="s">
        <v>23024</v>
      </c>
      <c r="X893" s="403" t="s">
        <v>23024</v>
      </c>
      <c r="Y893" s="403" t="s">
        <v>23024</v>
      </c>
    </row>
    <row r="894" spans="1:25">
      <c r="A894" s="363">
        <f t="shared" si="111"/>
        <v>893</v>
      </c>
      <c r="B894" s="363" t="str">
        <f t="shared" si="104"/>
        <v>44</v>
      </c>
      <c r="C894" s="405" t="str">
        <f t="shared" si="105"/>
        <v>第008026号</v>
      </c>
      <c r="D894" s="405" t="str">
        <f t="shared" si="106"/>
        <v>（有）大山建設</v>
      </c>
      <c r="E894" s="405" t="str">
        <f t="shared" si="107"/>
        <v>代表取締役</v>
      </c>
      <c r="F894" s="405" t="str">
        <f t="shared" si="108"/>
        <v>河津　正宏</v>
      </c>
      <c r="G894" s="405" t="str">
        <f t="shared" si="109"/>
        <v>主たる営業所</v>
      </c>
      <c r="H894" s="405" t="str">
        <f t="shared" si="110"/>
        <v>日田市大山町西大山８１４１－５</v>
      </c>
      <c r="L894" s="403" t="s">
        <v>9542</v>
      </c>
      <c r="M894" s="403" t="s">
        <v>9543</v>
      </c>
      <c r="N894" s="403" t="s">
        <v>3065</v>
      </c>
      <c r="O894" s="403" t="s">
        <v>7084</v>
      </c>
      <c r="P894" s="403" t="s">
        <v>3066</v>
      </c>
      <c r="Q894" s="403" t="s">
        <v>8983</v>
      </c>
      <c r="R894" s="403" t="s">
        <v>19295</v>
      </c>
      <c r="S894" s="403" t="s">
        <v>15595</v>
      </c>
      <c r="T894" s="403" t="s">
        <v>15596</v>
      </c>
      <c r="U894" s="403"/>
      <c r="V894" s="403" t="s">
        <v>23024</v>
      </c>
      <c r="W894" s="403" t="s">
        <v>23024</v>
      </c>
      <c r="X894" s="403" t="s">
        <v>23024</v>
      </c>
      <c r="Y894" s="403" t="s">
        <v>23024</v>
      </c>
    </row>
    <row r="895" spans="1:25">
      <c r="A895" s="363">
        <f t="shared" si="111"/>
        <v>894</v>
      </c>
      <c r="B895" s="363" t="str">
        <f t="shared" si="104"/>
        <v>44</v>
      </c>
      <c r="C895" s="405" t="str">
        <f t="shared" si="105"/>
        <v>第008029号</v>
      </c>
      <c r="D895" s="405" t="str">
        <f t="shared" si="106"/>
        <v>（有）三和土建</v>
      </c>
      <c r="E895" s="405" t="str">
        <f t="shared" si="107"/>
        <v>代表取締役</v>
      </c>
      <c r="F895" s="405" t="str">
        <f t="shared" si="108"/>
        <v>出野　敏之</v>
      </c>
      <c r="G895" s="405" t="str">
        <f t="shared" si="109"/>
        <v>主たる営業所</v>
      </c>
      <c r="H895" s="405" t="str">
        <f t="shared" si="110"/>
        <v>日田市大字三和１６６－２</v>
      </c>
      <c r="L895" s="403" t="s">
        <v>9544</v>
      </c>
      <c r="M895" s="403" t="s">
        <v>9545</v>
      </c>
      <c r="N895" s="403" t="s">
        <v>3067</v>
      </c>
      <c r="O895" s="403" t="s">
        <v>7084</v>
      </c>
      <c r="P895" s="403" t="s">
        <v>3068</v>
      </c>
      <c r="Q895" s="403" t="s">
        <v>8032</v>
      </c>
      <c r="R895" s="403" t="s">
        <v>19296</v>
      </c>
      <c r="S895" s="403" t="s">
        <v>15597</v>
      </c>
      <c r="T895" s="403" t="s">
        <v>15598</v>
      </c>
      <c r="U895" s="403"/>
      <c r="V895" s="403" t="s">
        <v>23024</v>
      </c>
      <c r="W895" s="403" t="s">
        <v>23024</v>
      </c>
      <c r="X895" s="403" t="s">
        <v>23024</v>
      </c>
      <c r="Y895" s="403" t="s">
        <v>23024</v>
      </c>
    </row>
    <row r="896" spans="1:25">
      <c r="A896" s="363">
        <f t="shared" si="111"/>
        <v>895</v>
      </c>
      <c r="B896" s="363" t="str">
        <f t="shared" si="104"/>
        <v>44</v>
      </c>
      <c r="C896" s="405" t="str">
        <f t="shared" si="105"/>
        <v>第008040号</v>
      </c>
      <c r="D896" s="405" t="str">
        <f t="shared" si="106"/>
        <v>（有）高倉スレート工業</v>
      </c>
      <c r="E896" s="405" t="str">
        <f t="shared" si="107"/>
        <v>代表取締役</v>
      </c>
      <c r="F896" s="405" t="str">
        <f t="shared" si="108"/>
        <v>和田山　久司</v>
      </c>
      <c r="G896" s="405" t="str">
        <f t="shared" si="109"/>
        <v>主たる営業所</v>
      </c>
      <c r="H896" s="405" t="str">
        <f t="shared" si="110"/>
        <v>日田市大字三和２６９４－１</v>
      </c>
      <c r="L896" s="403" t="s">
        <v>9546</v>
      </c>
      <c r="M896" s="403" t="s">
        <v>9547</v>
      </c>
      <c r="N896" s="403" t="s">
        <v>3069</v>
      </c>
      <c r="O896" s="403" t="s">
        <v>7084</v>
      </c>
      <c r="P896" s="403" t="s">
        <v>19297</v>
      </c>
      <c r="Q896" s="403" t="s">
        <v>9548</v>
      </c>
      <c r="R896" s="403" t="s">
        <v>19298</v>
      </c>
      <c r="S896" s="403" t="s">
        <v>15599</v>
      </c>
      <c r="T896" s="403" t="s">
        <v>15600</v>
      </c>
      <c r="U896" s="403"/>
      <c r="V896" s="403" t="s">
        <v>23024</v>
      </c>
      <c r="W896" s="403" t="s">
        <v>23024</v>
      </c>
      <c r="X896" s="403" t="s">
        <v>23024</v>
      </c>
      <c r="Y896" s="403" t="s">
        <v>23024</v>
      </c>
    </row>
    <row r="897" spans="1:25">
      <c r="A897" s="363">
        <f t="shared" si="111"/>
        <v>896</v>
      </c>
      <c r="B897" s="363" t="str">
        <f t="shared" si="104"/>
        <v>44</v>
      </c>
      <c r="C897" s="405" t="str">
        <f t="shared" si="105"/>
        <v>第008049号</v>
      </c>
      <c r="D897" s="405" t="str">
        <f t="shared" si="106"/>
        <v>（有）了正建設</v>
      </c>
      <c r="E897" s="405" t="str">
        <f t="shared" si="107"/>
        <v>代表取締役</v>
      </c>
      <c r="F897" s="405" t="str">
        <f t="shared" si="108"/>
        <v>了正　喜睦</v>
      </c>
      <c r="G897" s="405" t="str">
        <f t="shared" si="109"/>
        <v>主たる営業所</v>
      </c>
      <c r="H897" s="405" t="str">
        <f t="shared" si="110"/>
        <v>日田市大字西有田１５３９</v>
      </c>
      <c r="L897" s="403" t="s">
        <v>9549</v>
      </c>
      <c r="M897" s="403" t="s">
        <v>9550</v>
      </c>
      <c r="N897" s="403" t="s">
        <v>3070</v>
      </c>
      <c r="O897" s="403" t="s">
        <v>7084</v>
      </c>
      <c r="P897" s="403" t="s">
        <v>3071</v>
      </c>
      <c r="Q897" s="403" t="s">
        <v>9283</v>
      </c>
      <c r="R897" s="403" t="s">
        <v>5538</v>
      </c>
      <c r="S897" s="403" t="s">
        <v>15601</v>
      </c>
      <c r="T897" s="403" t="s">
        <v>15602</v>
      </c>
      <c r="U897" s="403"/>
      <c r="V897" s="403" t="s">
        <v>23024</v>
      </c>
      <c r="W897" s="403" t="s">
        <v>23024</v>
      </c>
      <c r="X897" s="403" t="s">
        <v>23024</v>
      </c>
      <c r="Y897" s="403" t="s">
        <v>23024</v>
      </c>
    </row>
    <row r="898" spans="1:25">
      <c r="A898" s="363">
        <f t="shared" si="111"/>
        <v>897</v>
      </c>
      <c r="B898" s="363" t="str">
        <f t="shared" ref="B898:B961" si="112">LEFT(L898,2)</f>
        <v>44</v>
      </c>
      <c r="C898" s="405" t="str">
        <f t="shared" ref="C898:C961" si="113">IF(B898="","","第"&amp;RIGHT(L898,6)&amp;"号")</f>
        <v>第008053号</v>
      </c>
      <c r="D898" s="405" t="str">
        <f t="shared" ref="D898:D961" si="114">N898</f>
        <v>ごとうでんき設備（株）</v>
      </c>
      <c r="E898" s="405" t="str">
        <f t="shared" ref="E898:E961" si="115">IF(V898="　",O898,"")</f>
        <v>代表取締役</v>
      </c>
      <c r="F898" s="405" t="str">
        <f t="shared" ref="F898:F961" si="116">IF(V898="　",P898,W898)</f>
        <v>後藤　聡志</v>
      </c>
      <c r="G898" s="405" t="str">
        <f t="shared" ref="G898:G961" si="117">IF(V898="　","主たる営業所",V898)</f>
        <v>主たる営業所</v>
      </c>
      <c r="H898" s="405" t="str">
        <f t="shared" ref="H898:H961" si="118">IF(V898="　",R898,Y898)</f>
        <v>日田市神来町５３８－１</v>
      </c>
      <c r="L898" s="403" t="s">
        <v>9551</v>
      </c>
      <c r="M898" s="403" t="s">
        <v>9552</v>
      </c>
      <c r="N898" s="403" t="s">
        <v>3072</v>
      </c>
      <c r="O898" s="403" t="s">
        <v>7084</v>
      </c>
      <c r="P898" s="403" t="s">
        <v>3073</v>
      </c>
      <c r="Q898" s="403" t="s">
        <v>9553</v>
      </c>
      <c r="R898" s="403" t="s">
        <v>19299</v>
      </c>
      <c r="S898" s="403" t="s">
        <v>15603</v>
      </c>
      <c r="T898" s="403" t="s">
        <v>15604</v>
      </c>
      <c r="U898" s="403"/>
      <c r="V898" s="403" t="s">
        <v>23024</v>
      </c>
      <c r="W898" s="403" t="s">
        <v>23024</v>
      </c>
      <c r="X898" s="403" t="s">
        <v>23024</v>
      </c>
      <c r="Y898" s="403" t="s">
        <v>23024</v>
      </c>
    </row>
    <row r="899" spans="1:25">
      <c r="A899" s="363">
        <f t="shared" ref="A899:A962" si="119">IF(B899="","",A898+1)</f>
        <v>898</v>
      </c>
      <c r="B899" s="363" t="str">
        <f t="shared" si="112"/>
        <v>44</v>
      </c>
      <c r="C899" s="405" t="str">
        <f t="shared" si="113"/>
        <v>第008055号</v>
      </c>
      <c r="D899" s="405" t="str">
        <f t="shared" si="114"/>
        <v>（有）高倉産業</v>
      </c>
      <c r="E899" s="405" t="str">
        <f t="shared" si="115"/>
        <v>代表取締役</v>
      </c>
      <c r="F899" s="405" t="str">
        <f t="shared" si="116"/>
        <v>高倉　邦彦</v>
      </c>
      <c r="G899" s="405" t="str">
        <f t="shared" si="117"/>
        <v>主たる営業所</v>
      </c>
      <c r="H899" s="405" t="str">
        <f t="shared" si="118"/>
        <v>日田市三芳小渕町３３</v>
      </c>
      <c r="L899" s="403" t="s">
        <v>9554</v>
      </c>
      <c r="M899" s="403" t="s">
        <v>9555</v>
      </c>
      <c r="N899" s="403" t="s">
        <v>3074</v>
      </c>
      <c r="O899" s="403" t="s">
        <v>7084</v>
      </c>
      <c r="P899" s="403" t="s">
        <v>3075</v>
      </c>
      <c r="Q899" s="403" t="s">
        <v>8025</v>
      </c>
      <c r="R899" s="403" t="s">
        <v>5539</v>
      </c>
      <c r="S899" s="403" t="s">
        <v>15605</v>
      </c>
      <c r="T899" s="403" t="s">
        <v>15606</v>
      </c>
      <c r="U899" s="403"/>
      <c r="V899" s="403" t="s">
        <v>23024</v>
      </c>
      <c r="W899" s="403" t="s">
        <v>23024</v>
      </c>
      <c r="X899" s="403" t="s">
        <v>23024</v>
      </c>
      <c r="Y899" s="403" t="s">
        <v>23024</v>
      </c>
    </row>
    <row r="900" spans="1:25">
      <c r="A900" s="363">
        <f t="shared" si="119"/>
        <v>899</v>
      </c>
      <c r="B900" s="363" t="str">
        <f t="shared" si="112"/>
        <v>44</v>
      </c>
      <c r="C900" s="405" t="str">
        <f t="shared" si="113"/>
        <v>第008059号</v>
      </c>
      <c r="D900" s="405" t="str">
        <f t="shared" si="114"/>
        <v>（有）樋口防水</v>
      </c>
      <c r="E900" s="405" t="str">
        <f t="shared" si="115"/>
        <v>代表取締役</v>
      </c>
      <c r="F900" s="405" t="str">
        <f t="shared" si="116"/>
        <v>樋口　厚太郎</v>
      </c>
      <c r="G900" s="405" t="str">
        <f t="shared" si="117"/>
        <v>主たる営業所</v>
      </c>
      <c r="H900" s="405" t="str">
        <f t="shared" si="118"/>
        <v>日田市大字内河野１０１</v>
      </c>
      <c r="L900" s="403" t="s">
        <v>9556</v>
      </c>
      <c r="M900" s="403" t="s">
        <v>9557</v>
      </c>
      <c r="N900" s="403" t="s">
        <v>3076</v>
      </c>
      <c r="O900" s="403" t="s">
        <v>7084</v>
      </c>
      <c r="P900" s="403" t="s">
        <v>3077</v>
      </c>
      <c r="Q900" s="403" t="s">
        <v>9558</v>
      </c>
      <c r="R900" s="403" t="s">
        <v>5540</v>
      </c>
      <c r="S900" s="403" t="s">
        <v>15607</v>
      </c>
      <c r="T900" s="403" t="s">
        <v>15608</v>
      </c>
      <c r="U900" s="403"/>
      <c r="V900" s="403" t="s">
        <v>23024</v>
      </c>
      <c r="W900" s="403" t="s">
        <v>23024</v>
      </c>
      <c r="X900" s="403" t="s">
        <v>23024</v>
      </c>
      <c r="Y900" s="403" t="s">
        <v>23024</v>
      </c>
    </row>
    <row r="901" spans="1:25">
      <c r="A901" s="363">
        <f t="shared" si="119"/>
        <v>900</v>
      </c>
      <c r="B901" s="363" t="str">
        <f t="shared" si="112"/>
        <v>44</v>
      </c>
      <c r="C901" s="405" t="str">
        <f t="shared" si="113"/>
        <v>第008060号</v>
      </c>
      <c r="D901" s="405" t="str">
        <f t="shared" si="114"/>
        <v>（株）技建</v>
      </c>
      <c r="E901" s="405" t="str">
        <f t="shared" si="115"/>
        <v>代表取締役</v>
      </c>
      <c r="F901" s="405" t="str">
        <f t="shared" si="116"/>
        <v>矢羽田　裕二</v>
      </c>
      <c r="G901" s="405" t="str">
        <f t="shared" si="117"/>
        <v>主たる営業所</v>
      </c>
      <c r="H901" s="405" t="str">
        <f t="shared" si="118"/>
        <v>日田市大字花月字長田１１９８－２</v>
      </c>
      <c r="L901" s="403" t="s">
        <v>9559</v>
      </c>
      <c r="M901" s="403" t="s">
        <v>9560</v>
      </c>
      <c r="N901" s="403" t="s">
        <v>3078</v>
      </c>
      <c r="O901" s="403" t="s">
        <v>7084</v>
      </c>
      <c r="P901" s="403" t="s">
        <v>3079</v>
      </c>
      <c r="Q901" s="403" t="s">
        <v>9561</v>
      </c>
      <c r="R901" s="403" t="s">
        <v>19300</v>
      </c>
      <c r="S901" s="403" t="s">
        <v>15609</v>
      </c>
      <c r="T901" s="403" t="s">
        <v>15610</v>
      </c>
      <c r="U901" s="403"/>
      <c r="V901" s="403" t="s">
        <v>23024</v>
      </c>
      <c r="W901" s="403" t="s">
        <v>23024</v>
      </c>
      <c r="X901" s="403" t="s">
        <v>23024</v>
      </c>
      <c r="Y901" s="403" t="s">
        <v>23024</v>
      </c>
    </row>
    <row r="902" spans="1:25">
      <c r="A902" s="363">
        <f t="shared" si="119"/>
        <v>901</v>
      </c>
      <c r="B902" s="363" t="str">
        <f t="shared" si="112"/>
        <v>44</v>
      </c>
      <c r="C902" s="405" t="str">
        <f t="shared" si="113"/>
        <v>第008073号</v>
      </c>
      <c r="D902" s="405" t="str">
        <f t="shared" si="114"/>
        <v>（有）佐藤電気商会</v>
      </c>
      <c r="E902" s="405" t="str">
        <f t="shared" si="115"/>
        <v>代表取締役</v>
      </c>
      <c r="F902" s="405" t="str">
        <f t="shared" si="116"/>
        <v>佐藤　誠</v>
      </c>
      <c r="G902" s="405" t="str">
        <f t="shared" si="117"/>
        <v>主たる営業所</v>
      </c>
      <c r="H902" s="405" t="str">
        <f t="shared" si="118"/>
        <v>日田市下井手町３８－２</v>
      </c>
      <c r="L902" s="403" t="s">
        <v>9562</v>
      </c>
      <c r="M902" s="403" t="s">
        <v>9563</v>
      </c>
      <c r="N902" s="403" t="s">
        <v>3080</v>
      </c>
      <c r="O902" s="403" t="s">
        <v>7084</v>
      </c>
      <c r="P902" s="403" t="s">
        <v>3081</v>
      </c>
      <c r="Q902" s="403" t="s">
        <v>8026</v>
      </c>
      <c r="R902" s="403" t="s">
        <v>19301</v>
      </c>
      <c r="S902" s="403" t="s">
        <v>15611</v>
      </c>
      <c r="T902" s="403" t="s">
        <v>15612</v>
      </c>
      <c r="U902" s="403"/>
      <c r="V902" s="403" t="s">
        <v>23024</v>
      </c>
      <c r="W902" s="403" t="s">
        <v>23024</v>
      </c>
      <c r="X902" s="403" t="s">
        <v>23024</v>
      </c>
      <c r="Y902" s="403" t="s">
        <v>23024</v>
      </c>
    </row>
    <row r="903" spans="1:25">
      <c r="A903" s="363">
        <f t="shared" si="119"/>
        <v>902</v>
      </c>
      <c r="B903" s="363" t="str">
        <f t="shared" si="112"/>
        <v>44</v>
      </c>
      <c r="C903" s="405" t="str">
        <f t="shared" si="113"/>
        <v>第008075号</v>
      </c>
      <c r="D903" s="405" t="str">
        <f t="shared" si="114"/>
        <v>（株）博井建設</v>
      </c>
      <c r="E903" s="405" t="str">
        <f t="shared" si="115"/>
        <v>代表取締役</v>
      </c>
      <c r="F903" s="405" t="str">
        <f t="shared" si="116"/>
        <v>博井　信一</v>
      </c>
      <c r="G903" s="405" t="str">
        <f t="shared" si="117"/>
        <v>主たる営業所</v>
      </c>
      <c r="H903" s="405" t="str">
        <f t="shared" si="118"/>
        <v>日田市大字有田１７２０－１</v>
      </c>
      <c r="L903" s="403" t="s">
        <v>9564</v>
      </c>
      <c r="M903" s="403" t="s">
        <v>9565</v>
      </c>
      <c r="N903" s="403" t="s">
        <v>3082</v>
      </c>
      <c r="O903" s="403" t="s">
        <v>7084</v>
      </c>
      <c r="P903" s="403" t="s">
        <v>3083</v>
      </c>
      <c r="Q903" s="403" t="s">
        <v>9566</v>
      </c>
      <c r="R903" s="403" t="s">
        <v>19302</v>
      </c>
      <c r="S903" s="403" t="s">
        <v>15613</v>
      </c>
      <c r="T903" s="403" t="s">
        <v>15614</v>
      </c>
      <c r="U903" s="403"/>
      <c r="V903" s="403" t="s">
        <v>23024</v>
      </c>
      <c r="W903" s="403" t="s">
        <v>23024</v>
      </c>
      <c r="X903" s="403" t="s">
        <v>23024</v>
      </c>
      <c r="Y903" s="403" t="s">
        <v>23024</v>
      </c>
    </row>
    <row r="904" spans="1:25">
      <c r="A904" s="363">
        <f t="shared" si="119"/>
        <v>903</v>
      </c>
      <c r="B904" s="363" t="str">
        <f t="shared" si="112"/>
        <v>44</v>
      </c>
      <c r="C904" s="405" t="str">
        <f t="shared" si="113"/>
        <v>第008076号</v>
      </c>
      <c r="D904" s="405" t="str">
        <f t="shared" si="114"/>
        <v>（有）木下建設</v>
      </c>
      <c r="E904" s="405" t="str">
        <f t="shared" si="115"/>
        <v>代表取締役</v>
      </c>
      <c r="F904" s="405" t="str">
        <f t="shared" si="116"/>
        <v>木下　篤</v>
      </c>
      <c r="G904" s="405" t="str">
        <f t="shared" si="117"/>
        <v>主たる営業所</v>
      </c>
      <c r="H904" s="405" t="str">
        <f t="shared" si="118"/>
        <v>日田市大字高瀬４０４４－４</v>
      </c>
      <c r="L904" s="403" t="s">
        <v>9567</v>
      </c>
      <c r="M904" s="403" t="s">
        <v>9568</v>
      </c>
      <c r="N904" s="403" t="s">
        <v>3084</v>
      </c>
      <c r="O904" s="403" t="s">
        <v>7084</v>
      </c>
      <c r="P904" s="403" t="s">
        <v>3085</v>
      </c>
      <c r="Q904" s="403" t="s">
        <v>9569</v>
      </c>
      <c r="R904" s="403" t="s">
        <v>19303</v>
      </c>
      <c r="S904" s="403" t="s">
        <v>15615</v>
      </c>
      <c r="T904" s="403" t="s">
        <v>15616</v>
      </c>
      <c r="U904" s="403"/>
      <c r="V904" s="403" t="s">
        <v>23024</v>
      </c>
      <c r="W904" s="403" t="s">
        <v>23024</v>
      </c>
      <c r="X904" s="403" t="s">
        <v>23024</v>
      </c>
      <c r="Y904" s="403" t="s">
        <v>23024</v>
      </c>
    </row>
    <row r="905" spans="1:25">
      <c r="A905" s="363">
        <f t="shared" si="119"/>
        <v>904</v>
      </c>
      <c r="B905" s="363" t="str">
        <f t="shared" si="112"/>
        <v>44</v>
      </c>
      <c r="C905" s="405" t="str">
        <f t="shared" si="113"/>
        <v>第008077号</v>
      </c>
      <c r="D905" s="405" t="str">
        <f t="shared" si="114"/>
        <v>熊谷水道（有）</v>
      </c>
      <c r="E905" s="405" t="str">
        <f t="shared" si="115"/>
        <v>代表取締役</v>
      </c>
      <c r="F905" s="405" t="str">
        <f t="shared" si="116"/>
        <v>熊谷　次芳</v>
      </c>
      <c r="G905" s="405" t="str">
        <f t="shared" si="117"/>
        <v>主たる営業所</v>
      </c>
      <c r="H905" s="405" t="str">
        <f t="shared" si="118"/>
        <v>日田市大字十二町５８１－４</v>
      </c>
      <c r="L905" s="403" t="s">
        <v>9570</v>
      </c>
      <c r="M905" s="403" t="s">
        <v>9571</v>
      </c>
      <c r="N905" s="403" t="s">
        <v>3086</v>
      </c>
      <c r="O905" s="403" t="s">
        <v>7084</v>
      </c>
      <c r="P905" s="403" t="s">
        <v>3087</v>
      </c>
      <c r="Q905" s="403" t="s">
        <v>8556</v>
      </c>
      <c r="R905" s="403" t="s">
        <v>19304</v>
      </c>
      <c r="S905" s="403" t="s">
        <v>15617</v>
      </c>
      <c r="T905" s="403" t="s">
        <v>15618</v>
      </c>
      <c r="U905" s="403"/>
      <c r="V905" s="403" t="s">
        <v>23024</v>
      </c>
      <c r="W905" s="403" t="s">
        <v>23024</v>
      </c>
      <c r="X905" s="403" t="s">
        <v>23024</v>
      </c>
      <c r="Y905" s="403" t="s">
        <v>23024</v>
      </c>
    </row>
    <row r="906" spans="1:25">
      <c r="A906" s="363">
        <f t="shared" si="119"/>
        <v>905</v>
      </c>
      <c r="B906" s="363" t="str">
        <f t="shared" si="112"/>
        <v>44</v>
      </c>
      <c r="C906" s="405" t="str">
        <f t="shared" si="113"/>
        <v>第008080号</v>
      </c>
      <c r="D906" s="405" t="str">
        <f t="shared" si="114"/>
        <v>（有）加藤電工</v>
      </c>
      <c r="E906" s="405" t="str">
        <f t="shared" si="115"/>
        <v>代表取締役</v>
      </c>
      <c r="F906" s="405" t="str">
        <f t="shared" si="116"/>
        <v>加藤　初徳</v>
      </c>
      <c r="G906" s="405" t="str">
        <f t="shared" si="117"/>
        <v>主たる営業所</v>
      </c>
      <c r="H906" s="405" t="str">
        <f t="shared" si="118"/>
        <v>日田市隈２－１－１８</v>
      </c>
      <c r="L906" s="403" t="s">
        <v>9572</v>
      </c>
      <c r="M906" s="403" t="s">
        <v>9573</v>
      </c>
      <c r="N906" s="403" t="s">
        <v>3088</v>
      </c>
      <c r="O906" s="403" t="s">
        <v>7084</v>
      </c>
      <c r="P906" s="403" t="s">
        <v>3089</v>
      </c>
      <c r="Q906" s="403" t="s">
        <v>9574</v>
      </c>
      <c r="R906" s="403" t="s">
        <v>19305</v>
      </c>
      <c r="S906" s="403" t="s">
        <v>15619</v>
      </c>
      <c r="T906" s="403" t="s">
        <v>15620</v>
      </c>
      <c r="U906" s="403"/>
      <c r="V906" s="403" t="s">
        <v>23024</v>
      </c>
      <c r="W906" s="403" t="s">
        <v>23024</v>
      </c>
      <c r="X906" s="403" t="s">
        <v>23024</v>
      </c>
      <c r="Y906" s="403" t="s">
        <v>23024</v>
      </c>
    </row>
    <row r="907" spans="1:25">
      <c r="A907" s="363">
        <f t="shared" si="119"/>
        <v>906</v>
      </c>
      <c r="B907" s="363" t="str">
        <f t="shared" si="112"/>
        <v>44</v>
      </c>
      <c r="C907" s="405" t="str">
        <f t="shared" si="113"/>
        <v>第008081号</v>
      </c>
      <c r="D907" s="405" t="str">
        <f t="shared" si="114"/>
        <v>（有）手島建設</v>
      </c>
      <c r="E907" s="405" t="str">
        <f t="shared" si="115"/>
        <v>代表取締役</v>
      </c>
      <c r="F907" s="405" t="str">
        <f t="shared" si="116"/>
        <v>手島　冠</v>
      </c>
      <c r="G907" s="405" t="str">
        <f t="shared" si="117"/>
        <v>主たる営業所</v>
      </c>
      <c r="H907" s="405" t="str">
        <f t="shared" si="118"/>
        <v>日田市大字友田３６６７</v>
      </c>
      <c r="L907" s="403" t="s">
        <v>9575</v>
      </c>
      <c r="M907" s="403" t="s">
        <v>9576</v>
      </c>
      <c r="N907" s="403" t="s">
        <v>3090</v>
      </c>
      <c r="O907" s="403" t="s">
        <v>7084</v>
      </c>
      <c r="P907" s="403" t="s">
        <v>5247</v>
      </c>
      <c r="Q907" s="403" t="s">
        <v>8059</v>
      </c>
      <c r="R907" s="403" t="s">
        <v>5541</v>
      </c>
      <c r="S907" s="403" t="s">
        <v>15621</v>
      </c>
      <c r="T907" s="403" t="s">
        <v>15622</v>
      </c>
      <c r="U907" s="403"/>
      <c r="V907" s="403" t="s">
        <v>23024</v>
      </c>
      <c r="W907" s="403" t="s">
        <v>23024</v>
      </c>
      <c r="X907" s="403" t="s">
        <v>23024</v>
      </c>
      <c r="Y907" s="403" t="s">
        <v>23024</v>
      </c>
    </row>
    <row r="908" spans="1:25">
      <c r="A908" s="363">
        <f t="shared" si="119"/>
        <v>907</v>
      </c>
      <c r="B908" s="363" t="str">
        <f t="shared" si="112"/>
        <v>44</v>
      </c>
      <c r="C908" s="405" t="str">
        <f t="shared" si="113"/>
        <v>第008088号</v>
      </c>
      <c r="D908" s="405" t="str">
        <f t="shared" si="114"/>
        <v>（有）岡本建設</v>
      </c>
      <c r="E908" s="405" t="str">
        <f t="shared" si="115"/>
        <v>代表取締役</v>
      </c>
      <c r="F908" s="405" t="str">
        <f t="shared" si="116"/>
        <v>岡本　裕治</v>
      </c>
      <c r="G908" s="405" t="str">
        <f t="shared" si="117"/>
        <v>主たる営業所</v>
      </c>
      <c r="H908" s="405" t="str">
        <f t="shared" si="118"/>
        <v>日田市中津江村栃野２９６７－２</v>
      </c>
      <c r="L908" s="403" t="s">
        <v>9577</v>
      </c>
      <c r="M908" s="403" t="s">
        <v>9140</v>
      </c>
      <c r="N908" s="403" t="s">
        <v>2747</v>
      </c>
      <c r="O908" s="403" t="s">
        <v>7084</v>
      </c>
      <c r="P908" s="403" t="s">
        <v>3091</v>
      </c>
      <c r="Q908" s="403" t="s">
        <v>7300</v>
      </c>
      <c r="R908" s="403" t="s">
        <v>19306</v>
      </c>
      <c r="S908" s="403" t="s">
        <v>15623</v>
      </c>
      <c r="T908" s="403" t="s">
        <v>15624</v>
      </c>
      <c r="U908" s="403"/>
      <c r="V908" s="403" t="s">
        <v>23024</v>
      </c>
      <c r="W908" s="403" t="s">
        <v>23024</v>
      </c>
      <c r="X908" s="403" t="s">
        <v>23024</v>
      </c>
      <c r="Y908" s="403" t="s">
        <v>23024</v>
      </c>
    </row>
    <row r="909" spans="1:25">
      <c r="A909" s="363">
        <f t="shared" si="119"/>
        <v>908</v>
      </c>
      <c r="B909" s="363" t="str">
        <f t="shared" si="112"/>
        <v>44</v>
      </c>
      <c r="C909" s="405" t="str">
        <f t="shared" si="113"/>
        <v>第008094号</v>
      </c>
      <c r="D909" s="405" t="str">
        <f t="shared" si="114"/>
        <v>吉野建設</v>
      </c>
      <c r="E909" s="405" t="str">
        <f t="shared" si="115"/>
        <v>代表</v>
      </c>
      <c r="F909" s="405" t="str">
        <f t="shared" si="116"/>
        <v>吉野　浩一郎</v>
      </c>
      <c r="G909" s="405" t="str">
        <f t="shared" si="117"/>
        <v>主たる営業所</v>
      </c>
      <c r="H909" s="405" t="str">
        <f t="shared" si="118"/>
        <v>日田市大山町東大山４７４－１</v>
      </c>
      <c r="L909" s="403" t="s">
        <v>9578</v>
      </c>
      <c r="M909" s="403" t="s">
        <v>9579</v>
      </c>
      <c r="N909" s="403" t="s">
        <v>3092</v>
      </c>
      <c r="O909" s="403" t="s">
        <v>7091</v>
      </c>
      <c r="P909" s="403" t="s">
        <v>3093</v>
      </c>
      <c r="Q909" s="403" t="s">
        <v>9580</v>
      </c>
      <c r="R909" s="403" t="s">
        <v>19307</v>
      </c>
      <c r="S909" s="403" t="s">
        <v>15625</v>
      </c>
      <c r="T909" s="403" t="s">
        <v>15626</v>
      </c>
      <c r="U909" s="403"/>
      <c r="V909" s="403" t="s">
        <v>23024</v>
      </c>
      <c r="W909" s="403" t="s">
        <v>23024</v>
      </c>
      <c r="X909" s="403" t="s">
        <v>23024</v>
      </c>
      <c r="Y909" s="403" t="s">
        <v>23024</v>
      </c>
    </row>
    <row r="910" spans="1:25">
      <c r="A910" s="363">
        <f t="shared" si="119"/>
        <v>909</v>
      </c>
      <c r="B910" s="363" t="str">
        <f t="shared" si="112"/>
        <v>44</v>
      </c>
      <c r="C910" s="405" t="str">
        <f t="shared" si="113"/>
        <v>第008300号</v>
      </c>
      <c r="D910" s="405" t="str">
        <f t="shared" si="114"/>
        <v>（有）丸萬</v>
      </c>
      <c r="E910" s="405" t="str">
        <f t="shared" si="115"/>
        <v>代表取締役</v>
      </c>
      <c r="F910" s="405" t="str">
        <f t="shared" si="116"/>
        <v>秋田　泰義</v>
      </c>
      <c r="G910" s="405" t="str">
        <f t="shared" si="117"/>
        <v>主たる営業所</v>
      </c>
      <c r="H910" s="405" t="str">
        <f t="shared" si="118"/>
        <v>国東市武蔵町糸原４７８－１</v>
      </c>
      <c r="L910" s="403" t="s">
        <v>9581</v>
      </c>
      <c r="M910" s="403" t="s">
        <v>9582</v>
      </c>
      <c r="N910" s="403" t="s">
        <v>3094</v>
      </c>
      <c r="O910" s="403" t="s">
        <v>7084</v>
      </c>
      <c r="P910" s="403" t="s">
        <v>3095</v>
      </c>
      <c r="Q910" s="403" t="s">
        <v>7416</v>
      </c>
      <c r="R910" s="403" t="s">
        <v>19308</v>
      </c>
      <c r="S910" s="403" t="s">
        <v>15627</v>
      </c>
      <c r="T910" s="403" t="s">
        <v>15628</v>
      </c>
      <c r="U910" s="403"/>
      <c r="V910" s="403" t="s">
        <v>23024</v>
      </c>
      <c r="W910" s="403" t="s">
        <v>23024</v>
      </c>
      <c r="X910" s="403" t="s">
        <v>23024</v>
      </c>
      <c r="Y910" s="403" t="s">
        <v>23024</v>
      </c>
    </row>
    <row r="911" spans="1:25">
      <c r="A911" s="363">
        <f t="shared" si="119"/>
        <v>910</v>
      </c>
      <c r="B911" s="363" t="str">
        <f t="shared" si="112"/>
        <v>44</v>
      </c>
      <c r="C911" s="405" t="str">
        <f t="shared" si="113"/>
        <v>第008302号</v>
      </c>
      <c r="D911" s="405" t="str">
        <f t="shared" si="114"/>
        <v>（株）後藤組</v>
      </c>
      <c r="E911" s="405" t="str">
        <f t="shared" si="115"/>
        <v>代表取締役</v>
      </c>
      <c r="F911" s="405" t="str">
        <f t="shared" si="116"/>
        <v>後藤　ひとみ</v>
      </c>
      <c r="G911" s="405" t="str">
        <f t="shared" si="117"/>
        <v>主たる営業所</v>
      </c>
      <c r="H911" s="405" t="str">
        <f t="shared" si="118"/>
        <v>国東市安岐町吉松３０２３</v>
      </c>
      <c r="L911" s="403" t="s">
        <v>9583</v>
      </c>
      <c r="M911" s="403" t="s">
        <v>9584</v>
      </c>
      <c r="N911" s="403" t="s">
        <v>3096</v>
      </c>
      <c r="O911" s="403" t="s">
        <v>7084</v>
      </c>
      <c r="P911" s="403" t="s">
        <v>3097</v>
      </c>
      <c r="Q911" s="403" t="s">
        <v>9585</v>
      </c>
      <c r="R911" s="403" t="s">
        <v>5542</v>
      </c>
      <c r="S911" s="403" t="s">
        <v>15629</v>
      </c>
      <c r="T911" s="403" t="s">
        <v>15630</v>
      </c>
      <c r="U911" s="403"/>
      <c r="V911" s="403" t="s">
        <v>23024</v>
      </c>
      <c r="W911" s="403" t="s">
        <v>23024</v>
      </c>
      <c r="X911" s="403" t="s">
        <v>23024</v>
      </c>
      <c r="Y911" s="403" t="s">
        <v>23024</v>
      </c>
    </row>
    <row r="912" spans="1:25">
      <c r="A912" s="363">
        <f t="shared" si="119"/>
        <v>911</v>
      </c>
      <c r="B912" s="363" t="str">
        <f t="shared" si="112"/>
        <v>44</v>
      </c>
      <c r="C912" s="405" t="str">
        <f t="shared" si="113"/>
        <v>第008305号</v>
      </c>
      <c r="D912" s="405" t="str">
        <f t="shared" si="114"/>
        <v>徳丸綜合建設（株）</v>
      </c>
      <c r="E912" s="405" t="str">
        <f t="shared" si="115"/>
        <v>代表取締役</v>
      </c>
      <c r="F912" s="405" t="str">
        <f t="shared" si="116"/>
        <v>徳丸　正美</v>
      </c>
      <c r="G912" s="405" t="str">
        <f t="shared" si="117"/>
        <v>主たる営業所</v>
      </c>
      <c r="H912" s="405" t="str">
        <f t="shared" si="118"/>
        <v>国東市安岐町成久５６９－２</v>
      </c>
      <c r="L912" s="403" t="s">
        <v>9586</v>
      </c>
      <c r="M912" s="403" t="s">
        <v>9587</v>
      </c>
      <c r="N912" s="403" t="s">
        <v>3099</v>
      </c>
      <c r="O912" s="403" t="s">
        <v>7084</v>
      </c>
      <c r="P912" s="403" t="s">
        <v>5311</v>
      </c>
      <c r="Q912" s="403" t="s">
        <v>9588</v>
      </c>
      <c r="R912" s="403" t="s">
        <v>19309</v>
      </c>
      <c r="S912" s="403" t="s">
        <v>15631</v>
      </c>
      <c r="T912" s="403" t="s">
        <v>15632</v>
      </c>
      <c r="U912" s="403"/>
      <c r="V912" s="403" t="s">
        <v>23024</v>
      </c>
      <c r="W912" s="403" t="s">
        <v>23024</v>
      </c>
      <c r="X912" s="403" t="s">
        <v>23024</v>
      </c>
      <c r="Y912" s="403" t="s">
        <v>23024</v>
      </c>
    </row>
    <row r="913" spans="1:25">
      <c r="A913" s="363">
        <f t="shared" si="119"/>
        <v>912</v>
      </c>
      <c r="B913" s="363" t="str">
        <f t="shared" si="112"/>
        <v>44</v>
      </c>
      <c r="C913" s="405" t="str">
        <f t="shared" si="113"/>
        <v>第008307号</v>
      </c>
      <c r="D913" s="405" t="str">
        <f t="shared" si="114"/>
        <v>旭工業（株）</v>
      </c>
      <c r="E913" s="405" t="str">
        <f t="shared" si="115"/>
        <v>代表取締役</v>
      </c>
      <c r="F913" s="405" t="str">
        <f t="shared" si="116"/>
        <v>中園　勲</v>
      </c>
      <c r="G913" s="405" t="str">
        <f t="shared" si="117"/>
        <v>主たる営業所</v>
      </c>
      <c r="H913" s="405" t="str">
        <f t="shared" si="118"/>
        <v>国東市国見町中１２３２</v>
      </c>
      <c r="L913" s="403" t="s">
        <v>9589</v>
      </c>
      <c r="M913" s="403" t="s">
        <v>9590</v>
      </c>
      <c r="N913" s="403" t="s">
        <v>3100</v>
      </c>
      <c r="O913" s="403" t="s">
        <v>7084</v>
      </c>
      <c r="P913" s="403" t="s">
        <v>3101</v>
      </c>
      <c r="Q913" s="403" t="s">
        <v>9591</v>
      </c>
      <c r="R913" s="403" t="s">
        <v>5543</v>
      </c>
      <c r="S913" s="403" t="s">
        <v>15633</v>
      </c>
      <c r="T913" s="403" t="s">
        <v>15634</v>
      </c>
      <c r="U913" s="403"/>
      <c r="V913" s="403" t="s">
        <v>23024</v>
      </c>
      <c r="W913" s="403" t="s">
        <v>23024</v>
      </c>
      <c r="X913" s="403" t="s">
        <v>23024</v>
      </c>
      <c r="Y913" s="403" t="s">
        <v>23024</v>
      </c>
    </row>
    <row r="914" spans="1:25">
      <c r="A914" s="363">
        <f t="shared" si="119"/>
        <v>913</v>
      </c>
      <c r="B914" s="363" t="str">
        <f t="shared" si="112"/>
        <v>44</v>
      </c>
      <c r="C914" s="405" t="str">
        <f t="shared" si="113"/>
        <v>第008309号</v>
      </c>
      <c r="D914" s="405" t="str">
        <f t="shared" si="114"/>
        <v>（有）北崎電器商会</v>
      </c>
      <c r="E914" s="405" t="str">
        <f t="shared" si="115"/>
        <v>代表取締役</v>
      </c>
      <c r="F914" s="405" t="str">
        <f t="shared" si="116"/>
        <v>北崎　利浩</v>
      </c>
      <c r="G914" s="405" t="str">
        <f t="shared" si="117"/>
        <v>主たる営業所</v>
      </c>
      <c r="H914" s="405" t="str">
        <f t="shared" si="118"/>
        <v>国東市国東町浜３７４７</v>
      </c>
      <c r="L914" s="403" t="s">
        <v>9592</v>
      </c>
      <c r="M914" s="403" t="s">
        <v>9593</v>
      </c>
      <c r="N914" s="403" t="s">
        <v>3102</v>
      </c>
      <c r="O914" s="403" t="s">
        <v>7084</v>
      </c>
      <c r="P914" s="403" t="s">
        <v>3103</v>
      </c>
      <c r="Q914" s="403" t="s">
        <v>7721</v>
      </c>
      <c r="R914" s="403" t="s">
        <v>5544</v>
      </c>
      <c r="S914" s="403" t="s">
        <v>15635</v>
      </c>
      <c r="T914" s="403" t="s">
        <v>15636</v>
      </c>
      <c r="U914" s="403"/>
      <c r="V914" s="403" t="s">
        <v>23024</v>
      </c>
      <c r="W914" s="403" t="s">
        <v>23024</v>
      </c>
      <c r="X914" s="403" t="s">
        <v>23024</v>
      </c>
      <c r="Y914" s="403" t="s">
        <v>23024</v>
      </c>
    </row>
    <row r="915" spans="1:25">
      <c r="A915" s="363">
        <f t="shared" si="119"/>
        <v>914</v>
      </c>
      <c r="B915" s="363" t="str">
        <f t="shared" si="112"/>
        <v>44</v>
      </c>
      <c r="C915" s="405" t="str">
        <f t="shared" si="113"/>
        <v>第008311号</v>
      </c>
      <c r="D915" s="405" t="str">
        <f t="shared" si="114"/>
        <v>（有）穴見建設</v>
      </c>
      <c r="E915" s="405" t="str">
        <f t="shared" si="115"/>
        <v>代表取締役</v>
      </c>
      <c r="F915" s="405" t="str">
        <f t="shared" si="116"/>
        <v>穴見　善隆</v>
      </c>
      <c r="G915" s="405" t="str">
        <f t="shared" si="117"/>
        <v>主たる営業所</v>
      </c>
      <c r="H915" s="405" t="str">
        <f t="shared" si="118"/>
        <v>国東市武蔵町池ノ内１７５２－３</v>
      </c>
      <c r="L915" s="403" t="s">
        <v>9594</v>
      </c>
      <c r="M915" s="403" t="s">
        <v>9595</v>
      </c>
      <c r="N915" s="403" t="s">
        <v>3104</v>
      </c>
      <c r="O915" s="403" t="s">
        <v>7084</v>
      </c>
      <c r="P915" s="403" t="s">
        <v>3105</v>
      </c>
      <c r="Q915" s="403" t="s">
        <v>9596</v>
      </c>
      <c r="R915" s="403" t="s">
        <v>19310</v>
      </c>
      <c r="S915" s="403" t="s">
        <v>15637</v>
      </c>
      <c r="T915" s="403" t="s">
        <v>15638</v>
      </c>
      <c r="U915" s="403"/>
      <c r="V915" s="403" t="s">
        <v>23024</v>
      </c>
      <c r="W915" s="403" t="s">
        <v>23024</v>
      </c>
      <c r="X915" s="403" t="s">
        <v>23024</v>
      </c>
      <c r="Y915" s="403" t="s">
        <v>23024</v>
      </c>
    </row>
    <row r="916" spans="1:25">
      <c r="A916" s="363">
        <f t="shared" si="119"/>
        <v>915</v>
      </c>
      <c r="B916" s="363" t="str">
        <f t="shared" si="112"/>
        <v>44</v>
      </c>
      <c r="C916" s="405" t="str">
        <f t="shared" si="113"/>
        <v>第008501号</v>
      </c>
      <c r="D916" s="405" t="str">
        <f t="shared" si="114"/>
        <v>（有）中岩建設</v>
      </c>
      <c r="E916" s="405" t="str">
        <f t="shared" si="115"/>
        <v>代表取締役</v>
      </c>
      <c r="F916" s="405" t="str">
        <f t="shared" si="116"/>
        <v>中岩　秀裕</v>
      </c>
      <c r="G916" s="405" t="str">
        <f t="shared" si="117"/>
        <v>主たる営業所</v>
      </c>
      <c r="H916" s="405" t="str">
        <f t="shared" si="118"/>
        <v>中津市耶馬溪町大字柿坂６３３－３</v>
      </c>
      <c r="L916" s="403" t="s">
        <v>9597</v>
      </c>
      <c r="M916" s="403" t="s">
        <v>9598</v>
      </c>
      <c r="N916" s="403" t="s">
        <v>3106</v>
      </c>
      <c r="O916" s="403" t="s">
        <v>7084</v>
      </c>
      <c r="P916" s="403" t="s">
        <v>3107</v>
      </c>
      <c r="Q916" s="403" t="s">
        <v>8081</v>
      </c>
      <c r="R916" s="403" t="s">
        <v>19311</v>
      </c>
      <c r="S916" s="403" t="s">
        <v>15639</v>
      </c>
      <c r="T916" s="403" t="s">
        <v>15640</v>
      </c>
      <c r="U916" s="403"/>
      <c r="V916" s="403" t="s">
        <v>23024</v>
      </c>
      <c r="W916" s="403" t="s">
        <v>23024</v>
      </c>
      <c r="X916" s="403" t="s">
        <v>23024</v>
      </c>
      <c r="Y916" s="403" t="s">
        <v>23024</v>
      </c>
    </row>
    <row r="917" spans="1:25">
      <c r="A917" s="363">
        <f t="shared" si="119"/>
        <v>916</v>
      </c>
      <c r="B917" s="363" t="str">
        <f t="shared" si="112"/>
        <v>44</v>
      </c>
      <c r="C917" s="405" t="str">
        <f t="shared" si="113"/>
        <v>第008505号</v>
      </c>
      <c r="D917" s="405" t="str">
        <f t="shared" si="114"/>
        <v>（株）熊谷重機</v>
      </c>
      <c r="E917" s="405" t="str">
        <f t="shared" si="115"/>
        <v>代表取締役</v>
      </c>
      <c r="F917" s="405" t="str">
        <f t="shared" si="116"/>
        <v>熊谷　寿之</v>
      </c>
      <c r="G917" s="405" t="str">
        <f t="shared" si="117"/>
        <v>主たる営業所</v>
      </c>
      <c r="H917" s="405" t="str">
        <f t="shared" si="118"/>
        <v>中津市山国町守実２３５９－３</v>
      </c>
      <c r="L917" s="403" t="s">
        <v>9599</v>
      </c>
      <c r="M917" s="403" t="s">
        <v>9600</v>
      </c>
      <c r="N917" s="403" t="s">
        <v>3108</v>
      </c>
      <c r="O917" s="403" t="s">
        <v>7084</v>
      </c>
      <c r="P917" s="403" t="s">
        <v>3109</v>
      </c>
      <c r="Q917" s="403" t="s">
        <v>9245</v>
      </c>
      <c r="R917" s="403" t="s">
        <v>19312</v>
      </c>
      <c r="S917" s="403" t="s">
        <v>15641</v>
      </c>
      <c r="T917" s="403" t="s">
        <v>15642</v>
      </c>
      <c r="U917" s="403"/>
      <c r="V917" s="403" t="s">
        <v>23024</v>
      </c>
      <c r="W917" s="403" t="s">
        <v>23024</v>
      </c>
      <c r="X917" s="403" t="s">
        <v>23024</v>
      </c>
      <c r="Y917" s="403" t="s">
        <v>23024</v>
      </c>
    </row>
    <row r="918" spans="1:25">
      <c r="A918" s="363">
        <f t="shared" si="119"/>
        <v>917</v>
      </c>
      <c r="B918" s="363" t="str">
        <f t="shared" si="112"/>
        <v>44</v>
      </c>
      <c r="C918" s="405" t="str">
        <f t="shared" si="113"/>
        <v>第008511号</v>
      </c>
      <c r="D918" s="405" t="str">
        <f t="shared" si="114"/>
        <v>（株）三十</v>
      </c>
      <c r="E918" s="405" t="str">
        <f t="shared" si="115"/>
        <v>代表取締役</v>
      </c>
      <c r="F918" s="405" t="str">
        <f t="shared" si="116"/>
        <v>藤丸　博明</v>
      </c>
      <c r="G918" s="405" t="str">
        <f t="shared" si="117"/>
        <v>主たる営業所</v>
      </c>
      <c r="H918" s="405" t="str">
        <f t="shared" si="118"/>
        <v>中津市大字永添８２０</v>
      </c>
      <c r="L918" s="403" t="s">
        <v>9601</v>
      </c>
      <c r="M918" s="403" t="s">
        <v>9602</v>
      </c>
      <c r="N918" s="403" t="s">
        <v>3110</v>
      </c>
      <c r="O918" s="403" t="s">
        <v>7084</v>
      </c>
      <c r="P918" s="403" t="s">
        <v>3111</v>
      </c>
      <c r="Q918" s="403" t="s">
        <v>8111</v>
      </c>
      <c r="R918" s="403" t="s">
        <v>5545</v>
      </c>
      <c r="S918" s="403" t="s">
        <v>15643</v>
      </c>
      <c r="T918" s="403" t="s">
        <v>15644</v>
      </c>
      <c r="U918" s="403"/>
      <c r="V918" s="403" t="s">
        <v>23024</v>
      </c>
      <c r="W918" s="403" t="s">
        <v>23024</v>
      </c>
      <c r="X918" s="403" t="s">
        <v>23024</v>
      </c>
      <c r="Y918" s="403" t="s">
        <v>23024</v>
      </c>
    </row>
    <row r="919" spans="1:25">
      <c r="A919" s="363">
        <f t="shared" si="119"/>
        <v>918</v>
      </c>
      <c r="B919" s="363" t="str">
        <f t="shared" si="112"/>
        <v>44</v>
      </c>
      <c r="C919" s="405" t="str">
        <f t="shared" si="113"/>
        <v>第008516号</v>
      </c>
      <c r="D919" s="405" t="str">
        <f t="shared" si="114"/>
        <v>（有）末永ガラス</v>
      </c>
      <c r="E919" s="405" t="str">
        <f t="shared" si="115"/>
        <v>代表取締役</v>
      </c>
      <c r="F919" s="405" t="str">
        <f t="shared" si="116"/>
        <v>末永　克典</v>
      </c>
      <c r="G919" s="405" t="str">
        <f t="shared" si="117"/>
        <v>主たる営業所</v>
      </c>
      <c r="H919" s="405" t="str">
        <f t="shared" si="118"/>
        <v>中津市豊田町２－５３７－１</v>
      </c>
      <c r="L919" s="403" t="s">
        <v>9603</v>
      </c>
      <c r="M919" s="403" t="s">
        <v>9604</v>
      </c>
      <c r="N919" s="403" t="s">
        <v>3112</v>
      </c>
      <c r="O919" s="403" t="s">
        <v>7084</v>
      </c>
      <c r="P919" s="403" t="s">
        <v>3113</v>
      </c>
      <c r="Q919" s="403" t="s">
        <v>9478</v>
      </c>
      <c r="R919" s="403" t="s">
        <v>19313</v>
      </c>
      <c r="S919" s="403" t="s">
        <v>15645</v>
      </c>
      <c r="T919" s="403" t="s">
        <v>15646</v>
      </c>
      <c r="U919" s="403"/>
      <c r="V919" s="403" t="s">
        <v>23024</v>
      </c>
      <c r="W919" s="403" t="s">
        <v>23024</v>
      </c>
      <c r="X919" s="403" t="s">
        <v>23024</v>
      </c>
      <c r="Y919" s="403" t="s">
        <v>23024</v>
      </c>
    </row>
    <row r="920" spans="1:25">
      <c r="A920" s="363">
        <f t="shared" si="119"/>
        <v>919</v>
      </c>
      <c r="B920" s="363" t="str">
        <f t="shared" si="112"/>
        <v>44</v>
      </c>
      <c r="C920" s="405" t="str">
        <f t="shared" si="113"/>
        <v>第008520号</v>
      </c>
      <c r="D920" s="405" t="str">
        <f t="shared" si="114"/>
        <v>（株）隆電設</v>
      </c>
      <c r="E920" s="405" t="str">
        <f t="shared" si="115"/>
        <v>代表取締役</v>
      </c>
      <c r="F920" s="405" t="str">
        <f t="shared" si="116"/>
        <v>熊井　隆行</v>
      </c>
      <c r="G920" s="405" t="str">
        <f t="shared" si="117"/>
        <v>主たる営業所</v>
      </c>
      <c r="H920" s="405" t="str">
        <f t="shared" si="118"/>
        <v>中津市大字福島２３２６－３</v>
      </c>
      <c r="L920" s="403" t="s">
        <v>9605</v>
      </c>
      <c r="M920" s="403" t="s">
        <v>9606</v>
      </c>
      <c r="N920" s="403" t="s">
        <v>3114</v>
      </c>
      <c r="O920" s="403" t="s">
        <v>7084</v>
      </c>
      <c r="P920" s="403" t="s">
        <v>3115</v>
      </c>
      <c r="Q920" s="403" t="s">
        <v>8893</v>
      </c>
      <c r="R920" s="403" t="s">
        <v>19314</v>
      </c>
      <c r="S920" s="403" t="s">
        <v>15647</v>
      </c>
      <c r="T920" s="403" t="s">
        <v>15648</v>
      </c>
      <c r="U920" s="403"/>
      <c r="V920" s="403" t="s">
        <v>23024</v>
      </c>
      <c r="W920" s="403" t="s">
        <v>23024</v>
      </c>
      <c r="X920" s="403" t="s">
        <v>23024</v>
      </c>
      <c r="Y920" s="403" t="s">
        <v>23024</v>
      </c>
    </row>
    <row r="921" spans="1:25">
      <c r="A921" s="363">
        <f t="shared" si="119"/>
        <v>920</v>
      </c>
      <c r="B921" s="363" t="str">
        <f t="shared" si="112"/>
        <v>44</v>
      </c>
      <c r="C921" s="405" t="str">
        <f t="shared" si="113"/>
        <v>第008522号</v>
      </c>
      <c r="D921" s="405" t="str">
        <f t="shared" si="114"/>
        <v>日昇建設（株）</v>
      </c>
      <c r="E921" s="405" t="str">
        <f t="shared" si="115"/>
        <v>代表取締役</v>
      </c>
      <c r="F921" s="405" t="str">
        <f t="shared" si="116"/>
        <v>古賀　直樹</v>
      </c>
      <c r="G921" s="405" t="str">
        <f t="shared" si="117"/>
        <v>主たる営業所</v>
      </c>
      <c r="H921" s="405" t="str">
        <f t="shared" si="118"/>
        <v>中津市大字高瀬４３５</v>
      </c>
      <c r="L921" s="403" t="s">
        <v>9607</v>
      </c>
      <c r="M921" s="403" t="s">
        <v>9608</v>
      </c>
      <c r="N921" s="403" t="s">
        <v>3116</v>
      </c>
      <c r="O921" s="403" t="s">
        <v>7084</v>
      </c>
      <c r="P921" s="403" t="s">
        <v>3117</v>
      </c>
      <c r="Q921" s="403" t="s">
        <v>8102</v>
      </c>
      <c r="R921" s="403" t="s">
        <v>5546</v>
      </c>
      <c r="S921" s="403" t="s">
        <v>15649</v>
      </c>
      <c r="T921" s="403" t="s">
        <v>15650</v>
      </c>
      <c r="U921" s="403"/>
      <c r="V921" s="403" t="s">
        <v>23024</v>
      </c>
      <c r="W921" s="403" t="s">
        <v>23024</v>
      </c>
      <c r="X921" s="403" t="s">
        <v>23024</v>
      </c>
      <c r="Y921" s="403" t="s">
        <v>23024</v>
      </c>
    </row>
    <row r="922" spans="1:25">
      <c r="A922" s="363">
        <f t="shared" si="119"/>
        <v>921</v>
      </c>
      <c r="B922" s="363" t="str">
        <f t="shared" si="112"/>
        <v>44</v>
      </c>
      <c r="C922" s="405" t="str">
        <f t="shared" si="113"/>
        <v>第008523号</v>
      </c>
      <c r="D922" s="405" t="str">
        <f t="shared" si="114"/>
        <v>黒土建設（有）</v>
      </c>
      <c r="E922" s="405" t="str">
        <f t="shared" si="115"/>
        <v>代表取締役</v>
      </c>
      <c r="F922" s="405" t="str">
        <f t="shared" si="116"/>
        <v>黒土　和賢</v>
      </c>
      <c r="G922" s="405" t="str">
        <f t="shared" si="117"/>
        <v>主たる営業所</v>
      </c>
      <c r="H922" s="405" t="str">
        <f t="shared" si="118"/>
        <v>中津市大字加来２２８３－８</v>
      </c>
      <c r="L922" s="403" t="s">
        <v>9609</v>
      </c>
      <c r="M922" s="403" t="s">
        <v>9610</v>
      </c>
      <c r="N922" s="403" t="s">
        <v>3118</v>
      </c>
      <c r="O922" s="403" t="s">
        <v>7084</v>
      </c>
      <c r="P922" s="403" t="s">
        <v>3119</v>
      </c>
      <c r="Q922" s="403" t="s">
        <v>7351</v>
      </c>
      <c r="R922" s="403" t="s">
        <v>19315</v>
      </c>
      <c r="S922" s="403" t="s">
        <v>15651</v>
      </c>
      <c r="T922" s="403" t="s">
        <v>15652</v>
      </c>
      <c r="U922" s="403"/>
      <c r="V922" s="403" t="s">
        <v>23024</v>
      </c>
      <c r="W922" s="403" t="s">
        <v>23024</v>
      </c>
      <c r="X922" s="403" t="s">
        <v>23024</v>
      </c>
      <c r="Y922" s="403" t="s">
        <v>23024</v>
      </c>
    </row>
    <row r="923" spans="1:25">
      <c r="A923" s="363">
        <f t="shared" si="119"/>
        <v>922</v>
      </c>
      <c r="B923" s="363" t="str">
        <f t="shared" si="112"/>
        <v>44</v>
      </c>
      <c r="C923" s="405" t="str">
        <f t="shared" si="113"/>
        <v>第008527号</v>
      </c>
      <c r="D923" s="405" t="str">
        <f t="shared" si="114"/>
        <v>ミヤコ建設（有）</v>
      </c>
      <c r="E923" s="405" t="str">
        <f t="shared" si="115"/>
        <v>代表取締役</v>
      </c>
      <c r="F923" s="405" t="str">
        <f t="shared" si="116"/>
        <v>永田　都一</v>
      </c>
      <c r="G923" s="405" t="str">
        <f t="shared" si="117"/>
        <v>主たる営業所</v>
      </c>
      <c r="H923" s="405" t="str">
        <f t="shared" si="118"/>
        <v>中津市大字牛神１５０－２</v>
      </c>
      <c r="L923" s="403" t="s">
        <v>9611</v>
      </c>
      <c r="M923" s="403" t="s">
        <v>9612</v>
      </c>
      <c r="N923" s="403" t="s">
        <v>3120</v>
      </c>
      <c r="O923" s="403" t="s">
        <v>7084</v>
      </c>
      <c r="P923" s="403" t="s">
        <v>3121</v>
      </c>
      <c r="Q923" s="403" t="s">
        <v>8099</v>
      </c>
      <c r="R923" s="403" t="s">
        <v>19316</v>
      </c>
      <c r="S923" s="403" t="s">
        <v>15653</v>
      </c>
      <c r="T923" s="403" t="s">
        <v>15653</v>
      </c>
      <c r="U923" s="403"/>
      <c r="V923" s="403" t="s">
        <v>23024</v>
      </c>
      <c r="W923" s="403" t="s">
        <v>23024</v>
      </c>
      <c r="X923" s="403" t="s">
        <v>23024</v>
      </c>
      <c r="Y923" s="403" t="s">
        <v>23024</v>
      </c>
    </row>
    <row r="924" spans="1:25">
      <c r="A924" s="363">
        <f t="shared" si="119"/>
        <v>923</v>
      </c>
      <c r="B924" s="363" t="str">
        <f t="shared" si="112"/>
        <v>44</v>
      </c>
      <c r="C924" s="405" t="str">
        <f t="shared" si="113"/>
        <v>第008536号</v>
      </c>
      <c r="D924" s="405" t="str">
        <f t="shared" si="114"/>
        <v>（有）小池石材</v>
      </c>
      <c r="E924" s="405" t="str">
        <f t="shared" si="115"/>
        <v>代表取締役</v>
      </c>
      <c r="F924" s="405" t="str">
        <f t="shared" si="116"/>
        <v>小池　俊通</v>
      </c>
      <c r="G924" s="405" t="str">
        <f t="shared" si="117"/>
        <v>主たる営業所</v>
      </c>
      <c r="H924" s="405" t="str">
        <f t="shared" si="118"/>
        <v>中津市本耶馬渓町曽木１７１３</v>
      </c>
      <c r="L924" s="403" t="s">
        <v>9613</v>
      </c>
      <c r="M924" s="403" t="s">
        <v>9614</v>
      </c>
      <c r="N924" s="403" t="s">
        <v>3122</v>
      </c>
      <c r="O924" s="403" t="s">
        <v>7084</v>
      </c>
      <c r="P924" s="403" t="s">
        <v>3123</v>
      </c>
      <c r="Q924" s="403" t="s">
        <v>9615</v>
      </c>
      <c r="R924" s="403" t="s">
        <v>5547</v>
      </c>
      <c r="S924" s="403" t="s">
        <v>15654</v>
      </c>
      <c r="T924" s="403" t="s">
        <v>15654</v>
      </c>
      <c r="U924" s="403"/>
      <c r="V924" s="403" t="s">
        <v>23024</v>
      </c>
      <c r="W924" s="403" t="s">
        <v>23024</v>
      </c>
      <c r="X924" s="403" t="s">
        <v>23024</v>
      </c>
      <c r="Y924" s="403" t="s">
        <v>23024</v>
      </c>
    </row>
    <row r="925" spans="1:25">
      <c r="A925" s="363">
        <f t="shared" si="119"/>
        <v>924</v>
      </c>
      <c r="B925" s="363" t="str">
        <f t="shared" si="112"/>
        <v>44</v>
      </c>
      <c r="C925" s="405" t="str">
        <f t="shared" si="113"/>
        <v>第008540号</v>
      </c>
      <c r="D925" s="405" t="str">
        <f t="shared" si="114"/>
        <v>北村住建（有）</v>
      </c>
      <c r="E925" s="405" t="str">
        <f t="shared" si="115"/>
        <v>代表取締役</v>
      </c>
      <c r="F925" s="405" t="str">
        <f t="shared" si="116"/>
        <v>北村　一美</v>
      </c>
      <c r="G925" s="405" t="str">
        <f t="shared" si="117"/>
        <v>主たる営業所</v>
      </c>
      <c r="H925" s="405" t="str">
        <f t="shared" si="118"/>
        <v>中津市耶馬溪町大字戸原１１０９－１</v>
      </c>
      <c r="L925" s="403" t="s">
        <v>9616</v>
      </c>
      <c r="M925" s="403" t="s">
        <v>9617</v>
      </c>
      <c r="N925" s="403" t="s">
        <v>3124</v>
      </c>
      <c r="O925" s="403" t="s">
        <v>7084</v>
      </c>
      <c r="P925" s="403" t="s">
        <v>3125</v>
      </c>
      <c r="Q925" s="403" t="s">
        <v>9472</v>
      </c>
      <c r="R925" s="403" t="s">
        <v>19317</v>
      </c>
      <c r="S925" s="403" t="s">
        <v>15655</v>
      </c>
      <c r="T925" s="403" t="s">
        <v>15656</v>
      </c>
      <c r="U925" s="403"/>
      <c r="V925" s="403" t="s">
        <v>23024</v>
      </c>
      <c r="W925" s="403" t="s">
        <v>23024</v>
      </c>
      <c r="X925" s="403" t="s">
        <v>23024</v>
      </c>
      <c r="Y925" s="403" t="s">
        <v>23024</v>
      </c>
    </row>
    <row r="926" spans="1:25">
      <c r="A926" s="363">
        <f t="shared" si="119"/>
        <v>925</v>
      </c>
      <c r="B926" s="363" t="str">
        <f t="shared" si="112"/>
        <v>44</v>
      </c>
      <c r="C926" s="405" t="str">
        <f t="shared" si="113"/>
        <v>第008545号</v>
      </c>
      <c r="D926" s="405" t="str">
        <f t="shared" si="114"/>
        <v>（有）梅紅園</v>
      </c>
      <c r="E926" s="405" t="str">
        <f t="shared" si="115"/>
        <v>代表取締役</v>
      </c>
      <c r="F926" s="405" t="str">
        <f t="shared" si="116"/>
        <v>善正　龍彦</v>
      </c>
      <c r="G926" s="405" t="str">
        <f t="shared" si="117"/>
        <v>主たる営業所</v>
      </c>
      <c r="H926" s="405" t="str">
        <f t="shared" si="118"/>
        <v>中津市大字相原３５８２</v>
      </c>
      <c r="L926" s="403" t="s">
        <v>9618</v>
      </c>
      <c r="M926" s="403" t="s">
        <v>9619</v>
      </c>
      <c r="N926" s="403" t="s">
        <v>3126</v>
      </c>
      <c r="O926" s="403" t="s">
        <v>7084</v>
      </c>
      <c r="P926" s="403" t="s">
        <v>3127</v>
      </c>
      <c r="Q926" s="403" t="s">
        <v>9620</v>
      </c>
      <c r="R926" s="403" t="s">
        <v>5548</v>
      </c>
      <c r="S926" s="403" t="s">
        <v>15657</v>
      </c>
      <c r="T926" s="403" t="s">
        <v>15658</v>
      </c>
      <c r="U926" s="403"/>
      <c r="V926" s="403" t="s">
        <v>23024</v>
      </c>
      <c r="W926" s="403" t="s">
        <v>23024</v>
      </c>
      <c r="X926" s="403" t="s">
        <v>23024</v>
      </c>
      <c r="Y926" s="403" t="s">
        <v>23024</v>
      </c>
    </row>
    <row r="927" spans="1:25">
      <c r="A927" s="363">
        <f t="shared" si="119"/>
        <v>926</v>
      </c>
      <c r="B927" s="363" t="str">
        <f t="shared" si="112"/>
        <v>44</v>
      </c>
      <c r="C927" s="405" t="str">
        <f t="shared" si="113"/>
        <v>第008547号</v>
      </c>
      <c r="D927" s="405" t="str">
        <f t="shared" si="114"/>
        <v>中尾襖製作所</v>
      </c>
      <c r="E927" s="405" t="str">
        <f t="shared" si="115"/>
        <v>代表者</v>
      </c>
      <c r="F927" s="405" t="str">
        <f t="shared" si="116"/>
        <v>土岡　俊介</v>
      </c>
      <c r="G927" s="405" t="str">
        <f t="shared" si="117"/>
        <v>主たる営業所</v>
      </c>
      <c r="H927" s="405" t="str">
        <f t="shared" si="118"/>
        <v>中津市上宮永町９８－７</v>
      </c>
      <c r="L927" s="403" t="s">
        <v>9621</v>
      </c>
      <c r="M927" s="403" t="s">
        <v>9622</v>
      </c>
      <c r="N927" s="403" t="s">
        <v>3128</v>
      </c>
      <c r="O927" s="403" t="s">
        <v>7086</v>
      </c>
      <c r="P927" s="403" t="s">
        <v>3129</v>
      </c>
      <c r="Q927" s="403" t="s">
        <v>8096</v>
      </c>
      <c r="R927" s="403" t="s">
        <v>19318</v>
      </c>
      <c r="S927" s="403" t="s">
        <v>15659</v>
      </c>
      <c r="T927" s="403" t="s">
        <v>15660</v>
      </c>
      <c r="U927" s="403"/>
      <c r="V927" s="403" t="s">
        <v>23024</v>
      </c>
      <c r="W927" s="403" t="s">
        <v>23024</v>
      </c>
      <c r="X927" s="403" t="s">
        <v>23024</v>
      </c>
      <c r="Y927" s="403" t="s">
        <v>23024</v>
      </c>
    </row>
    <row r="928" spans="1:25">
      <c r="A928" s="363">
        <f t="shared" si="119"/>
        <v>927</v>
      </c>
      <c r="B928" s="363" t="str">
        <f t="shared" si="112"/>
        <v>44</v>
      </c>
      <c r="C928" s="405" t="str">
        <f t="shared" si="113"/>
        <v>第008551号</v>
      </c>
      <c r="D928" s="405" t="str">
        <f t="shared" si="114"/>
        <v>（株）梶原組</v>
      </c>
      <c r="E928" s="405" t="str">
        <f t="shared" si="115"/>
        <v>代表取締役</v>
      </c>
      <c r="F928" s="405" t="str">
        <f t="shared" si="116"/>
        <v>梶原　剛</v>
      </c>
      <c r="G928" s="405" t="str">
        <f t="shared" si="117"/>
        <v>主たる営業所</v>
      </c>
      <c r="H928" s="405" t="str">
        <f t="shared" si="118"/>
        <v>中津市大字上宮永９６６－２</v>
      </c>
      <c r="L928" s="403" t="s">
        <v>9623</v>
      </c>
      <c r="M928" s="403" t="s">
        <v>9624</v>
      </c>
      <c r="N928" s="403" t="s">
        <v>3130</v>
      </c>
      <c r="O928" s="403" t="s">
        <v>7084</v>
      </c>
      <c r="P928" s="403" t="s">
        <v>3131</v>
      </c>
      <c r="Q928" s="403" t="s">
        <v>8096</v>
      </c>
      <c r="R928" s="403" t="s">
        <v>19319</v>
      </c>
      <c r="S928" s="403" t="s">
        <v>15661</v>
      </c>
      <c r="T928" s="403" t="s">
        <v>15662</v>
      </c>
      <c r="U928" s="403"/>
      <c r="V928" s="403" t="s">
        <v>23024</v>
      </c>
      <c r="W928" s="403" t="s">
        <v>23024</v>
      </c>
      <c r="X928" s="403" t="s">
        <v>23024</v>
      </c>
      <c r="Y928" s="403" t="s">
        <v>23024</v>
      </c>
    </row>
    <row r="929" spans="1:25">
      <c r="A929" s="363">
        <f t="shared" si="119"/>
        <v>928</v>
      </c>
      <c r="B929" s="363" t="str">
        <f t="shared" si="112"/>
        <v>44</v>
      </c>
      <c r="C929" s="405" t="str">
        <f t="shared" si="113"/>
        <v>第008556号</v>
      </c>
      <c r="D929" s="405" t="str">
        <f t="shared" si="114"/>
        <v>（有）島崎設備工業</v>
      </c>
      <c r="E929" s="405" t="str">
        <f t="shared" si="115"/>
        <v>代表取締役</v>
      </c>
      <c r="F929" s="405" t="str">
        <f t="shared" si="116"/>
        <v>島崎　保男</v>
      </c>
      <c r="G929" s="405" t="str">
        <f t="shared" si="117"/>
        <v>主たる営業所</v>
      </c>
      <c r="H929" s="405" t="str">
        <f t="shared" si="118"/>
        <v>中津市大字是則３０１－１</v>
      </c>
      <c r="L929" s="403" t="s">
        <v>9625</v>
      </c>
      <c r="M929" s="403" t="s">
        <v>9626</v>
      </c>
      <c r="N929" s="403" t="s">
        <v>3132</v>
      </c>
      <c r="O929" s="403" t="s">
        <v>7084</v>
      </c>
      <c r="P929" s="403" t="s">
        <v>3133</v>
      </c>
      <c r="Q929" s="403" t="s">
        <v>7273</v>
      </c>
      <c r="R929" s="403" t="s">
        <v>19320</v>
      </c>
      <c r="S929" s="403" t="s">
        <v>15663</v>
      </c>
      <c r="T929" s="403" t="s">
        <v>15664</v>
      </c>
      <c r="U929" s="403"/>
      <c r="V929" s="403" t="s">
        <v>23024</v>
      </c>
      <c r="W929" s="403" t="s">
        <v>23024</v>
      </c>
      <c r="X929" s="403" t="s">
        <v>23024</v>
      </c>
      <c r="Y929" s="403" t="s">
        <v>23024</v>
      </c>
    </row>
    <row r="930" spans="1:25">
      <c r="A930" s="363">
        <f t="shared" si="119"/>
        <v>929</v>
      </c>
      <c r="B930" s="363" t="str">
        <f t="shared" si="112"/>
        <v>44</v>
      </c>
      <c r="C930" s="405" t="str">
        <f t="shared" si="113"/>
        <v>第008559号</v>
      </c>
      <c r="D930" s="405" t="str">
        <f t="shared" si="114"/>
        <v>（有）フジ電</v>
      </c>
      <c r="E930" s="405" t="str">
        <f t="shared" si="115"/>
        <v>代表取締役</v>
      </c>
      <c r="F930" s="405" t="str">
        <f t="shared" si="116"/>
        <v>藤本　省一</v>
      </c>
      <c r="G930" s="405" t="str">
        <f t="shared" si="117"/>
        <v>主たる営業所</v>
      </c>
      <c r="H930" s="405" t="str">
        <f t="shared" si="118"/>
        <v>中津市大字大悟法７９５</v>
      </c>
      <c r="L930" s="403" t="s">
        <v>9627</v>
      </c>
      <c r="M930" s="403" t="s">
        <v>9628</v>
      </c>
      <c r="N930" s="403" t="s">
        <v>3134</v>
      </c>
      <c r="O930" s="403" t="s">
        <v>7084</v>
      </c>
      <c r="P930" s="403" t="s">
        <v>3135</v>
      </c>
      <c r="Q930" s="403" t="s">
        <v>9629</v>
      </c>
      <c r="R930" s="403" t="s">
        <v>5549</v>
      </c>
      <c r="S930" s="403" t="s">
        <v>15665</v>
      </c>
      <c r="T930" s="403" t="s">
        <v>15666</v>
      </c>
      <c r="U930" s="403"/>
      <c r="V930" s="403" t="s">
        <v>23024</v>
      </c>
      <c r="W930" s="403" t="s">
        <v>23024</v>
      </c>
      <c r="X930" s="403" t="s">
        <v>23024</v>
      </c>
      <c r="Y930" s="403" t="s">
        <v>23024</v>
      </c>
    </row>
    <row r="931" spans="1:25">
      <c r="A931" s="363">
        <f t="shared" si="119"/>
        <v>930</v>
      </c>
      <c r="B931" s="363" t="str">
        <f t="shared" si="112"/>
        <v>44</v>
      </c>
      <c r="C931" s="405" t="str">
        <f t="shared" si="113"/>
        <v>第008563号</v>
      </c>
      <c r="D931" s="405" t="str">
        <f t="shared" si="114"/>
        <v>（有）西海建設</v>
      </c>
      <c r="E931" s="405" t="str">
        <f t="shared" si="115"/>
        <v>代表取締役</v>
      </c>
      <c r="F931" s="405" t="str">
        <f t="shared" si="116"/>
        <v>松本　文吉</v>
      </c>
      <c r="G931" s="405" t="str">
        <f t="shared" si="117"/>
        <v>主たる営業所</v>
      </c>
      <c r="H931" s="405" t="str">
        <f t="shared" si="118"/>
        <v>中津市大字諸田１０６－１</v>
      </c>
      <c r="L931" s="403" t="s">
        <v>9630</v>
      </c>
      <c r="M931" s="403" t="s">
        <v>9631</v>
      </c>
      <c r="N931" s="403" t="s">
        <v>3136</v>
      </c>
      <c r="O931" s="403" t="s">
        <v>7084</v>
      </c>
      <c r="P931" s="403" t="s">
        <v>3137</v>
      </c>
      <c r="Q931" s="403" t="s">
        <v>9632</v>
      </c>
      <c r="R931" s="403" t="s">
        <v>19321</v>
      </c>
      <c r="S931" s="403" t="s">
        <v>15667</v>
      </c>
      <c r="T931" s="403" t="s">
        <v>15668</v>
      </c>
      <c r="U931" s="403"/>
      <c r="V931" s="403" t="s">
        <v>23024</v>
      </c>
      <c r="W931" s="403" t="s">
        <v>23024</v>
      </c>
      <c r="X931" s="403" t="s">
        <v>23024</v>
      </c>
      <c r="Y931" s="403" t="s">
        <v>23024</v>
      </c>
    </row>
    <row r="932" spans="1:25">
      <c r="A932" s="363">
        <f t="shared" si="119"/>
        <v>931</v>
      </c>
      <c r="B932" s="363" t="str">
        <f t="shared" si="112"/>
        <v>44</v>
      </c>
      <c r="C932" s="405" t="str">
        <f t="shared" si="113"/>
        <v>第008564号</v>
      </c>
      <c r="D932" s="405" t="str">
        <f t="shared" si="114"/>
        <v>（株）都工業</v>
      </c>
      <c r="E932" s="405" t="str">
        <f t="shared" si="115"/>
        <v>代表取締役</v>
      </c>
      <c r="F932" s="405" t="str">
        <f t="shared" si="116"/>
        <v>都　哲文</v>
      </c>
      <c r="G932" s="405" t="str">
        <f t="shared" si="117"/>
        <v>主たる営業所</v>
      </c>
      <c r="H932" s="405" t="str">
        <f t="shared" si="118"/>
        <v>中津市大字大悟法７２－１</v>
      </c>
      <c r="L932" s="403" t="s">
        <v>9633</v>
      </c>
      <c r="M932" s="403" t="s">
        <v>9634</v>
      </c>
      <c r="N932" s="403" t="s">
        <v>3138</v>
      </c>
      <c r="O932" s="403" t="s">
        <v>7084</v>
      </c>
      <c r="P932" s="403" t="s">
        <v>3139</v>
      </c>
      <c r="Q932" s="403" t="s">
        <v>9629</v>
      </c>
      <c r="R932" s="403" t="s">
        <v>19322</v>
      </c>
      <c r="S932" s="403" t="s">
        <v>15669</v>
      </c>
      <c r="T932" s="403" t="s">
        <v>15670</v>
      </c>
      <c r="U932" s="403"/>
      <c r="V932" s="403" t="s">
        <v>23024</v>
      </c>
      <c r="W932" s="403" t="s">
        <v>23024</v>
      </c>
      <c r="X932" s="403" t="s">
        <v>23024</v>
      </c>
      <c r="Y932" s="403" t="s">
        <v>23024</v>
      </c>
    </row>
    <row r="933" spans="1:25">
      <c r="A933" s="363">
        <f t="shared" si="119"/>
        <v>932</v>
      </c>
      <c r="B933" s="363" t="str">
        <f t="shared" si="112"/>
        <v>44</v>
      </c>
      <c r="C933" s="405" t="str">
        <f t="shared" si="113"/>
        <v>第008567号</v>
      </c>
      <c r="D933" s="405" t="str">
        <f t="shared" si="114"/>
        <v>（株）光成経済</v>
      </c>
      <c r="E933" s="405" t="str">
        <f t="shared" si="115"/>
        <v>代表取締役</v>
      </c>
      <c r="F933" s="405" t="str">
        <f t="shared" si="116"/>
        <v>宮名利　光</v>
      </c>
      <c r="G933" s="405" t="str">
        <f t="shared" si="117"/>
        <v>主たる営業所</v>
      </c>
      <c r="H933" s="405" t="str">
        <f t="shared" si="118"/>
        <v>中津市三光田口２０４</v>
      </c>
      <c r="L933" s="403" t="s">
        <v>9635</v>
      </c>
      <c r="M933" s="403" t="s">
        <v>9636</v>
      </c>
      <c r="N933" s="403" t="s">
        <v>3140</v>
      </c>
      <c r="O933" s="403" t="s">
        <v>7084</v>
      </c>
      <c r="P933" s="403" t="s">
        <v>19323</v>
      </c>
      <c r="Q933" s="403" t="s">
        <v>9637</v>
      </c>
      <c r="R933" s="403" t="s">
        <v>5550</v>
      </c>
      <c r="S933" s="403" t="s">
        <v>15671</v>
      </c>
      <c r="T933" s="403" t="s">
        <v>15672</v>
      </c>
      <c r="U933" s="403"/>
      <c r="V933" s="403" t="s">
        <v>23024</v>
      </c>
      <c r="W933" s="403" t="s">
        <v>23024</v>
      </c>
      <c r="X933" s="403" t="s">
        <v>23024</v>
      </c>
      <c r="Y933" s="403" t="s">
        <v>23024</v>
      </c>
    </row>
    <row r="934" spans="1:25">
      <c r="A934" s="363">
        <f t="shared" si="119"/>
        <v>933</v>
      </c>
      <c r="B934" s="363" t="str">
        <f t="shared" si="112"/>
        <v>44</v>
      </c>
      <c r="C934" s="405" t="str">
        <f t="shared" si="113"/>
        <v>第008568号</v>
      </c>
      <c r="D934" s="405" t="str">
        <f t="shared" si="114"/>
        <v>（有）古梶組</v>
      </c>
      <c r="E934" s="405" t="str">
        <f t="shared" si="115"/>
        <v>代表取締役</v>
      </c>
      <c r="F934" s="405" t="str">
        <f t="shared" si="116"/>
        <v>矢津田　博明</v>
      </c>
      <c r="G934" s="405" t="str">
        <f t="shared" si="117"/>
        <v>主たる営業所</v>
      </c>
      <c r="H934" s="405" t="str">
        <f t="shared" si="118"/>
        <v>中津市大字大悟法７９６－６</v>
      </c>
      <c r="L934" s="403" t="s">
        <v>9638</v>
      </c>
      <c r="M934" s="403" t="s">
        <v>9639</v>
      </c>
      <c r="N934" s="403" t="s">
        <v>3141</v>
      </c>
      <c r="O934" s="403" t="s">
        <v>7084</v>
      </c>
      <c r="P934" s="403" t="s">
        <v>3142</v>
      </c>
      <c r="Q934" s="403" t="s">
        <v>9629</v>
      </c>
      <c r="R934" s="403" t="s">
        <v>19324</v>
      </c>
      <c r="S934" s="403" t="s">
        <v>15673</v>
      </c>
      <c r="T934" s="403" t="s">
        <v>15674</v>
      </c>
      <c r="U934" s="403"/>
      <c r="V934" s="403" t="s">
        <v>23024</v>
      </c>
      <c r="W934" s="403" t="s">
        <v>23024</v>
      </c>
      <c r="X934" s="403" t="s">
        <v>23024</v>
      </c>
      <c r="Y934" s="403" t="s">
        <v>23024</v>
      </c>
    </row>
    <row r="935" spans="1:25">
      <c r="A935" s="363">
        <f t="shared" si="119"/>
        <v>934</v>
      </c>
      <c r="B935" s="363" t="str">
        <f t="shared" si="112"/>
        <v>44</v>
      </c>
      <c r="C935" s="405" t="str">
        <f t="shared" si="113"/>
        <v>第008571号</v>
      </c>
      <c r="D935" s="405" t="str">
        <f t="shared" si="114"/>
        <v>（株）翔峰建設</v>
      </c>
      <c r="E935" s="405" t="str">
        <f t="shared" si="115"/>
        <v>代表取締役</v>
      </c>
      <c r="F935" s="405" t="str">
        <f t="shared" si="116"/>
        <v>杉園　泰明</v>
      </c>
      <c r="G935" s="405" t="str">
        <f t="shared" si="117"/>
        <v>主たる営業所</v>
      </c>
      <c r="H935" s="405" t="str">
        <f t="shared" si="118"/>
        <v>中津市三光臼木３３９</v>
      </c>
      <c r="L935" s="403" t="s">
        <v>9640</v>
      </c>
      <c r="M935" s="403" t="s">
        <v>9641</v>
      </c>
      <c r="N935" s="403" t="s">
        <v>3143</v>
      </c>
      <c r="O935" s="403" t="s">
        <v>7084</v>
      </c>
      <c r="P935" s="403" t="s">
        <v>3144</v>
      </c>
      <c r="Q935" s="403" t="s">
        <v>9237</v>
      </c>
      <c r="R935" s="403" t="s">
        <v>5551</v>
      </c>
      <c r="S935" s="403" t="s">
        <v>15675</v>
      </c>
      <c r="T935" s="403" t="s">
        <v>15676</v>
      </c>
      <c r="U935" s="403"/>
      <c r="V935" s="403" t="s">
        <v>23024</v>
      </c>
      <c r="W935" s="403" t="s">
        <v>23024</v>
      </c>
      <c r="X935" s="403" t="s">
        <v>23024</v>
      </c>
      <c r="Y935" s="403" t="s">
        <v>23024</v>
      </c>
    </row>
    <row r="936" spans="1:25">
      <c r="A936" s="363">
        <f t="shared" si="119"/>
        <v>935</v>
      </c>
      <c r="B936" s="363" t="str">
        <f t="shared" si="112"/>
        <v>44</v>
      </c>
      <c r="C936" s="405" t="str">
        <f t="shared" si="113"/>
        <v>第008572号</v>
      </c>
      <c r="D936" s="405" t="str">
        <f t="shared" si="114"/>
        <v>（有）矢次電気工事</v>
      </c>
      <c r="E936" s="405" t="str">
        <f t="shared" si="115"/>
        <v>代表取締役</v>
      </c>
      <c r="F936" s="405" t="str">
        <f t="shared" si="116"/>
        <v>矢次　広伸</v>
      </c>
      <c r="G936" s="405" t="str">
        <f t="shared" si="117"/>
        <v>主たる営業所</v>
      </c>
      <c r="H936" s="405" t="str">
        <f t="shared" si="118"/>
        <v>中津市大字諸田９８１－１</v>
      </c>
      <c r="L936" s="403" t="s">
        <v>9642</v>
      </c>
      <c r="M936" s="403" t="s">
        <v>9643</v>
      </c>
      <c r="N936" s="403" t="s">
        <v>3145</v>
      </c>
      <c r="O936" s="403" t="s">
        <v>7084</v>
      </c>
      <c r="P936" s="403" t="s">
        <v>3146</v>
      </c>
      <c r="Q936" s="403" t="s">
        <v>9632</v>
      </c>
      <c r="R936" s="403" t="s">
        <v>19325</v>
      </c>
      <c r="S936" s="403" t="s">
        <v>15677</v>
      </c>
      <c r="T936" s="403" t="s">
        <v>15678</v>
      </c>
      <c r="U936" s="403"/>
      <c r="V936" s="403" t="s">
        <v>23024</v>
      </c>
      <c r="W936" s="403" t="s">
        <v>23024</v>
      </c>
      <c r="X936" s="403" t="s">
        <v>23024</v>
      </c>
      <c r="Y936" s="403" t="s">
        <v>23024</v>
      </c>
    </row>
    <row r="937" spans="1:25">
      <c r="A937" s="363">
        <f t="shared" si="119"/>
        <v>936</v>
      </c>
      <c r="B937" s="363" t="str">
        <f t="shared" si="112"/>
        <v>44</v>
      </c>
      <c r="C937" s="405" t="str">
        <f t="shared" si="113"/>
        <v>第009001号</v>
      </c>
      <c r="D937" s="405" t="str">
        <f t="shared" si="114"/>
        <v>（有）大分建窓店</v>
      </c>
      <c r="E937" s="405" t="str">
        <f t="shared" si="115"/>
        <v>代表取締役</v>
      </c>
      <c r="F937" s="405" t="str">
        <f t="shared" si="116"/>
        <v>山本　友美</v>
      </c>
      <c r="G937" s="405" t="str">
        <f t="shared" si="117"/>
        <v>主たる営業所</v>
      </c>
      <c r="H937" s="405" t="str">
        <f t="shared" si="118"/>
        <v>由布市挾間町鬼瀬３６５－１</v>
      </c>
      <c r="L937" s="403" t="s">
        <v>9644</v>
      </c>
      <c r="M937" s="403" t="s">
        <v>9645</v>
      </c>
      <c r="N937" s="403" t="s">
        <v>3147</v>
      </c>
      <c r="O937" s="403" t="s">
        <v>7084</v>
      </c>
      <c r="P937" s="403" t="s">
        <v>3148</v>
      </c>
      <c r="Q937" s="403" t="s">
        <v>8731</v>
      </c>
      <c r="R937" s="403" t="s">
        <v>19326</v>
      </c>
      <c r="S937" s="403" t="s">
        <v>15679</v>
      </c>
      <c r="T937" s="403" t="s">
        <v>15680</v>
      </c>
      <c r="U937" s="403"/>
      <c r="V937" s="403" t="s">
        <v>23024</v>
      </c>
      <c r="W937" s="403" t="s">
        <v>23024</v>
      </c>
      <c r="X937" s="403" t="s">
        <v>23024</v>
      </c>
      <c r="Y937" s="403" t="s">
        <v>23024</v>
      </c>
    </row>
    <row r="938" spans="1:25">
      <c r="A938" s="363">
        <f t="shared" si="119"/>
        <v>937</v>
      </c>
      <c r="B938" s="363" t="str">
        <f t="shared" si="112"/>
        <v>44</v>
      </c>
      <c r="C938" s="405" t="str">
        <f t="shared" si="113"/>
        <v>第009012号</v>
      </c>
      <c r="D938" s="405" t="str">
        <f t="shared" si="114"/>
        <v>（有）大分新設</v>
      </c>
      <c r="E938" s="405" t="str">
        <f t="shared" si="115"/>
        <v>代表取締役</v>
      </c>
      <c r="F938" s="405" t="str">
        <f t="shared" si="116"/>
        <v>首藤　博文</v>
      </c>
      <c r="G938" s="405" t="str">
        <f t="shared" si="117"/>
        <v>主たる営業所</v>
      </c>
      <c r="H938" s="405" t="str">
        <f t="shared" si="118"/>
        <v>大分市大字下徳丸２９－１</v>
      </c>
      <c r="L938" s="403" t="s">
        <v>9646</v>
      </c>
      <c r="M938" s="403" t="s">
        <v>9647</v>
      </c>
      <c r="N938" s="403" t="s">
        <v>3149</v>
      </c>
      <c r="O938" s="403" t="s">
        <v>7084</v>
      </c>
      <c r="P938" s="403" t="s">
        <v>3150</v>
      </c>
      <c r="Q938" s="403" t="s">
        <v>9648</v>
      </c>
      <c r="R938" s="403" t="s">
        <v>19327</v>
      </c>
      <c r="S938" s="403" t="s">
        <v>15681</v>
      </c>
      <c r="T938" s="403" t="s">
        <v>15682</v>
      </c>
      <c r="U938" s="403"/>
      <c r="V938" s="403" t="s">
        <v>23024</v>
      </c>
      <c r="W938" s="403" t="s">
        <v>23024</v>
      </c>
      <c r="X938" s="403" t="s">
        <v>23024</v>
      </c>
      <c r="Y938" s="403" t="s">
        <v>23024</v>
      </c>
    </row>
    <row r="939" spans="1:25">
      <c r="A939" s="363">
        <f t="shared" si="119"/>
        <v>938</v>
      </c>
      <c r="B939" s="363" t="str">
        <f t="shared" si="112"/>
        <v>44</v>
      </c>
      <c r="C939" s="405" t="str">
        <f t="shared" si="113"/>
        <v>第009015号</v>
      </c>
      <c r="D939" s="405" t="str">
        <f t="shared" si="114"/>
        <v>松尾機器産業（株）</v>
      </c>
      <c r="E939" s="405" t="str">
        <f t="shared" si="115"/>
        <v>代表取締役</v>
      </c>
      <c r="F939" s="405" t="str">
        <f t="shared" si="116"/>
        <v>川野　誠治</v>
      </c>
      <c r="G939" s="405" t="str">
        <f t="shared" si="117"/>
        <v>主たる営業所</v>
      </c>
      <c r="H939" s="405" t="str">
        <f t="shared" si="118"/>
        <v>大分市花高松１－１－４</v>
      </c>
      <c r="L939" s="403" t="s">
        <v>9649</v>
      </c>
      <c r="M939" s="403" t="s">
        <v>9650</v>
      </c>
      <c r="N939" s="403" t="s">
        <v>3151</v>
      </c>
      <c r="O939" s="403" t="s">
        <v>7084</v>
      </c>
      <c r="P939" s="403" t="s">
        <v>5248</v>
      </c>
      <c r="Q939" s="403" t="s">
        <v>8650</v>
      </c>
      <c r="R939" s="403" t="s">
        <v>19328</v>
      </c>
      <c r="S939" s="403" t="s">
        <v>15683</v>
      </c>
      <c r="T939" s="403" t="s">
        <v>15684</v>
      </c>
      <c r="U939" s="403"/>
      <c r="V939" s="403" t="s">
        <v>23024</v>
      </c>
      <c r="W939" s="403" t="s">
        <v>23024</v>
      </c>
      <c r="X939" s="403" t="s">
        <v>23024</v>
      </c>
      <c r="Y939" s="403" t="s">
        <v>23024</v>
      </c>
    </row>
    <row r="940" spans="1:25">
      <c r="A940" s="363">
        <f t="shared" si="119"/>
        <v>939</v>
      </c>
      <c r="B940" s="363" t="str">
        <f t="shared" si="112"/>
        <v>44</v>
      </c>
      <c r="C940" s="405" t="str">
        <f t="shared" si="113"/>
        <v>第009036号</v>
      </c>
      <c r="D940" s="405" t="str">
        <f t="shared" si="114"/>
        <v>（株）エアシステム</v>
      </c>
      <c r="E940" s="405" t="str">
        <f t="shared" si="115"/>
        <v>代表取締役</v>
      </c>
      <c r="F940" s="405" t="str">
        <f t="shared" si="116"/>
        <v>中野　青葉</v>
      </c>
      <c r="G940" s="405" t="str">
        <f t="shared" si="117"/>
        <v>主たる営業所</v>
      </c>
      <c r="H940" s="405" t="str">
        <f t="shared" si="118"/>
        <v>大分市三佐５－２－５１</v>
      </c>
      <c r="L940" s="403" t="s">
        <v>9651</v>
      </c>
      <c r="M940" s="403" t="s">
        <v>9652</v>
      </c>
      <c r="N940" s="403" t="s">
        <v>3152</v>
      </c>
      <c r="O940" s="403" t="s">
        <v>7084</v>
      </c>
      <c r="P940" s="403" t="s">
        <v>3153</v>
      </c>
      <c r="Q940" s="403" t="s">
        <v>7413</v>
      </c>
      <c r="R940" s="403" t="s">
        <v>19329</v>
      </c>
      <c r="S940" s="403" t="s">
        <v>15685</v>
      </c>
      <c r="T940" s="403" t="s">
        <v>15686</v>
      </c>
      <c r="U940" s="403"/>
      <c r="V940" s="403" t="s">
        <v>23024</v>
      </c>
      <c r="W940" s="403" t="s">
        <v>23024</v>
      </c>
      <c r="X940" s="403" t="s">
        <v>23024</v>
      </c>
      <c r="Y940" s="403" t="s">
        <v>23024</v>
      </c>
    </row>
    <row r="941" spans="1:25">
      <c r="A941" s="363">
        <f t="shared" si="119"/>
        <v>940</v>
      </c>
      <c r="B941" s="363" t="str">
        <f t="shared" si="112"/>
        <v>44</v>
      </c>
      <c r="C941" s="405" t="str">
        <f t="shared" si="113"/>
        <v>第009052号</v>
      </c>
      <c r="D941" s="405" t="str">
        <f t="shared" si="114"/>
        <v>（株）河野設備</v>
      </c>
      <c r="E941" s="405" t="str">
        <f t="shared" si="115"/>
        <v>代表取締役</v>
      </c>
      <c r="F941" s="405" t="str">
        <f t="shared" si="116"/>
        <v>河野　道昭</v>
      </c>
      <c r="G941" s="405" t="str">
        <f t="shared" si="117"/>
        <v>主たる営業所</v>
      </c>
      <c r="H941" s="405" t="str">
        <f t="shared" si="118"/>
        <v>由布市湯布院町中川３３６－４</v>
      </c>
      <c r="L941" s="403" t="s">
        <v>9653</v>
      </c>
      <c r="M941" s="403" t="s">
        <v>9654</v>
      </c>
      <c r="N941" s="403" t="s">
        <v>3154</v>
      </c>
      <c r="O941" s="403" t="s">
        <v>7084</v>
      </c>
      <c r="P941" s="403" t="s">
        <v>3155</v>
      </c>
      <c r="Q941" s="403" t="s">
        <v>9495</v>
      </c>
      <c r="R941" s="403" t="s">
        <v>19330</v>
      </c>
      <c r="S941" s="403" t="s">
        <v>15687</v>
      </c>
      <c r="T941" s="403" t="s">
        <v>15688</v>
      </c>
      <c r="U941" s="403"/>
      <c r="V941" s="403" t="s">
        <v>23024</v>
      </c>
      <c r="W941" s="403" t="s">
        <v>23024</v>
      </c>
      <c r="X941" s="403" t="s">
        <v>23024</v>
      </c>
      <c r="Y941" s="403" t="s">
        <v>23024</v>
      </c>
    </row>
    <row r="942" spans="1:25">
      <c r="A942" s="363">
        <f t="shared" si="119"/>
        <v>941</v>
      </c>
      <c r="B942" s="363" t="str">
        <f t="shared" si="112"/>
        <v>44</v>
      </c>
      <c r="C942" s="405" t="str">
        <f t="shared" si="113"/>
        <v>第009055号</v>
      </c>
      <c r="D942" s="405" t="str">
        <f t="shared" si="114"/>
        <v>（株）栗木精華園</v>
      </c>
      <c r="E942" s="405" t="str">
        <f t="shared" si="115"/>
        <v>代表取締役</v>
      </c>
      <c r="F942" s="405" t="str">
        <f t="shared" si="116"/>
        <v>栗木　康一</v>
      </c>
      <c r="G942" s="405" t="str">
        <f t="shared" si="117"/>
        <v>主たる営業所</v>
      </c>
      <c r="H942" s="405" t="str">
        <f t="shared" si="118"/>
        <v>大分市錦町３－６－１４</v>
      </c>
      <c r="L942" s="403" t="s">
        <v>9655</v>
      </c>
      <c r="M942" s="403" t="s">
        <v>9656</v>
      </c>
      <c r="N942" s="403" t="s">
        <v>3156</v>
      </c>
      <c r="O942" s="403" t="s">
        <v>7084</v>
      </c>
      <c r="P942" s="403" t="s">
        <v>3157</v>
      </c>
      <c r="Q942" s="403" t="s">
        <v>9657</v>
      </c>
      <c r="R942" s="403" t="s">
        <v>19331</v>
      </c>
      <c r="S942" s="403" t="s">
        <v>15689</v>
      </c>
      <c r="T942" s="403" t="s">
        <v>15690</v>
      </c>
      <c r="U942" s="403"/>
      <c r="V942" s="403" t="s">
        <v>23024</v>
      </c>
      <c r="W942" s="403" t="s">
        <v>23024</v>
      </c>
      <c r="X942" s="403" t="s">
        <v>23024</v>
      </c>
      <c r="Y942" s="403" t="s">
        <v>23024</v>
      </c>
    </row>
    <row r="943" spans="1:25">
      <c r="A943" s="363">
        <f t="shared" si="119"/>
        <v>942</v>
      </c>
      <c r="B943" s="363" t="str">
        <f t="shared" si="112"/>
        <v>44</v>
      </c>
      <c r="C943" s="405" t="str">
        <f t="shared" si="113"/>
        <v>第009063号</v>
      </c>
      <c r="D943" s="405" t="str">
        <f t="shared" si="114"/>
        <v>（株）サンワ機工</v>
      </c>
      <c r="E943" s="405" t="str">
        <f t="shared" si="115"/>
        <v>代表取締役</v>
      </c>
      <c r="F943" s="405" t="str">
        <f t="shared" si="116"/>
        <v>古畑　公子</v>
      </c>
      <c r="G943" s="405" t="str">
        <f t="shared" si="117"/>
        <v>主たる営業所</v>
      </c>
      <c r="H943" s="405" t="str">
        <f t="shared" si="118"/>
        <v>大分市三川新町１－１－９</v>
      </c>
      <c r="L943" s="403" t="s">
        <v>9658</v>
      </c>
      <c r="M943" s="403" t="s">
        <v>9659</v>
      </c>
      <c r="N943" s="403" t="s">
        <v>3158</v>
      </c>
      <c r="O943" s="403" t="s">
        <v>7084</v>
      </c>
      <c r="P943" s="403" t="s">
        <v>3159</v>
      </c>
      <c r="Q943" s="403" t="s">
        <v>8286</v>
      </c>
      <c r="R943" s="403" t="s">
        <v>19332</v>
      </c>
      <c r="S943" s="403" t="s">
        <v>15691</v>
      </c>
      <c r="T943" s="403" t="s">
        <v>15692</v>
      </c>
      <c r="U943" s="403"/>
      <c r="V943" s="403" t="s">
        <v>23024</v>
      </c>
      <c r="W943" s="403" t="s">
        <v>23024</v>
      </c>
      <c r="X943" s="403" t="s">
        <v>23024</v>
      </c>
      <c r="Y943" s="403" t="s">
        <v>23024</v>
      </c>
    </row>
    <row r="944" spans="1:25">
      <c r="A944" s="363">
        <f t="shared" si="119"/>
        <v>943</v>
      </c>
      <c r="B944" s="363" t="str">
        <f t="shared" si="112"/>
        <v>44</v>
      </c>
      <c r="C944" s="405" t="str">
        <f t="shared" si="113"/>
        <v>第009065号</v>
      </c>
      <c r="D944" s="405" t="str">
        <f t="shared" si="114"/>
        <v>（有）川北工業</v>
      </c>
      <c r="E944" s="405" t="str">
        <f t="shared" si="115"/>
        <v>取締役</v>
      </c>
      <c r="F944" s="405" t="str">
        <f t="shared" si="116"/>
        <v>溝口　剛</v>
      </c>
      <c r="G944" s="405" t="str">
        <f t="shared" si="117"/>
        <v>主たる営業所</v>
      </c>
      <c r="H944" s="405" t="str">
        <f t="shared" si="118"/>
        <v>由布市湯布院町川南１１－１</v>
      </c>
      <c r="L944" s="403" t="s">
        <v>9660</v>
      </c>
      <c r="M944" s="403" t="s">
        <v>9661</v>
      </c>
      <c r="N944" s="403" t="s">
        <v>3160</v>
      </c>
      <c r="O944" s="403" t="s">
        <v>7085</v>
      </c>
      <c r="P944" s="403" t="s">
        <v>3161</v>
      </c>
      <c r="Q944" s="403" t="s">
        <v>7452</v>
      </c>
      <c r="R944" s="403" t="s">
        <v>19333</v>
      </c>
      <c r="S944" s="403" t="s">
        <v>15693</v>
      </c>
      <c r="T944" s="403" t="s">
        <v>15694</v>
      </c>
      <c r="U944" s="403"/>
      <c r="V944" s="403" t="s">
        <v>23024</v>
      </c>
      <c r="W944" s="403" t="s">
        <v>23024</v>
      </c>
      <c r="X944" s="403" t="s">
        <v>23024</v>
      </c>
      <c r="Y944" s="403" t="s">
        <v>23024</v>
      </c>
    </row>
    <row r="945" spans="1:25">
      <c r="A945" s="363">
        <f t="shared" si="119"/>
        <v>944</v>
      </c>
      <c r="B945" s="363" t="str">
        <f t="shared" si="112"/>
        <v>44</v>
      </c>
      <c r="C945" s="405" t="str">
        <f t="shared" si="113"/>
        <v>第009066号</v>
      </c>
      <c r="D945" s="405" t="str">
        <f t="shared" si="114"/>
        <v>黒洋建設工業（株）</v>
      </c>
      <c r="E945" s="405" t="str">
        <f t="shared" si="115"/>
        <v>代表取締役</v>
      </c>
      <c r="F945" s="405" t="str">
        <f t="shared" si="116"/>
        <v>河村　貴司</v>
      </c>
      <c r="G945" s="405" t="str">
        <f t="shared" si="117"/>
        <v>主たる営業所</v>
      </c>
      <c r="H945" s="405" t="str">
        <f t="shared" si="118"/>
        <v>大分市曙台１－１－９</v>
      </c>
      <c r="L945" s="403" t="s">
        <v>9662</v>
      </c>
      <c r="M945" s="403" t="s">
        <v>9663</v>
      </c>
      <c r="N945" s="403" t="s">
        <v>3162</v>
      </c>
      <c r="O945" s="403" t="s">
        <v>7084</v>
      </c>
      <c r="P945" s="403" t="s">
        <v>3163</v>
      </c>
      <c r="Q945" s="403" t="s">
        <v>9664</v>
      </c>
      <c r="R945" s="403" t="s">
        <v>19334</v>
      </c>
      <c r="S945" s="403" t="s">
        <v>15695</v>
      </c>
      <c r="T945" s="403" t="s">
        <v>15696</v>
      </c>
      <c r="U945" s="403"/>
      <c r="V945" s="403" t="s">
        <v>23024</v>
      </c>
      <c r="W945" s="403" t="s">
        <v>23024</v>
      </c>
      <c r="X945" s="403" t="s">
        <v>23024</v>
      </c>
      <c r="Y945" s="403" t="s">
        <v>23024</v>
      </c>
    </row>
    <row r="946" spans="1:25">
      <c r="A946" s="363">
        <f t="shared" si="119"/>
        <v>945</v>
      </c>
      <c r="B946" s="363" t="str">
        <f t="shared" si="112"/>
        <v>44</v>
      </c>
      <c r="C946" s="405" t="str">
        <f t="shared" si="113"/>
        <v>第009069号</v>
      </c>
      <c r="D946" s="405" t="str">
        <f t="shared" si="114"/>
        <v>（株）二ノ宮石材</v>
      </c>
      <c r="E946" s="405" t="str">
        <f t="shared" si="115"/>
        <v>代表取締役</v>
      </c>
      <c r="F946" s="405" t="str">
        <f t="shared" si="116"/>
        <v>二ノ宮　清一</v>
      </c>
      <c r="G946" s="405" t="str">
        <f t="shared" si="117"/>
        <v>主たる営業所</v>
      </c>
      <c r="H946" s="405" t="str">
        <f t="shared" si="118"/>
        <v>大分市大字東院２３２－２</v>
      </c>
      <c r="L946" s="404" t="s">
        <v>9665</v>
      </c>
      <c r="M946" s="404" t="s">
        <v>9666</v>
      </c>
      <c r="N946" s="404" t="s">
        <v>3164</v>
      </c>
      <c r="O946" s="404" t="s">
        <v>7084</v>
      </c>
      <c r="P946" s="404" t="s">
        <v>3165</v>
      </c>
      <c r="Q946" s="404" t="s">
        <v>9667</v>
      </c>
      <c r="R946" s="404" t="s">
        <v>19335</v>
      </c>
      <c r="S946" s="404" t="s">
        <v>15697</v>
      </c>
      <c r="T946" s="404" t="s">
        <v>15698</v>
      </c>
      <c r="U946" s="404"/>
      <c r="V946" s="404" t="s">
        <v>23024</v>
      </c>
      <c r="W946" s="404" t="s">
        <v>23024</v>
      </c>
      <c r="X946" s="404" t="s">
        <v>23024</v>
      </c>
      <c r="Y946" s="404" t="s">
        <v>23024</v>
      </c>
    </row>
    <row r="947" spans="1:25">
      <c r="A947" s="363">
        <f t="shared" si="119"/>
        <v>946</v>
      </c>
      <c r="B947" s="363" t="str">
        <f t="shared" si="112"/>
        <v>44</v>
      </c>
      <c r="C947" s="405" t="str">
        <f t="shared" si="113"/>
        <v>第009080号</v>
      </c>
      <c r="D947" s="405" t="str">
        <f t="shared" si="114"/>
        <v>（有）東和石材</v>
      </c>
      <c r="E947" s="405" t="str">
        <f t="shared" si="115"/>
        <v>代表取締役</v>
      </c>
      <c r="F947" s="405" t="str">
        <f t="shared" si="116"/>
        <v>佐藤　啓治</v>
      </c>
      <c r="G947" s="405" t="str">
        <f t="shared" si="117"/>
        <v>主たる営業所</v>
      </c>
      <c r="H947" s="405" t="str">
        <f t="shared" si="118"/>
        <v>大分市原川１－２－８</v>
      </c>
      <c r="L947" s="402" t="s">
        <v>9668</v>
      </c>
      <c r="M947" s="402" t="s">
        <v>9669</v>
      </c>
      <c r="N947" s="402" t="s">
        <v>3166</v>
      </c>
      <c r="O947" s="402" t="s">
        <v>7084</v>
      </c>
      <c r="P947" s="402" t="s">
        <v>3167</v>
      </c>
      <c r="Q947" s="402" t="s">
        <v>8742</v>
      </c>
      <c r="R947" s="402" t="s">
        <v>19336</v>
      </c>
      <c r="S947" s="402" t="s">
        <v>15699</v>
      </c>
      <c r="T947" s="402" t="s">
        <v>15700</v>
      </c>
      <c r="U947" s="402"/>
      <c r="V947" s="402" t="s">
        <v>23024</v>
      </c>
      <c r="W947" s="402" t="s">
        <v>23024</v>
      </c>
      <c r="X947" s="402" t="s">
        <v>23024</v>
      </c>
      <c r="Y947" s="402" t="s">
        <v>23024</v>
      </c>
    </row>
    <row r="948" spans="1:25">
      <c r="A948" s="363">
        <f t="shared" si="119"/>
        <v>947</v>
      </c>
      <c r="B948" s="363" t="str">
        <f t="shared" si="112"/>
        <v>44</v>
      </c>
      <c r="C948" s="405" t="str">
        <f t="shared" si="113"/>
        <v>第009083号</v>
      </c>
      <c r="D948" s="405" t="str">
        <f t="shared" si="114"/>
        <v>江藤産業（株）</v>
      </c>
      <c r="E948" s="405" t="str">
        <f t="shared" si="115"/>
        <v>代表取締役</v>
      </c>
      <c r="F948" s="405" t="str">
        <f t="shared" si="116"/>
        <v>江藤　康之</v>
      </c>
      <c r="G948" s="405" t="str">
        <f t="shared" si="117"/>
        <v>主たる営業所</v>
      </c>
      <c r="H948" s="405" t="str">
        <f t="shared" si="118"/>
        <v>大分市乙津町１－１８</v>
      </c>
      <c r="L948" s="403" t="s">
        <v>9670</v>
      </c>
      <c r="M948" s="403" t="s">
        <v>9671</v>
      </c>
      <c r="N948" s="403" t="s">
        <v>3168</v>
      </c>
      <c r="O948" s="403" t="s">
        <v>7084</v>
      </c>
      <c r="P948" s="403" t="s">
        <v>19337</v>
      </c>
      <c r="Q948" s="403" t="s">
        <v>9672</v>
      </c>
      <c r="R948" s="403" t="s">
        <v>19338</v>
      </c>
      <c r="S948" s="403" t="s">
        <v>15701</v>
      </c>
      <c r="T948" s="403" t="s">
        <v>15702</v>
      </c>
      <c r="U948" s="403"/>
      <c r="V948" s="403" t="s">
        <v>23024</v>
      </c>
      <c r="W948" s="403" t="s">
        <v>23024</v>
      </c>
      <c r="X948" s="403" t="s">
        <v>23024</v>
      </c>
      <c r="Y948" s="403" t="s">
        <v>23024</v>
      </c>
    </row>
    <row r="949" spans="1:25">
      <c r="A949" s="363">
        <f t="shared" si="119"/>
        <v>948</v>
      </c>
      <c r="B949" s="363" t="str">
        <f t="shared" si="112"/>
        <v>44</v>
      </c>
      <c r="C949" s="405" t="str">
        <f t="shared" si="113"/>
        <v>第009097号</v>
      </c>
      <c r="D949" s="405" t="str">
        <f t="shared" si="114"/>
        <v>（有）幸野設備</v>
      </c>
      <c r="E949" s="405" t="str">
        <f t="shared" si="115"/>
        <v>取締役</v>
      </c>
      <c r="F949" s="405" t="str">
        <f t="shared" si="116"/>
        <v>幸野　広恵</v>
      </c>
      <c r="G949" s="405" t="str">
        <f t="shared" si="117"/>
        <v>主たる営業所</v>
      </c>
      <c r="H949" s="405" t="str">
        <f t="shared" si="118"/>
        <v>大分市大字下郡字神下田２５０－１</v>
      </c>
      <c r="L949" s="403" t="s">
        <v>19339</v>
      </c>
      <c r="M949" s="403" t="s">
        <v>19340</v>
      </c>
      <c r="N949" s="403" t="s">
        <v>19341</v>
      </c>
      <c r="O949" s="403" t="s">
        <v>7085</v>
      </c>
      <c r="P949" s="403" t="s">
        <v>19342</v>
      </c>
      <c r="Q949" s="403" t="s">
        <v>7419</v>
      </c>
      <c r="R949" s="403" t="s">
        <v>19343</v>
      </c>
      <c r="S949" s="403" t="s">
        <v>19344</v>
      </c>
      <c r="T949" s="403" t="s">
        <v>19345</v>
      </c>
      <c r="U949" s="403"/>
      <c r="V949" s="403" t="s">
        <v>23024</v>
      </c>
      <c r="W949" s="403" t="s">
        <v>23024</v>
      </c>
      <c r="X949" s="403" t="s">
        <v>23024</v>
      </c>
      <c r="Y949" s="403" t="s">
        <v>23024</v>
      </c>
    </row>
    <row r="950" spans="1:25">
      <c r="A950" s="363">
        <f t="shared" si="119"/>
        <v>949</v>
      </c>
      <c r="B950" s="363" t="str">
        <f t="shared" si="112"/>
        <v>44</v>
      </c>
      <c r="C950" s="405" t="str">
        <f t="shared" si="113"/>
        <v>第009106号</v>
      </c>
      <c r="D950" s="405" t="str">
        <f t="shared" si="114"/>
        <v>大東洗缶（有）</v>
      </c>
      <c r="E950" s="405" t="str">
        <f t="shared" si="115"/>
        <v>代表取締役</v>
      </c>
      <c r="F950" s="405" t="str">
        <f t="shared" si="116"/>
        <v>小野　健治</v>
      </c>
      <c r="G950" s="405" t="str">
        <f t="shared" si="117"/>
        <v>主たる営業所</v>
      </c>
      <c r="H950" s="405" t="str">
        <f t="shared" si="118"/>
        <v>大分市畑中４－２－８</v>
      </c>
      <c r="L950" s="403" t="s">
        <v>9673</v>
      </c>
      <c r="M950" s="403" t="s">
        <v>9674</v>
      </c>
      <c r="N950" s="403" t="s">
        <v>3169</v>
      </c>
      <c r="O950" s="403" t="s">
        <v>7084</v>
      </c>
      <c r="P950" s="403" t="s">
        <v>3170</v>
      </c>
      <c r="Q950" s="403" t="s">
        <v>9334</v>
      </c>
      <c r="R950" s="403" t="s">
        <v>19346</v>
      </c>
      <c r="S950" s="403" t="s">
        <v>15703</v>
      </c>
      <c r="T950" s="403" t="s">
        <v>15704</v>
      </c>
      <c r="U950" s="403"/>
      <c r="V950" s="403" t="s">
        <v>23024</v>
      </c>
      <c r="W950" s="403" t="s">
        <v>23024</v>
      </c>
      <c r="X950" s="403" t="s">
        <v>23024</v>
      </c>
      <c r="Y950" s="403" t="s">
        <v>23024</v>
      </c>
    </row>
    <row r="951" spans="1:25">
      <c r="A951" s="363">
        <f t="shared" si="119"/>
        <v>950</v>
      </c>
      <c r="B951" s="363" t="str">
        <f t="shared" si="112"/>
        <v>44</v>
      </c>
      <c r="C951" s="405" t="str">
        <f t="shared" si="113"/>
        <v>第009113号</v>
      </c>
      <c r="D951" s="405" t="str">
        <f t="shared" si="114"/>
        <v>（株）茅嶋工務店</v>
      </c>
      <c r="E951" s="405" t="str">
        <f t="shared" si="115"/>
        <v>代表取締役</v>
      </c>
      <c r="F951" s="405" t="str">
        <f t="shared" si="116"/>
        <v>茅嶋　昭典</v>
      </c>
      <c r="G951" s="405" t="str">
        <f t="shared" si="117"/>
        <v>主たる営業所</v>
      </c>
      <c r="H951" s="405" t="str">
        <f t="shared" si="118"/>
        <v>大分市下郡南５－１７－７４</v>
      </c>
      <c r="L951" s="403" t="s">
        <v>19347</v>
      </c>
      <c r="M951" s="403" t="s">
        <v>19348</v>
      </c>
      <c r="N951" s="403" t="s">
        <v>19349</v>
      </c>
      <c r="O951" s="403" t="s">
        <v>7084</v>
      </c>
      <c r="P951" s="403" t="s">
        <v>19350</v>
      </c>
      <c r="Q951" s="403" t="s">
        <v>7539</v>
      </c>
      <c r="R951" s="403" t="s">
        <v>19351</v>
      </c>
      <c r="S951" s="403" t="s">
        <v>19352</v>
      </c>
      <c r="T951" s="403" t="s">
        <v>19353</v>
      </c>
      <c r="U951" s="403"/>
      <c r="V951" s="403" t="s">
        <v>23024</v>
      </c>
      <c r="W951" s="403" t="s">
        <v>23024</v>
      </c>
      <c r="X951" s="403" t="s">
        <v>23024</v>
      </c>
      <c r="Y951" s="403" t="s">
        <v>23024</v>
      </c>
    </row>
    <row r="952" spans="1:25">
      <c r="A952" s="363">
        <f t="shared" si="119"/>
        <v>951</v>
      </c>
      <c r="B952" s="363" t="str">
        <f t="shared" si="112"/>
        <v>44</v>
      </c>
      <c r="C952" s="405" t="str">
        <f t="shared" si="113"/>
        <v>第009121号</v>
      </c>
      <c r="D952" s="405" t="str">
        <f t="shared" si="114"/>
        <v>ビ・アール工業（有）</v>
      </c>
      <c r="E952" s="405" t="str">
        <f t="shared" si="115"/>
        <v>代表取締役</v>
      </c>
      <c r="F952" s="405" t="str">
        <f t="shared" si="116"/>
        <v>渡邉　住夫</v>
      </c>
      <c r="G952" s="405" t="str">
        <f t="shared" si="117"/>
        <v>主たる営業所</v>
      </c>
      <c r="H952" s="405" t="str">
        <f t="shared" si="118"/>
        <v>大分市大字森町１１１５－１</v>
      </c>
      <c r="L952" s="403" t="s">
        <v>9675</v>
      </c>
      <c r="M952" s="403" t="s">
        <v>9676</v>
      </c>
      <c r="N952" s="403" t="s">
        <v>3171</v>
      </c>
      <c r="O952" s="403" t="s">
        <v>7084</v>
      </c>
      <c r="P952" s="403" t="s">
        <v>3172</v>
      </c>
      <c r="Q952" s="403" t="s">
        <v>9677</v>
      </c>
      <c r="R952" s="403" t="s">
        <v>19354</v>
      </c>
      <c r="S952" s="403" t="s">
        <v>15705</v>
      </c>
      <c r="T952" s="403" t="s">
        <v>15706</v>
      </c>
      <c r="U952" s="403"/>
      <c r="V952" s="403" t="s">
        <v>23024</v>
      </c>
      <c r="W952" s="403" t="s">
        <v>23024</v>
      </c>
      <c r="X952" s="403" t="s">
        <v>23024</v>
      </c>
      <c r="Y952" s="403" t="s">
        <v>23024</v>
      </c>
    </row>
    <row r="953" spans="1:25">
      <c r="A953" s="363">
        <f t="shared" si="119"/>
        <v>952</v>
      </c>
      <c r="B953" s="363" t="str">
        <f t="shared" si="112"/>
        <v>44</v>
      </c>
      <c r="C953" s="405" t="str">
        <f t="shared" si="113"/>
        <v>第009127号</v>
      </c>
      <c r="D953" s="405" t="str">
        <f t="shared" si="114"/>
        <v>梶原工業（有）</v>
      </c>
      <c r="E953" s="405" t="str">
        <f t="shared" si="115"/>
        <v>代表取締役</v>
      </c>
      <c r="F953" s="405" t="str">
        <f t="shared" si="116"/>
        <v>窪田　和典</v>
      </c>
      <c r="G953" s="405" t="str">
        <f t="shared" si="117"/>
        <v>主たる営業所</v>
      </c>
      <c r="H953" s="405" t="str">
        <f t="shared" si="118"/>
        <v>由布市庄内町東長宝１５６－２</v>
      </c>
      <c r="L953" s="403" t="s">
        <v>9678</v>
      </c>
      <c r="M953" s="403" t="s">
        <v>9265</v>
      </c>
      <c r="N953" s="403" t="s">
        <v>3173</v>
      </c>
      <c r="O953" s="403" t="s">
        <v>7084</v>
      </c>
      <c r="P953" s="403" t="s">
        <v>5249</v>
      </c>
      <c r="Q953" s="403" t="s">
        <v>7481</v>
      </c>
      <c r="R953" s="403" t="s">
        <v>19355</v>
      </c>
      <c r="S953" s="403" t="s">
        <v>15707</v>
      </c>
      <c r="T953" s="403" t="s">
        <v>15708</v>
      </c>
      <c r="U953" s="403"/>
      <c r="V953" s="403" t="s">
        <v>23024</v>
      </c>
      <c r="W953" s="403" t="s">
        <v>23024</v>
      </c>
      <c r="X953" s="403" t="s">
        <v>23024</v>
      </c>
      <c r="Y953" s="403" t="s">
        <v>23024</v>
      </c>
    </row>
    <row r="954" spans="1:25">
      <c r="A954" s="363">
        <f t="shared" si="119"/>
        <v>953</v>
      </c>
      <c r="B954" s="363" t="str">
        <f t="shared" si="112"/>
        <v>44</v>
      </c>
      <c r="C954" s="405" t="str">
        <f t="shared" si="113"/>
        <v>第009160号</v>
      </c>
      <c r="D954" s="405" t="str">
        <f t="shared" si="114"/>
        <v>（株）ニッショー</v>
      </c>
      <c r="E954" s="405" t="str">
        <f t="shared" si="115"/>
        <v>代表取締役</v>
      </c>
      <c r="F954" s="405" t="str">
        <f t="shared" si="116"/>
        <v>佐藤　佑太</v>
      </c>
      <c r="G954" s="405" t="str">
        <f t="shared" si="117"/>
        <v>主たる営業所</v>
      </c>
      <c r="H954" s="405" t="str">
        <f t="shared" si="118"/>
        <v>大分市大字松岡１８９２－４</v>
      </c>
      <c r="L954" s="403" t="s">
        <v>9679</v>
      </c>
      <c r="M954" s="403" t="s">
        <v>9680</v>
      </c>
      <c r="N954" s="403" t="s">
        <v>3174</v>
      </c>
      <c r="O954" s="403" t="s">
        <v>7084</v>
      </c>
      <c r="P954" s="403" t="s">
        <v>3175</v>
      </c>
      <c r="Q954" s="403" t="s">
        <v>7498</v>
      </c>
      <c r="R954" s="403" t="s">
        <v>19356</v>
      </c>
      <c r="S954" s="403" t="s">
        <v>15709</v>
      </c>
      <c r="T954" s="403" t="s">
        <v>15710</v>
      </c>
      <c r="U954" s="403"/>
      <c r="V954" s="403" t="s">
        <v>23024</v>
      </c>
      <c r="W954" s="403" t="s">
        <v>23024</v>
      </c>
      <c r="X954" s="403" t="s">
        <v>23024</v>
      </c>
      <c r="Y954" s="403" t="s">
        <v>23024</v>
      </c>
    </row>
    <row r="955" spans="1:25">
      <c r="A955" s="363">
        <f t="shared" si="119"/>
        <v>954</v>
      </c>
      <c r="B955" s="363" t="str">
        <f t="shared" si="112"/>
        <v>44</v>
      </c>
      <c r="C955" s="405" t="str">
        <f t="shared" si="113"/>
        <v>第009165号</v>
      </c>
      <c r="D955" s="405" t="str">
        <f t="shared" si="114"/>
        <v>中央設備工業（有）</v>
      </c>
      <c r="E955" s="405" t="str">
        <f t="shared" si="115"/>
        <v>代表取締役</v>
      </c>
      <c r="F955" s="405" t="str">
        <f t="shared" si="116"/>
        <v>釘宮　大輔</v>
      </c>
      <c r="G955" s="405" t="str">
        <f t="shared" si="117"/>
        <v>主たる営業所</v>
      </c>
      <c r="H955" s="405" t="str">
        <f t="shared" si="118"/>
        <v>大分市大字曲８５１－８</v>
      </c>
      <c r="L955" s="403" t="s">
        <v>9681</v>
      </c>
      <c r="M955" s="403" t="s">
        <v>9682</v>
      </c>
      <c r="N955" s="403" t="s">
        <v>3176</v>
      </c>
      <c r="O955" s="403" t="s">
        <v>7084</v>
      </c>
      <c r="P955" s="403" t="s">
        <v>3177</v>
      </c>
      <c r="Q955" s="403" t="s">
        <v>9339</v>
      </c>
      <c r="R955" s="403" t="s">
        <v>19357</v>
      </c>
      <c r="S955" s="403" t="s">
        <v>15711</v>
      </c>
      <c r="T955" s="403" t="s">
        <v>15712</v>
      </c>
      <c r="U955" s="403"/>
      <c r="V955" s="403" t="s">
        <v>23024</v>
      </c>
      <c r="W955" s="403" t="s">
        <v>23024</v>
      </c>
      <c r="X955" s="403" t="s">
        <v>23024</v>
      </c>
      <c r="Y955" s="403" t="s">
        <v>23024</v>
      </c>
    </row>
    <row r="956" spans="1:25">
      <c r="A956" s="363">
        <f t="shared" si="119"/>
        <v>955</v>
      </c>
      <c r="B956" s="363" t="str">
        <f t="shared" si="112"/>
        <v>44</v>
      </c>
      <c r="C956" s="405" t="str">
        <f t="shared" si="113"/>
        <v>第009166号</v>
      </c>
      <c r="D956" s="405" t="str">
        <f t="shared" si="114"/>
        <v>（有）協和環境</v>
      </c>
      <c r="E956" s="405" t="str">
        <f t="shared" si="115"/>
        <v>代表取締役</v>
      </c>
      <c r="F956" s="405" t="str">
        <f t="shared" si="116"/>
        <v>池元　克行</v>
      </c>
      <c r="G956" s="405" t="str">
        <f t="shared" si="117"/>
        <v>主たる営業所</v>
      </c>
      <c r="H956" s="405" t="str">
        <f t="shared" si="118"/>
        <v>大分市古国府２－２－７０</v>
      </c>
      <c r="L956" s="403" t="s">
        <v>9683</v>
      </c>
      <c r="M956" s="403" t="s">
        <v>9684</v>
      </c>
      <c r="N956" s="403" t="s">
        <v>3178</v>
      </c>
      <c r="O956" s="403" t="s">
        <v>7084</v>
      </c>
      <c r="P956" s="403" t="s">
        <v>3179</v>
      </c>
      <c r="Q956" s="403" t="s">
        <v>7366</v>
      </c>
      <c r="R956" s="403" t="s">
        <v>19358</v>
      </c>
      <c r="S956" s="403" t="s">
        <v>15713</v>
      </c>
      <c r="T956" s="403" t="s">
        <v>15714</v>
      </c>
      <c r="U956" s="403"/>
      <c r="V956" s="403" t="s">
        <v>23024</v>
      </c>
      <c r="W956" s="403" t="s">
        <v>23024</v>
      </c>
      <c r="X956" s="403" t="s">
        <v>23024</v>
      </c>
      <c r="Y956" s="403" t="s">
        <v>23024</v>
      </c>
    </row>
    <row r="957" spans="1:25">
      <c r="A957" s="363">
        <f t="shared" si="119"/>
        <v>956</v>
      </c>
      <c r="B957" s="363" t="str">
        <f t="shared" si="112"/>
        <v>44</v>
      </c>
      <c r="C957" s="405" t="str">
        <f t="shared" si="113"/>
        <v>第009173号</v>
      </c>
      <c r="D957" s="405" t="str">
        <f t="shared" si="114"/>
        <v>（有）太真産業</v>
      </c>
      <c r="E957" s="405" t="str">
        <f t="shared" si="115"/>
        <v>代表取締役</v>
      </c>
      <c r="F957" s="405" t="str">
        <f t="shared" si="116"/>
        <v>園田　高太郎</v>
      </c>
      <c r="G957" s="405" t="str">
        <f t="shared" si="117"/>
        <v>主たる営業所</v>
      </c>
      <c r="H957" s="405" t="str">
        <f t="shared" si="118"/>
        <v>大分市大字賀来２８０３</v>
      </c>
      <c r="L957" s="403" t="s">
        <v>9685</v>
      </c>
      <c r="M957" s="403" t="s">
        <v>9686</v>
      </c>
      <c r="N957" s="403" t="s">
        <v>3180</v>
      </c>
      <c r="O957" s="403" t="s">
        <v>7084</v>
      </c>
      <c r="P957" s="403" t="s">
        <v>3181</v>
      </c>
      <c r="Q957" s="403" t="s">
        <v>9687</v>
      </c>
      <c r="R957" s="403" t="s">
        <v>5552</v>
      </c>
      <c r="S957" s="403" t="s">
        <v>15715</v>
      </c>
      <c r="T957" s="403" t="s">
        <v>15715</v>
      </c>
      <c r="U957" s="403"/>
      <c r="V957" s="403" t="s">
        <v>23024</v>
      </c>
      <c r="W957" s="403" t="s">
        <v>23024</v>
      </c>
      <c r="X957" s="403" t="s">
        <v>23024</v>
      </c>
      <c r="Y957" s="403" t="s">
        <v>23024</v>
      </c>
    </row>
    <row r="958" spans="1:25">
      <c r="A958" s="363">
        <f t="shared" si="119"/>
        <v>957</v>
      </c>
      <c r="B958" s="363" t="str">
        <f t="shared" si="112"/>
        <v>44</v>
      </c>
      <c r="C958" s="405" t="str">
        <f t="shared" si="113"/>
        <v>第009202号</v>
      </c>
      <c r="D958" s="405" t="str">
        <f t="shared" si="114"/>
        <v>（有）コーリン建設</v>
      </c>
      <c r="E958" s="405" t="str">
        <f t="shared" si="115"/>
        <v>代表取締役</v>
      </c>
      <c r="F958" s="405" t="str">
        <f t="shared" si="116"/>
        <v>城野　好則</v>
      </c>
      <c r="G958" s="405" t="str">
        <f t="shared" si="117"/>
        <v>主たる営業所</v>
      </c>
      <c r="H958" s="405" t="str">
        <f t="shared" si="118"/>
        <v>大分市光吉台１－８－３</v>
      </c>
      <c r="L958" s="403" t="s">
        <v>9688</v>
      </c>
      <c r="M958" s="403" t="s">
        <v>9689</v>
      </c>
      <c r="N958" s="403" t="s">
        <v>3182</v>
      </c>
      <c r="O958" s="403" t="s">
        <v>7084</v>
      </c>
      <c r="P958" s="403" t="s">
        <v>3183</v>
      </c>
      <c r="Q958" s="403" t="s">
        <v>9690</v>
      </c>
      <c r="R958" s="403" t="s">
        <v>19359</v>
      </c>
      <c r="S958" s="403" t="s">
        <v>15716</v>
      </c>
      <c r="T958" s="403" t="s">
        <v>15717</v>
      </c>
      <c r="U958" s="403"/>
      <c r="V958" s="403" t="s">
        <v>23024</v>
      </c>
      <c r="W958" s="403" t="s">
        <v>23024</v>
      </c>
      <c r="X958" s="403" t="s">
        <v>23024</v>
      </c>
      <c r="Y958" s="403" t="s">
        <v>23024</v>
      </c>
    </row>
    <row r="959" spans="1:25">
      <c r="A959" s="363">
        <f t="shared" si="119"/>
        <v>958</v>
      </c>
      <c r="B959" s="363" t="str">
        <f t="shared" si="112"/>
        <v>44</v>
      </c>
      <c r="C959" s="405" t="str">
        <f t="shared" si="113"/>
        <v>第009214号</v>
      </c>
      <c r="D959" s="405" t="str">
        <f t="shared" si="114"/>
        <v>九一建設工業（有）</v>
      </c>
      <c r="E959" s="405" t="str">
        <f t="shared" si="115"/>
        <v>代表取締役</v>
      </c>
      <c r="F959" s="405" t="str">
        <f t="shared" si="116"/>
        <v>後藤　一郎</v>
      </c>
      <c r="G959" s="405" t="str">
        <f t="shared" si="117"/>
        <v>主たる営業所</v>
      </c>
      <c r="H959" s="405" t="str">
        <f t="shared" si="118"/>
        <v>大分市大字関園５１０－２</v>
      </c>
      <c r="L959" s="403" t="s">
        <v>9691</v>
      </c>
      <c r="M959" s="403" t="s">
        <v>9692</v>
      </c>
      <c r="N959" s="403" t="s">
        <v>3184</v>
      </c>
      <c r="O959" s="403" t="s">
        <v>7084</v>
      </c>
      <c r="P959" s="403" t="s">
        <v>3185</v>
      </c>
      <c r="Q959" s="403" t="s">
        <v>8332</v>
      </c>
      <c r="R959" s="403" t="s">
        <v>19360</v>
      </c>
      <c r="S959" s="403" t="s">
        <v>15718</v>
      </c>
      <c r="T959" s="403" t="s">
        <v>15719</v>
      </c>
      <c r="U959" s="403"/>
      <c r="V959" s="403" t="s">
        <v>23024</v>
      </c>
      <c r="W959" s="403" t="s">
        <v>23024</v>
      </c>
      <c r="X959" s="403" t="s">
        <v>23024</v>
      </c>
      <c r="Y959" s="403" t="s">
        <v>23024</v>
      </c>
    </row>
    <row r="960" spans="1:25">
      <c r="A960" s="363">
        <f t="shared" si="119"/>
        <v>959</v>
      </c>
      <c r="B960" s="363" t="str">
        <f t="shared" si="112"/>
        <v>44</v>
      </c>
      <c r="C960" s="405" t="str">
        <f t="shared" si="113"/>
        <v>第009223号</v>
      </c>
      <c r="D960" s="405" t="str">
        <f t="shared" si="114"/>
        <v>（株）春日緑化</v>
      </c>
      <c r="E960" s="405" t="str">
        <f t="shared" si="115"/>
        <v>代表取締役</v>
      </c>
      <c r="F960" s="405" t="str">
        <f t="shared" si="116"/>
        <v>朝見　高樹</v>
      </c>
      <c r="G960" s="405" t="str">
        <f t="shared" si="117"/>
        <v>主たる営業所</v>
      </c>
      <c r="H960" s="405" t="str">
        <f t="shared" si="118"/>
        <v>大分市大字八幡１７５４－１</v>
      </c>
      <c r="L960" s="403" t="s">
        <v>9693</v>
      </c>
      <c r="M960" s="403" t="s">
        <v>9694</v>
      </c>
      <c r="N960" s="403" t="s">
        <v>3186</v>
      </c>
      <c r="O960" s="403" t="s">
        <v>7084</v>
      </c>
      <c r="P960" s="403" t="s">
        <v>3187</v>
      </c>
      <c r="Q960" s="403" t="s">
        <v>8713</v>
      </c>
      <c r="R960" s="403" t="s">
        <v>19361</v>
      </c>
      <c r="S960" s="403" t="s">
        <v>15720</v>
      </c>
      <c r="T960" s="403" t="s">
        <v>15721</v>
      </c>
      <c r="U960" s="403"/>
      <c r="V960" s="403" t="s">
        <v>23024</v>
      </c>
      <c r="W960" s="403" t="s">
        <v>23024</v>
      </c>
      <c r="X960" s="403" t="s">
        <v>23024</v>
      </c>
      <c r="Y960" s="403" t="s">
        <v>23024</v>
      </c>
    </row>
    <row r="961" spans="1:25">
      <c r="A961" s="363">
        <f t="shared" si="119"/>
        <v>960</v>
      </c>
      <c r="B961" s="363" t="str">
        <f t="shared" si="112"/>
        <v>44</v>
      </c>
      <c r="C961" s="405" t="str">
        <f t="shared" si="113"/>
        <v>第009241号</v>
      </c>
      <c r="D961" s="405" t="str">
        <f t="shared" si="114"/>
        <v>（有）小園重機建設</v>
      </c>
      <c r="E961" s="405" t="str">
        <f t="shared" si="115"/>
        <v>代表取締役</v>
      </c>
      <c r="F961" s="405" t="str">
        <f t="shared" si="116"/>
        <v>小園　正行</v>
      </c>
      <c r="G961" s="405" t="str">
        <f t="shared" si="117"/>
        <v>主たる営業所</v>
      </c>
      <c r="H961" s="405" t="str">
        <f t="shared" si="118"/>
        <v>大分市大字福宗１１４９</v>
      </c>
      <c r="L961" s="403" t="s">
        <v>9695</v>
      </c>
      <c r="M961" s="403" t="s">
        <v>9696</v>
      </c>
      <c r="N961" s="403" t="s">
        <v>3188</v>
      </c>
      <c r="O961" s="403" t="s">
        <v>7084</v>
      </c>
      <c r="P961" s="403" t="s">
        <v>3189</v>
      </c>
      <c r="Q961" s="403" t="s">
        <v>9697</v>
      </c>
      <c r="R961" s="403" t="s">
        <v>5553</v>
      </c>
      <c r="S961" s="403" t="s">
        <v>15722</v>
      </c>
      <c r="T961" s="403" t="s">
        <v>15723</v>
      </c>
      <c r="U961" s="403"/>
      <c r="V961" s="403" t="s">
        <v>23024</v>
      </c>
      <c r="W961" s="403" t="s">
        <v>23024</v>
      </c>
      <c r="X961" s="403" t="s">
        <v>23024</v>
      </c>
      <c r="Y961" s="403" t="s">
        <v>23024</v>
      </c>
    </row>
    <row r="962" spans="1:25">
      <c r="A962" s="363">
        <f t="shared" si="119"/>
        <v>961</v>
      </c>
      <c r="B962" s="363" t="str">
        <f t="shared" ref="B962:B1025" si="120">LEFT(L962,2)</f>
        <v>44</v>
      </c>
      <c r="C962" s="405" t="str">
        <f t="shared" ref="C962:C1025" si="121">IF(B962="","","第"&amp;RIGHT(L962,6)&amp;"号")</f>
        <v>第009246号</v>
      </c>
      <c r="D962" s="405" t="str">
        <f t="shared" ref="D962:D1025" si="122">N962</f>
        <v>（有）国土建設工業</v>
      </c>
      <c r="E962" s="405" t="str">
        <f t="shared" ref="E962:E1025" si="123">IF(V962="　",O962,"")</f>
        <v>取締役</v>
      </c>
      <c r="F962" s="405" t="str">
        <f t="shared" ref="F962:F1025" si="124">IF(V962="　",P962,W962)</f>
        <v>渡邊　由布子</v>
      </c>
      <c r="G962" s="405" t="str">
        <f t="shared" ref="G962:G1025" si="125">IF(V962="　","主たる営業所",V962)</f>
        <v>主たる営業所</v>
      </c>
      <c r="H962" s="405" t="str">
        <f t="shared" ref="H962:H1025" si="126">IF(V962="　",R962,Y962)</f>
        <v>大分市東津留２－１２－１</v>
      </c>
      <c r="L962" s="403" t="s">
        <v>9698</v>
      </c>
      <c r="M962" s="403" t="s">
        <v>9699</v>
      </c>
      <c r="N962" s="403" t="s">
        <v>3190</v>
      </c>
      <c r="O962" s="403" t="s">
        <v>7085</v>
      </c>
      <c r="P962" s="403" t="s">
        <v>19362</v>
      </c>
      <c r="Q962" s="403" t="s">
        <v>9700</v>
      </c>
      <c r="R962" s="403" t="s">
        <v>19363</v>
      </c>
      <c r="S962" s="403" t="s">
        <v>15724</v>
      </c>
      <c r="T962" s="403" t="s">
        <v>15725</v>
      </c>
      <c r="U962" s="403"/>
      <c r="V962" s="403" t="s">
        <v>23024</v>
      </c>
      <c r="W962" s="403" t="s">
        <v>23024</v>
      </c>
      <c r="X962" s="403" t="s">
        <v>23024</v>
      </c>
      <c r="Y962" s="403" t="s">
        <v>23024</v>
      </c>
    </row>
    <row r="963" spans="1:25">
      <c r="A963" s="363">
        <f t="shared" ref="A963:A1026" si="127">IF(B963="","",A962+1)</f>
        <v>962</v>
      </c>
      <c r="B963" s="363" t="str">
        <f t="shared" si="120"/>
        <v>44</v>
      </c>
      <c r="C963" s="405" t="str">
        <f t="shared" si="121"/>
        <v>第009248号</v>
      </c>
      <c r="D963" s="405" t="str">
        <f t="shared" si="122"/>
        <v>（株）エンワ</v>
      </c>
      <c r="E963" s="405" t="str">
        <f t="shared" si="123"/>
        <v>代表取締役</v>
      </c>
      <c r="F963" s="405" t="str">
        <f t="shared" si="124"/>
        <v>堤　裕也</v>
      </c>
      <c r="G963" s="405" t="str">
        <f t="shared" si="125"/>
        <v>主たる営業所</v>
      </c>
      <c r="H963" s="405" t="str">
        <f t="shared" si="126"/>
        <v>大分市中春日町９－５</v>
      </c>
      <c r="L963" s="403" t="s">
        <v>9701</v>
      </c>
      <c r="M963" s="403" t="s">
        <v>9702</v>
      </c>
      <c r="N963" s="403" t="s">
        <v>3191</v>
      </c>
      <c r="O963" s="403" t="s">
        <v>7084</v>
      </c>
      <c r="P963" s="403" t="s">
        <v>3192</v>
      </c>
      <c r="Q963" s="403" t="s">
        <v>7534</v>
      </c>
      <c r="R963" s="403" t="s">
        <v>19364</v>
      </c>
      <c r="S963" s="403" t="s">
        <v>15726</v>
      </c>
      <c r="T963" s="403" t="s">
        <v>15727</v>
      </c>
      <c r="U963" s="403"/>
      <c r="V963" s="403" t="s">
        <v>23024</v>
      </c>
      <c r="W963" s="403" t="s">
        <v>23024</v>
      </c>
      <c r="X963" s="403" t="s">
        <v>23024</v>
      </c>
      <c r="Y963" s="403" t="s">
        <v>23024</v>
      </c>
    </row>
    <row r="964" spans="1:25">
      <c r="A964" s="363">
        <f t="shared" si="127"/>
        <v>963</v>
      </c>
      <c r="B964" s="363" t="str">
        <f t="shared" si="120"/>
        <v>44</v>
      </c>
      <c r="C964" s="405" t="str">
        <f t="shared" si="121"/>
        <v>第009278号</v>
      </c>
      <c r="D964" s="405" t="str">
        <f t="shared" si="122"/>
        <v>光陰緑化土木（有）</v>
      </c>
      <c r="E964" s="405" t="str">
        <f t="shared" si="123"/>
        <v>代表取締役</v>
      </c>
      <c r="F964" s="405" t="str">
        <f t="shared" si="124"/>
        <v>安部　隆文</v>
      </c>
      <c r="G964" s="405" t="str">
        <f t="shared" si="125"/>
        <v>主たる営業所</v>
      </c>
      <c r="H964" s="405" t="str">
        <f t="shared" si="126"/>
        <v>大分市大字駄原２７９５－１</v>
      </c>
      <c r="L964" s="403" t="s">
        <v>9703</v>
      </c>
      <c r="M964" s="403" t="s">
        <v>9704</v>
      </c>
      <c r="N964" s="403" t="s">
        <v>3193</v>
      </c>
      <c r="O964" s="403" t="s">
        <v>7084</v>
      </c>
      <c r="P964" s="403" t="s">
        <v>3194</v>
      </c>
      <c r="Q964" s="403" t="s">
        <v>9705</v>
      </c>
      <c r="R964" s="403" t="s">
        <v>19365</v>
      </c>
      <c r="S964" s="403" t="s">
        <v>15728</v>
      </c>
      <c r="T964" s="403" t="s">
        <v>15729</v>
      </c>
      <c r="U964" s="403"/>
      <c r="V964" s="403" t="s">
        <v>23024</v>
      </c>
      <c r="W964" s="403" t="s">
        <v>23024</v>
      </c>
      <c r="X964" s="403" t="s">
        <v>23024</v>
      </c>
      <c r="Y964" s="403" t="s">
        <v>23024</v>
      </c>
    </row>
    <row r="965" spans="1:25">
      <c r="A965" s="363">
        <f t="shared" si="127"/>
        <v>964</v>
      </c>
      <c r="B965" s="363" t="str">
        <f t="shared" si="120"/>
        <v>44</v>
      </c>
      <c r="C965" s="405" t="str">
        <f t="shared" si="121"/>
        <v>第009286号</v>
      </c>
      <c r="D965" s="405" t="str">
        <f t="shared" si="122"/>
        <v>（株）クイック工業</v>
      </c>
      <c r="E965" s="405" t="str">
        <f t="shared" si="123"/>
        <v>代表取締役</v>
      </c>
      <c r="F965" s="405" t="str">
        <f t="shared" si="124"/>
        <v>佐藤　圭介</v>
      </c>
      <c r="G965" s="405" t="str">
        <f t="shared" si="125"/>
        <v>主たる営業所</v>
      </c>
      <c r="H965" s="405" t="str">
        <f t="shared" si="126"/>
        <v>大分市大字田尻６７０－３</v>
      </c>
      <c r="L965" s="403" t="s">
        <v>9706</v>
      </c>
      <c r="M965" s="403" t="s">
        <v>9707</v>
      </c>
      <c r="N965" s="403" t="s">
        <v>3195</v>
      </c>
      <c r="O965" s="403" t="s">
        <v>7084</v>
      </c>
      <c r="P965" s="403" t="s">
        <v>3196</v>
      </c>
      <c r="Q965" s="403" t="s">
        <v>8321</v>
      </c>
      <c r="R965" s="403" t="s">
        <v>19366</v>
      </c>
      <c r="S965" s="403" t="s">
        <v>15730</v>
      </c>
      <c r="T965" s="403" t="s">
        <v>15731</v>
      </c>
      <c r="U965" s="403"/>
      <c r="V965" s="403" t="s">
        <v>23024</v>
      </c>
      <c r="W965" s="403" t="s">
        <v>23024</v>
      </c>
      <c r="X965" s="403" t="s">
        <v>23024</v>
      </c>
      <c r="Y965" s="403" t="s">
        <v>23024</v>
      </c>
    </row>
    <row r="966" spans="1:25">
      <c r="A966" s="363">
        <f t="shared" si="127"/>
        <v>965</v>
      </c>
      <c r="B966" s="363" t="str">
        <f t="shared" si="120"/>
        <v>44</v>
      </c>
      <c r="C966" s="405" t="str">
        <f t="shared" si="121"/>
        <v>第009304号</v>
      </c>
      <c r="D966" s="405" t="str">
        <f t="shared" si="122"/>
        <v>新和運輸（有）</v>
      </c>
      <c r="E966" s="405" t="str">
        <f t="shared" si="123"/>
        <v>代表取締役</v>
      </c>
      <c r="F966" s="405" t="str">
        <f t="shared" si="124"/>
        <v>完山　和弘</v>
      </c>
      <c r="G966" s="405" t="str">
        <f t="shared" si="125"/>
        <v>主たる営業所</v>
      </c>
      <c r="H966" s="405" t="str">
        <f t="shared" si="126"/>
        <v>大分市大字城原字蓮池２４０４－１</v>
      </c>
      <c r="L966" s="403" t="s">
        <v>9708</v>
      </c>
      <c r="M966" s="403" t="s">
        <v>9709</v>
      </c>
      <c r="N966" s="403" t="s">
        <v>3197</v>
      </c>
      <c r="O966" s="403" t="s">
        <v>7084</v>
      </c>
      <c r="P966" s="403" t="s">
        <v>2394</v>
      </c>
      <c r="Q966" s="403" t="s">
        <v>8292</v>
      </c>
      <c r="R966" s="403" t="s">
        <v>18990</v>
      </c>
      <c r="S966" s="403" t="s">
        <v>14908</v>
      </c>
      <c r="T966" s="403" t="s">
        <v>14909</v>
      </c>
      <c r="U966" s="403"/>
      <c r="V966" s="403" t="s">
        <v>23024</v>
      </c>
      <c r="W966" s="403" t="s">
        <v>23024</v>
      </c>
      <c r="X966" s="403" t="s">
        <v>23024</v>
      </c>
      <c r="Y966" s="403" t="s">
        <v>23024</v>
      </c>
    </row>
    <row r="967" spans="1:25">
      <c r="A967" s="363">
        <f t="shared" si="127"/>
        <v>966</v>
      </c>
      <c r="B967" s="363" t="str">
        <f t="shared" si="120"/>
        <v>44</v>
      </c>
      <c r="C967" s="405" t="str">
        <f t="shared" si="121"/>
        <v>第009312号</v>
      </c>
      <c r="D967" s="405" t="str">
        <f t="shared" si="122"/>
        <v>木津産業（有）</v>
      </c>
      <c r="E967" s="405" t="str">
        <f t="shared" si="123"/>
        <v>代表取締役</v>
      </c>
      <c r="F967" s="405" t="str">
        <f t="shared" si="124"/>
        <v>木津　眞治</v>
      </c>
      <c r="G967" s="405" t="str">
        <f t="shared" si="125"/>
        <v>主たる営業所</v>
      </c>
      <c r="H967" s="405" t="str">
        <f t="shared" si="126"/>
        <v>大分市大字関園９４０－１</v>
      </c>
      <c r="L967" s="403" t="s">
        <v>9710</v>
      </c>
      <c r="M967" s="403" t="s">
        <v>9711</v>
      </c>
      <c r="N967" s="403" t="s">
        <v>3198</v>
      </c>
      <c r="O967" s="403" t="s">
        <v>7084</v>
      </c>
      <c r="P967" s="403" t="s">
        <v>3199</v>
      </c>
      <c r="Q967" s="403" t="s">
        <v>8332</v>
      </c>
      <c r="R967" s="403" t="s">
        <v>19367</v>
      </c>
      <c r="S967" s="403" t="s">
        <v>15732</v>
      </c>
      <c r="T967" s="403" t="s">
        <v>15733</v>
      </c>
      <c r="U967" s="403"/>
      <c r="V967" s="403" t="s">
        <v>23024</v>
      </c>
      <c r="W967" s="403" t="s">
        <v>23024</v>
      </c>
      <c r="X967" s="403" t="s">
        <v>23024</v>
      </c>
      <c r="Y967" s="403" t="s">
        <v>23024</v>
      </c>
    </row>
    <row r="968" spans="1:25">
      <c r="A968" s="363">
        <f t="shared" si="127"/>
        <v>967</v>
      </c>
      <c r="B968" s="363" t="str">
        <f t="shared" si="120"/>
        <v>44</v>
      </c>
      <c r="C968" s="405" t="str">
        <f t="shared" si="121"/>
        <v>第009321号</v>
      </c>
      <c r="D968" s="405" t="str">
        <f t="shared" si="122"/>
        <v>（株）装華</v>
      </c>
      <c r="E968" s="405" t="str">
        <f t="shared" si="123"/>
        <v>代表取締役</v>
      </c>
      <c r="F968" s="405" t="str">
        <f t="shared" si="124"/>
        <v>立川　功雄</v>
      </c>
      <c r="G968" s="405" t="str">
        <f t="shared" si="125"/>
        <v>主たる営業所</v>
      </c>
      <c r="H968" s="405" t="str">
        <f t="shared" si="126"/>
        <v>大分市西大道３－１－５３</v>
      </c>
      <c r="L968" s="403" t="s">
        <v>9712</v>
      </c>
      <c r="M968" s="403" t="s">
        <v>9713</v>
      </c>
      <c r="N968" s="403" t="s">
        <v>3200</v>
      </c>
      <c r="O968" s="403" t="s">
        <v>7084</v>
      </c>
      <c r="P968" s="403" t="s">
        <v>3201</v>
      </c>
      <c r="Q968" s="403" t="s">
        <v>7495</v>
      </c>
      <c r="R968" s="403" t="s">
        <v>19368</v>
      </c>
      <c r="S968" s="403" t="s">
        <v>15734</v>
      </c>
      <c r="T968" s="403" t="s">
        <v>15735</v>
      </c>
      <c r="U968" s="403"/>
      <c r="V968" s="403" t="s">
        <v>23024</v>
      </c>
      <c r="W968" s="403" t="s">
        <v>23024</v>
      </c>
      <c r="X968" s="403" t="s">
        <v>23024</v>
      </c>
      <c r="Y968" s="403" t="s">
        <v>23024</v>
      </c>
    </row>
    <row r="969" spans="1:25">
      <c r="A969" s="363">
        <f t="shared" si="127"/>
        <v>968</v>
      </c>
      <c r="B969" s="363" t="str">
        <f t="shared" si="120"/>
        <v>44</v>
      </c>
      <c r="C969" s="405" t="str">
        <f t="shared" si="121"/>
        <v>第009332号</v>
      </c>
      <c r="D969" s="405" t="str">
        <f t="shared" si="122"/>
        <v>（有）環境プラント</v>
      </c>
      <c r="E969" s="405" t="str">
        <f t="shared" si="123"/>
        <v>代表取締役</v>
      </c>
      <c r="F969" s="405" t="str">
        <f t="shared" si="124"/>
        <v>桑原　博文</v>
      </c>
      <c r="G969" s="405" t="str">
        <f t="shared" si="125"/>
        <v>主たる営業所</v>
      </c>
      <c r="H969" s="405" t="str">
        <f t="shared" si="126"/>
        <v>大分市大字中戸次４２１３</v>
      </c>
      <c r="L969" s="403" t="s">
        <v>9714</v>
      </c>
      <c r="M969" s="403" t="s">
        <v>9715</v>
      </c>
      <c r="N969" s="403" t="s">
        <v>3202</v>
      </c>
      <c r="O969" s="403" t="s">
        <v>7084</v>
      </c>
      <c r="P969" s="403" t="s">
        <v>3203</v>
      </c>
      <c r="Q969" s="403" t="s">
        <v>7531</v>
      </c>
      <c r="R969" s="403" t="s">
        <v>5554</v>
      </c>
      <c r="S969" s="403" t="s">
        <v>15736</v>
      </c>
      <c r="T969" s="403" t="s">
        <v>15737</v>
      </c>
      <c r="U969" s="403"/>
      <c r="V969" s="403" t="s">
        <v>23024</v>
      </c>
      <c r="W969" s="403" t="s">
        <v>23024</v>
      </c>
      <c r="X969" s="403" t="s">
        <v>23024</v>
      </c>
      <c r="Y969" s="403" t="s">
        <v>23024</v>
      </c>
    </row>
    <row r="970" spans="1:25">
      <c r="A970" s="363">
        <f t="shared" si="127"/>
        <v>969</v>
      </c>
      <c r="B970" s="363" t="str">
        <f t="shared" si="120"/>
        <v>44</v>
      </c>
      <c r="C970" s="405" t="str">
        <f t="shared" si="121"/>
        <v>第009335号</v>
      </c>
      <c r="D970" s="405" t="str">
        <f t="shared" si="122"/>
        <v>（株）荒巻工業</v>
      </c>
      <c r="E970" s="405" t="str">
        <f t="shared" si="123"/>
        <v>代表取締役</v>
      </c>
      <c r="F970" s="405" t="str">
        <f t="shared" si="124"/>
        <v>荒巻　聡志</v>
      </c>
      <c r="G970" s="405" t="str">
        <f t="shared" si="125"/>
        <v>主たる営業所</v>
      </c>
      <c r="H970" s="405" t="str">
        <f t="shared" si="126"/>
        <v>大分市大字皆春３７３－４</v>
      </c>
      <c r="L970" s="403" t="s">
        <v>9716</v>
      </c>
      <c r="M970" s="403" t="s">
        <v>9717</v>
      </c>
      <c r="N970" s="403" t="s">
        <v>3204</v>
      </c>
      <c r="O970" s="403" t="s">
        <v>7084</v>
      </c>
      <c r="P970" s="403" t="s">
        <v>3205</v>
      </c>
      <c r="Q970" s="403" t="s">
        <v>7478</v>
      </c>
      <c r="R970" s="403" t="s">
        <v>19369</v>
      </c>
      <c r="S970" s="403" t="s">
        <v>15738</v>
      </c>
      <c r="T970" s="403" t="s">
        <v>15739</v>
      </c>
      <c r="U970" s="403"/>
      <c r="V970" s="403" t="s">
        <v>23024</v>
      </c>
      <c r="W970" s="403" t="s">
        <v>23024</v>
      </c>
      <c r="X970" s="403" t="s">
        <v>23024</v>
      </c>
      <c r="Y970" s="403" t="s">
        <v>23024</v>
      </c>
    </row>
    <row r="971" spans="1:25">
      <c r="A971" s="363">
        <f t="shared" si="127"/>
        <v>970</v>
      </c>
      <c r="B971" s="363" t="str">
        <f t="shared" si="120"/>
        <v>44</v>
      </c>
      <c r="C971" s="405" t="str">
        <f t="shared" si="121"/>
        <v>第009338号</v>
      </c>
      <c r="D971" s="405" t="str">
        <f t="shared" si="122"/>
        <v>（株）エーオーアイ・ユニタン</v>
      </c>
      <c r="E971" s="405" t="str">
        <f t="shared" si="123"/>
        <v>代表取締役</v>
      </c>
      <c r="F971" s="405" t="str">
        <f t="shared" si="124"/>
        <v>此松　慎二</v>
      </c>
      <c r="G971" s="405" t="str">
        <f t="shared" si="125"/>
        <v>主たる営業所</v>
      </c>
      <c r="H971" s="405" t="str">
        <f t="shared" si="126"/>
        <v>大分市牧１－４－１６</v>
      </c>
      <c r="L971" s="403" t="s">
        <v>9718</v>
      </c>
      <c r="M971" s="403" t="s">
        <v>9719</v>
      </c>
      <c r="N971" s="403" t="s">
        <v>3208</v>
      </c>
      <c r="O971" s="403" t="s">
        <v>7084</v>
      </c>
      <c r="P971" s="403" t="s">
        <v>3209</v>
      </c>
      <c r="Q971" s="403" t="s">
        <v>7400</v>
      </c>
      <c r="R971" s="403" t="s">
        <v>19370</v>
      </c>
      <c r="S971" s="403" t="s">
        <v>15740</v>
      </c>
      <c r="T971" s="403" t="s">
        <v>15741</v>
      </c>
      <c r="U971" s="403"/>
      <c r="V971" s="403" t="s">
        <v>23024</v>
      </c>
      <c r="W971" s="403" t="s">
        <v>23024</v>
      </c>
      <c r="X971" s="403" t="s">
        <v>23024</v>
      </c>
      <c r="Y971" s="403" t="s">
        <v>23024</v>
      </c>
    </row>
    <row r="972" spans="1:25">
      <c r="A972" s="363">
        <f t="shared" si="127"/>
        <v>971</v>
      </c>
      <c r="B972" s="363" t="str">
        <f t="shared" si="120"/>
        <v>44</v>
      </c>
      <c r="C972" s="405" t="str">
        <f t="shared" si="121"/>
        <v>第009342号</v>
      </c>
      <c r="D972" s="405" t="str">
        <f t="shared" si="122"/>
        <v>（有）豊通信</v>
      </c>
      <c r="E972" s="405" t="str">
        <f t="shared" si="123"/>
        <v>代表取締役</v>
      </c>
      <c r="F972" s="405" t="str">
        <f t="shared" si="124"/>
        <v>古城　正幸</v>
      </c>
      <c r="G972" s="405" t="str">
        <f t="shared" si="125"/>
        <v>主たる営業所</v>
      </c>
      <c r="H972" s="405" t="str">
        <f t="shared" si="126"/>
        <v>大分市大字宮河内３８３０－１８３</v>
      </c>
      <c r="L972" s="403" t="s">
        <v>9720</v>
      </c>
      <c r="M972" s="403" t="s">
        <v>9721</v>
      </c>
      <c r="N972" s="403" t="s">
        <v>3210</v>
      </c>
      <c r="O972" s="403" t="s">
        <v>7084</v>
      </c>
      <c r="P972" s="403" t="s">
        <v>3211</v>
      </c>
      <c r="Q972" s="403" t="s">
        <v>9722</v>
      </c>
      <c r="R972" s="403" t="s">
        <v>19371</v>
      </c>
      <c r="S972" s="403" t="s">
        <v>15742</v>
      </c>
      <c r="T972" s="403" t="s">
        <v>15743</v>
      </c>
      <c r="U972" s="403"/>
      <c r="V972" s="403" t="s">
        <v>23024</v>
      </c>
      <c r="W972" s="403" t="s">
        <v>23024</v>
      </c>
      <c r="X972" s="403" t="s">
        <v>23024</v>
      </c>
      <c r="Y972" s="403" t="s">
        <v>23024</v>
      </c>
    </row>
    <row r="973" spans="1:25">
      <c r="A973" s="363">
        <f t="shared" si="127"/>
        <v>972</v>
      </c>
      <c r="B973" s="363" t="str">
        <f t="shared" si="120"/>
        <v>44</v>
      </c>
      <c r="C973" s="405" t="str">
        <f t="shared" si="121"/>
        <v>第009352号</v>
      </c>
      <c r="D973" s="405" t="str">
        <f t="shared" si="122"/>
        <v>フジシステム設備（有）</v>
      </c>
      <c r="E973" s="405" t="str">
        <f t="shared" si="123"/>
        <v>代表取締役</v>
      </c>
      <c r="F973" s="405" t="str">
        <f t="shared" si="124"/>
        <v>溝部　雄一</v>
      </c>
      <c r="G973" s="405" t="str">
        <f t="shared" si="125"/>
        <v>主たる営業所</v>
      </c>
      <c r="H973" s="405" t="str">
        <f t="shared" si="126"/>
        <v>大分市元町６</v>
      </c>
      <c r="L973" s="403" t="s">
        <v>9723</v>
      </c>
      <c r="M973" s="403" t="s">
        <v>9724</v>
      </c>
      <c r="N973" s="403" t="s">
        <v>3212</v>
      </c>
      <c r="O973" s="403" t="s">
        <v>7084</v>
      </c>
      <c r="P973" s="403" t="s">
        <v>3213</v>
      </c>
      <c r="Q973" s="403" t="s">
        <v>9725</v>
      </c>
      <c r="R973" s="403" t="s">
        <v>5555</v>
      </c>
      <c r="S973" s="403" t="s">
        <v>15744</v>
      </c>
      <c r="T973" s="403" t="s">
        <v>15745</v>
      </c>
      <c r="U973" s="403"/>
      <c r="V973" s="403" t="s">
        <v>23024</v>
      </c>
      <c r="W973" s="403" t="s">
        <v>23024</v>
      </c>
      <c r="X973" s="403" t="s">
        <v>23024</v>
      </c>
      <c r="Y973" s="403" t="s">
        <v>23024</v>
      </c>
    </row>
    <row r="974" spans="1:25">
      <c r="A974" s="363">
        <f t="shared" si="127"/>
        <v>973</v>
      </c>
      <c r="B974" s="363" t="str">
        <f t="shared" si="120"/>
        <v>44</v>
      </c>
      <c r="C974" s="405" t="str">
        <f t="shared" si="121"/>
        <v>第009356号</v>
      </c>
      <c r="D974" s="405" t="str">
        <f t="shared" si="122"/>
        <v>（株）豊東石材</v>
      </c>
      <c r="E974" s="405" t="str">
        <f t="shared" si="123"/>
        <v>代表取締役</v>
      </c>
      <c r="F974" s="405" t="str">
        <f t="shared" si="124"/>
        <v>豊東　勲</v>
      </c>
      <c r="G974" s="405" t="str">
        <f t="shared" si="125"/>
        <v>主たる営業所</v>
      </c>
      <c r="H974" s="405" t="str">
        <f t="shared" si="126"/>
        <v>由布市挾間町鬼崎字芝尾２５５９</v>
      </c>
      <c r="L974" s="403" t="s">
        <v>9726</v>
      </c>
      <c r="M974" s="403" t="s">
        <v>9727</v>
      </c>
      <c r="N974" s="403" t="s">
        <v>3214</v>
      </c>
      <c r="O974" s="403" t="s">
        <v>7084</v>
      </c>
      <c r="P974" s="403" t="s">
        <v>3215</v>
      </c>
      <c r="Q974" s="403" t="s">
        <v>9728</v>
      </c>
      <c r="R974" s="403" t="s">
        <v>5556</v>
      </c>
      <c r="S974" s="403" t="s">
        <v>15746</v>
      </c>
      <c r="T974" s="403" t="s">
        <v>15747</v>
      </c>
      <c r="U974" s="403"/>
      <c r="V974" s="403" t="s">
        <v>23024</v>
      </c>
      <c r="W974" s="403" t="s">
        <v>23024</v>
      </c>
      <c r="X974" s="403" t="s">
        <v>23024</v>
      </c>
      <c r="Y974" s="403" t="s">
        <v>23024</v>
      </c>
    </row>
    <row r="975" spans="1:25">
      <c r="A975" s="363">
        <f t="shared" si="127"/>
        <v>974</v>
      </c>
      <c r="B975" s="363" t="str">
        <f t="shared" si="120"/>
        <v>44</v>
      </c>
      <c r="C975" s="405" t="str">
        <f t="shared" si="121"/>
        <v>第009365号</v>
      </c>
      <c r="D975" s="405" t="str">
        <f t="shared" si="122"/>
        <v>（株）清電社</v>
      </c>
      <c r="E975" s="405" t="str">
        <f t="shared" si="123"/>
        <v>代表取締役</v>
      </c>
      <c r="F975" s="405" t="str">
        <f t="shared" si="124"/>
        <v>清水　敏幸</v>
      </c>
      <c r="G975" s="405" t="str">
        <f t="shared" si="125"/>
        <v>主たる営業所</v>
      </c>
      <c r="H975" s="405" t="str">
        <f t="shared" si="126"/>
        <v>大分市向原西１－８－２９</v>
      </c>
      <c r="L975" s="403" t="s">
        <v>9729</v>
      </c>
      <c r="M975" s="403" t="s">
        <v>9730</v>
      </c>
      <c r="N975" s="403" t="s">
        <v>3216</v>
      </c>
      <c r="O975" s="403" t="s">
        <v>7084</v>
      </c>
      <c r="P975" s="403" t="s">
        <v>3217</v>
      </c>
      <c r="Q975" s="403" t="s">
        <v>7309</v>
      </c>
      <c r="R975" s="403" t="s">
        <v>19372</v>
      </c>
      <c r="S975" s="403" t="s">
        <v>15748</v>
      </c>
      <c r="T975" s="403" t="s">
        <v>15749</v>
      </c>
      <c r="U975" s="403"/>
      <c r="V975" s="403" t="s">
        <v>23024</v>
      </c>
      <c r="W975" s="403" t="s">
        <v>23024</v>
      </c>
      <c r="X975" s="403" t="s">
        <v>23024</v>
      </c>
      <c r="Y975" s="403" t="s">
        <v>23024</v>
      </c>
    </row>
    <row r="976" spans="1:25">
      <c r="A976" s="363">
        <f t="shared" si="127"/>
        <v>975</v>
      </c>
      <c r="B976" s="363" t="str">
        <f t="shared" si="120"/>
        <v>44</v>
      </c>
      <c r="C976" s="405" t="str">
        <f t="shared" si="121"/>
        <v>第009373号</v>
      </c>
      <c r="D976" s="405" t="str">
        <f t="shared" si="122"/>
        <v>（有）岩本総合設備</v>
      </c>
      <c r="E976" s="405" t="str">
        <f t="shared" si="123"/>
        <v>代表取締役</v>
      </c>
      <c r="F976" s="405" t="str">
        <f t="shared" si="124"/>
        <v>岩本　卓士</v>
      </c>
      <c r="G976" s="405" t="str">
        <f t="shared" si="125"/>
        <v>主たる営業所</v>
      </c>
      <c r="H976" s="405" t="str">
        <f t="shared" si="126"/>
        <v>大分市乙津町３－１１</v>
      </c>
      <c r="L976" s="403" t="s">
        <v>9731</v>
      </c>
      <c r="M976" s="403" t="s">
        <v>9732</v>
      </c>
      <c r="N976" s="403" t="s">
        <v>3218</v>
      </c>
      <c r="O976" s="403" t="s">
        <v>7084</v>
      </c>
      <c r="P976" s="403" t="s">
        <v>3219</v>
      </c>
      <c r="Q976" s="403" t="s">
        <v>9672</v>
      </c>
      <c r="R976" s="403" t="s">
        <v>19373</v>
      </c>
      <c r="S976" s="403" t="s">
        <v>15750</v>
      </c>
      <c r="T976" s="403" t="s">
        <v>15751</v>
      </c>
      <c r="U976" s="403"/>
      <c r="V976" s="403" t="s">
        <v>23024</v>
      </c>
      <c r="W976" s="403" t="s">
        <v>23024</v>
      </c>
      <c r="X976" s="403" t="s">
        <v>23024</v>
      </c>
      <c r="Y976" s="403" t="s">
        <v>23024</v>
      </c>
    </row>
    <row r="977" spans="1:25">
      <c r="A977" s="363">
        <f t="shared" si="127"/>
        <v>976</v>
      </c>
      <c r="B977" s="363" t="str">
        <f t="shared" si="120"/>
        <v>44</v>
      </c>
      <c r="C977" s="405" t="str">
        <f t="shared" si="121"/>
        <v>第009376号</v>
      </c>
      <c r="D977" s="405" t="str">
        <f t="shared" si="122"/>
        <v>（有）インテリアコスモ</v>
      </c>
      <c r="E977" s="405" t="str">
        <f t="shared" si="123"/>
        <v>代表取締役</v>
      </c>
      <c r="F977" s="405" t="str">
        <f t="shared" si="124"/>
        <v>岡田　洋一</v>
      </c>
      <c r="G977" s="405" t="str">
        <f t="shared" si="125"/>
        <v>主たる営業所</v>
      </c>
      <c r="H977" s="405" t="str">
        <f t="shared" si="126"/>
        <v>大分市原新町１７－２２</v>
      </c>
      <c r="L977" s="403" t="s">
        <v>9733</v>
      </c>
      <c r="M977" s="403" t="s">
        <v>9734</v>
      </c>
      <c r="N977" s="403" t="s">
        <v>3220</v>
      </c>
      <c r="O977" s="403" t="s">
        <v>7084</v>
      </c>
      <c r="P977" s="403" t="s">
        <v>3221</v>
      </c>
      <c r="Q977" s="403" t="s">
        <v>7582</v>
      </c>
      <c r="R977" s="403" t="s">
        <v>19374</v>
      </c>
      <c r="S977" s="403" t="s">
        <v>15752</v>
      </c>
      <c r="T977" s="403" t="s">
        <v>15753</v>
      </c>
      <c r="U977" s="403"/>
      <c r="V977" s="403" t="s">
        <v>23024</v>
      </c>
      <c r="W977" s="403" t="s">
        <v>23024</v>
      </c>
      <c r="X977" s="403" t="s">
        <v>23024</v>
      </c>
      <c r="Y977" s="403" t="s">
        <v>23024</v>
      </c>
    </row>
    <row r="978" spans="1:25">
      <c r="A978" s="363">
        <f t="shared" si="127"/>
        <v>977</v>
      </c>
      <c r="B978" s="363" t="str">
        <f t="shared" si="120"/>
        <v>44</v>
      </c>
      <c r="C978" s="405" t="str">
        <f t="shared" si="121"/>
        <v>第009381号</v>
      </c>
      <c r="D978" s="405" t="str">
        <f t="shared" si="122"/>
        <v>（有）高南電設</v>
      </c>
      <c r="E978" s="405" t="str">
        <f t="shared" si="123"/>
        <v>代表取締役</v>
      </c>
      <c r="F978" s="405" t="str">
        <f t="shared" si="124"/>
        <v>中村　晃</v>
      </c>
      <c r="G978" s="405" t="str">
        <f t="shared" si="125"/>
        <v>主たる営業所</v>
      </c>
      <c r="H978" s="405" t="str">
        <f t="shared" si="126"/>
        <v>大分市大字三佐６４９－１</v>
      </c>
      <c r="L978" s="403" t="s">
        <v>9735</v>
      </c>
      <c r="M978" s="403" t="s">
        <v>9736</v>
      </c>
      <c r="N978" s="403" t="s">
        <v>3222</v>
      </c>
      <c r="O978" s="403" t="s">
        <v>7084</v>
      </c>
      <c r="P978" s="403" t="s">
        <v>3223</v>
      </c>
      <c r="Q978" s="403" t="s">
        <v>7413</v>
      </c>
      <c r="R978" s="403" t="s">
        <v>19375</v>
      </c>
      <c r="S978" s="403" t="s">
        <v>15754</v>
      </c>
      <c r="T978" s="403" t="s">
        <v>15755</v>
      </c>
      <c r="U978" s="403"/>
      <c r="V978" s="403" t="s">
        <v>23024</v>
      </c>
      <c r="W978" s="403" t="s">
        <v>23024</v>
      </c>
      <c r="X978" s="403" t="s">
        <v>23024</v>
      </c>
      <c r="Y978" s="403" t="s">
        <v>23024</v>
      </c>
    </row>
    <row r="979" spans="1:25">
      <c r="A979" s="363">
        <f t="shared" si="127"/>
        <v>978</v>
      </c>
      <c r="B979" s="363" t="str">
        <f t="shared" si="120"/>
        <v>44</v>
      </c>
      <c r="C979" s="405" t="str">
        <f t="shared" si="121"/>
        <v>第009393号</v>
      </c>
      <c r="D979" s="405" t="str">
        <f t="shared" si="122"/>
        <v>（有）システム電建</v>
      </c>
      <c r="E979" s="405" t="str">
        <f t="shared" si="123"/>
        <v>代表取締役</v>
      </c>
      <c r="F979" s="405" t="str">
        <f t="shared" si="124"/>
        <v>安東　富浩</v>
      </c>
      <c r="G979" s="405" t="str">
        <f t="shared" si="125"/>
        <v>主たる営業所</v>
      </c>
      <c r="H979" s="405" t="str">
        <f t="shared" si="126"/>
        <v>大分市東浜２－３－１４</v>
      </c>
      <c r="L979" s="403" t="s">
        <v>9737</v>
      </c>
      <c r="M979" s="403" t="s">
        <v>9738</v>
      </c>
      <c r="N979" s="403" t="s">
        <v>3224</v>
      </c>
      <c r="O979" s="403" t="s">
        <v>7084</v>
      </c>
      <c r="P979" s="403" t="s">
        <v>3225</v>
      </c>
      <c r="Q979" s="403" t="s">
        <v>7461</v>
      </c>
      <c r="R979" s="403" t="s">
        <v>19376</v>
      </c>
      <c r="S979" s="403" t="s">
        <v>15756</v>
      </c>
      <c r="T979" s="403" t="s">
        <v>15757</v>
      </c>
      <c r="U979" s="403"/>
      <c r="V979" s="403" t="s">
        <v>23024</v>
      </c>
      <c r="W979" s="403" t="s">
        <v>23024</v>
      </c>
      <c r="X979" s="403" t="s">
        <v>23024</v>
      </c>
      <c r="Y979" s="403" t="s">
        <v>23024</v>
      </c>
    </row>
    <row r="980" spans="1:25">
      <c r="A980" s="363">
        <f t="shared" si="127"/>
        <v>979</v>
      </c>
      <c r="B980" s="363" t="str">
        <f t="shared" si="120"/>
        <v>44</v>
      </c>
      <c r="C980" s="405" t="str">
        <f t="shared" si="121"/>
        <v>第009395号</v>
      </c>
      <c r="D980" s="405" t="str">
        <f t="shared" si="122"/>
        <v>（株）菱和工業</v>
      </c>
      <c r="E980" s="405" t="str">
        <f t="shared" si="123"/>
        <v>代表取締役</v>
      </c>
      <c r="F980" s="405" t="str">
        <f t="shared" si="124"/>
        <v>佐藤　照美</v>
      </c>
      <c r="G980" s="405" t="str">
        <f t="shared" si="125"/>
        <v>主たる営業所</v>
      </c>
      <c r="H980" s="405" t="str">
        <f t="shared" si="126"/>
        <v>大分市大字羽田１９９－１コミュニティ羽田八番館１０６</v>
      </c>
      <c r="L980" s="403" t="s">
        <v>9739</v>
      </c>
      <c r="M980" s="403" t="s">
        <v>9740</v>
      </c>
      <c r="N980" s="403" t="s">
        <v>3226</v>
      </c>
      <c r="O980" s="403" t="s">
        <v>7084</v>
      </c>
      <c r="P980" s="403" t="s">
        <v>3227</v>
      </c>
      <c r="Q980" s="403" t="s">
        <v>8289</v>
      </c>
      <c r="R980" s="403" t="s">
        <v>19377</v>
      </c>
      <c r="S980" s="403" t="s">
        <v>15758</v>
      </c>
      <c r="T980" s="403" t="s">
        <v>15759</v>
      </c>
      <c r="U980" s="403"/>
      <c r="V980" s="403" t="s">
        <v>23024</v>
      </c>
      <c r="W980" s="403" t="s">
        <v>23024</v>
      </c>
      <c r="X980" s="403" t="s">
        <v>23024</v>
      </c>
      <c r="Y980" s="403" t="s">
        <v>23024</v>
      </c>
    </row>
    <row r="981" spans="1:25">
      <c r="A981" s="363">
        <f t="shared" si="127"/>
        <v>980</v>
      </c>
      <c r="B981" s="363" t="str">
        <f t="shared" si="120"/>
        <v>44</v>
      </c>
      <c r="C981" s="405" t="str">
        <f t="shared" si="121"/>
        <v>第009399号</v>
      </c>
      <c r="D981" s="405" t="str">
        <f t="shared" si="122"/>
        <v>（株）寿開発</v>
      </c>
      <c r="E981" s="405" t="str">
        <f t="shared" si="123"/>
        <v>代表取締役</v>
      </c>
      <c r="F981" s="405" t="str">
        <f t="shared" si="124"/>
        <v>利根　栄市</v>
      </c>
      <c r="G981" s="405" t="str">
        <f t="shared" si="125"/>
        <v>主たる営業所</v>
      </c>
      <c r="H981" s="405" t="str">
        <f t="shared" si="126"/>
        <v>大分市大字片島字米良山１９６３－１</v>
      </c>
      <c r="L981" s="403" t="s">
        <v>9741</v>
      </c>
      <c r="M981" s="403" t="s">
        <v>9742</v>
      </c>
      <c r="N981" s="403" t="s">
        <v>3228</v>
      </c>
      <c r="O981" s="403" t="s">
        <v>7084</v>
      </c>
      <c r="P981" s="403" t="s">
        <v>3229</v>
      </c>
      <c r="Q981" s="403" t="s">
        <v>8687</v>
      </c>
      <c r="R981" s="403" t="s">
        <v>19378</v>
      </c>
      <c r="S981" s="403" t="s">
        <v>15760</v>
      </c>
      <c r="T981" s="403" t="s">
        <v>15761</v>
      </c>
      <c r="U981" s="403"/>
      <c r="V981" s="403" t="s">
        <v>23024</v>
      </c>
      <c r="W981" s="403" t="s">
        <v>23024</v>
      </c>
      <c r="X981" s="403" t="s">
        <v>23024</v>
      </c>
      <c r="Y981" s="403" t="s">
        <v>23024</v>
      </c>
    </row>
    <row r="982" spans="1:25">
      <c r="A982" s="363">
        <f t="shared" si="127"/>
        <v>981</v>
      </c>
      <c r="B982" s="363" t="str">
        <f t="shared" si="120"/>
        <v>44</v>
      </c>
      <c r="C982" s="405" t="str">
        <f t="shared" si="121"/>
        <v>第009400号</v>
      </c>
      <c r="D982" s="405" t="str">
        <f t="shared" si="122"/>
        <v>（有）網中水道</v>
      </c>
      <c r="E982" s="405" t="str">
        <f t="shared" si="123"/>
        <v>代表取締役</v>
      </c>
      <c r="F982" s="405" t="str">
        <f t="shared" si="124"/>
        <v>網中　誠</v>
      </c>
      <c r="G982" s="405" t="str">
        <f t="shared" si="125"/>
        <v>主たる営業所</v>
      </c>
      <c r="H982" s="405" t="str">
        <f t="shared" si="126"/>
        <v>大分市田中町１－１１－６</v>
      </c>
      <c r="L982" s="403" t="s">
        <v>9743</v>
      </c>
      <c r="M982" s="403" t="s">
        <v>9744</v>
      </c>
      <c r="N982" s="403" t="s">
        <v>3230</v>
      </c>
      <c r="O982" s="403" t="s">
        <v>7084</v>
      </c>
      <c r="P982" s="403" t="s">
        <v>3231</v>
      </c>
      <c r="Q982" s="403" t="s">
        <v>9745</v>
      </c>
      <c r="R982" s="403" t="s">
        <v>19379</v>
      </c>
      <c r="S982" s="403" t="s">
        <v>15762</v>
      </c>
      <c r="T982" s="403" t="s">
        <v>15763</v>
      </c>
      <c r="U982" s="403"/>
      <c r="V982" s="403" t="s">
        <v>23024</v>
      </c>
      <c r="W982" s="403" t="s">
        <v>23024</v>
      </c>
      <c r="X982" s="403" t="s">
        <v>23024</v>
      </c>
      <c r="Y982" s="403" t="s">
        <v>23024</v>
      </c>
    </row>
    <row r="983" spans="1:25">
      <c r="A983" s="363">
        <f t="shared" si="127"/>
        <v>982</v>
      </c>
      <c r="B983" s="363" t="str">
        <f t="shared" si="120"/>
        <v>44</v>
      </c>
      <c r="C983" s="405" t="str">
        <f t="shared" si="121"/>
        <v>第009404号</v>
      </c>
      <c r="D983" s="405" t="str">
        <f t="shared" si="122"/>
        <v>（有）坂口産業</v>
      </c>
      <c r="E983" s="405" t="str">
        <f t="shared" si="123"/>
        <v>代表取締役</v>
      </c>
      <c r="F983" s="405" t="str">
        <f t="shared" si="124"/>
        <v>坂口　貴史</v>
      </c>
      <c r="G983" s="405" t="str">
        <f t="shared" si="125"/>
        <v>主たる営業所</v>
      </c>
      <c r="H983" s="405" t="str">
        <f t="shared" si="126"/>
        <v>大分市竹の上９－１</v>
      </c>
      <c r="L983" s="403" t="s">
        <v>9746</v>
      </c>
      <c r="M983" s="403" t="s">
        <v>9747</v>
      </c>
      <c r="N983" s="403" t="s">
        <v>3232</v>
      </c>
      <c r="O983" s="403" t="s">
        <v>7084</v>
      </c>
      <c r="P983" s="403" t="s">
        <v>19380</v>
      </c>
      <c r="Q983" s="403" t="s">
        <v>8839</v>
      </c>
      <c r="R983" s="403" t="s">
        <v>19381</v>
      </c>
      <c r="S983" s="403" t="s">
        <v>15764</v>
      </c>
      <c r="T983" s="403" t="s">
        <v>15765</v>
      </c>
      <c r="U983" s="403"/>
      <c r="V983" s="403" t="s">
        <v>23024</v>
      </c>
      <c r="W983" s="403" t="s">
        <v>23024</v>
      </c>
      <c r="X983" s="403" t="s">
        <v>23024</v>
      </c>
      <c r="Y983" s="403" t="s">
        <v>23024</v>
      </c>
    </row>
    <row r="984" spans="1:25">
      <c r="A984" s="363">
        <f t="shared" si="127"/>
        <v>983</v>
      </c>
      <c r="B984" s="363" t="str">
        <f t="shared" si="120"/>
        <v>44</v>
      </c>
      <c r="C984" s="405" t="str">
        <f t="shared" si="121"/>
        <v>第009418号</v>
      </c>
      <c r="D984" s="405" t="str">
        <f t="shared" si="122"/>
        <v>（有）筒井工務店</v>
      </c>
      <c r="E984" s="405" t="str">
        <f t="shared" si="123"/>
        <v>代表取締役</v>
      </c>
      <c r="F984" s="405" t="str">
        <f t="shared" si="124"/>
        <v>筒井　哲司</v>
      </c>
      <c r="G984" s="405" t="str">
        <f t="shared" si="125"/>
        <v>主たる営業所</v>
      </c>
      <c r="H984" s="405" t="str">
        <f t="shared" si="126"/>
        <v>大分市久原南１－９－８</v>
      </c>
      <c r="L984" s="403" t="s">
        <v>9748</v>
      </c>
      <c r="M984" s="403" t="s">
        <v>9749</v>
      </c>
      <c r="N984" s="403" t="s">
        <v>3234</v>
      </c>
      <c r="O984" s="403" t="s">
        <v>7084</v>
      </c>
      <c r="P984" s="403" t="s">
        <v>3235</v>
      </c>
      <c r="Q984" s="403" t="s">
        <v>9750</v>
      </c>
      <c r="R984" s="403" t="s">
        <v>19382</v>
      </c>
      <c r="S984" s="403" t="s">
        <v>15766</v>
      </c>
      <c r="T984" s="403" t="s">
        <v>15767</v>
      </c>
      <c r="U984" s="403"/>
      <c r="V984" s="403" t="s">
        <v>23024</v>
      </c>
      <c r="W984" s="403" t="s">
        <v>23024</v>
      </c>
      <c r="X984" s="403" t="s">
        <v>23024</v>
      </c>
      <c r="Y984" s="403" t="s">
        <v>23024</v>
      </c>
    </row>
    <row r="985" spans="1:25">
      <c r="A985" s="363">
        <f t="shared" si="127"/>
        <v>984</v>
      </c>
      <c r="B985" s="363" t="str">
        <f t="shared" si="120"/>
        <v>44</v>
      </c>
      <c r="C985" s="405" t="str">
        <f t="shared" si="121"/>
        <v>第009421号</v>
      </c>
      <c r="D985" s="405" t="str">
        <f t="shared" si="122"/>
        <v>平田工業（株）</v>
      </c>
      <c r="E985" s="405" t="str">
        <f t="shared" si="123"/>
        <v>代表取締役</v>
      </c>
      <c r="F985" s="405" t="str">
        <f t="shared" si="124"/>
        <v>平田　聡</v>
      </c>
      <c r="G985" s="405" t="str">
        <f t="shared" si="125"/>
        <v>主たる営業所</v>
      </c>
      <c r="H985" s="405" t="str">
        <f t="shared" si="126"/>
        <v>大分市三川下３－６－２１</v>
      </c>
      <c r="L985" s="403" t="s">
        <v>9751</v>
      </c>
      <c r="M985" s="403" t="s">
        <v>9752</v>
      </c>
      <c r="N985" s="403" t="s">
        <v>3236</v>
      </c>
      <c r="O985" s="403" t="s">
        <v>7084</v>
      </c>
      <c r="P985" s="403" t="s">
        <v>3237</v>
      </c>
      <c r="Q985" s="403" t="s">
        <v>8638</v>
      </c>
      <c r="R985" s="403" t="s">
        <v>19383</v>
      </c>
      <c r="S985" s="403" t="s">
        <v>15768</v>
      </c>
      <c r="T985" s="403" t="s">
        <v>15769</v>
      </c>
      <c r="U985" s="403"/>
      <c r="V985" s="403" t="s">
        <v>23024</v>
      </c>
      <c r="W985" s="403" t="s">
        <v>23024</v>
      </c>
      <c r="X985" s="403" t="s">
        <v>23024</v>
      </c>
      <c r="Y985" s="403" t="s">
        <v>23024</v>
      </c>
    </row>
    <row r="986" spans="1:25">
      <c r="A986" s="363">
        <f t="shared" si="127"/>
        <v>985</v>
      </c>
      <c r="B986" s="363" t="str">
        <f t="shared" si="120"/>
        <v>44</v>
      </c>
      <c r="C986" s="405" t="str">
        <f t="shared" si="121"/>
        <v>第009422号</v>
      </c>
      <c r="D986" s="405" t="str">
        <f t="shared" si="122"/>
        <v>（有）木村設備</v>
      </c>
      <c r="E986" s="405" t="str">
        <f t="shared" si="123"/>
        <v>代表取締役</v>
      </c>
      <c r="F986" s="405" t="str">
        <f t="shared" si="124"/>
        <v>木村　真二</v>
      </c>
      <c r="G986" s="405" t="str">
        <f t="shared" si="125"/>
        <v>主たる営業所</v>
      </c>
      <c r="H986" s="405" t="str">
        <f t="shared" si="126"/>
        <v>玖珠郡九重町大字田野１３７３－１２</v>
      </c>
      <c r="L986" s="403" t="s">
        <v>9753</v>
      </c>
      <c r="M986" s="403" t="s">
        <v>9754</v>
      </c>
      <c r="N986" s="403" t="s">
        <v>3238</v>
      </c>
      <c r="O986" s="403" t="s">
        <v>7084</v>
      </c>
      <c r="P986" s="403" t="s">
        <v>3239</v>
      </c>
      <c r="Q986" s="403" t="s">
        <v>7980</v>
      </c>
      <c r="R986" s="403" t="s">
        <v>19384</v>
      </c>
      <c r="S986" s="403" t="s">
        <v>15770</v>
      </c>
      <c r="T986" s="403" t="s">
        <v>15771</v>
      </c>
      <c r="U986" s="403"/>
      <c r="V986" s="403" t="s">
        <v>23024</v>
      </c>
      <c r="W986" s="403" t="s">
        <v>23024</v>
      </c>
      <c r="X986" s="403" t="s">
        <v>23024</v>
      </c>
      <c r="Y986" s="403" t="s">
        <v>23024</v>
      </c>
    </row>
    <row r="987" spans="1:25">
      <c r="A987" s="363">
        <f t="shared" si="127"/>
        <v>986</v>
      </c>
      <c r="B987" s="363" t="str">
        <f t="shared" si="120"/>
        <v>44</v>
      </c>
      <c r="C987" s="405" t="str">
        <f t="shared" si="121"/>
        <v>第009428号</v>
      </c>
      <c r="D987" s="405" t="str">
        <f t="shared" si="122"/>
        <v>（株）ランドスケープ別大</v>
      </c>
      <c r="E987" s="405" t="str">
        <f t="shared" si="123"/>
        <v>代表取締役</v>
      </c>
      <c r="F987" s="405" t="str">
        <f t="shared" si="124"/>
        <v>小野　尊康</v>
      </c>
      <c r="G987" s="405" t="str">
        <f t="shared" si="125"/>
        <v>主たる営業所</v>
      </c>
      <c r="H987" s="405" t="str">
        <f t="shared" si="126"/>
        <v>大分市高江西１－４３２３－２３</v>
      </c>
      <c r="L987" s="403" t="s">
        <v>9755</v>
      </c>
      <c r="M987" s="403" t="s">
        <v>9756</v>
      </c>
      <c r="N987" s="403" t="s">
        <v>3240</v>
      </c>
      <c r="O987" s="403" t="s">
        <v>7084</v>
      </c>
      <c r="P987" s="403" t="s">
        <v>3241</v>
      </c>
      <c r="Q987" s="403" t="s">
        <v>8854</v>
      </c>
      <c r="R987" s="403" t="s">
        <v>19385</v>
      </c>
      <c r="S987" s="403" t="s">
        <v>15772</v>
      </c>
      <c r="T987" s="403" t="s">
        <v>15773</v>
      </c>
      <c r="U987" s="403"/>
      <c r="V987" s="403" t="s">
        <v>23024</v>
      </c>
      <c r="W987" s="403" t="s">
        <v>23024</v>
      </c>
      <c r="X987" s="403" t="s">
        <v>23024</v>
      </c>
      <c r="Y987" s="403" t="s">
        <v>23024</v>
      </c>
    </row>
    <row r="988" spans="1:25">
      <c r="A988" s="363">
        <f t="shared" si="127"/>
        <v>987</v>
      </c>
      <c r="B988" s="363" t="str">
        <f t="shared" si="120"/>
        <v>44</v>
      </c>
      <c r="C988" s="405" t="str">
        <f t="shared" si="121"/>
        <v>第009430号</v>
      </c>
      <c r="D988" s="405" t="str">
        <f t="shared" si="122"/>
        <v>（株）高千穂工業</v>
      </c>
      <c r="E988" s="405" t="str">
        <f t="shared" si="123"/>
        <v>代表取締役</v>
      </c>
      <c r="F988" s="405" t="str">
        <f t="shared" si="124"/>
        <v>甲斐　洋介</v>
      </c>
      <c r="G988" s="405" t="str">
        <f t="shared" si="125"/>
        <v>主たる営業所</v>
      </c>
      <c r="H988" s="405" t="str">
        <f t="shared" si="126"/>
        <v>大分市大字三佐２１５２－２</v>
      </c>
      <c r="L988" s="403" t="s">
        <v>9757</v>
      </c>
      <c r="M988" s="403" t="s">
        <v>9758</v>
      </c>
      <c r="N988" s="403" t="s">
        <v>3242</v>
      </c>
      <c r="O988" s="403" t="s">
        <v>7084</v>
      </c>
      <c r="P988" s="403" t="s">
        <v>3243</v>
      </c>
      <c r="Q988" s="403" t="s">
        <v>7413</v>
      </c>
      <c r="R988" s="403" t="s">
        <v>19386</v>
      </c>
      <c r="S988" s="403" t="s">
        <v>15774</v>
      </c>
      <c r="T988" s="403" t="s">
        <v>15775</v>
      </c>
      <c r="U988" s="403"/>
      <c r="V988" s="403" t="s">
        <v>23024</v>
      </c>
      <c r="W988" s="403" t="s">
        <v>23024</v>
      </c>
      <c r="X988" s="403" t="s">
        <v>23024</v>
      </c>
      <c r="Y988" s="403" t="s">
        <v>23024</v>
      </c>
    </row>
    <row r="989" spans="1:25">
      <c r="A989" s="363">
        <f t="shared" si="127"/>
        <v>988</v>
      </c>
      <c r="B989" s="363" t="str">
        <f t="shared" si="120"/>
        <v>44</v>
      </c>
      <c r="C989" s="405" t="str">
        <f t="shared" si="121"/>
        <v>第009433号</v>
      </c>
      <c r="D989" s="405" t="str">
        <f t="shared" si="122"/>
        <v>新陽工事（株）</v>
      </c>
      <c r="E989" s="405" t="str">
        <f t="shared" si="123"/>
        <v>代表取締役</v>
      </c>
      <c r="F989" s="405" t="str">
        <f t="shared" si="124"/>
        <v>重住　和彦</v>
      </c>
      <c r="G989" s="405" t="str">
        <f t="shared" si="125"/>
        <v>主たる営業所</v>
      </c>
      <c r="H989" s="405" t="str">
        <f t="shared" si="126"/>
        <v>大分市大字常行４７８－３６</v>
      </c>
      <c r="L989" s="403" t="s">
        <v>9759</v>
      </c>
      <c r="M989" s="403" t="s">
        <v>9760</v>
      </c>
      <c r="N989" s="403" t="s">
        <v>3244</v>
      </c>
      <c r="O989" s="403" t="s">
        <v>7084</v>
      </c>
      <c r="P989" s="403" t="s">
        <v>3245</v>
      </c>
      <c r="Q989" s="403" t="s">
        <v>9500</v>
      </c>
      <c r="R989" s="403" t="s">
        <v>19387</v>
      </c>
      <c r="S989" s="403" t="s">
        <v>15776</v>
      </c>
      <c r="T989" s="403" t="s">
        <v>15777</v>
      </c>
      <c r="U989" s="403"/>
      <c r="V989" s="403" t="s">
        <v>23024</v>
      </c>
      <c r="W989" s="403" t="s">
        <v>23024</v>
      </c>
      <c r="X989" s="403" t="s">
        <v>23024</v>
      </c>
      <c r="Y989" s="403" t="s">
        <v>23024</v>
      </c>
    </row>
    <row r="990" spans="1:25">
      <c r="A990" s="363">
        <f t="shared" si="127"/>
        <v>989</v>
      </c>
      <c r="B990" s="363" t="str">
        <f t="shared" si="120"/>
        <v>44</v>
      </c>
      <c r="C990" s="405" t="str">
        <f t="shared" si="121"/>
        <v>第009503号</v>
      </c>
      <c r="D990" s="405" t="str">
        <f t="shared" si="122"/>
        <v>（株）エースエンジニアリング</v>
      </c>
      <c r="E990" s="405" t="str">
        <f t="shared" si="123"/>
        <v>代表取締役</v>
      </c>
      <c r="F990" s="405" t="str">
        <f t="shared" si="124"/>
        <v>後藤　朋文</v>
      </c>
      <c r="G990" s="405" t="str">
        <f t="shared" si="125"/>
        <v>主たる営業所</v>
      </c>
      <c r="H990" s="405" t="str">
        <f t="shared" si="126"/>
        <v>佐伯市西浜２－８</v>
      </c>
      <c r="L990" s="403" t="s">
        <v>9761</v>
      </c>
      <c r="M990" s="403" t="s">
        <v>9762</v>
      </c>
      <c r="N990" s="403" t="s">
        <v>3246</v>
      </c>
      <c r="O990" s="403" t="s">
        <v>7084</v>
      </c>
      <c r="P990" s="403" t="s">
        <v>3247</v>
      </c>
      <c r="Q990" s="403" t="s">
        <v>8523</v>
      </c>
      <c r="R990" s="403" t="s">
        <v>19388</v>
      </c>
      <c r="S990" s="403" t="s">
        <v>15778</v>
      </c>
      <c r="T990" s="403" t="s">
        <v>15779</v>
      </c>
      <c r="U990" s="403"/>
      <c r="V990" s="403" t="s">
        <v>23024</v>
      </c>
      <c r="W990" s="403" t="s">
        <v>23024</v>
      </c>
      <c r="X990" s="403" t="s">
        <v>23024</v>
      </c>
      <c r="Y990" s="403" t="s">
        <v>23024</v>
      </c>
    </row>
    <row r="991" spans="1:25">
      <c r="A991" s="363">
        <f t="shared" si="127"/>
        <v>990</v>
      </c>
      <c r="B991" s="363" t="str">
        <f t="shared" si="120"/>
        <v>44</v>
      </c>
      <c r="C991" s="405" t="str">
        <f t="shared" si="121"/>
        <v>第009509号</v>
      </c>
      <c r="D991" s="405" t="str">
        <f t="shared" si="122"/>
        <v>大分ボンド建設（有）</v>
      </c>
      <c r="E991" s="405" t="str">
        <f t="shared" si="123"/>
        <v>代表取締役</v>
      </c>
      <c r="F991" s="405" t="str">
        <f t="shared" si="124"/>
        <v>浅野　浩彦</v>
      </c>
      <c r="G991" s="405" t="str">
        <f t="shared" si="125"/>
        <v>主たる営業所</v>
      </c>
      <c r="H991" s="405" t="str">
        <f t="shared" si="126"/>
        <v>佐伯市上岡２３１１－５</v>
      </c>
      <c r="L991" s="403" t="s">
        <v>9763</v>
      </c>
      <c r="M991" s="403" t="s">
        <v>9764</v>
      </c>
      <c r="N991" s="403" t="s">
        <v>3248</v>
      </c>
      <c r="O991" s="403" t="s">
        <v>7084</v>
      </c>
      <c r="P991" s="403" t="s">
        <v>3249</v>
      </c>
      <c r="Q991" s="403" t="s">
        <v>8530</v>
      </c>
      <c r="R991" s="403" t="s">
        <v>19389</v>
      </c>
      <c r="S991" s="403" t="s">
        <v>15780</v>
      </c>
      <c r="T991" s="403" t="s">
        <v>15781</v>
      </c>
      <c r="U991" s="403"/>
      <c r="V991" s="403" t="s">
        <v>23024</v>
      </c>
      <c r="W991" s="403" t="s">
        <v>23024</v>
      </c>
      <c r="X991" s="403" t="s">
        <v>23024</v>
      </c>
      <c r="Y991" s="403" t="s">
        <v>23024</v>
      </c>
    </row>
    <row r="992" spans="1:25">
      <c r="A992" s="363">
        <f t="shared" si="127"/>
        <v>991</v>
      </c>
      <c r="B992" s="363" t="str">
        <f t="shared" si="120"/>
        <v>44</v>
      </c>
      <c r="C992" s="405" t="str">
        <f t="shared" si="121"/>
        <v>第009523号</v>
      </c>
      <c r="D992" s="405" t="str">
        <f t="shared" si="122"/>
        <v>吉正建設（有）</v>
      </c>
      <c r="E992" s="405" t="str">
        <f t="shared" si="123"/>
        <v>代表取締役</v>
      </c>
      <c r="F992" s="405" t="str">
        <f t="shared" si="124"/>
        <v>吉田　正幸</v>
      </c>
      <c r="G992" s="405" t="str">
        <f t="shared" si="125"/>
        <v>主たる営業所</v>
      </c>
      <c r="H992" s="405" t="str">
        <f t="shared" si="126"/>
        <v>佐伯市女島１－１２３６４－１８</v>
      </c>
      <c r="L992" s="403" t="s">
        <v>9765</v>
      </c>
      <c r="M992" s="403" t="s">
        <v>9766</v>
      </c>
      <c r="N992" s="403" t="s">
        <v>3250</v>
      </c>
      <c r="O992" s="403" t="s">
        <v>7084</v>
      </c>
      <c r="P992" s="403" t="s">
        <v>3251</v>
      </c>
      <c r="Q992" s="403" t="s">
        <v>7842</v>
      </c>
      <c r="R992" s="403" t="s">
        <v>19390</v>
      </c>
      <c r="S992" s="403" t="s">
        <v>15782</v>
      </c>
      <c r="T992" s="403" t="s">
        <v>15783</v>
      </c>
      <c r="U992" s="403"/>
      <c r="V992" s="403" t="s">
        <v>23024</v>
      </c>
      <c r="W992" s="403" t="s">
        <v>23024</v>
      </c>
      <c r="X992" s="403" t="s">
        <v>23024</v>
      </c>
      <c r="Y992" s="403" t="s">
        <v>23024</v>
      </c>
    </row>
    <row r="993" spans="1:25">
      <c r="A993" s="363">
        <f t="shared" si="127"/>
        <v>992</v>
      </c>
      <c r="B993" s="363" t="str">
        <f t="shared" si="120"/>
        <v>44</v>
      </c>
      <c r="C993" s="405" t="str">
        <f t="shared" si="121"/>
        <v>第009527号</v>
      </c>
      <c r="D993" s="405" t="str">
        <f t="shared" si="122"/>
        <v>河誠建設（有）</v>
      </c>
      <c r="E993" s="405" t="str">
        <f t="shared" si="123"/>
        <v>代表取締役</v>
      </c>
      <c r="F993" s="405" t="str">
        <f t="shared" si="124"/>
        <v>河野　誠作</v>
      </c>
      <c r="G993" s="405" t="str">
        <f t="shared" si="125"/>
        <v>主たる営業所</v>
      </c>
      <c r="H993" s="405" t="str">
        <f t="shared" si="126"/>
        <v>佐伯市長島町４－２－２</v>
      </c>
      <c r="L993" s="403" t="s">
        <v>9767</v>
      </c>
      <c r="M993" s="403" t="s">
        <v>9768</v>
      </c>
      <c r="N993" s="403" t="s">
        <v>3252</v>
      </c>
      <c r="O993" s="403" t="s">
        <v>7084</v>
      </c>
      <c r="P993" s="403" t="s">
        <v>3253</v>
      </c>
      <c r="Q993" s="403" t="s">
        <v>7839</v>
      </c>
      <c r="R993" s="403" t="s">
        <v>19391</v>
      </c>
      <c r="S993" s="403" t="s">
        <v>15784</v>
      </c>
      <c r="T993" s="403" t="s">
        <v>15785</v>
      </c>
      <c r="U993" s="403"/>
      <c r="V993" s="403" t="s">
        <v>23024</v>
      </c>
      <c r="W993" s="403" t="s">
        <v>23024</v>
      </c>
      <c r="X993" s="403" t="s">
        <v>23024</v>
      </c>
      <c r="Y993" s="403" t="s">
        <v>23024</v>
      </c>
    </row>
    <row r="994" spans="1:25">
      <c r="A994" s="363">
        <f t="shared" si="127"/>
        <v>993</v>
      </c>
      <c r="B994" s="363" t="str">
        <f t="shared" si="120"/>
        <v>44</v>
      </c>
      <c r="C994" s="405" t="str">
        <f t="shared" si="121"/>
        <v>第009532号</v>
      </c>
      <c r="D994" s="405" t="str">
        <f t="shared" si="122"/>
        <v>（有）仁栄工業</v>
      </c>
      <c r="E994" s="405" t="str">
        <f t="shared" si="123"/>
        <v>代表取締役</v>
      </c>
      <c r="F994" s="405" t="str">
        <f t="shared" si="124"/>
        <v>小島　仁生</v>
      </c>
      <c r="G994" s="405" t="str">
        <f t="shared" si="125"/>
        <v>主たる営業所</v>
      </c>
      <c r="H994" s="405" t="str">
        <f t="shared" si="126"/>
        <v>佐伯市蒲江大字丸市尾浦６７３－１</v>
      </c>
      <c r="L994" s="403" t="s">
        <v>9769</v>
      </c>
      <c r="M994" s="403" t="s">
        <v>9770</v>
      </c>
      <c r="N994" s="403" t="s">
        <v>3254</v>
      </c>
      <c r="O994" s="403" t="s">
        <v>7084</v>
      </c>
      <c r="P994" s="403" t="s">
        <v>3255</v>
      </c>
      <c r="Q994" s="403" t="s">
        <v>9771</v>
      </c>
      <c r="R994" s="403" t="s">
        <v>19392</v>
      </c>
      <c r="S994" s="403" t="s">
        <v>15786</v>
      </c>
      <c r="T994" s="403" t="s">
        <v>15787</v>
      </c>
      <c r="U994" s="403"/>
      <c r="V994" s="403" t="s">
        <v>23024</v>
      </c>
      <c r="W994" s="403" t="s">
        <v>23024</v>
      </c>
      <c r="X994" s="403" t="s">
        <v>23024</v>
      </c>
      <c r="Y994" s="403" t="s">
        <v>23024</v>
      </c>
    </row>
    <row r="995" spans="1:25">
      <c r="A995" s="363">
        <f t="shared" si="127"/>
        <v>994</v>
      </c>
      <c r="B995" s="363" t="str">
        <f t="shared" si="120"/>
        <v>44</v>
      </c>
      <c r="C995" s="405" t="str">
        <f t="shared" si="121"/>
        <v>第009538号</v>
      </c>
      <c r="D995" s="405" t="str">
        <f t="shared" si="122"/>
        <v>（株）みたらい組</v>
      </c>
      <c r="E995" s="405" t="str">
        <f t="shared" si="123"/>
        <v>代表取締役</v>
      </c>
      <c r="F995" s="405" t="str">
        <f t="shared" si="124"/>
        <v>御手洗　輝正</v>
      </c>
      <c r="G995" s="405" t="str">
        <f t="shared" si="125"/>
        <v>主たる営業所</v>
      </c>
      <c r="H995" s="405" t="str">
        <f t="shared" si="126"/>
        <v>佐伯市弥生大字大坂本８１３－３</v>
      </c>
      <c r="L995" s="403" t="s">
        <v>9772</v>
      </c>
      <c r="M995" s="403" t="s">
        <v>9773</v>
      </c>
      <c r="N995" s="403" t="s">
        <v>3256</v>
      </c>
      <c r="O995" s="403" t="s">
        <v>7084</v>
      </c>
      <c r="P995" s="403" t="s">
        <v>19393</v>
      </c>
      <c r="Q995" s="403" t="s">
        <v>8542</v>
      </c>
      <c r="R995" s="403" t="s">
        <v>19394</v>
      </c>
      <c r="S995" s="403" t="s">
        <v>15788</v>
      </c>
      <c r="T995" s="403" t="s">
        <v>15789</v>
      </c>
      <c r="U995" s="403"/>
      <c r="V995" s="403" t="s">
        <v>23024</v>
      </c>
      <c r="W995" s="403" t="s">
        <v>23024</v>
      </c>
      <c r="X995" s="403" t="s">
        <v>23024</v>
      </c>
      <c r="Y995" s="403" t="s">
        <v>23024</v>
      </c>
    </row>
    <row r="996" spans="1:25">
      <c r="A996" s="363">
        <f t="shared" si="127"/>
        <v>995</v>
      </c>
      <c r="B996" s="363" t="str">
        <f t="shared" si="120"/>
        <v>44</v>
      </c>
      <c r="C996" s="405" t="str">
        <f t="shared" si="121"/>
        <v>第009542号</v>
      </c>
      <c r="D996" s="405" t="str">
        <f t="shared" si="122"/>
        <v>（有）大鶴建設</v>
      </c>
      <c r="E996" s="405" t="str">
        <f t="shared" si="123"/>
        <v>代表取締役</v>
      </c>
      <c r="F996" s="405" t="str">
        <f t="shared" si="124"/>
        <v>大鶴　信二</v>
      </c>
      <c r="G996" s="405" t="str">
        <f t="shared" si="125"/>
        <v>主たる営業所</v>
      </c>
      <c r="H996" s="405" t="str">
        <f t="shared" si="126"/>
        <v>佐伯市鶴岡町１－８－３４</v>
      </c>
      <c r="L996" s="403" t="s">
        <v>9774</v>
      </c>
      <c r="M996" s="403" t="s">
        <v>9775</v>
      </c>
      <c r="N996" s="403" t="s">
        <v>3257</v>
      </c>
      <c r="O996" s="403" t="s">
        <v>7084</v>
      </c>
      <c r="P996" s="403" t="s">
        <v>3258</v>
      </c>
      <c r="Q996" s="403" t="s">
        <v>7867</v>
      </c>
      <c r="R996" s="403" t="s">
        <v>19395</v>
      </c>
      <c r="S996" s="403" t="s">
        <v>15790</v>
      </c>
      <c r="T996" s="403" t="s">
        <v>15791</v>
      </c>
      <c r="U996" s="403"/>
      <c r="V996" s="403" t="s">
        <v>23024</v>
      </c>
      <c r="W996" s="403" t="s">
        <v>23024</v>
      </c>
      <c r="X996" s="403" t="s">
        <v>23024</v>
      </c>
      <c r="Y996" s="403" t="s">
        <v>23024</v>
      </c>
    </row>
    <row r="997" spans="1:25">
      <c r="A997" s="363">
        <f t="shared" si="127"/>
        <v>996</v>
      </c>
      <c r="B997" s="363" t="str">
        <f t="shared" si="120"/>
        <v>44</v>
      </c>
      <c r="C997" s="405" t="str">
        <f t="shared" si="121"/>
        <v>第009548号</v>
      </c>
      <c r="D997" s="405" t="str">
        <f t="shared" si="122"/>
        <v>丸宗工業（有）</v>
      </c>
      <c r="E997" s="405" t="str">
        <f t="shared" si="123"/>
        <v>代表取締役</v>
      </c>
      <c r="F997" s="405" t="str">
        <f t="shared" si="124"/>
        <v>丸山　稔</v>
      </c>
      <c r="G997" s="405" t="str">
        <f t="shared" si="125"/>
        <v>主たる営業所</v>
      </c>
      <c r="H997" s="405" t="str">
        <f t="shared" si="126"/>
        <v>佐伯市大字稲垣４５５－１</v>
      </c>
      <c r="L997" s="403" t="s">
        <v>9776</v>
      </c>
      <c r="M997" s="403" t="s">
        <v>9777</v>
      </c>
      <c r="N997" s="403" t="s">
        <v>3259</v>
      </c>
      <c r="O997" s="403" t="s">
        <v>7084</v>
      </c>
      <c r="P997" s="403" t="s">
        <v>3260</v>
      </c>
      <c r="Q997" s="403" t="s">
        <v>8473</v>
      </c>
      <c r="R997" s="403" t="s">
        <v>19396</v>
      </c>
      <c r="S997" s="403" t="s">
        <v>15792</v>
      </c>
      <c r="T997" s="403" t="s">
        <v>15792</v>
      </c>
      <c r="U997" s="403"/>
      <c r="V997" s="403" t="s">
        <v>23024</v>
      </c>
      <c r="W997" s="403" t="s">
        <v>23024</v>
      </c>
      <c r="X997" s="403" t="s">
        <v>23024</v>
      </c>
      <c r="Y997" s="403" t="s">
        <v>23024</v>
      </c>
    </row>
    <row r="998" spans="1:25">
      <c r="A998" s="363">
        <f t="shared" si="127"/>
        <v>997</v>
      </c>
      <c r="B998" s="363" t="str">
        <f t="shared" si="120"/>
        <v>44</v>
      </c>
      <c r="C998" s="405" t="str">
        <f t="shared" si="121"/>
        <v>第009558号</v>
      </c>
      <c r="D998" s="405" t="str">
        <f t="shared" si="122"/>
        <v>（有）後藤公建築</v>
      </c>
      <c r="E998" s="405" t="str">
        <f t="shared" si="123"/>
        <v>代表取締役</v>
      </c>
      <c r="F998" s="405" t="str">
        <f t="shared" si="124"/>
        <v>後藤　堅</v>
      </c>
      <c r="G998" s="405" t="str">
        <f t="shared" si="125"/>
        <v>主たる営業所</v>
      </c>
      <c r="H998" s="405" t="str">
        <f t="shared" si="126"/>
        <v>佐伯市大字長良９９８</v>
      </c>
      <c r="L998" s="403" t="s">
        <v>9778</v>
      </c>
      <c r="M998" s="403" t="s">
        <v>9779</v>
      </c>
      <c r="N998" s="403" t="s">
        <v>3261</v>
      </c>
      <c r="O998" s="403" t="s">
        <v>7084</v>
      </c>
      <c r="P998" s="403" t="s">
        <v>3262</v>
      </c>
      <c r="Q998" s="403" t="s">
        <v>8518</v>
      </c>
      <c r="R998" s="403" t="s">
        <v>5557</v>
      </c>
      <c r="S998" s="403" t="s">
        <v>15793</v>
      </c>
      <c r="T998" s="403" t="s">
        <v>15794</v>
      </c>
      <c r="U998" s="403"/>
      <c r="V998" s="403" t="s">
        <v>23024</v>
      </c>
      <c r="W998" s="403" t="s">
        <v>23024</v>
      </c>
      <c r="X998" s="403" t="s">
        <v>23024</v>
      </c>
      <c r="Y998" s="403" t="s">
        <v>23024</v>
      </c>
    </row>
    <row r="999" spans="1:25">
      <c r="A999" s="363">
        <f t="shared" si="127"/>
        <v>998</v>
      </c>
      <c r="B999" s="363" t="str">
        <f t="shared" si="120"/>
        <v>44</v>
      </c>
      <c r="C999" s="405" t="str">
        <f t="shared" si="121"/>
        <v>第009700号</v>
      </c>
      <c r="D999" s="405" t="str">
        <f t="shared" si="122"/>
        <v>（有）北村建設</v>
      </c>
      <c r="E999" s="405" t="str">
        <f t="shared" si="123"/>
        <v>代表取締役</v>
      </c>
      <c r="F999" s="405" t="str">
        <f t="shared" si="124"/>
        <v>北村　昭</v>
      </c>
      <c r="G999" s="405" t="str">
        <f t="shared" si="125"/>
        <v>主たる営業所</v>
      </c>
      <c r="H999" s="405" t="str">
        <f t="shared" si="126"/>
        <v>杵築市大字大内４７０２－１</v>
      </c>
      <c r="L999" s="403" t="s">
        <v>9780</v>
      </c>
      <c r="M999" s="403" t="s">
        <v>9781</v>
      </c>
      <c r="N999" s="403" t="s">
        <v>3263</v>
      </c>
      <c r="O999" s="403" t="s">
        <v>7084</v>
      </c>
      <c r="P999" s="403" t="s">
        <v>3264</v>
      </c>
      <c r="Q999" s="403" t="s">
        <v>7631</v>
      </c>
      <c r="R999" s="403" t="s">
        <v>19397</v>
      </c>
      <c r="S999" s="403" t="s">
        <v>15795</v>
      </c>
      <c r="T999" s="403" t="s">
        <v>15796</v>
      </c>
      <c r="U999" s="403"/>
      <c r="V999" s="403" t="s">
        <v>23024</v>
      </c>
      <c r="W999" s="403" t="s">
        <v>23024</v>
      </c>
      <c r="X999" s="403" t="s">
        <v>23024</v>
      </c>
      <c r="Y999" s="403" t="s">
        <v>23024</v>
      </c>
    </row>
    <row r="1000" spans="1:25">
      <c r="A1000" s="363">
        <f t="shared" si="127"/>
        <v>999</v>
      </c>
      <c r="B1000" s="363" t="str">
        <f t="shared" si="120"/>
        <v>44</v>
      </c>
      <c r="C1000" s="405" t="str">
        <f t="shared" si="121"/>
        <v>第009703号</v>
      </c>
      <c r="D1000" s="405" t="str">
        <f t="shared" si="122"/>
        <v>カンピ建設（有）</v>
      </c>
      <c r="E1000" s="405" t="str">
        <f t="shared" si="123"/>
        <v>代表取締役</v>
      </c>
      <c r="F1000" s="405" t="str">
        <f t="shared" si="124"/>
        <v>有田　鎭雄</v>
      </c>
      <c r="G1000" s="405" t="str">
        <f t="shared" si="125"/>
        <v>主たる営業所</v>
      </c>
      <c r="H1000" s="405" t="str">
        <f t="shared" si="126"/>
        <v>杵築市大字本庄１４１１</v>
      </c>
      <c r="L1000" s="403" t="s">
        <v>9782</v>
      </c>
      <c r="M1000" s="403" t="s">
        <v>9783</v>
      </c>
      <c r="N1000" s="403" t="s">
        <v>3265</v>
      </c>
      <c r="O1000" s="403" t="s">
        <v>7084</v>
      </c>
      <c r="P1000" s="403" t="s">
        <v>3266</v>
      </c>
      <c r="Q1000" s="403" t="s">
        <v>9224</v>
      </c>
      <c r="R1000" s="403" t="s">
        <v>5558</v>
      </c>
      <c r="S1000" s="403" t="s">
        <v>15797</v>
      </c>
      <c r="T1000" s="403" t="s">
        <v>15798</v>
      </c>
      <c r="U1000" s="403"/>
      <c r="V1000" s="403" t="s">
        <v>23024</v>
      </c>
      <c r="W1000" s="403" t="s">
        <v>23024</v>
      </c>
      <c r="X1000" s="403" t="s">
        <v>23024</v>
      </c>
      <c r="Y1000" s="403" t="s">
        <v>23024</v>
      </c>
    </row>
    <row r="1001" spans="1:25">
      <c r="A1001" s="363">
        <f t="shared" si="127"/>
        <v>1000</v>
      </c>
      <c r="B1001" s="363" t="str">
        <f t="shared" si="120"/>
        <v>44</v>
      </c>
      <c r="C1001" s="405" t="str">
        <f t="shared" si="121"/>
        <v>第009706号</v>
      </c>
      <c r="D1001" s="405" t="str">
        <f t="shared" si="122"/>
        <v>（株）ツー・バイ・ツー</v>
      </c>
      <c r="E1001" s="405" t="str">
        <f t="shared" si="123"/>
        <v>代表取締役</v>
      </c>
      <c r="F1001" s="405" t="str">
        <f t="shared" si="124"/>
        <v>河野　章</v>
      </c>
      <c r="G1001" s="405" t="str">
        <f t="shared" si="125"/>
        <v>主たる営業所</v>
      </c>
      <c r="H1001" s="405" t="str">
        <f t="shared" si="126"/>
        <v>別府市堀田町１１－３５</v>
      </c>
      <c r="L1001" s="403" t="s">
        <v>9784</v>
      </c>
      <c r="M1001" s="403" t="s">
        <v>9785</v>
      </c>
      <c r="N1001" s="403" t="s">
        <v>3267</v>
      </c>
      <c r="O1001" s="403" t="s">
        <v>7084</v>
      </c>
      <c r="P1001" s="403" t="s">
        <v>4717</v>
      </c>
      <c r="Q1001" s="403" t="s">
        <v>8352</v>
      </c>
      <c r="R1001" s="403" t="s">
        <v>19398</v>
      </c>
      <c r="S1001" s="403" t="s">
        <v>15799</v>
      </c>
      <c r="T1001" s="403" t="s">
        <v>15800</v>
      </c>
      <c r="U1001" s="403"/>
      <c r="V1001" s="403" t="s">
        <v>23024</v>
      </c>
      <c r="W1001" s="403" t="s">
        <v>23024</v>
      </c>
      <c r="X1001" s="403" t="s">
        <v>23024</v>
      </c>
      <c r="Y1001" s="403" t="s">
        <v>23024</v>
      </c>
    </row>
    <row r="1002" spans="1:25">
      <c r="A1002" s="363">
        <f t="shared" si="127"/>
        <v>1001</v>
      </c>
      <c r="B1002" s="363" t="str">
        <f t="shared" si="120"/>
        <v>44</v>
      </c>
      <c r="C1002" s="405" t="str">
        <f t="shared" si="121"/>
        <v>第009707号</v>
      </c>
      <c r="D1002" s="405" t="str">
        <f t="shared" si="122"/>
        <v>（有）ナカノ建材</v>
      </c>
      <c r="E1002" s="405" t="str">
        <f t="shared" si="123"/>
        <v>代表取締役</v>
      </c>
      <c r="F1002" s="405" t="str">
        <f t="shared" si="124"/>
        <v>大野　政孝</v>
      </c>
      <c r="G1002" s="405" t="str">
        <f t="shared" si="125"/>
        <v>主たる営業所</v>
      </c>
      <c r="H1002" s="405" t="str">
        <f t="shared" si="126"/>
        <v>別府市扇山３－２５－４６</v>
      </c>
      <c r="L1002" s="403" t="s">
        <v>9786</v>
      </c>
      <c r="M1002" s="403" t="s">
        <v>9787</v>
      </c>
      <c r="N1002" s="403" t="s">
        <v>3268</v>
      </c>
      <c r="O1002" s="403" t="s">
        <v>7084</v>
      </c>
      <c r="P1002" s="403" t="s">
        <v>3269</v>
      </c>
      <c r="Q1002" s="403" t="s">
        <v>9203</v>
      </c>
      <c r="R1002" s="403" t="s">
        <v>19399</v>
      </c>
      <c r="S1002" s="403" t="s">
        <v>15801</v>
      </c>
      <c r="T1002" s="403" t="s">
        <v>15801</v>
      </c>
      <c r="U1002" s="403"/>
      <c r="V1002" s="403" t="s">
        <v>23024</v>
      </c>
      <c r="W1002" s="403" t="s">
        <v>23024</v>
      </c>
      <c r="X1002" s="403" t="s">
        <v>23024</v>
      </c>
      <c r="Y1002" s="403" t="s">
        <v>23024</v>
      </c>
    </row>
    <row r="1003" spans="1:25">
      <c r="A1003" s="363">
        <f t="shared" si="127"/>
        <v>1002</v>
      </c>
      <c r="B1003" s="363" t="str">
        <f t="shared" si="120"/>
        <v>44</v>
      </c>
      <c r="C1003" s="405" t="str">
        <f t="shared" si="121"/>
        <v>第009714号</v>
      </c>
      <c r="D1003" s="405" t="str">
        <f t="shared" si="122"/>
        <v>（有）梶原造園</v>
      </c>
      <c r="E1003" s="405" t="str">
        <f t="shared" si="123"/>
        <v>代表取締役</v>
      </c>
      <c r="F1003" s="405" t="str">
        <f t="shared" si="124"/>
        <v>梶原　定子</v>
      </c>
      <c r="G1003" s="405" t="str">
        <f t="shared" si="125"/>
        <v>主たる営業所</v>
      </c>
      <c r="H1003" s="405" t="str">
        <f t="shared" si="126"/>
        <v>別府市大字亀川１０６２－５</v>
      </c>
      <c r="L1003" s="403" t="s">
        <v>9788</v>
      </c>
      <c r="M1003" s="403" t="s">
        <v>9789</v>
      </c>
      <c r="N1003" s="403" t="s">
        <v>3270</v>
      </c>
      <c r="O1003" s="403" t="s">
        <v>7084</v>
      </c>
      <c r="P1003" s="403" t="s">
        <v>3271</v>
      </c>
      <c r="Q1003" s="403" t="s">
        <v>9790</v>
      </c>
      <c r="R1003" s="403" t="s">
        <v>19400</v>
      </c>
      <c r="S1003" s="403" t="s">
        <v>19401</v>
      </c>
      <c r="T1003" s="403" t="s">
        <v>15802</v>
      </c>
      <c r="U1003" s="403"/>
      <c r="V1003" s="403" t="s">
        <v>23024</v>
      </c>
      <c r="W1003" s="403" t="s">
        <v>23024</v>
      </c>
      <c r="X1003" s="403" t="s">
        <v>23024</v>
      </c>
      <c r="Y1003" s="403" t="s">
        <v>23024</v>
      </c>
    </row>
    <row r="1004" spans="1:25">
      <c r="A1004" s="363">
        <f t="shared" si="127"/>
        <v>1003</v>
      </c>
      <c r="B1004" s="363" t="str">
        <f t="shared" si="120"/>
        <v>44</v>
      </c>
      <c r="C1004" s="405" t="str">
        <f t="shared" si="121"/>
        <v>第009716号</v>
      </c>
      <c r="D1004" s="405" t="str">
        <f t="shared" si="122"/>
        <v>（有）フジミ八坂電機</v>
      </c>
      <c r="E1004" s="405" t="str">
        <f t="shared" si="123"/>
        <v>代表取締役</v>
      </c>
      <c r="F1004" s="405" t="str">
        <f t="shared" si="124"/>
        <v>八坂　幸治</v>
      </c>
      <c r="G1004" s="405" t="str">
        <f t="shared" si="125"/>
        <v>主たる営業所</v>
      </c>
      <c r="H1004" s="405" t="str">
        <f t="shared" si="126"/>
        <v>別府市上人仲町４－２２</v>
      </c>
      <c r="L1004" s="403" t="s">
        <v>9791</v>
      </c>
      <c r="M1004" s="403" t="s">
        <v>9792</v>
      </c>
      <c r="N1004" s="403" t="s">
        <v>3272</v>
      </c>
      <c r="O1004" s="403" t="s">
        <v>7084</v>
      </c>
      <c r="P1004" s="403" t="s">
        <v>3273</v>
      </c>
      <c r="Q1004" s="403" t="s">
        <v>9793</v>
      </c>
      <c r="R1004" s="403" t="s">
        <v>19402</v>
      </c>
      <c r="S1004" s="403" t="s">
        <v>15803</v>
      </c>
      <c r="T1004" s="403" t="s">
        <v>15804</v>
      </c>
      <c r="U1004" s="403"/>
      <c r="V1004" s="403" t="s">
        <v>23024</v>
      </c>
      <c r="W1004" s="403" t="s">
        <v>23024</v>
      </c>
      <c r="X1004" s="403" t="s">
        <v>23024</v>
      </c>
      <c r="Y1004" s="403" t="s">
        <v>23024</v>
      </c>
    </row>
    <row r="1005" spans="1:25">
      <c r="A1005" s="363">
        <f t="shared" si="127"/>
        <v>1004</v>
      </c>
      <c r="B1005" s="363" t="str">
        <f t="shared" si="120"/>
        <v>44</v>
      </c>
      <c r="C1005" s="405" t="str">
        <f t="shared" si="121"/>
        <v>第009718号</v>
      </c>
      <c r="D1005" s="405" t="str">
        <f t="shared" si="122"/>
        <v>藤光建設（有）</v>
      </c>
      <c r="E1005" s="405" t="str">
        <f t="shared" si="123"/>
        <v>代表取締役</v>
      </c>
      <c r="F1005" s="405" t="str">
        <f t="shared" si="124"/>
        <v>佐藤　洋二郎</v>
      </c>
      <c r="G1005" s="405" t="str">
        <f t="shared" si="125"/>
        <v>主たる営業所</v>
      </c>
      <c r="H1005" s="405" t="str">
        <f t="shared" si="126"/>
        <v>別府市大字北石垣９３７</v>
      </c>
      <c r="L1005" s="403" t="s">
        <v>9794</v>
      </c>
      <c r="M1005" s="403" t="s">
        <v>9795</v>
      </c>
      <c r="N1005" s="403" t="s">
        <v>3274</v>
      </c>
      <c r="O1005" s="403" t="s">
        <v>7084</v>
      </c>
      <c r="P1005" s="403" t="s">
        <v>3275</v>
      </c>
      <c r="Q1005" s="403" t="s">
        <v>9796</v>
      </c>
      <c r="R1005" s="403" t="s">
        <v>5559</v>
      </c>
      <c r="S1005" s="403" t="s">
        <v>15805</v>
      </c>
      <c r="T1005" s="403" t="s">
        <v>15805</v>
      </c>
      <c r="U1005" s="403"/>
      <c r="V1005" s="403" t="s">
        <v>23024</v>
      </c>
      <c r="W1005" s="403" t="s">
        <v>23024</v>
      </c>
      <c r="X1005" s="403" t="s">
        <v>23024</v>
      </c>
      <c r="Y1005" s="403" t="s">
        <v>23024</v>
      </c>
    </row>
    <row r="1006" spans="1:25">
      <c r="A1006" s="363">
        <f t="shared" si="127"/>
        <v>1005</v>
      </c>
      <c r="B1006" s="363" t="str">
        <f t="shared" si="120"/>
        <v>44</v>
      </c>
      <c r="C1006" s="405" t="str">
        <f t="shared" si="121"/>
        <v>第009720号</v>
      </c>
      <c r="D1006" s="405" t="str">
        <f t="shared" si="122"/>
        <v>（有）大野ボーリング工業</v>
      </c>
      <c r="E1006" s="405" t="str">
        <f t="shared" si="123"/>
        <v>代表取締役</v>
      </c>
      <c r="F1006" s="405" t="str">
        <f t="shared" si="124"/>
        <v>大野　聡</v>
      </c>
      <c r="G1006" s="405" t="str">
        <f t="shared" si="125"/>
        <v>主たる営業所</v>
      </c>
      <c r="H1006" s="405" t="str">
        <f t="shared" si="126"/>
        <v>別府市大字鉄輪１３０７</v>
      </c>
      <c r="L1006" s="403" t="s">
        <v>9797</v>
      </c>
      <c r="M1006" s="403" t="s">
        <v>9798</v>
      </c>
      <c r="N1006" s="403" t="s">
        <v>3276</v>
      </c>
      <c r="O1006" s="403" t="s">
        <v>7084</v>
      </c>
      <c r="P1006" s="403" t="s">
        <v>3277</v>
      </c>
      <c r="Q1006" s="403" t="s">
        <v>9425</v>
      </c>
      <c r="R1006" s="403" t="s">
        <v>5560</v>
      </c>
      <c r="S1006" s="403" t="s">
        <v>15806</v>
      </c>
      <c r="T1006" s="403" t="s">
        <v>15807</v>
      </c>
      <c r="U1006" s="403"/>
      <c r="V1006" s="403" t="s">
        <v>23024</v>
      </c>
      <c r="W1006" s="403" t="s">
        <v>23024</v>
      </c>
      <c r="X1006" s="403" t="s">
        <v>23024</v>
      </c>
      <c r="Y1006" s="403" t="s">
        <v>23024</v>
      </c>
    </row>
    <row r="1007" spans="1:25">
      <c r="A1007" s="363">
        <f t="shared" si="127"/>
        <v>1006</v>
      </c>
      <c r="B1007" s="363" t="str">
        <f t="shared" si="120"/>
        <v>44</v>
      </c>
      <c r="C1007" s="405" t="str">
        <f t="shared" si="121"/>
        <v>第009721号</v>
      </c>
      <c r="D1007" s="405" t="str">
        <f t="shared" si="122"/>
        <v>（株）中村建設</v>
      </c>
      <c r="E1007" s="405" t="str">
        <f t="shared" si="123"/>
        <v>代表取締役</v>
      </c>
      <c r="F1007" s="405" t="str">
        <f t="shared" si="124"/>
        <v>石川　裕也</v>
      </c>
      <c r="G1007" s="405" t="str">
        <f t="shared" si="125"/>
        <v>主たる営業所</v>
      </c>
      <c r="H1007" s="405" t="str">
        <f t="shared" si="126"/>
        <v>別府市天満町２－２４</v>
      </c>
      <c r="L1007" s="403" t="s">
        <v>9799</v>
      </c>
      <c r="M1007" s="403" t="s">
        <v>9800</v>
      </c>
      <c r="N1007" s="403" t="s">
        <v>3278</v>
      </c>
      <c r="O1007" s="403" t="s">
        <v>7084</v>
      </c>
      <c r="P1007" s="403" t="s">
        <v>3279</v>
      </c>
      <c r="Q1007" s="403" t="s">
        <v>8342</v>
      </c>
      <c r="R1007" s="403" t="s">
        <v>19403</v>
      </c>
      <c r="S1007" s="403" t="s">
        <v>15808</v>
      </c>
      <c r="T1007" s="403" t="s">
        <v>15809</v>
      </c>
      <c r="U1007" s="403"/>
      <c r="V1007" s="403" t="s">
        <v>23024</v>
      </c>
      <c r="W1007" s="403" t="s">
        <v>23024</v>
      </c>
      <c r="X1007" s="403" t="s">
        <v>23024</v>
      </c>
      <c r="Y1007" s="403" t="s">
        <v>23024</v>
      </c>
    </row>
    <row r="1008" spans="1:25">
      <c r="A1008" s="363">
        <f t="shared" si="127"/>
        <v>1007</v>
      </c>
      <c r="B1008" s="363" t="str">
        <f t="shared" si="120"/>
        <v>44</v>
      </c>
      <c r="C1008" s="405" t="str">
        <f t="shared" si="121"/>
        <v>第009729号</v>
      </c>
      <c r="D1008" s="405" t="str">
        <f t="shared" si="122"/>
        <v>（有）角野建設</v>
      </c>
      <c r="E1008" s="405" t="str">
        <f t="shared" si="123"/>
        <v>代表取締役</v>
      </c>
      <c r="F1008" s="405" t="str">
        <f t="shared" si="124"/>
        <v>角野　勝久</v>
      </c>
      <c r="G1008" s="405" t="str">
        <f t="shared" si="125"/>
        <v>主たる営業所</v>
      </c>
      <c r="H1008" s="405" t="str">
        <f t="shared" si="126"/>
        <v>速見郡日出町大字川崎４１８</v>
      </c>
      <c r="L1008" s="403" t="s">
        <v>9801</v>
      </c>
      <c r="M1008" s="403" t="s">
        <v>9802</v>
      </c>
      <c r="N1008" s="403" t="s">
        <v>3280</v>
      </c>
      <c r="O1008" s="403" t="s">
        <v>7084</v>
      </c>
      <c r="P1008" s="403" t="s">
        <v>3281</v>
      </c>
      <c r="Q1008" s="403" t="s">
        <v>7590</v>
      </c>
      <c r="R1008" s="403" t="s">
        <v>5561</v>
      </c>
      <c r="S1008" s="403" t="s">
        <v>15810</v>
      </c>
      <c r="T1008" s="403" t="s">
        <v>15811</v>
      </c>
      <c r="U1008" s="403"/>
      <c r="V1008" s="403" t="s">
        <v>23024</v>
      </c>
      <c r="W1008" s="403" t="s">
        <v>23024</v>
      </c>
      <c r="X1008" s="403" t="s">
        <v>23024</v>
      </c>
      <c r="Y1008" s="403" t="s">
        <v>23024</v>
      </c>
    </row>
    <row r="1009" spans="1:25">
      <c r="A1009" s="363">
        <f t="shared" si="127"/>
        <v>1008</v>
      </c>
      <c r="B1009" s="363" t="str">
        <f t="shared" si="120"/>
        <v>44</v>
      </c>
      <c r="C1009" s="405" t="str">
        <f t="shared" si="121"/>
        <v>第009733号</v>
      </c>
      <c r="D1009" s="405" t="str">
        <f t="shared" si="122"/>
        <v>（有）阿部工務店</v>
      </c>
      <c r="E1009" s="405" t="str">
        <f t="shared" si="123"/>
        <v>代表取締役</v>
      </c>
      <c r="F1009" s="405" t="str">
        <f t="shared" si="124"/>
        <v>阿部　峰廣</v>
      </c>
      <c r="G1009" s="405" t="str">
        <f t="shared" si="125"/>
        <v>主たる営業所</v>
      </c>
      <c r="H1009" s="405" t="str">
        <f t="shared" si="126"/>
        <v>別府市幸町３－１０</v>
      </c>
      <c r="L1009" s="404" t="s">
        <v>9803</v>
      </c>
      <c r="M1009" s="404" t="s">
        <v>9389</v>
      </c>
      <c r="N1009" s="404" t="s">
        <v>3282</v>
      </c>
      <c r="O1009" s="404" t="s">
        <v>7084</v>
      </c>
      <c r="P1009" s="404" t="s">
        <v>3283</v>
      </c>
      <c r="Q1009" s="404" t="s">
        <v>9183</v>
      </c>
      <c r="R1009" s="404" t="s">
        <v>19404</v>
      </c>
      <c r="S1009" s="404" t="s">
        <v>15812</v>
      </c>
      <c r="T1009" s="404" t="s">
        <v>15813</v>
      </c>
      <c r="U1009" s="404"/>
      <c r="V1009" s="404" t="s">
        <v>23024</v>
      </c>
      <c r="W1009" s="404" t="s">
        <v>23024</v>
      </c>
      <c r="X1009" s="404" t="s">
        <v>23024</v>
      </c>
      <c r="Y1009" s="404" t="s">
        <v>23024</v>
      </c>
    </row>
    <row r="1010" spans="1:25">
      <c r="A1010" s="363">
        <f t="shared" si="127"/>
        <v>1009</v>
      </c>
      <c r="B1010" s="363" t="str">
        <f t="shared" si="120"/>
        <v>44</v>
      </c>
      <c r="C1010" s="405" t="str">
        <f t="shared" si="121"/>
        <v>第009745号</v>
      </c>
      <c r="D1010" s="405" t="str">
        <f t="shared" si="122"/>
        <v>（有）山香土木</v>
      </c>
      <c r="E1010" s="405" t="str">
        <f t="shared" si="123"/>
        <v>代表取締役</v>
      </c>
      <c r="F1010" s="405" t="str">
        <f t="shared" si="124"/>
        <v>竹林　渡</v>
      </c>
      <c r="G1010" s="405" t="str">
        <f t="shared" si="125"/>
        <v>主たる営業所</v>
      </c>
      <c r="H1010" s="405" t="str">
        <f t="shared" si="126"/>
        <v>杵築市山香町大字広瀬５８２－１</v>
      </c>
      <c r="L1010" s="402" t="s">
        <v>9804</v>
      </c>
      <c r="M1010" s="402" t="s">
        <v>9805</v>
      </c>
      <c r="N1010" s="402" t="s">
        <v>3284</v>
      </c>
      <c r="O1010" s="402" t="s">
        <v>7084</v>
      </c>
      <c r="P1010" s="402" t="s">
        <v>5250</v>
      </c>
      <c r="Q1010" s="402" t="s">
        <v>9374</v>
      </c>
      <c r="R1010" s="402" t="s">
        <v>19405</v>
      </c>
      <c r="S1010" s="402" t="s">
        <v>15814</v>
      </c>
      <c r="T1010" s="402" t="s">
        <v>15815</v>
      </c>
      <c r="U1010" s="402"/>
      <c r="V1010" s="402" t="s">
        <v>23024</v>
      </c>
      <c r="W1010" s="402" t="s">
        <v>23024</v>
      </c>
      <c r="X1010" s="402" t="s">
        <v>23024</v>
      </c>
      <c r="Y1010" s="402" t="s">
        <v>23024</v>
      </c>
    </row>
    <row r="1011" spans="1:25">
      <c r="A1011" s="363">
        <f t="shared" si="127"/>
        <v>1010</v>
      </c>
      <c r="B1011" s="363" t="str">
        <f t="shared" si="120"/>
        <v>44</v>
      </c>
      <c r="C1011" s="405" t="str">
        <f t="shared" si="121"/>
        <v>第009760号</v>
      </c>
      <c r="D1011" s="405" t="str">
        <f t="shared" si="122"/>
        <v>（有）日高商会</v>
      </c>
      <c r="E1011" s="405" t="str">
        <f t="shared" si="123"/>
        <v>代表取締役</v>
      </c>
      <c r="F1011" s="405" t="str">
        <f t="shared" si="124"/>
        <v>日高　正義</v>
      </c>
      <c r="G1011" s="405" t="str">
        <f t="shared" si="125"/>
        <v>主たる営業所</v>
      </c>
      <c r="H1011" s="405" t="str">
        <f t="shared" si="126"/>
        <v>中津市大字一ツ松２１５</v>
      </c>
      <c r="L1011" s="403" t="s">
        <v>9806</v>
      </c>
      <c r="M1011" s="403" t="s">
        <v>9807</v>
      </c>
      <c r="N1011" s="403" t="s">
        <v>3285</v>
      </c>
      <c r="O1011" s="403" t="s">
        <v>7084</v>
      </c>
      <c r="P1011" s="403" t="s">
        <v>3286</v>
      </c>
      <c r="Q1011" s="403" t="s">
        <v>9808</v>
      </c>
      <c r="R1011" s="403" t="s">
        <v>5562</v>
      </c>
      <c r="S1011" s="403" t="s">
        <v>15816</v>
      </c>
      <c r="T1011" s="403" t="s">
        <v>15817</v>
      </c>
      <c r="U1011" s="403"/>
      <c r="V1011" s="403" t="s">
        <v>23024</v>
      </c>
      <c r="W1011" s="403" t="s">
        <v>23024</v>
      </c>
      <c r="X1011" s="403" t="s">
        <v>23024</v>
      </c>
      <c r="Y1011" s="403" t="s">
        <v>23024</v>
      </c>
    </row>
    <row r="1012" spans="1:25">
      <c r="A1012" s="363">
        <f t="shared" si="127"/>
        <v>1011</v>
      </c>
      <c r="B1012" s="363" t="str">
        <f t="shared" si="120"/>
        <v>44</v>
      </c>
      <c r="C1012" s="405" t="str">
        <f t="shared" si="121"/>
        <v>第009761号</v>
      </c>
      <c r="D1012" s="405" t="str">
        <f t="shared" si="122"/>
        <v>（有）三光建設</v>
      </c>
      <c r="E1012" s="405" t="str">
        <f t="shared" si="123"/>
        <v>代表取締役</v>
      </c>
      <c r="F1012" s="405" t="str">
        <f t="shared" si="124"/>
        <v>高瀬　憲明</v>
      </c>
      <c r="G1012" s="405" t="str">
        <f t="shared" si="125"/>
        <v>主たる営業所</v>
      </c>
      <c r="H1012" s="405" t="str">
        <f t="shared" si="126"/>
        <v>日田市大字石井４２０－３</v>
      </c>
      <c r="L1012" s="403" t="s">
        <v>9809</v>
      </c>
      <c r="M1012" s="403" t="s">
        <v>9313</v>
      </c>
      <c r="N1012" s="403" t="s">
        <v>2878</v>
      </c>
      <c r="O1012" s="403" t="s">
        <v>7084</v>
      </c>
      <c r="P1012" s="403" t="s">
        <v>3287</v>
      </c>
      <c r="Q1012" s="403" t="s">
        <v>8573</v>
      </c>
      <c r="R1012" s="403" t="s">
        <v>19406</v>
      </c>
      <c r="S1012" s="403" t="s">
        <v>15818</v>
      </c>
      <c r="T1012" s="403" t="s">
        <v>15818</v>
      </c>
      <c r="U1012" s="403"/>
      <c r="V1012" s="403" t="s">
        <v>23024</v>
      </c>
      <c r="W1012" s="403" t="s">
        <v>23024</v>
      </c>
      <c r="X1012" s="403" t="s">
        <v>23024</v>
      </c>
      <c r="Y1012" s="403" t="s">
        <v>23024</v>
      </c>
    </row>
    <row r="1013" spans="1:25">
      <c r="A1013" s="363">
        <f t="shared" si="127"/>
        <v>1012</v>
      </c>
      <c r="B1013" s="363" t="str">
        <f t="shared" si="120"/>
        <v>44</v>
      </c>
      <c r="C1013" s="405" t="str">
        <f t="shared" si="121"/>
        <v>第009771号</v>
      </c>
      <c r="D1013" s="405" t="str">
        <f t="shared" si="122"/>
        <v>（有）篠原興業</v>
      </c>
      <c r="E1013" s="405" t="str">
        <f t="shared" si="123"/>
        <v>代表取締役</v>
      </c>
      <c r="F1013" s="405" t="str">
        <f t="shared" si="124"/>
        <v>篠原　宏美</v>
      </c>
      <c r="G1013" s="405" t="str">
        <f t="shared" si="125"/>
        <v>主たる営業所</v>
      </c>
      <c r="H1013" s="405" t="str">
        <f t="shared" si="126"/>
        <v>大分市上田町２－２－２５</v>
      </c>
      <c r="L1013" s="403" t="s">
        <v>9810</v>
      </c>
      <c r="M1013" s="403" t="s">
        <v>9811</v>
      </c>
      <c r="N1013" s="403" t="s">
        <v>3288</v>
      </c>
      <c r="O1013" s="403" t="s">
        <v>7084</v>
      </c>
      <c r="P1013" s="403" t="s">
        <v>3289</v>
      </c>
      <c r="Q1013" s="403" t="s">
        <v>7455</v>
      </c>
      <c r="R1013" s="403" t="s">
        <v>19407</v>
      </c>
      <c r="S1013" s="403" t="s">
        <v>15819</v>
      </c>
      <c r="T1013" s="403" t="s">
        <v>15820</v>
      </c>
      <c r="U1013" s="403"/>
      <c r="V1013" s="403" t="s">
        <v>23024</v>
      </c>
      <c r="W1013" s="403" t="s">
        <v>23024</v>
      </c>
      <c r="X1013" s="403" t="s">
        <v>23024</v>
      </c>
      <c r="Y1013" s="403" t="s">
        <v>23024</v>
      </c>
    </row>
    <row r="1014" spans="1:25">
      <c r="A1014" s="363">
        <f t="shared" si="127"/>
        <v>1013</v>
      </c>
      <c r="B1014" s="363" t="str">
        <f t="shared" si="120"/>
        <v>44</v>
      </c>
      <c r="C1014" s="405" t="str">
        <f t="shared" si="121"/>
        <v>第009773号</v>
      </c>
      <c r="D1014" s="405" t="str">
        <f t="shared" si="122"/>
        <v>一真興産（有）</v>
      </c>
      <c r="E1014" s="405" t="str">
        <f t="shared" si="123"/>
        <v>代表取締役</v>
      </c>
      <c r="F1014" s="405" t="str">
        <f t="shared" si="124"/>
        <v>上野　一男</v>
      </c>
      <c r="G1014" s="405" t="str">
        <f t="shared" si="125"/>
        <v>主たる営業所</v>
      </c>
      <c r="H1014" s="405" t="str">
        <f t="shared" si="126"/>
        <v>大分市生石２－２－２２</v>
      </c>
      <c r="L1014" s="403" t="s">
        <v>9812</v>
      </c>
      <c r="M1014" s="403" t="s">
        <v>9813</v>
      </c>
      <c r="N1014" s="403" t="s">
        <v>3290</v>
      </c>
      <c r="O1014" s="403" t="s">
        <v>7084</v>
      </c>
      <c r="P1014" s="403" t="s">
        <v>3291</v>
      </c>
      <c r="Q1014" s="403" t="s">
        <v>8804</v>
      </c>
      <c r="R1014" s="403" t="s">
        <v>19408</v>
      </c>
      <c r="S1014" s="403" t="s">
        <v>15821</v>
      </c>
      <c r="T1014" s="403" t="s">
        <v>15822</v>
      </c>
      <c r="U1014" s="403"/>
      <c r="V1014" s="403" t="s">
        <v>23024</v>
      </c>
      <c r="W1014" s="403" t="s">
        <v>23024</v>
      </c>
      <c r="X1014" s="403" t="s">
        <v>23024</v>
      </c>
      <c r="Y1014" s="403" t="s">
        <v>23024</v>
      </c>
    </row>
    <row r="1015" spans="1:25">
      <c r="A1015" s="363">
        <f t="shared" si="127"/>
        <v>1014</v>
      </c>
      <c r="B1015" s="363" t="str">
        <f t="shared" si="120"/>
        <v>44</v>
      </c>
      <c r="C1015" s="405" t="str">
        <f t="shared" si="121"/>
        <v>第009777号</v>
      </c>
      <c r="D1015" s="405" t="str">
        <f t="shared" si="122"/>
        <v>吉井建設（株）</v>
      </c>
      <c r="E1015" s="405" t="str">
        <f t="shared" si="123"/>
        <v>代表取締役</v>
      </c>
      <c r="F1015" s="405" t="str">
        <f t="shared" si="124"/>
        <v>吉井　和行</v>
      </c>
      <c r="G1015" s="405" t="str">
        <f t="shared" si="125"/>
        <v>主たる営業所</v>
      </c>
      <c r="H1015" s="405" t="str">
        <f t="shared" si="126"/>
        <v>宇佐市大字西大堀７２１－１</v>
      </c>
      <c r="L1015" s="403" t="s">
        <v>9814</v>
      </c>
      <c r="M1015" s="403" t="s">
        <v>9815</v>
      </c>
      <c r="N1015" s="403" t="s">
        <v>3292</v>
      </c>
      <c r="O1015" s="403" t="s">
        <v>7084</v>
      </c>
      <c r="P1015" s="403" t="s">
        <v>3293</v>
      </c>
      <c r="Q1015" s="403" t="s">
        <v>9816</v>
      </c>
      <c r="R1015" s="403" t="s">
        <v>19409</v>
      </c>
      <c r="S1015" s="403" t="s">
        <v>15823</v>
      </c>
      <c r="T1015" s="403" t="s">
        <v>15824</v>
      </c>
      <c r="U1015" s="403"/>
      <c r="V1015" s="403" t="s">
        <v>23024</v>
      </c>
      <c r="W1015" s="403" t="s">
        <v>23024</v>
      </c>
      <c r="X1015" s="403" t="s">
        <v>23024</v>
      </c>
      <c r="Y1015" s="403" t="s">
        <v>23024</v>
      </c>
    </row>
    <row r="1016" spans="1:25">
      <c r="A1016" s="363">
        <f t="shared" si="127"/>
        <v>1015</v>
      </c>
      <c r="B1016" s="363" t="str">
        <f t="shared" si="120"/>
        <v>44</v>
      </c>
      <c r="C1016" s="405" t="str">
        <f t="shared" si="121"/>
        <v>第009778号</v>
      </c>
      <c r="D1016" s="405" t="str">
        <f t="shared" si="122"/>
        <v>（有）岡山工務店</v>
      </c>
      <c r="E1016" s="405" t="str">
        <f t="shared" si="123"/>
        <v>代表取締役</v>
      </c>
      <c r="F1016" s="405" t="str">
        <f t="shared" si="124"/>
        <v>田村　悟</v>
      </c>
      <c r="G1016" s="405" t="str">
        <f t="shared" si="125"/>
        <v>主たる営業所</v>
      </c>
      <c r="H1016" s="405" t="str">
        <f t="shared" si="126"/>
        <v>速見郡日出町大字川崎１８２３－２</v>
      </c>
      <c r="L1016" s="403" t="s">
        <v>9817</v>
      </c>
      <c r="M1016" s="403" t="s">
        <v>9818</v>
      </c>
      <c r="N1016" s="403" t="s">
        <v>3294</v>
      </c>
      <c r="O1016" s="403" t="s">
        <v>7084</v>
      </c>
      <c r="P1016" s="403" t="s">
        <v>3295</v>
      </c>
      <c r="Q1016" s="403" t="s">
        <v>7590</v>
      </c>
      <c r="R1016" s="403" t="s">
        <v>19410</v>
      </c>
      <c r="S1016" s="403" t="s">
        <v>15825</v>
      </c>
      <c r="T1016" s="403" t="s">
        <v>15826</v>
      </c>
      <c r="U1016" s="403"/>
      <c r="V1016" s="403" t="s">
        <v>23024</v>
      </c>
      <c r="W1016" s="403" t="s">
        <v>23024</v>
      </c>
      <c r="X1016" s="403" t="s">
        <v>23024</v>
      </c>
      <c r="Y1016" s="403" t="s">
        <v>23024</v>
      </c>
    </row>
    <row r="1017" spans="1:25">
      <c r="A1017" s="363">
        <f t="shared" si="127"/>
        <v>1016</v>
      </c>
      <c r="B1017" s="363" t="str">
        <f t="shared" si="120"/>
        <v>44</v>
      </c>
      <c r="C1017" s="405" t="str">
        <f t="shared" si="121"/>
        <v>第009790号</v>
      </c>
      <c r="D1017" s="405" t="str">
        <f t="shared" si="122"/>
        <v>（有）渡辺建設</v>
      </c>
      <c r="E1017" s="405" t="str">
        <f t="shared" si="123"/>
        <v>代表取締役</v>
      </c>
      <c r="F1017" s="405" t="str">
        <f t="shared" si="124"/>
        <v>渡邊　英視</v>
      </c>
      <c r="G1017" s="405" t="str">
        <f t="shared" si="125"/>
        <v>主たる営業所</v>
      </c>
      <c r="H1017" s="405" t="str">
        <f t="shared" si="126"/>
        <v>佐伯市大字堅田４１６６</v>
      </c>
      <c r="L1017" s="403" t="s">
        <v>9819</v>
      </c>
      <c r="M1017" s="403" t="s">
        <v>8384</v>
      </c>
      <c r="N1017" s="403" t="s">
        <v>3296</v>
      </c>
      <c r="O1017" s="403" t="s">
        <v>7084</v>
      </c>
      <c r="P1017" s="403" t="s">
        <v>3297</v>
      </c>
      <c r="Q1017" s="403" t="s">
        <v>9820</v>
      </c>
      <c r="R1017" s="403" t="s">
        <v>5563</v>
      </c>
      <c r="S1017" s="403" t="s">
        <v>15827</v>
      </c>
      <c r="T1017" s="403" t="s">
        <v>15828</v>
      </c>
      <c r="U1017" s="403"/>
      <c r="V1017" s="403" t="s">
        <v>23024</v>
      </c>
      <c r="W1017" s="403" t="s">
        <v>23024</v>
      </c>
      <c r="X1017" s="403" t="s">
        <v>23024</v>
      </c>
      <c r="Y1017" s="403" t="s">
        <v>23024</v>
      </c>
    </row>
    <row r="1018" spans="1:25">
      <c r="A1018" s="363">
        <f t="shared" si="127"/>
        <v>1017</v>
      </c>
      <c r="B1018" s="363" t="str">
        <f t="shared" si="120"/>
        <v>44</v>
      </c>
      <c r="C1018" s="405" t="str">
        <f t="shared" si="121"/>
        <v>第009791号</v>
      </c>
      <c r="D1018" s="405" t="str">
        <f t="shared" si="122"/>
        <v>（有）米水津水道</v>
      </c>
      <c r="E1018" s="405" t="str">
        <f t="shared" si="123"/>
        <v>代表取締役</v>
      </c>
      <c r="F1018" s="405" t="str">
        <f t="shared" si="124"/>
        <v>冨松　比佐美</v>
      </c>
      <c r="G1018" s="405" t="str">
        <f t="shared" si="125"/>
        <v>主たる営業所</v>
      </c>
      <c r="H1018" s="405" t="str">
        <f t="shared" si="126"/>
        <v>佐伯市米水津大字色利浦４００</v>
      </c>
      <c r="L1018" s="403" t="s">
        <v>9821</v>
      </c>
      <c r="M1018" s="403" t="s">
        <v>9822</v>
      </c>
      <c r="N1018" s="403" t="s">
        <v>3298</v>
      </c>
      <c r="O1018" s="403" t="s">
        <v>7084</v>
      </c>
      <c r="P1018" s="403" t="s">
        <v>19411</v>
      </c>
      <c r="Q1018" s="403" t="s">
        <v>8460</v>
      </c>
      <c r="R1018" s="403" t="s">
        <v>5564</v>
      </c>
      <c r="S1018" s="403" t="s">
        <v>15829</v>
      </c>
      <c r="T1018" s="403" t="s">
        <v>15830</v>
      </c>
      <c r="U1018" s="403"/>
      <c r="V1018" s="403" t="s">
        <v>23024</v>
      </c>
      <c r="W1018" s="403" t="s">
        <v>23024</v>
      </c>
      <c r="X1018" s="403" t="s">
        <v>23024</v>
      </c>
      <c r="Y1018" s="403" t="s">
        <v>23024</v>
      </c>
    </row>
    <row r="1019" spans="1:25">
      <c r="A1019" s="363">
        <f t="shared" si="127"/>
        <v>1018</v>
      </c>
      <c r="B1019" s="363" t="str">
        <f t="shared" si="120"/>
        <v>44</v>
      </c>
      <c r="C1019" s="405" t="str">
        <f t="shared" si="121"/>
        <v>第009799号</v>
      </c>
      <c r="D1019" s="405" t="str">
        <f t="shared" si="122"/>
        <v>（有）ミタライ工業</v>
      </c>
      <c r="E1019" s="405" t="str">
        <f t="shared" si="123"/>
        <v>代表取締役</v>
      </c>
      <c r="F1019" s="405" t="str">
        <f t="shared" si="124"/>
        <v>御手洗　堅</v>
      </c>
      <c r="G1019" s="405" t="str">
        <f t="shared" si="125"/>
        <v>主たる営業所</v>
      </c>
      <c r="H1019" s="405" t="str">
        <f t="shared" si="126"/>
        <v>佐伯市直川大字仁田原３０８６</v>
      </c>
      <c r="L1019" s="403" t="s">
        <v>9823</v>
      </c>
      <c r="M1019" s="403" t="s">
        <v>9824</v>
      </c>
      <c r="N1019" s="403" t="s">
        <v>3299</v>
      </c>
      <c r="O1019" s="403" t="s">
        <v>7084</v>
      </c>
      <c r="P1019" s="403" t="s">
        <v>3300</v>
      </c>
      <c r="Q1019" s="403" t="s">
        <v>9825</v>
      </c>
      <c r="R1019" s="403" t="s">
        <v>5565</v>
      </c>
      <c r="S1019" s="403" t="s">
        <v>15831</v>
      </c>
      <c r="T1019" s="403" t="s">
        <v>15831</v>
      </c>
      <c r="U1019" s="403"/>
      <c r="V1019" s="403" t="s">
        <v>23024</v>
      </c>
      <c r="W1019" s="403" t="s">
        <v>23024</v>
      </c>
      <c r="X1019" s="403" t="s">
        <v>23024</v>
      </c>
      <c r="Y1019" s="403" t="s">
        <v>23024</v>
      </c>
    </row>
    <row r="1020" spans="1:25">
      <c r="A1020" s="363">
        <f t="shared" si="127"/>
        <v>1019</v>
      </c>
      <c r="B1020" s="363" t="str">
        <f t="shared" si="120"/>
        <v>44</v>
      </c>
      <c r="C1020" s="405" t="str">
        <f t="shared" si="121"/>
        <v>第009808号</v>
      </c>
      <c r="D1020" s="405" t="str">
        <f t="shared" si="122"/>
        <v>高橋建設（有）</v>
      </c>
      <c r="E1020" s="405" t="str">
        <f t="shared" si="123"/>
        <v>代表取締役</v>
      </c>
      <c r="F1020" s="405" t="str">
        <f t="shared" si="124"/>
        <v>高橋　賢二</v>
      </c>
      <c r="G1020" s="405" t="str">
        <f t="shared" si="125"/>
        <v>主たる営業所</v>
      </c>
      <c r="H1020" s="405" t="str">
        <f t="shared" si="126"/>
        <v>佐伯市蒲江大字畑野浦１６７８－１</v>
      </c>
      <c r="L1020" s="403" t="s">
        <v>9826</v>
      </c>
      <c r="M1020" s="403" t="s">
        <v>9827</v>
      </c>
      <c r="N1020" s="403" t="s">
        <v>3301</v>
      </c>
      <c r="O1020" s="403" t="s">
        <v>7084</v>
      </c>
      <c r="P1020" s="403" t="s">
        <v>3302</v>
      </c>
      <c r="Q1020" s="403" t="s">
        <v>8524</v>
      </c>
      <c r="R1020" s="403" t="s">
        <v>19412</v>
      </c>
      <c r="S1020" s="403" t="s">
        <v>15832</v>
      </c>
      <c r="T1020" s="403" t="s">
        <v>15832</v>
      </c>
      <c r="U1020" s="403"/>
      <c r="V1020" s="403" t="s">
        <v>23024</v>
      </c>
      <c r="W1020" s="403" t="s">
        <v>23024</v>
      </c>
      <c r="X1020" s="403" t="s">
        <v>23024</v>
      </c>
      <c r="Y1020" s="403" t="s">
        <v>23024</v>
      </c>
    </row>
    <row r="1021" spans="1:25">
      <c r="A1021" s="363">
        <f t="shared" si="127"/>
        <v>1020</v>
      </c>
      <c r="B1021" s="363" t="str">
        <f t="shared" si="120"/>
        <v>44</v>
      </c>
      <c r="C1021" s="405" t="str">
        <f t="shared" si="121"/>
        <v>第009810号</v>
      </c>
      <c r="D1021" s="405" t="str">
        <f t="shared" si="122"/>
        <v>野津電設工業（株）</v>
      </c>
      <c r="E1021" s="405" t="str">
        <f t="shared" si="123"/>
        <v>代表取締役</v>
      </c>
      <c r="F1021" s="405" t="str">
        <f t="shared" si="124"/>
        <v>後藤　政仁</v>
      </c>
      <c r="G1021" s="405" t="str">
        <f t="shared" si="125"/>
        <v>主たる営業所</v>
      </c>
      <c r="H1021" s="405" t="str">
        <f t="shared" si="126"/>
        <v>臼杵市野津町大字野津市５５５－１</v>
      </c>
      <c r="L1021" s="403" t="s">
        <v>9828</v>
      </c>
      <c r="M1021" s="403" t="s">
        <v>9829</v>
      </c>
      <c r="N1021" s="403" t="s">
        <v>3303</v>
      </c>
      <c r="O1021" s="403" t="s">
        <v>7084</v>
      </c>
      <c r="P1021" s="403" t="s">
        <v>3304</v>
      </c>
      <c r="Q1021" s="403" t="s">
        <v>7893</v>
      </c>
      <c r="R1021" s="403" t="s">
        <v>19413</v>
      </c>
      <c r="S1021" s="403" t="s">
        <v>15833</v>
      </c>
      <c r="T1021" s="403" t="s">
        <v>15834</v>
      </c>
      <c r="U1021" s="403"/>
      <c r="V1021" s="403" t="s">
        <v>23024</v>
      </c>
      <c r="W1021" s="403" t="s">
        <v>23024</v>
      </c>
      <c r="X1021" s="403" t="s">
        <v>23024</v>
      </c>
      <c r="Y1021" s="403" t="s">
        <v>23024</v>
      </c>
    </row>
    <row r="1022" spans="1:25">
      <c r="A1022" s="363">
        <f t="shared" si="127"/>
        <v>1021</v>
      </c>
      <c r="B1022" s="363" t="str">
        <f t="shared" si="120"/>
        <v>44</v>
      </c>
      <c r="C1022" s="405" t="str">
        <f t="shared" si="121"/>
        <v>第009813号</v>
      </c>
      <c r="D1022" s="405" t="str">
        <f t="shared" si="122"/>
        <v>（有）茂田電機</v>
      </c>
      <c r="E1022" s="405" t="str">
        <f t="shared" si="123"/>
        <v>代表取締役</v>
      </c>
      <c r="F1022" s="405" t="str">
        <f t="shared" si="124"/>
        <v>茂田　幸一</v>
      </c>
      <c r="G1022" s="405" t="str">
        <f t="shared" si="125"/>
        <v>主たる営業所</v>
      </c>
      <c r="H1022" s="405" t="str">
        <f t="shared" si="126"/>
        <v>別府市石垣西４－３－３</v>
      </c>
      <c r="L1022" s="403" t="s">
        <v>9830</v>
      </c>
      <c r="M1022" s="403" t="s">
        <v>9831</v>
      </c>
      <c r="N1022" s="403" t="s">
        <v>3305</v>
      </c>
      <c r="O1022" s="403" t="s">
        <v>7084</v>
      </c>
      <c r="P1022" s="403" t="s">
        <v>3306</v>
      </c>
      <c r="Q1022" s="403" t="s">
        <v>8438</v>
      </c>
      <c r="R1022" s="403" t="s">
        <v>19414</v>
      </c>
      <c r="S1022" s="403" t="s">
        <v>15835</v>
      </c>
      <c r="T1022" s="403" t="s">
        <v>15836</v>
      </c>
      <c r="U1022" s="403"/>
      <c r="V1022" s="403" t="s">
        <v>23024</v>
      </c>
      <c r="W1022" s="403" t="s">
        <v>23024</v>
      </c>
      <c r="X1022" s="403" t="s">
        <v>23024</v>
      </c>
      <c r="Y1022" s="403" t="s">
        <v>23024</v>
      </c>
    </row>
    <row r="1023" spans="1:25">
      <c r="A1023" s="363">
        <f t="shared" si="127"/>
        <v>1022</v>
      </c>
      <c r="B1023" s="363" t="str">
        <f t="shared" si="120"/>
        <v>44</v>
      </c>
      <c r="C1023" s="405" t="str">
        <f t="shared" si="121"/>
        <v>第009819号</v>
      </c>
      <c r="D1023" s="405" t="str">
        <f t="shared" si="122"/>
        <v>（有）堀内商会杵築給油所</v>
      </c>
      <c r="E1023" s="405" t="str">
        <f t="shared" si="123"/>
        <v>代表取締役</v>
      </c>
      <c r="F1023" s="405" t="str">
        <f t="shared" si="124"/>
        <v>堀内　威之</v>
      </c>
      <c r="G1023" s="405" t="str">
        <f t="shared" si="125"/>
        <v>主たる営業所</v>
      </c>
      <c r="H1023" s="405" t="str">
        <f t="shared" si="126"/>
        <v>杵築市大字杵築１２９－１３</v>
      </c>
      <c r="L1023" s="403" t="s">
        <v>9832</v>
      </c>
      <c r="M1023" s="403" t="s">
        <v>9833</v>
      </c>
      <c r="N1023" s="403" t="s">
        <v>3307</v>
      </c>
      <c r="O1023" s="403" t="s">
        <v>7084</v>
      </c>
      <c r="P1023" s="403" t="s">
        <v>2569</v>
      </c>
      <c r="Q1023" s="403" t="s">
        <v>7637</v>
      </c>
      <c r="R1023" s="403" t="s">
        <v>19415</v>
      </c>
      <c r="S1023" s="403" t="s">
        <v>15837</v>
      </c>
      <c r="T1023" s="403" t="s">
        <v>15838</v>
      </c>
      <c r="U1023" s="403"/>
      <c r="V1023" s="403" t="s">
        <v>23024</v>
      </c>
      <c r="W1023" s="403" t="s">
        <v>23024</v>
      </c>
      <c r="X1023" s="403" t="s">
        <v>23024</v>
      </c>
      <c r="Y1023" s="403" t="s">
        <v>23024</v>
      </c>
    </row>
    <row r="1024" spans="1:25">
      <c r="A1024" s="363">
        <f t="shared" si="127"/>
        <v>1023</v>
      </c>
      <c r="B1024" s="363" t="str">
        <f t="shared" si="120"/>
        <v>44</v>
      </c>
      <c r="C1024" s="405" t="str">
        <f t="shared" si="121"/>
        <v>第009820号</v>
      </c>
      <c r="D1024" s="405" t="str">
        <f t="shared" si="122"/>
        <v>（有）大家住建</v>
      </c>
      <c r="E1024" s="405" t="str">
        <f t="shared" si="123"/>
        <v>取締役</v>
      </c>
      <c r="F1024" s="405" t="str">
        <f t="shared" si="124"/>
        <v>大家　公弘</v>
      </c>
      <c r="G1024" s="405" t="str">
        <f t="shared" si="125"/>
        <v>主たる営業所</v>
      </c>
      <c r="H1024" s="405" t="str">
        <f t="shared" si="126"/>
        <v>大分市三川下３－５－１</v>
      </c>
      <c r="L1024" s="403" t="s">
        <v>9834</v>
      </c>
      <c r="M1024" s="403" t="s">
        <v>9835</v>
      </c>
      <c r="N1024" s="403" t="s">
        <v>3308</v>
      </c>
      <c r="O1024" s="403" t="s">
        <v>7085</v>
      </c>
      <c r="P1024" s="403" t="s">
        <v>3309</v>
      </c>
      <c r="Q1024" s="403" t="s">
        <v>8638</v>
      </c>
      <c r="R1024" s="403" t="s">
        <v>19416</v>
      </c>
      <c r="S1024" s="403" t="s">
        <v>15839</v>
      </c>
      <c r="T1024" s="403" t="s">
        <v>15840</v>
      </c>
      <c r="U1024" s="403"/>
      <c r="V1024" s="403" t="s">
        <v>23024</v>
      </c>
      <c r="W1024" s="403" t="s">
        <v>23024</v>
      </c>
      <c r="X1024" s="403" t="s">
        <v>23024</v>
      </c>
      <c r="Y1024" s="403" t="s">
        <v>23024</v>
      </c>
    </row>
    <row r="1025" spans="1:25">
      <c r="A1025" s="363">
        <f t="shared" si="127"/>
        <v>1024</v>
      </c>
      <c r="B1025" s="363" t="str">
        <f t="shared" si="120"/>
        <v>44</v>
      </c>
      <c r="C1025" s="405" t="str">
        <f t="shared" si="121"/>
        <v>第009821号</v>
      </c>
      <c r="D1025" s="405" t="str">
        <f t="shared" si="122"/>
        <v>（株）ヘミン</v>
      </c>
      <c r="E1025" s="405" t="str">
        <f t="shared" si="123"/>
        <v>代表取締役</v>
      </c>
      <c r="F1025" s="405" t="str">
        <f t="shared" si="124"/>
        <v>利光　勇一郎</v>
      </c>
      <c r="G1025" s="405" t="str">
        <f t="shared" si="125"/>
        <v>主たる営業所</v>
      </c>
      <c r="H1025" s="405" t="str">
        <f t="shared" si="126"/>
        <v>大分市横田２－１３－１８</v>
      </c>
      <c r="L1025" s="403" t="s">
        <v>9836</v>
      </c>
      <c r="M1025" s="403" t="s">
        <v>9837</v>
      </c>
      <c r="N1025" s="403" t="s">
        <v>3310</v>
      </c>
      <c r="O1025" s="403" t="s">
        <v>7084</v>
      </c>
      <c r="P1025" s="403" t="s">
        <v>3311</v>
      </c>
      <c r="Q1025" s="403" t="s">
        <v>7374</v>
      </c>
      <c r="R1025" s="403" t="s">
        <v>19417</v>
      </c>
      <c r="S1025" s="403" t="s">
        <v>15841</v>
      </c>
      <c r="T1025" s="403" t="s">
        <v>15842</v>
      </c>
      <c r="U1025" s="403"/>
      <c r="V1025" s="403" t="s">
        <v>23024</v>
      </c>
      <c r="W1025" s="403" t="s">
        <v>23024</v>
      </c>
      <c r="X1025" s="403" t="s">
        <v>23024</v>
      </c>
      <c r="Y1025" s="403" t="s">
        <v>23024</v>
      </c>
    </row>
    <row r="1026" spans="1:25">
      <c r="A1026" s="363">
        <f t="shared" si="127"/>
        <v>1025</v>
      </c>
      <c r="B1026" s="363" t="str">
        <f t="shared" ref="B1026:B1089" si="128">LEFT(L1026,2)</f>
        <v>44</v>
      </c>
      <c r="C1026" s="405" t="str">
        <f t="shared" ref="C1026:C1089" si="129">IF(B1026="","","第"&amp;RIGHT(L1026,6)&amp;"号")</f>
        <v>第009825号</v>
      </c>
      <c r="D1026" s="405" t="str">
        <f t="shared" ref="D1026:D1089" si="130">N1026</f>
        <v>（有）佐藤産業</v>
      </c>
      <c r="E1026" s="405" t="str">
        <f t="shared" ref="E1026:E1089" si="131">IF(V1026="　",O1026,"")</f>
        <v>代表取締役</v>
      </c>
      <c r="F1026" s="405" t="str">
        <f t="shared" ref="F1026:F1089" si="132">IF(V1026="　",P1026,W1026)</f>
        <v>佐藤　孝治</v>
      </c>
      <c r="G1026" s="405" t="str">
        <f t="shared" ref="G1026:G1089" si="133">IF(V1026="　","主たる営業所",V1026)</f>
        <v>主たる営業所</v>
      </c>
      <c r="H1026" s="405" t="str">
        <f t="shared" ref="H1026:H1089" si="134">IF(V1026="　",R1026,Y1026)</f>
        <v>日田市大字西有田１１７７－２</v>
      </c>
      <c r="L1026" s="403" t="s">
        <v>9838</v>
      </c>
      <c r="M1026" s="403" t="s">
        <v>9839</v>
      </c>
      <c r="N1026" s="403" t="s">
        <v>3312</v>
      </c>
      <c r="O1026" s="403" t="s">
        <v>7084</v>
      </c>
      <c r="P1026" s="403" t="s">
        <v>3313</v>
      </c>
      <c r="Q1026" s="403" t="s">
        <v>9273</v>
      </c>
      <c r="R1026" s="403" t="s">
        <v>19418</v>
      </c>
      <c r="S1026" s="403" t="s">
        <v>15843</v>
      </c>
      <c r="T1026" s="403" t="s">
        <v>15844</v>
      </c>
      <c r="U1026" s="403"/>
      <c r="V1026" s="403" t="s">
        <v>23024</v>
      </c>
      <c r="W1026" s="403" t="s">
        <v>23024</v>
      </c>
      <c r="X1026" s="403" t="s">
        <v>23024</v>
      </c>
      <c r="Y1026" s="403" t="s">
        <v>23024</v>
      </c>
    </row>
    <row r="1027" spans="1:25">
      <c r="A1027" s="363">
        <f t="shared" ref="A1027:A1090" si="135">IF(B1027="","",A1026+1)</f>
        <v>1026</v>
      </c>
      <c r="B1027" s="363" t="str">
        <f t="shared" si="128"/>
        <v>44</v>
      </c>
      <c r="C1027" s="405" t="str">
        <f t="shared" si="129"/>
        <v>第009842号</v>
      </c>
      <c r="D1027" s="405" t="str">
        <f t="shared" si="130"/>
        <v>（有）高瀬工業</v>
      </c>
      <c r="E1027" s="405" t="str">
        <f t="shared" si="131"/>
        <v>代表取締役</v>
      </c>
      <c r="F1027" s="405" t="str">
        <f t="shared" si="132"/>
        <v>高瀬　哲也</v>
      </c>
      <c r="G1027" s="405" t="str">
        <f t="shared" si="133"/>
        <v>主たる営業所</v>
      </c>
      <c r="H1027" s="405" t="str">
        <f t="shared" si="134"/>
        <v>日田市大字小野４５２－１</v>
      </c>
      <c r="L1027" s="403" t="s">
        <v>9840</v>
      </c>
      <c r="M1027" s="403" t="s">
        <v>9841</v>
      </c>
      <c r="N1027" s="403" t="s">
        <v>3314</v>
      </c>
      <c r="O1027" s="403" t="s">
        <v>7084</v>
      </c>
      <c r="P1027" s="403" t="s">
        <v>3315</v>
      </c>
      <c r="Q1027" s="403" t="s">
        <v>9842</v>
      </c>
      <c r="R1027" s="403" t="s">
        <v>19419</v>
      </c>
      <c r="S1027" s="403" t="s">
        <v>15845</v>
      </c>
      <c r="T1027" s="403" t="s">
        <v>15846</v>
      </c>
      <c r="U1027" s="403"/>
      <c r="V1027" s="403" t="s">
        <v>23024</v>
      </c>
      <c r="W1027" s="403" t="s">
        <v>23024</v>
      </c>
      <c r="X1027" s="403" t="s">
        <v>23024</v>
      </c>
      <c r="Y1027" s="403" t="s">
        <v>23024</v>
      </c>
    </row>
    <row r="1028" spans="1:25">
      <c r="A1028" s="363">
        <f t="shared" si="135"/>
        <v>1027</v>
      </c>
      <c r="B1028" s="363" t="str">
        <f t="shared" si="128"/>
        <v>44</v>
      </c>
      <c r="C1028" s="405" t="str">
        <f t="shared" si="129"/>
        <v>第009853号</v>
      </c>
      <c r="D1028" s="405" t="str">
        <f t="shared" si="130"/>
        <v>（有）渡辺石彫工房</v>
      </c>
      <c r="E1028" s="405" t="str">
        <f t="shared" si="131"/>
        <v>代表取締役</v>
      </c>
      <c r="F1028" s="405" t="str">
        <f t="shared" si="132"/>
        <v>渡辺　隆美</v>
      </c>
      <c r="G1028" s="405" t="str">
        <f t="shared" si="133"/>
        <v>主たる営業所</v>
      </c>
      <c r="H1028" s="405" t="str">
        <f t="shared" si="134"/>
        <v>日田市南元町２７－３１</v>
      </c>
      <c r="L1028" s="403" t="s">
        <v>9843</v>
      </c>
      <c r="M1028" s="403" t="s">
        <v>9844</v>
      </c>
      <c r="N1028" s="403" t="s">
        <v>3316</v>
      </c>
      <c r="O1028" s="403" t="s">
        <v>7084</v>
      </c>
      <c r="P1028" s="403" t="s">
        <v>3317</v>
      </c>
      <c r="Q1028" s="403" t="s">
        <v>9845</v>
      </c>
      <c r="R1028" s="403" t="s">
        <v>19420</v>
      </c>
      <c r="S1028" s="403" t="s">
        <v>15847</v>
      </c>
      <c r="T1028" s="403" t="s">
        <v>15848</v>
      </c>
      <c r="U1028" s="403"/>
      <c r="V1028" s="403" t="s">
        <v>23024</v>
      </c>
      <c r="W1028" s="403" t="s">
        <v>23024</v>
      </c>
      <c r="X1028" s="403" t="s">
        <v>23024</v>
      </c>
      <c r="Y1028" s="403" t="s">
        <v>23024</v>
      </c>
    </row>
    <row r="1029" spans="1:25">
      <c r="A1029" s="363">
        <f t="shared" si="135"/>
        <v>1028</v>
      </c>
      <c r="B1029" s="363" t="str">
        <f t="shared" si="128"/>
        <v>44</v>
      </c>
      <c r="C1029" s="405" t="str">
        <f t="shared" si="129"/>
        <v>第009860号</v>
      </c>
      <c r="D1029" s="405" t="str">
        <f t="shared" si="130"/>
        <v>（有）アクア技研</v>
      </c>
      <c r="E1029" s="405" t="str">
        <f t="shared" si="131"/>
        <v>代表取締役</v>
      </c>
      <c r="F1029" s="405" t="str">
        <f t="shared" si="132"/>
        <v>兒玉　紘宣</v>
      </c>
      <c r="G1029" s="405" t="str">
        <f t="shared" si="133"/>
        <v>主たる営業所</v>
      </c>
      <c r="H1029" s="405" t="str">
        <f t="shared" si="134"/>
        <v>別府市大字内竈１８０－１７３</v>
      </c>
      <c r="L1029" s="403" t="s">
        <v>9846</v>
      </c>
      <c r="M1029" s="403" t="s">
        <v>9847</v>
      </c>
      <c r="N1029" s="403" t="s">
        <v>3318</v>
      </c>
      <c r="O1029" s="403" t="s">
        <v>7084</v>
      </c>
      <c r="P1029" s="403" t="s">
        <v>3319</v>
      </c>
      <c r="Q1029" s="403" t="s">
        <v>9848</v>
      </c>
      <c r="R1029" s="403" t="s">
        <v>19421</v>
      </c>
      <c r="S1029" s="403" t="s">
        <v>15849</v>
      </c>
      <c r="T1029" s="403" t="s">
        <v>15850</v>
      </c>
      <c r="U1029" s="403"/>
      <c r="V1029" s="403" t="s">
        <v>23024</v>
      </c>
      <c r="W1029" s="403" t="s">
        <v>23024</v>
      </c>
      <c r="X1029" s="403" t="s">
        <v>23024</v>
      </c>
      <c r="Y1029" s="403" t="s">
        <v>23024</v>
      </c>
    </row>
    <row r="1030" spans="1:25">
      <c r="A1030" s="363">
        <f t="shared" si="135"/>
        <v>1029</v>
      </c>
      <c r="B1030" s="363" t="str">
        <f t="shared" si="128"/>
        <v>44</v>
      </c>
      <c r="C1030" s="405" t="str">
        <f t="shared" si="129"/>
        <v>第009874号</v>
      </c>
      <c r="D1030" s="405" t="str">
        <f t="shared" si="130"/>
        <v>マルハチ建設（株）</v>
      </c>
      <c r="E1030" s="405" t="str">
        <f t="shared" si="131"/>
        <v>代表取締役</v>
      </c>
      <c r="F1030" s="405" t="str">
        <f t="shared" si="132"/>
        <v>村上　明美</v>
      </c>
      <c r="G1030" s="405" t="str">
        <f t="shared" si="133"/>
        <v>主たる営業所</v>
      </c>
      <c r="H1030" s="405" t="str">
        <f t="shared" si="134"/>
        <v>大分市大字葛木３０３－３</v>
      </c>
      <c r="L1030" s="403" t="s">
        <v>9849</v>
      </c>
      <c r="M1030" s="403" t="s">
        <v>9850</v>
      </c>
      <c r="N1030" s="403" t="s">
        <v>3320</v>
      </c>
      <c r="O1030" s="403" t="s">
        <v>7084</v>
      </c>
      <c r="P1030" s="403" t="s">
        <v>3321</v>
      </c>
      <c r="Q1030" s="403" t="s">
        <v>7954</v>
      </c>
      <c r="R1030" s="403" t="s">
        <v>19422</v>
      </c>
      <c r="S1030" s="403" t="s">
        <v>15851</v>
      </c>
      <c r="T1030" s="403" t="s">
        <v>15852</v>
      </c>
      <c r="U1030" s="403"/>
      <c r="V1030" s="403" t="s">
        <v>23024</v>
      </c>
      <c r="W1030" s="403" t="s">
        <v>23024</v>
      </c>
      <c r="X1030" s="403" t="s">
        <v>23024</v>
      </c>
      <c r="Y1030" s="403" t="s">
        <v>23024</v>
      </c>
    </row>
    <row r="1031" spans="1:25">
      <c r="A1031" s="363">
        <f t="shared" si="135"/>
        <v>1030</v>
      </c>
      <c r="B1031" s="363" t="str">
        <f t="shared" si="128"/>
        <v>44</v>
      </c>
      <c r="C1031" s="405" t="str">
        <f t="shared" si="129"/>
        <v>第009876号</v>
      </c>
      <c r="D1031" s="405" t="str">
        <f t="shared" si="130"/>
        <v>（有）幸野建設</v>
      </c>
      <c r="E1031" s="405" t="str">
        <f t="shared" si="131"/>
        <v>代表取締役</v>
      </c>
      <c r="F1031" s="405" t="str">
        <f t="shared" si="132"/>
        <v>幸野　博文</v>
      </c>
      <c r="G1031" s="405" t="str">
        <f t="shared" si="133"/>
        <v>主たる営業所</v>
      </c>
      <c r="H1031" s="405" t="str">
        <f t="shared" si="134"/>
        <v>国東市安岐町瀬戸田７４４</v>
      </c>
      <c r="L1031" s="403" t="s">
        <v>9851</v>
      </c>
      <c r="M1031" s="403" t="s">
        <v>9852</v>
      </c>
      <c r="N1031" s="403" t="s">
        <v>3322</v>
      </c>
      <c r="O1031" s="403" t="s">
        <v>7084</v>
      </c>
      <c r="P1031" s="403" t="s">
        <v>3323</v>
      </c>
      <c r="Q1031" s="403" t="s">
        <v>8929</v>
      </c>
      <c r="R1031" s="403" t="s">
        <v>5566</v>
      </c>
      <c r="S1031" s="403" t="s">
        <v>15853</v>
      </c>
      <c r="T1031" s="403" t="s">
        <v>15854</v>
      </c>
      <c r="U1031" s="403"/>
      <c r="V1031" s="403" t="s">
        <v>23024</v>
      </c>
      <c r="W1031" s="403" t="s">
        <v>23024</v>
      </c>
      <c r="X1031" s="403" t="s">
        <v>23024</v>
      </c>
      <c r="Y1031" s="403" t="s">
        <v>23024</v>
      </c>
    </row>
    <row r="1032" spans="1:25">
      <c r="A1032" s="363">
        <f t="shared" si="135"/>
        <v>1031</v>
      </c>
      <c r="B1032" s="363" t="str">
        <f t="shared" si="128"/>
        <v>44</v>
      </c>
      <c r="C1032" s="405" t="str">
        <f t="shared" si="129"/>
        <v>第009884号</v>
      </c>
      <c r="D1032" s="405" t="str">
        <f t="shared" si="130"/>
        <v>三信商事（株）</v>
      </c>
      <c r="E1032" s="405" t="str">
        <f t="shared" si="131"/>
        <v>代表取締役</v>
      </c>
      <c r="F1032" s="405" t="str">
        <f t="shared" si="132"/>
        <v>大家　覚</v>
      </c>
      <c r="G1032" s="405" t="str">
        <f t="shared" si="133"/>
        <v>主たる営業所</v>
      </c>
      <c r="H1032" s="405" t="str">
        <f t="shared" si="134"/>
        <v>中津市大字東浜１１２８－２０</v>
      </c>
      <c r="L1032" s="403" t="s">
        <v>9853</v>
      </c>
      <c r="M1032" s="403" t="s">
        <v>9854</v>
      </c>
      <c r="N1032" s="403" t="s">
        <v>3324</v>
      </c>
      <c r="O1032" s="403" t="s">
        <v>7084</v>
      </c>
      <c r="P1032" s="403" t="s">
        <v>3325</v>
      </c>
      <c r="Q1032" s="403" t="s">
        <v>8069</v>
      </c>
      <c r="R1032" s="403" t="s">
        <v>19423</v>
      </c>
      <c r="S1032" s="403" t="s">
        <v>15855</v>
      </c>
      <c r="T1032" s="403" t="s">
        <v>15856</v>
      </c>
      <c r="U1032" s="403"/>
      <c r="V1032" s="403" t="s">
        <v>23024</v>
      </c>
      <c r="W1032" s="403" t="s">
        <v>23024</v>
      </c>
      <c r="X1032" s="403" t="s">
        <v>23024</v>
      </c>
      <c r="Y1032" s="403" t="s">
        <v>23024</v>
      </c>
    </row>
    <row r="1033" spans="1:25">
      <c r="A1033" s="363">
        <f t="shared" si="135"/>
        <v>1032</v>
      </c>
      <c r="B1033" s="363" t="str">
        <f t="shared" si="128"/>
        <v>44</v>
      </c>
      <c r="C1033" s="405" t="str">
        <f t="shared" si="129"/>
        <v>第009894号</v>
      </c>
      <c r="D1033" s="405" t="str">
        <f t="shared" si="130"/>
        <v>（株）三伸道路</v>
      </c>
      <c r="E1033" s="405" t="str">
        <f t="shared" si="131"/>
        <v>代表取締役</v>
      </c>
      <c r="F1033" s="405" t="str">
        <f t="shared" si="132"/>
        <v>山田　清行</v>
      </c>
      <c r="G1033" s="405" t="str">
        <f t="shared" si="133"/>
        <v>主たる営業所</v>
      </c>
      <c r="H1033" s="405" t="str">
        <f t="shared" si="134"/>
        <v>大分市向原西１－７－２２</v>
      </c>
      <c r="L1033" s="403" t="s">
        <v>9855</v>
      </c>
      <c r="M1033" s="403" t="s">
        <v>9856</v>
      </c>
      <c r="N1033" s="403" t="s">
        <v>3326</v>
      </c>
      <c r="O1033" s="403" t="s">
        <v>7084</v>
      </c>
      <c r="P1033" s="403" t="s">
        <v>3327</v>
      </c>
      <c r="Q1033" s="403" t="s">
        <v>7309</v>
      </c>
      <c r="R1033" s="403" t="s">
        <v>19424</v>
      </c>
      <c r="S1033" s="403" t="s">
        <v>15857</v>
      </c>
      <c r="T1033" s="403" t="s">
        <v>15858</v>
      </c>
      <c r="U1033" s="403"/>
      <c r="V1033" s="403" t="s">
        <v>23024</v>
      </c>
      <c r="W1033" s="403" t="s">
        <v>23024</v>
      </c>
      <c r="X1033" s="403" t="s">
        <v>23024</v>
      </c>
      <c r="Y1033" s="403" t="s">
        <v>23024</v>
      </c>
    </row>
    <row r="1034" spans="1:25">
      <c r="A1034" s="363">
        <f t="shared" si="135"/>
        <v>1033</v>
      </c>
      <c r="B1034" s="363" t="str">
        <f t="shared" si="128"/>
        <v>44</v>
      </c>
      <c r="C1034" s="405" t="str">
        <f t="shared" si="129"/>
        <v>第009896号</v>
      </c>
      <c r="D1034" s="405" t="str">
        <f t="shared" si="130"/>
        <v>（有）玉田石材店</v>
      </c>
      <c r="E1034" s="405" t="str">
        <f t="shared" si="131"/>
        <v>取締役</v>
      </c>
      <c r="F1034" s="405" t="str">
        <f t="shared" si="132"/>
        <v>玉田　智久</v>
      </c>
      <c r="G1034" s="405" t="str">
        <f t="shared" si="133"/>
        <v>主たる営業所</v>
      </c>
      <c r="H1034" s="405" t="str">
        <f t="shared" si="134"/>
        <v>大分市西新地１－５－１６</v>
      </c>
      <c r="L1034" s="403" t="s">
        <v>9857</v>
      </c>
      <c r="M1034" s="403" t="s">
        <v>9858</v>
      </c>
      <c r="N1034" s="403" t="s">
        <v>3328</v>
      </c>
      <c r="O1034" s="403" t="s">
        <v>7085</v>
      </c>
      <c r="P1034" s="403" t="s">
        <v>3329</v>
      </c>
      <c r="Q1034" s="403" t="s">
        <v>7339</v>
      </c>
      <c r="R1034" s="403" t="s">
        <v>19425</v>
      </c>
      <c r="S1034" s="403" t="s">
        <v>15859</v>
      </c>
      <c r="T1034" s="403" t="s">
        <v>15860</v>
      </c>
      <c r="U1034" s="403"/>
      <c r="V1034" s="403" t="s">
        <v>23024</v>
      </c>
      <c r="W1034" s="403" t="s">
        <v>23024</v>
      </c>
      <c r="X1034" s="403" t="s">
        <v>23024</v>
      </c>
      <c r="Y1034" s="403" t="s">
        <v>23024</v>
      </c>
    </row>
    <row r="1035" spans="1:25">
      <c r="A1035" s="363">
        <f t="shared" si="135"/>
        <v>1034</v>
      </c>
      <c r="B1035" s="363" t="str">
        <f t="shared" si="128"/>
        <v>44</v>
      </c>
      <c r="C1035" s="405" t="str">
        <f t="shared" si="129"/>
        <v>第009904号</v>
      </c>
      <c r="D1035" s="405" t="str">
        <f t="shared" si="130"/>
        <v>（有）ヒヤカワ興建</v>
      </c>
      <c r="E1035" s="405" t="str">
        <f t="shared" si="131"/>
        <v>代表取締役</v>
      </c>
      <c r="F1035" s="405" t="str">
        <f t="shared" si="132"/>
        <v>冷川　一則</v>
      </c>
      <c r="G1035" s="405" t="str">
        <f t="shared" si="133"/>
        <v>主たる営業所</v>
      </c>
      <c r="H1035" s="405" t="str">
        <f t="shared" si="134"/>
        <v>日田市大字日高２３５９－７</v>
      </c>
      <c r="L1035" s="403" t="s">
        <v>9859</v>
      </c>
      <c r="M1035" s="403" t="s">
        <v>9860</v>
      </c>
      <c r="N1035" s="403" t="s">
        <v>3330</v>
      </c>
      <c r="O1035" s="403" t="s">
        <v>7084</v>
      </c>
      <c r="P1035" s="403" t="s">
        <v>3331</v>
      </c>
      <c r="Q1035" s="403" t="s">
        <v>8578</v>
      </c>
      <c r="R1035" s="403" t="s">
        <v>19426</v>
      </c>
      <c r="S1035" s="403" t="s">
        <v>15861</v>
      </c>
      <c r="T1035" s="403" t="s">
        <v>15862</v>
      </c>
      <c r="U1035" s="403"/>
      <c r="V1035" s="403" t="s">
        <v>23024</v>
      </c>
      <c r="W1035" s="403" t="s">
        <v>23024</v>
      </c>
      <c r="X1035" s="403" t="s">
        <v>23024</v>
      </c>
      <c r="Y1035" s="403" t="s">
        <v>23024</v>
      </c>
    </row>
    <row r="1036" spans="1:25">
      <c r="A1036" s="363">
        <f t="shared" si="135"/>
        <v>1035</v>
      </c>
      <c r="B1036" s="363" t="str">
        <f t="shared" si="128"/>
        <v>44</v>
      </c>
      <c r="C1036" s="405" t="str">
        <f t="shared" si="129"/>
        <v>第009914号</v>
      </c>
      <c r="D1036" s="405" t="str">
        <f t="shared" si="130"/>
        <v>（有）玉井工業</v>
      </c>
      <c r="E1036" s="405" t="str">
        <f t="shared" si="131"/>
        <v>代表取締役</v>
      </c>
      <c r="F1036" s="405" t="str">
        <f t="shared" si="132"/>
        <v>玉井　義一</v>
      </c>
      <c r="G1036" s="405" t="str">
        <f t="shared" si="133"/>
        <v>主たる営業所</v>
      </c>
      <c r="H1036" s="405" t="str">
        <f t="shared" si="134"/>
        <v>臼杵市大字野田１３９１－１３</v>
      </c>
      <c r="L1036" s="403" t="s">
        <v>9861</v>
      </c>
      <c r="M1036" s="403" t="s">
        <v>9862</v>
      </c>
      <c r="N1036" s="403" t="s">
        <v>3332</v>
      </c>
      <c r="O1036" s="403" t="s">
        <v>7084</v>
      </c>
      <c r="P1036" s="403" t="s">
        <v>3333</v>
      </c>
      <c r="Q1036" s="403" t="s">
        <v>7360</v>
      </c>
      <c r="R1036" s="403" t="s">
        <v>19427</v>
      </c>
      <c r="S1036" s="403" t="s">
        <v>15863</v>
      </c>
      <c r="T1036" s="403" t="s">
        <v>15863</v>
      </c>
      <c r="U1036" s="403"/>
      <c r="V1036" s="403" t="s">
        <v>23024</v>
      </c>
      <c r="W1036" s="403" t="s">
        <v>23024</v>
      </c>
      <c r="X1036" s="403" t="s">
        <v>23024</v>
      </c>
      <c r="Y1036" s="403" t="s">
        <v>23024</v>
      </c>
    </row>
    <row r="1037" spans="1:25">
      <c r="A1037" s="363">
        <f t="shared" si="135"/>
        <v>1036</v>
      </c>
      <c r="B1037" s="363" t="str">
        <f t="shared" si="128"/>
        <v>44</v>
      </c>
      <c r="C1037" s="405" t="str">
        <f t="shared" si="129"/>
        <v>第009919号</v>
      </c>
      <c r="D1037" s="405" t="str">
        <f t="shared" si="130"/>
        <v>西日本建設（株）</v>
      </c>
      <c r="E1037" s="405" t="str">
        <f t="shared" si="131"/>
        <v>代表取締役</v>
      </c>
      <c r="F1037" s="405" t="str">
        <f t="shared" si="132"/>
        <v>黒木　華奈江</v>
      </c>
      <c r="G1037" s="405" t="str">
        <f t="shared" si="133"/>
        <v>主たる営業所</v>
      </c>
      <c r="H1037" s="405" t="str">
        <f t="shared" si="134"/>
        <v>大分市三佐４－４－７</v>
      </c>
      <c r="L1037" s="403" t="s">
        <v>9863</v>
      </c>
      <c r="M1037" s="403" t="s">
        <v>9864</v>
      </c>
      <c r="N1037" s="403" t="s">
        <v>3334</v>
      </c>
      <c r="O1037" s="403" t="s">
        <v>7084</v>
      </c>
      <c r="P1037" s="403" t="s">
        <v>5251</v>
      </c>
      <c r="Q1037" s="403" t="s">
        <v>7413</v>
      </c>
      <c r="R1037" s="403" t="s">
        <v>19428</v>
      </c>
      <c r="S1037" s="403" t="s">
        <v>15864</v>
      </c>
      <c r="T1037" s="403" t="s">
        <v>15865</v>
      </c>
      <c r="U1037" s="403"/>
      <c r="V1037" s="403" t="s">
        <v>23024</v>
      </c>
      <c r="W1037" s="403" t="s">
        <v>23024</v>
      </c>
      <c r="X1037" s="403" t="s">
        <v>23024</v>
      </c>
      <c r="Y1037" s="403" t="s">
        <v>23024</v>
      </c>
    </row>
    <row r="1038" spans="1:25">
      <c r="A1038" s="363">
        <f t="shared" si="135"/>
        <v>1037</v>
      </c>
      <c r="B1038" s="363" t="str">
        <f t="shared" si="128"/>
        <v>44</v>
      </c>
      <c r="C1038" s="405" t="str">
        <f t="shared" si="129"/>
        <v>第009921号</v>
      </c>
      <c r="D1038" s="405" t="str">
        <f t="shared" si="130"/>
        <v>（有）古園緑地建設</v>
      </c>
      <c r="E1038" s="405" t="str">
        <f t="shared" si="131"/>
        <v>代表取締役</v>
      </c>
      <c r="F1038" s="405" t="str">
        <f t="shared" si="132"/>
        <v>古園　久</v>
      </c>
      <c r="G1038" s="405" t="str">
        <f t="shared" si="133"/>
        <v>主たる営業所</v>
      </c>
      <c r="H1038" s="405" t="str">
        <f t="shared" si="134"/>
        <v>中津市大字大塚４５１－１２</v>
      </c>
      <c r="L1038" s="403" t="s">
        <v>9865</v>
      </c>
      <c r="M1038" s="403" t="s">
        <v>9866</v>
      </c>
      <c r="N1038" s="403" t="s">
        <v>3335</v>
      </c>
      <c r="O1038" s="403" t="s">
        <v>7084</v>
      </c>
      <c r="P1038" s="403" t="s">
        <v>3336</v>
      </c>
      <c r="Q1038" s="403" t="s">
        <v>8078</v>
      </c>
      <c r="R1038" s="403" t="s">
        <v>19429</v>
      </c>
      <c r="S1038" s="403" t="s">
        <v>15866</v>
      </c>
      <c r="T1038" s="403" t="s">
        <v>15866</v>
      </c>
      <c r="U1038" s="403"/>
      <c r="V1038" s="403" t="s">
        <v>23024</v>
      </c>
      <c r="W1038" s="403" t="s">
        <v>23024</v>
      </c>
      <c r="X1038" s="403" t="s">
        <v>23024</v>
      </c>
      <c r="Y1038" s="403" t="s">
        <v>23024</v>
      </c>
    </row>
    <row r="1039" spans="1:25">
      <c r="A1039" s="363">
        <f t="shared" si="135"/>
        <v>1038</v>
      </c>
      <c r="B1039" s="363" t="str">
        <f t="shared" si="128"/>
        <v>44</v>
      </c>
      <c r="C1039" s="405" t="str">
        <f t="shared" si="129"/>
        <v>第009924号</v>
      </c>
      <c r="D1039" s="405" t="str">
        <f t="shared" si="130"/>
        <v>（有）サンライン</v>
      </c>
      <c r="E1039" s="405" t="str">
        <f t="shared" si="131"/>
        <v>代表取締役</v>
      </c>
      <c r="F1039" s="405" t="str">
        <f t="shared" si="132"/>
        <v>川邉　和恵</v>
      </c>
      <c r="G1039" s="405" t="str">
        <f t="shared" si="133"/>
        <v>主たる営業所</v>
      </c>
      <c r="H1039" s="405" t="str">
        <f t="shared" si="134"/>
        <v>大分市大字久土２２６９－１</v>
      </c>
      <c r="L1039" s="403" t="s">
        <v>9867</v>
      </c>
      <c r="M1039" s="403" t="s">
        <v>9868</v>
      </c>
      <c r="N1039" s="403" t="s">
        <v>3337</v>
      </c>
      <c r="O1039" s="403" t="s">
        <v>7084</v>
      </c>
      <c r="P1039" s="403" t="s">
        <v>19430</v>
      </c>
      <c r="Q1039" s="403" t="s">
        <v>9869</v>
      </c>
      <c r="R1039" s="403" t="s">
        <v>19431</v>
      </c>
      <c r="S1039" s="403" t="s">
        <v>15867</v>
      </c>
      <c r="T1039" s="403" t="s">
        <v>15868</v>
      </c>
      <c r="U1039" s="403"/>
      <c r="V1039" s="403" t="s">
        <v>23024</v>
      </c>
      <c r="W1039" s="403" t="s">
        <v>23024</v>
      </c>
      <c r="X1039" s="403" t="s">
        <v>23024</v>
      </c>
      <c r="Y1039" s="403" t="s">
        <v>23024</v>
      </c>
    </row>
    <row r="1040" spans="1:25">
      <c r="A1040" s="363">
        <f t="shared" si="135"/>
        <v>1039</v>
      </c>
      <c r="B1040" s="363" t="str">
        <f t="shared" si="128"/>
        <v>44</v>
      </c>
      <c r="C1040" s="405" t="str">
        <f t="shared" si="129"/>
        <v>第009926号</v>
      </c>
      <c r="D1040" s="405" t="str">
        <f t="shared" si="130"/>
        <v>（株）ロードサイン</v>
      </c>
      <c r="E1040" s="405" t="str">
        <f t="shared" si="131"/>
        <v>代表取締役</v>
      </c>
      <c r="F1040" s="405" t="str">
        <f t="shared" si="132"/>
        <v>松木　常記</v>
      </c>
      <c r="G1040" s="405" t="str">
        <f t="shared" si="133"/>
        <v>主たる営業所</v>
      </c>
      <c r="H1040" s="405" t="str">
        <f t="shared" si="134"/>
        <v>大分市須賀１－９－４１</v>
      </c>
      <c r="L1040" s="403" t="s">
        <v>9870</v>
      </c>
      <c r="M1040" s="403" t="s">
        <v>9871</v>
      </c>
      <c r="N1040" s="403" t="s">
        <v>3338</v>
      </c>
      <c r="O1040" s="403" t="s">
        <v>7084</v>
      </c>
      <c r="P1040" s="403" t="s">
        <v>3339</v>
      </c>
      <c r="Q1040" s="403" t="s">
        <v>9872</v>
      </c>
      <c r="R1040" s="403" t="s">
        <v>19432</v>
      </c>
      <c r="S1040" s="403" t="s">
        <v>15869</v>
      </c>
      <c r="T1040" s="403" t="s">
        <v>15870</v>
      </c>
      <c r="U1040" s="403"/>
      <c r="V1040" s="403" t="s">
        <v>23024</v>
      </c>
      <c r="W1040" s="403" t="s">
        <v>23024</v>
      </c>
      <c r="X1040" s="403" t="s">
        <v>23024</v>
      </c>
      <c r="Y1040" s="403" t="s">
        <v>23024</v>
      </c>
    </row>
    <row r="1041" spans="1:25">
      <c r="A1041" s="363">
        <f t="shared" si="135"/>
        <v>1040</v>
      </c>
      <c r="B1041" s="363" t="str">
        <f t="shared" si="128"/>
        <v>44</v>
      </c>
      <c r="C1041" s="405" t="str">
        <f t="shared" si="129"/>
        <v>第009933号</v>
      </c>
      <c r="D1041" s="405" t="str">
        <f t="shared" si="130"/>
        <v>（株）アド・サイン</v>
      </c>
      <c r="E1041" s="405" t="str">
        <f t="shared" si="131"/>
        <v>代表取締役</v>
      </c>
      <c r="F1041" s="405" t="str">
        <f t="shared" si="132"/>
        <v>大石　安彦</v>
      </c>
      <c r="G1041" s="405" t="str">
        <f t="shared" si="133"/>
        <v>主たる営業所</v>
      </c>
      <c r="H1041" s="405" t="str">
        <f t="shared" si="134"/>
        <v>大分市大字小野鶴字大手ヶ迫１９１６－１</v>
      </c>
      <c r="L1041" s="403" t="s">
        <v>9873</v>
      </c>
      <c r="M1041" s="403" t="s">
        <v>9874</v>
      </c>
      <c r="N1041" s="403" t="s">
        <v>3340</v>
      </c>
      <c r="O1041" s="403" t="s">
        <v>7084</v>
      </c>
      <c r="P1041" s="403" t="s">
        <v>3341</v>
      </c>
      <c r="Q1041" s="403" t="s">
        <v>8283</v>
      </c>
      <c r="R1041" s="403" t="s">
        <v>19433</v>
      </c>
      <c r="S1041" s="403" t="s">
        <v>15871</v>
      </c>
      <c r="T1041" s="403" t="s">
        <v>15872</v>
      </c>
      <c r="U1041" s="403"/>
      <c r="V1041" s="403" t="s">
        <v>23024</v>
      </c>
      <c r="W1041" s="403" t="s">
        <v>23024</v>
      </c>
      <c r="X1041" s="403" t="s">
        <v>23024</v>
      </c>
      <c r="Y1041" s="403" t="s">
        <v>23024</v>
      </c>
    </row>
    <row r="1042" spans="1:25">
      <c r="A1042" s="363">
        <f t="shared" si="135"/>
        <v>1041</v>
      </c>
      <c r="B1042" s="363" t="str">
        <f t="shared" si="128"/>
        <v>44</v>
      </c>
      <c r="C1042" s="405" t="str">
        <f t="shared" si="129"/>
        <v>第009938号</v>
      </c>
      <c r="D1042" s="405" t="str">
        <f t="shared" si="130"/>
        <v>（株）藤栄建設</v>
      </c>
      <c r="E1042" s="405" t="str">
        <f t="shared" si="131"/>
        <v>代表取締役</v>
      </c>
      <c r="F1042" s="405" t="str">
        <f t="shared" si="132"/>
        <v>藤原　邦広</v>
      </c>
      <c r="G1042" s="405" t="str">
        <f t="shared" si="133"/>
        <v>主たる営業所</v>
      </c>
      <c r="H1042" s="405" t="str">
        <f t="shared" si="134"/>
        <v>日田市天瀬町本城５０５－１</v>
      </c>
      <c r="L1042" s="403" t="s">
        <v>9875</v>
      </c>
      <c r="M1042" s="403" t="s">
        <v>8494</v>
      </c>
      <c r="N1042" s="403" t="s">
        <v>3342</v>
      </c>
      <c r="O1042" s="403" t="s">
        <v>7084</v>
      </c>
      <c r="P1042" s="403" t="s">
        <v>3343</v>
      </c>
      <c r="Q1042" s="403" t="s">
        <v>8586</v>
      </c>
      <c r="R1042" s="403" t="s">
        <v>19434</v>
      </c>
      <c r="S1042" s="403" t="s">
        <v>15873</v>
      </c>
      <c r="T1042" s="403" t="s">
        <v>15874</v>
      </c>
      <c r="U1042" s="403"/>
      <c r="V1042" s="403" t="s">
        <v>23024</v>
      </c>
      <c r="W1042" s="403" t="s">
        <v>23024</v>
      </c>
      <c r="X1042" s="403" t="s">
        <v>23024</v>
      </c>
      <c r="Y1042" s="403" t="s">
        <v>23024</v>
      </c>
    </row>
    <row r="1043" spans="1:25">
      <c r="A1043" s="363">
        <f t="shared" si="135"/>
        <v>1042</v>
      </c>
      <c r="B1043" s="363" t="str">
        <f t="shared" si="128"/>
        <v>44</v>
      </c>
      <c r="C1043" s="405" t="str">
        <f t="shared" si="129"/>
        <v>第009944号</v>
      </c>
      <c r="D1043" s="405" t="str">
        <f t="shared" si="130"/>
        <v>（有）日出クレーン工業</v>
      </c>
      <c r="E1043" s="405" t="str">
        <f t="shared" si="131"/>
        <v>代表取締役</v>
      </c>
      <c r="F1043" s="405" t="str">
        <f t="shared" si="132"/>
        <v>河野　哲章</v>
      </c>
      <c r="G1043" s="405" t="str">
        <f t="shared" si="133"/>
        <v>主たる営業所</v>
      </c>
      <c r="H1043" s="405" t="str">
        <f t="shared" si="134"/>
        <v>速見郡日出町大字大神２７１</v>
      </c>
      <c r="L1043" s="403" t="s">
        <v>9876</v>
      </c>
      <c r="M1043" s="403" t="s">
        <v>9877</v>
      </c>
      <c r="N1043" s="403" t="s">
        <v>3344</v>
      </c>
      <c r="O1043" s="403" t="s">
        <v>7084</v>
      </c>
      <c r="P1043" s="403" t="s">
        <v>3345</v>
      </c>
      <c r="Q1043" s="403" t="s">
        <v>8382</v>
      </c>
      <c r="R1043" s="403" t="s">
        <v>5567</v>
      </c>
      <c r="S1043" s="403" t="s">
        <v>15875</v>
      </c>
      <c r="T1043" s="403" t="s">
        <v>15876</v>
      </c>
      <c r="U1043" s="403"/>
      <c r="V1043" s="403" t="s">
        <v>23024</v>
      </c>
      <c r="W1043" s="403" t="s">
        <v>23024</v>
      </c>
      <c r="X1043" s="403" t="s">
        <v>23024</v>
      </c>
      <c r="Y1043" s="403" t="s">
        <v>23024</v>
      </c>
    </row>
    <row r="1044" spans="1:25">
      <c r="A1044" s="363">
        <f t="shared" si="135"/>
        <v>1043</v>
      </c>
      <c r="B1044" s="363" t="str">
        <f t="shared" si="128"/>
        <v>44</v>
      </c>
      <c r="C1044" s="405" t="str">
        <f t="shared" si="129"/>
        <v>第009950号</v>
      </c>
      <c r="D1044" s="405" t="str">
        <f t="shared" si="130"/>
        <v>（有）大分レジン工業</v>
      </c>
      <c r="E1044" s="405" t="str">
        <f t="shared" si="131"/>
        <v>代表取締役</v>
      </c>
      <c r="F1044" s="405" t="str">
        <f t="shared" si="132"/>
        <v>高橋　己年</v>
      </c>
      <c r="G1044" s="405" t="str">
        <f t="shared" si="133"/>
        <v>主たる営業所</v>
      </c>
      <c r="H1044" s="405" t="str">
        <f t="shared" si="134"/>
        <v>大分市原新町２－１９</v>
      </c>
      <c r="L1044" s="403" t="s">
        <v>9878</v>
      </c>
      <c r="M1044" s="403" t="s">
        <v>9879</v>
      </c>
      <c r="N1044" s="403" t="s">
        <v>3346</v>
      </c>
      <c r="O1044" s="403" t="s">
        <v>7084</v>
      </c>
      <c r="P1044" s="403" t="s">
        <v>5312</v>
      </c>
      <c r="Q1044" s="403" t="s">
        <v>7582</v>
      </c>
      <c r="R1044" s="403" t="s">
        <v>19435</v>
      </c>
      <c r="S1044" s="403" t="s">
        <v>15877</v>
      </c>
      <c r="T1044" s="403" t="s">
        <v>15878</v>
      </c>
      <c r="U1044" s="403"/>
      <c r="V1044" s="403" t="s">
        <v>23024</v>
      </c>
      <c r="W1044" s="403" t="s">
        <v>23024</v>
      </c>
      <c r="X1044" s="403" t="s">
        <v>23024</v>
      </c>
      <c r="Y1044" s="403" t="s">
        <v>23024</v>
      </c>
    </row>
    <row r="1045" spans="1:25">
      <c r="A1045" s="363">
        <f t="shared" si="135"/>
        <v>1044</v>
      </c>
      <c r="B1045" s="363" t="str">
        <f t="shared" si="128"/>
        <v>44</v>
      </c>
      <c r="C1045" s="405" t="str">
        <f t="shared" si="129"/>
        <v>第009951号</v>
      </c>
      <c r="D1045" s="405" t="str">
        <f t="shared" si="130"/>
        <v>（有）九大エンジニア</v>
      </c>
      <c r="E1045" s="405" t="str">
        <f t="shared" si="131"/>
        <v>代表取締役</v>
      </c>
      <c r="F1045" s="405" t="str">
        <f t="shared" si="132"/>
        <v>井　昭吾</v>
      </c>
      <c r="G1045" s="405" t="str">
        <f t="shared" si="133"/>
        <v>主たる営業所</v>
      </c>
      <c r="H1045" s="405" t="str">
        <f t="shared" si="134"/>
        <v>大分市光吉台３－１７－１</v>
      </c>
      <c r="L1045" s="403" t="s">
        <v>9880</v>
      </c>
      <c r="M1045" s="403" t="s">
        <v>9881</v>
      </c>
      <c r="N1045" s="403" t="s">
        <v>3347</v>
      </c>
      <c r="O1045" s="403" t="s">
        <v>7084</v>
      </c>
      <c r="P1045" s="403" t="s">
        <v>3348</v>
      </c>
      <c r="Q1045" s="403" t="s">
        <v>9690</v>
      </c>
      <c r="R1045" s="403" t="s">
        <v>19436</v>
      </c>
      <c r="S1045" s="403" t="s">
        <v>15879</v>
      </c>
      <c r="T1045" s="403" t="s">
        <v>15880</v>
      </c>
      <c r="U1045" s="403"/>
      <c r="V1045" s="403" t="s">
        <v>23024</v>
      </c>
      <c r="W1045" s="403" t="s">
        <v>23024</v>
      </c>
      <c r="X1045" s="403" t="s">
        <v>23024</v>
      </c>
      <c r="Y1045" s="403" t="s">
        <v>23024</v>
      </c>
    </row>
    <row r="1046" spans="1:25">
      <c r="A1046" s="363">
        <f t="shared" si="135"/>
        <v>1045</v>
      </c>
      <c r="B1046" s="363" t="str">
        <f t="shared" si="128"/>
        <v>44</v>
      </c>
      <c r="C1046" s="405" t="str">
        <f t="shared" si="129"/>
        <v>第009955号</v>
      </c>
      <c r="D1046" s="405" t="str">
        <f t="shared" si="130"/>
        <v>（有）フジセツ</v>
      </c>
      <c r="E1046" s="405" t="str">
        <f t="shared" si="131"/>
        <v>代表取締役</v>
      </c>
      <c r="F1046" s="405" t="str">
        <f t="shared" si="132"/>
        <v>佐藤　真司</v>
      </c>
      <c r="G1046" s="405" t="str">
        <f t="shared" si="133"/>
        <v>主たる営業所</v>
      </c>
      <c r="H1046" s="405" t="str">
        <f t="shared" si="134"/>
        <v>大分市西新地２－１－４６</v>
      </c>
      <c r="L1046" s="403" t="s">
        <v>9882</v>
      </c>
      <c r="M1046" s="403" t="s">
        <v>9883</v>
      </c>
      <c r="N1046" s="403" t="s">
        <v>3349</v>
      </c>
      <c r="O1046" s="403" t="s">
        <v>7084</v>
      </c>
      <c r="P1046" s="403" t="s">
        <v>3350</v>
      </c>
      <c r="Q1046" s="403" t="s">
        <v>7339</v>
      </c>
      <c r="R1046" s="403" t="s">
        <v>19437</v>
      </c>
      <c r="S1046" s="403" t="s">
        <v>15881</v>
      </c>
      <c r="T1046" s="403" t="s">
        <v>15882</v>
      </c>
      <c r="U1046" s="403"/>
      <c r="V1046" s="403" t="s">
        <v>23024</v>
      </c>
      <c r="W1046" s="403" t="s">
        <v>23024</v>
      </c>
      <c r="X1046" s="403" t="s">
        <v>23024</v>
      </c>
      <c r="Y1046" s="403" t="s">
        <v>23024</v>
      </c>
    </row>
    <row r="1047" spans="1:25">
      <c r="A1047" s="363">
        <f t="shared" si="135"/>
        <v>1046</v>
      </c>
      <c r="B1047" s="363" t="str">
        <f t="shared" si="128"/>
        <v>44</v>
      </c>
      <c r="C1047" s="405" t="str">
        <f t="shared" si="129"/>
        <v>第009956号</v>
      </c>
      <c r="D1047" s="405" t="str">
        <f t="shared" si="130"/>
        <v>（有）松尾緑地建設</v>
      </c>
      <c r="E1047" s="405" t="str">
        <f t="shared" si="131"/>
        <v>代表取締役</v>
      </c>
      <c r="F1047" s="405" t="str">
        <f t="shared" si="132"/>
        <v>松尾　巧</v>
      </c>
      <c r="G1047" s="405" t="str">
        <f t="shared" si="133"/>
        <v>主たる営業所</v>
      </c>
      <c r="H1047" s="405" t="str">
        <f t="shared" si="134"/>
        <v>由布市湯布院町川南８２３－８</v>
      </c>
      <c r="L1047" s="403" t="s">
        <v>9884</v>
      </c>
      <c r="M1047" s="403" t="s">
        <v>9885</v>
      </c>
      <c r="N1047" s="403" t="s">
        <v>3351</v>
      </c>
      <c r="O1047" s="403" t="s">
        <v>7084</v>
      </c>
      <c r="P1047" s="403" t="s">
        <v>3352</v>
      </c>
      <c r="Q1047" s="403" t="s">
        <v>7452</v>
      </c>
      <c r="R1047" s="403" t="s">
        <v>19438</v>
      </c>
      <c r="S1047" s="403" t="s">
        <v>15883</v>
      </c>
      <c r="T1047" s="403" t="s">
        <v>15884</v>
      </c>
      <c r="U1047" s="403"/>
      <c r="V1047" s="403" t="s">
        <v>23024</v>
      </c>
      <c r="W1047" s="403" t="s">
        <v>23024</v>
      </c>
      <c r="X1047" s="403" t="s">
        <v>23024</v>
      </c>
      <c r="Y1047" s="403" t="s">
        <v>23024</v>
      </c>
    </row>
    <row r="1048" spans="1:25">
      <c r="A1048" s="363">
        <f t="shared" si="135"/>
        <v>1047</v>
      </c>
      <c r="B1048" s="363" t="str">
        <f t="shared" si="128"/>
        <v>44</v>
      </c>
      <c r="C1048" s="405" t="str">
        <f t="shared" si="129"/>
        <v>第009962号</v>
      </c>
      <c r="D1048" s="405" t="str">
        <f t="shared" si="130"/>
        <v>（有）鉱栄工務店</v>
      </c>
      <c r="E1048" s="405" t="str">
        <f t="shared" si="131"/>
        <v>代表取締役</v>
      </c>
      <c r="F1048" s="405" t="str">
        <f t="shared" si="132"/>
        <v>甲斐　健司</v>
      </c>
      <c r="G1048" s="405" t="str">
        <f t="shared" si="133"/>
        <v>主たる営業所</v>
      </c>
      <c r="H1048" s="405" t="str">
        <f t="shared" si="134"/>
        <v>別府市大字内竈１２２２－３</v>
      </c>
      <c r="L1048" s="403" t="s">
        <v>9886</v>
      </c>
      <c r="M1048" s="403" t="s">
        <v>9887</v>
      </c>
      <c r="N1048" s="403" t="s">
        <v>3353</v>
      </c>
      <c r="O1048" s="403" t="s">
        <v>7084</v>
      </c>
      <c r="P1048" s="403" t="s">
        <v>3354</v>
      </c>
      <c r="Q1048" s="403" t="s">
        <v>9888</v>
      </c>
      <c r="R1048" s="403" t="s">
        <v>19439</v>
      </c>
      <c r="S1048" s="403" t="s">
        <v>15885</v>
      </c>
      <c r="T1048" s="403" t="s">
        <v>15886</v>
      </c>
      <c r="U1048" s="403"/>
      <c r="V1048" s="403" t="s">
        <v>23024</v>
      </c>
      <c r="W1048" s="403" t="s">
        <v>23024</v>
      </c>
      <c r="X1048" s="403" t="s">
        <v>23024</v>
      </c>
      <c r="Y1048" s="403" t="s">
        <v>23024</v>
      </c>
    </row>
    <row r="1049" spans="1:25">
      <c r="A1049" s="363">
        <f t="shared" si="135"/>
        <v>1048</v>
      </c>
      <c r="B1049" s="363" t="str">
        <f t="shared" si="128"/>
        <v>44</v>
      </c>
      <c r="C1049" s="405" t="str">
        <f t="shared" si="129"/>
        <v>第009963号</v>
      </c>
      <c r="D1049" s="405" t="str">
        <f t="shared" si="130"/>
        <v>別府工業（有）</v>
      </c>
      <c r="E1049" s="405" t="str">
        <f t="shared" si="131"/>
        <v>代表取締役</v>
      </c>
      <c r="F1049" s="405" t="str">
        <f t="shared" si="132"/>
        <v>安部　健人</v>
      </c>
      <c r="G1049" s="405" t="str">
        <f t="shared" si="133"/>
        <v>主たる営業所</v>
      </c>
      <c r="H1049" s="405" t="str">
        <f t="shared" si="134"/>
        <v>別府市大字平道３７１－１</v>
      </c>
      <c r="L1049" s="403" t="s">
        <v>9889</v>
      </c>
      <c r="M1049" s="403" t="s">
        <v>9890</v>
      </c>
      <c r="N1049" s="403" t="s">
        <v>3355</v>
      </c>
      <c r="O1049" s="403" t="s">
        <v>7084</v>
      </c>
      <c r="P1049" s="403" t="s">
        <v>3356</v>
      </c>
      <c r="Q1049" s="403" t="s">
        <v>9891</v>
      </c>
      <c r="R1049" s="403" t="s">
        <v>19440</v>
      </c>
      <c r="S1049" s="403" t="s">
        <v>15887</v>
      </c>
      <c r="T1049" s="403" t="s">
        <v>15888</v>
      </c>
      <c r="U1049" s="403"/>
      <c r="V1049" s="403" t="s">
        <v>23024</v>
      </c>
      <c r="W1049" s="403" t="s">
        <v>23024</v>
      </c>
      <c r="X1049" s="403" t="s">
        <v>23024</v>
      </c>
      <c r="Y1049" s="403" t="s">
        <v>23024</v>
      </c>
    </row>
    <row r="1050" spans="1:25">
      <c r="A1050" s="363">
        <f t="shared" si="135"/>
        <v>1049</v>
      </c>
      <c r="B1050" s="363" t="str">
        <f t="shared" si="128"/>
        <v>44</v>
      </c>
      <c r="C1050" s="405" t="str">
        <f t="shared" si="129"/>
        <v>第009976号</v>
      </c>
      <c r="D1050" s="405" t="str">
        <f t="shared" si="130"/>
        <v>（有）松木重機</v>
      </c>
      <c r="E1050" s="405" t="str">
        <f t="shared" si="131"/>
        <v>代表取締役</v>
      </c>
      <c r="F1050" s="405" t="str">
        <f t="shared" si="132"/>
        <v>松木　幹生</v>
      </c>
      <c r="G1050" s="405" t="str">
        <f t="shared" si="133"/>
        <v>主たる営業所</v>
      </c>
      <c r="H1050" s="405" t="str">
        <f t="shared" si="134"/>
        <v>日田市前津江町大野２９４１－１</v>
      </c>
      <c r="L1050" s="403" t="s">
        <v>9892</v>
      </c>
      <c r="M1050" s="403" t="s">
        <v>9893</v>
      </c>
      <c r="N1050" s="403" t="s">
        <v>3357</v>
      </c>
      <c r="O1050" s="403" t="s">
        <v>7084</v>
      </c>
      <c r="P1050" s="403" t="s">
        <v>3358</v>
      </c>
      <c r="Q1050" s="403" t="s">
        <v>9894</v>
      </c>
      <c r="R1050" s="403" t="s">
        <v>19441</v>
      </c>
      <c r="S1050" s="403" t="s">
        <v>15889</v>
      </c>
      <c r="T1050" s="403" t="s">
        <v>15890</v>
      </c>
      <c r="U1050" s="403"/>
      <c r="V1050" s="403" t="s">
        <v>23024</v>
      </c>
      <c r="W1050" s="403" t="s">
        <v>23024</v>
      </c>
      <c r="X1050" s="403" t="s">
        <v>23024</v>
      </c>
      <c r="Y1050" s="403" t="s">
        <v>23024</v>
      </c>
    </row>
    <row r="1051" spans="1:25">
      <c r="A1051" s="363">
        <f t="shared" si="135"/>
        <v>1050</v>
      </c>
      <c r="B1051" s="363" t="str">
        <f t="shared" si="128"/>
        <v>44</v>
      </c>
      <c r="C1051" s="405" t="str">
        <f t="shared" si="129"/>
        <v>第009979号</v>
      </c>
      <c r="D1051" s="405" t="str">
        <f t="shared" si="130"/>
        <v>（有）吉田石材店</v>
      </c>
      <c r="E1051" s="405" t="str">
        <f t="shared" si="131"/>
        <v>代表取締役</v>
      </c>
      <c r="F1051" s="405" t="str">
        <f t="shared" si="132"/>
        <v>吉田　実香</v>
      </c>
      <c r="G1051" s="405" t="str">
        <f t="shared" si="133"/>
        <v>主たる営業所</v>
      </c>
      <c r="H1051" s="405" t="str">
        <f t="shared" si="134"/>
        <v>宇佐市大字長洲３２３０－２</v>
      </c>
      <c r="L1051" s="403" t="s">
        <v>9895</v>
      </c>
      <c r="M1051" s="403" t="s">
        <v>9896</v>
      </c>
      <c r="N1051" s="403" t="s">
        <v>3359</v>
      </c>
      <c r="O1051" s="403" t="s">
        <v>7084</v>
      </c>
      <c r="P1051" s="403" t="s">
        <v>3360</v>
      </c>
      <c r="Q1051" s="403" t="s">
        <v>7333</v>
      </c>
      <c r="R1051" s="403" t="s">
        <v>19442</v>
      </c>
      <c r="S1051" s="403" t="s">
        <v>15891</v>
      </c>
      <c r="T1051" s="403" t="s">
        <v>15892</v>
      </c>
      <c r="U1051" s="403"/>
      <c r="V1051" s="403" t="s">
        <v>23024</v>
      </c>
      <c r="W1051" s="403" t="s">
        <v>23024</v>
      </c>
      <c r="X1051" s="403" t="s">
        <v>23024</v>
      </c>
      <c r="Y1051" s="403" t="s">
        <v>23024</v>
      </c>
    </row>
    <row r="1052" spans="1:25">
      <c r="A1052" s="363">
        <f t="shared" si="135"/>
        <v>1051</v>
      </c>
      <c r="B1052" s="363" t="str">
        <f t="shared" si="128"/>
        <v>44</v>
      </c>
      <c r="C1052" s="405" t="str">
        <f t="shared" si="129"/>
        <v>第009987号</v>
      </c>
      <c r="D1052" s="405" t="str">
        <f t="shared" si="130"/>
        <v>ジャパングリッド（株）</v>
      </c>
      <c r="E1052" s="405" t="str">
        <f t="shared" si="131"/>
        <v>代表取締役</v>
      </c>
      <c r="F1052" s="405" t="str">
        <f t="shared" si="132"/>
        <v>前田　貫一</v>
      </c>
      <c r="G1052" s="405" t="str">
        <f t="shared" si="133"/>
        <v>主たる営業所</v>
      </c>
      <c r="H1052" s="405" t="str">
        <f t="shared" si="134"/>
        <v>大分市日吉町１１－２３</v>
      </c>
      <c r="L1052" s="403" t="s">
        <v>9897</v>
      </c>
      <c r="M1052" s="403" t="s">
        <v>9898</v>
      </c>
      <c r="N1052" s="403" t="s">
        <v>3361</v>
      </c>
      <c r="O1052" s="403" t="s">
        <v>7084</v>
      </c>
      <c r="P1052" s="403" t="s">
        <v>3362</v>
      </c>
      <c r="Q1052" s="403" t="s">
        <v>8776</v>
      </c>
      <c r="R1052" s="403" t="s">
        <v>19443</v>
      </c>
      <c r="S1052" s="403" t="s">
        <v>15893</v>
      </c>
      <c r="T1052" s="403" t="s">
        <v>15894</v>
      </c>
      <c r="U1052" s="403"/>
      <c r="V1052" s="403" t="s">
        <v>23024</v>
      </c>
      <c r="W1052" s="403" t="s">
        <v>23024</v>
      </c>
      <c r="X1052" s="403" t="s">
        <v>23024</v>
      </c>
      <c r="Y1052" s="403" t="s">
        <v>23024</v>
      </c>
    </row>
    <row r="1053" spans="1:25">
      <c r="A1053" s="363">
        <f t="shared" si="135"/>
        <v>1052</v>
      </c>
      <c r="B1053" s="363" t="str">
        <f t="shared" si="128"/>
        <v>44</v>
      </c>
      <c r="C1053" s="405" t="str">
        <f t="shared" si="129"/>
        <v>第009996号</v>
      </c>
      <c r="D1053" s="405" t="str">
        <f t="shared" si="130"/>
        <v>（有）河野土木</v>
      </c>
      <c r="E1053" s="405" t="str">
        <f t="shared" si="131"/>
        <v>代表取締役</v>
      </c>
      <c r="F1053" s="405" t="str">
        <f t="shared" si="132"/>
        <v>河野　豊和</v>
      </c>
      <c r="G1053" s="405" t="str">
        <f t="shared" si="133"/>
        <v>主たる営業所</v>
      </c>
      <c r="H1053" s="405" t="str">
        <f t="shared" si="134"/>
        <v>佐伯市弥生大字大坂本１７０８－１</v>
      </c>
      <c r="L1053" s="403" t="s">
        <v>9899</v>
      </c>
      <c r="M1053" s="403" t="s">
        <v>9900</v>
      </c>
      <c r="N1053" s="403" t="s">
        <v>3363</v>
      </c>
      <c r="O1053" s="403" t="s">
        <v>7084</v>
      </c>
      <c r="P1053" s="403" t="s">
        <v>3364</v>
      </c>
      <c r="Q1053" s="403" t="s">
        <v>8542</v>
      </c>
      <c r="R1053" s="403" t="s">
        <v>19444</v>
      </c>
      <c r="S1053" s="403" t="s">
        <v>15895</v>
      </c>
      <c r="T1053" s="403" t="s">
        <v>15896</v>
      </c>
      <c r="U1053" s="403"/>
      <c r="V1053" s="403" t="s">
        <v>23024</v>
      </c>
      <c r="W1053" s="403" t="s">
        <v>23024</v>
      </c>
      <c r="X1053" s="403" t="s">
        <v>23024</v>
      </c>
      <c r="Y1053" s="403" t="s">
        <v>23024</v>
      </c>
    </row>
    <row r="1054" spans="1:25">
      <c r="A1054" s="363">
        <f t="shared" si="135"/>
        <v>1053</v>
      </c>
      <c r="B1054" s="363" t="str">
        <f t="shared" si="128"/>
        <v>44</v>
      </c>
      <c r="C1054" s="405" t="str">
        <f t="shared" si="129"/>
        <v>第010016号</v>
      </c>
      <c r="D1054" s="405" t="str">
        <f t="shared" si="130"/>
        <v>（株）創美社</v>
      </c>
      <c r="E1054" s="405" t="str">
        <f t="shared" si="131"/>
        <v>代表取締役</v>
      </c>
      <c r="F1054" s="405" t="str">
        <f t="shared" si="132"/>
        <v>新名　一光</v>
      </c>
      <c r="G1054" s="405" t="str">
        <f t="shared" si="133"/>
        <v>主たる営業所</v>
      </c>
      <c r="H1054" s="405" t="str">
        <f t="shared" si="134"/>
        <v>大分市金池町１－９－３１</v>
      </c>
      <c r="L1054" s="403" t="s">
        <v>9901</v>
      </c>
      <c r="M1054" s="403" t="s">
        <v>9902</v>
      </c>
      <c r="N1054" s="403" t="s">
        <v>3365</v>
      </c>
      <c r="O1054" s="403" t="s">
        <v>7084</v>
      </c>
      <c r="P1054" s="403" t="s">
        <v>3366</v>
      </c>
      <c r="Q1054" s="403" t="s">
        <v>9903</v>
      </c>
      <c r="R1054" s="403" t="s">
        <v>19445</v>
      </c>
      <c r="S1054" s="403" t="s">
        <v>15897</v>
      </c>
      <c r="T1054" s="403" t="s">
        <v>15898</v>
      </c>
      <c r="U1054" s="403"/>
      <c r="V1054" s="403" t="s">
        <v>23024</v>
      </c>
      <c r="W1054" s="403" t="s">
        <v>23024</v>
      </c>
      <c r="X1054" s="403" t="s">
        <v>23024</v>
      </c>
      <c r="Y1054" s="403" t="s">
        <v>23024</v>
      </c>
    </row>
    <row r="1055" spans="1:25">
      <c r="A1055" s="363">
        <f t="shared" si="135"/>
        <v>1054</v>
      </c>
      <c r="B1055" s="363" t="str">
        <f t="shared" si="128"/>
        <v>44</v>
      </c>
      <c r="C1055" s="405" t="str">
        <f t="shared" si="129"/>
        <v>第010026号</v>
      </c>
      <c r="D1055" s="405" t="str">
        <f t="shared" si="130"/>
        <v>加藤建設（株）</v>
      </c>
      <c r="E1055" s="405" t="str">
        <f t="shared" si="131"/>
        <v>代表取締役</v>
      </c>
      <c r="F1055" s="405" t="str">
        <f t="shared" si="132"/>
        <v>加藤　鉄矢</v>
      </c>
      <c r="G1055" s="405" t="str">
        <f t="shared" si="133"/>
        <v>主たる営業所</v>
      </c>
      <c r="H1055" s="405" t="str">
        <f t="shared" si="134"/>
        <v>日田市大字求来里字蛇迫１１７０－１</v>
      </c>
      <c r="L1055" s="403" t="s">
        <v>9904</v>
      </c>
      <c r="M1055" s="403" t="s">
        <v>9905</v>
      </c>
      <c r="N1055" s="403" t="s">
        <v>3367</v>
      </c>
      <c r="O1055" s="403" t="s">
        <v>7084</v>
      </c>
      <c r="P1055" s="403" t="s">
        <v>3368</v>
      </c>
      <c r="Q1055" s="403" t="s">
        <v>9553</v>
      </c>
      <c r="R1055" s="403" t="s">
        <v>19446</v>
      </c>
      <c r="S1055" s="403" t="s">
        <v>15899</v>
      </c>
      <c r="T1055" s="403" t="s">
        <v>15900</v>
      </c>
      <c r="U1055" s="403"/>
      <c r="V1055" s="403" t="s">
        <v>23024</v>
      </c>
      <c r="W1055" s="403" t="s">
        <v>23024</v>
      </c>
      <c r="X1055" s="403" t="s">
        <v>23024</v>
      </c>
      <c r="Y1055" s="403" t="s">
        <v>23024</v>
      </c>
    </row>
    <row r="1056" spans="1:25">
      <c r="A1056" s="363">
        <f t="shared" si="135"/>
        <v>1055</v>
      </c>
      <c r="B1056" s="363" t="str">
        <f t="shared" si="128"/>
        <v>44</v>
      </c>
      <c r="C1056" s="405" t="str">
        <f t="shared" si="129"/>
        <v>第010030号</v>
      </c>
      <c r="D1056" s="405" t="str">
        <f t="shared" si="130"/>
        <v>（有）信成建設</v>
      </c>
      <c r="E1056" s="405" t="str">
        <f t="shared" si="131"/>
        <v>代表取締役</v>
      </c>
      <c r="F1056" s="405" t="str">
        <f t="shared" si="132"/>
        <v>北崎　信也</v>
      </c>
      <c r="G1056" s="405" t="str">
        <f t="shared" si="133"/>
        <v>主たる営業所</v>
      </c>
      <c r="H1056" s="405" t="str">
        <f t="shared" si="134"/>
        <v>豊後高田市玉津１３５２－２</v>
      </c>
      <c r="L1056" s="403" t="s">
        <v>9906</v>
      </c>
      <c r="M1056" s="403" t="s">
        <v>9907</v>
      </c>
      <c r="N1056" s="403" t="s">
        <v>3369</v>
      </c>
      <c r="O1056" s="403" t="s">
        <v>7084</v>
      </c>
      <c r="P1056" s="403" t="s">
        <v>5313</v>
      </c>
      <c r="Q1056" s="403" t="s">
        <v>7687</v>
      </c>
      <c r="R1056" s="403" t="s">
        <v>19447</v>
      </c>
      <c r="S1056" s="403" t="s">
        <v>15901</v>
      </c>
      <c r="T1056" s="403" t="s">
        <v>15902</v>
      </c>
      <c r="U1056" s="403"/>
      <c r="V1056" s="403" t="s">
        <v>23024</v>
      </c>
      <c r="W1056" s="403" t="s">
        <v>23024</v>
      </c>
      <c r="X1056" s="403" t="s">
        <v>23024</v>
      </c>
      <c r="Y1056" s="403" t="s">
        <v>23024</v>
      </c>
    </row>
    <row r="1057" spans="1:25">
      <c r="A1057" s="363">
        <f t="shared" si="135"/>
        <v>1056</v>
      </c>
      <c r="B1057" s="363" t="str">
        <f t="shared" si="128"/>
        <v>44</v>
      </c>
      <c r="C1057" s="405" t="str">
        <f t="shared" si="129"/>
        <v>第010031号</v>
      </c>
      <c r="D1057" s="405" t="str">
        <f t="shared" si="130"/>
        <v>（有）藤浦</v>
      </c>
      <c r="E1057" s="405" t="str">
        <f t="shared" si="131"/>
        <v>代表取締役</v>
      </c>
      <c r="F1057" s="405" t="str">
        <f t="shared" si="132"/>
        <v>三浦　勉</v>
      </c>
      <c r="G1057" s="405" t="str">
        <f t="shared" si="133"/>
        <v>主たる営業所</v>
      </c>
      <c r="H1057" s="405" t="str">
        <f t="shared" si="134"/>
        <v>豊後大野市朝地町朝地９９１</v>
      </c>
      <c r="L1057" s="403" t="s">
        <v>9908</v>
      </c>
      <c r="M1057" s="403" t="s">
        <v>9909</v>
      </c>
      <c r="N1057" s="403" t="s">
        <v>3370</v>
      </c>
      <c r="O1057" s="403" t="s">
        <v>7084</v>
      </c>
      <c r="P1057" s="403" t="s">
        <v>3371</v>
      </c>
      <c r="Q1057" s="403" t="s">
        <v>9910</v>
      </c>
      <c r="R1057" s="403" t="s">
        <v>5568</v>
      </c>
      <c r="S1057" s="403" t="s">
        <v>15903</v>
      </c>
      <c r="T1057" s="403" t="s">
        <v>15904</v>
      </c>
      <c r="U1057" s="403"/>
      <c r="V1057" s="403" t="s">
        <v>23024</v>
      </c>
      <c r="W1057" s="403" t="s">
        <v>23024</v>
      </c>
      <c r="X1057" s="403" t="s">
        <v>23024</v>
      </c>
      <c r="Y1057" s="403" t="s">
        <v>23024</v>
      </c>
    </row>
    <row r="1058" spans="1:25">
      <c r="A1058" s="363">
        <f t="shared" si="135"/>
        <v>1057</v>
      </c>
      <c r="B1058" s="363" t="str">
        <f t="shared" si="128"/>
        <v>44</v>
      </c>
      <c r="C1058" s="405" t="str">
        <f t="shared" si="129"/>
        <v>第010033号</v>
      </c>
      <c r="D1058" s="405" t="str">
        <f t="shared" si="130"/>
        <v>東九州機械工業（株）</v>
      </c>
      <c r="E1058" s="405" t="str">
        <f t="shared" si="131"/>
        <v>代表取締役</v>
      </c>
      <c r="F1058" s="405" t="str">
        <f t="shared" si="132"/>
        <v>平松　大典</v>
      </c>
      <c r="G1058" s="405" t="str">
        <f t="shared" si="133"/>
        <v>主たる営業所</v>
      </c>
      <c r="H1058" s="405" t="str">
        <f t="shared" si="134"/>
        <v>大分市大字海原８６７</v>
      </c>
      <c r="L1058" s="403" t="s">
        <v>9911</v>
      </c>
      <c r="M1058" s="403" t="s">
        <v>9912</v>
      </c>
      <c r="N1058" s="403" t="s">
        <v>3372</v>
      </c>
      <c r="O1058" s="403" t="s">
        <v>7084</v>
      </c>
      <c r="P1058" s="403" t="s">
        <v>3373</v>
      </c>
      <c r="Q1058" s="403" t="s">
        <v>7303</v>
      </c>
      <c r="R1058" s="403" t="s">
        <v>5569</v>
      </c>
      <c r="S1058" s="403" t="s">
        <v>15905</v>
      </c>
      <c r="T1058" s="403" t="s">
        <v>15906</v>
      </c>
      <c r="U1058" s="403"/>
      <c r="V1058" s="403" t="s">
        <v>23024</v>
      </c>
      <c r="W1058" s="403" t="s">
        <v>23024</v>
      </c>
      <c r="X1058" s="403" t="s">
        <v>23024</v>
      </c>
      <c r="Y1058" s="403" t="s">
        <v>23024</v>
      </c>
    </row>
    <row r="1059" spans="1:25">
      <c r="A1059" s="363">
        <f t="shared" si="135"/>
        <v>1058</v>
      </c>
      <c r="B1059" s="363" t="str">
        <f t="shared" si="128"/>
        <v>44</v>
      </c>
      <c r="C1059" s="405" t="str">
        <f t="shared" si="129"/>
        <v>第010043号</v>
      </c>
      <c r="D1059" s="405" t="str">
        <f t="shared" si="130"/>
        <v>（有）サトウ設備</v>
      </c>
      <c r="E1059" s="405" t="str">
        <f t="shared" si="131"/>
        <v>代表取締役</v>
      </c>
      <c r="F1059" s="405" t="str">
        <f t="shared" si="132"/>
        <v>佐藤　幸一</v>
      </c>
      <c r="G1059" s="405" t="str">
        <f t="shared" si="133"/>
        <v>主たる営業所</v>
      </c>
      <c r="H1059" s="405" t="str">
        <f t="shared" si="134"/>
        <v>宇佐市大字上拝田４１７－２</v>
      </c>
      <c r="L1059" s="403" t="s">
        <v>9913</v>
      </c>
      <c r="M1059" s="403" t="s">
        <v>9914</v>
      </c>
      <c r="N1059" s="403" t="s">
        <v>3374</v>
      </c>
      <c r="O1059" s="403" t="s">
        <v>7084</v>
      </c>
      <c r="P1059" s="403" t="s">
        <v>3375</v>
      </c>
      <c r="Q1059" s="403" t="s">
        <v>9915</v>
      </c>
      <c r="R1059" s="403" t="s">
        <v>19448</v>
      </c>
      <c r="S1059" s="403" t="s">
        <v>15907</v>
      </c>
      <c r="T1059" s="403" t="s">
        <v>15908</v>
      </c>
      <c r="U1059" s="403"/>
      <c r="V1059" s="403" t="s">
        <v>23024</v>
      </c>
      <c r="W1059" s="403" t="s">
        <v>23024</v>
      </c>
      <c r="X1059" s="403" t="s">
        <v>23024</v>
      </c>
      <c r="Y1059" s="403" t="s">
        <v>23024</v>
      </c>
    </row>
    <row r="1060" spans="1:25">
      <c r="A1060" s="363">
        <f t="shared" si="135"/>
        <v>1059</v>
      </c>
      <c r="B1060" s="363" t="str">
        <f t="shared" si="128"/>
        <v>44</v>
      </c>
      <c r="C1060" s="405" t="str">
        <f t="shared" si="129"/>
        <v>第010045号</v>
      </c>
      <c r="D1060" s="405" t="str">
        <f t="shared" si="130"/>
        <v>山九九州ビジネス（株）</v>
      </c>
      <c r="E1060" s="405" t="str">
        <f t="shared" si="131"/>
        <v>代表取締役社長</v>
      </c>
      <c r="F1060" s="405" t="str">
        <f t="shared" si="132"/>
        <v>佐藤　玉徳</v>
      </c>
      <c r="G1060" s="405" t="str">
        <f t="shared" si="133"/>
        <v>主たる営業所</v>
      </c>
      <c r="H1060" s="405" t="str">
        <f t="shared" si="134"/>
        <v>大分市向原沖１－１－１１</v>
      </c>
      <c r="L1060" s="403" t="s">
        <v>9916</v>
      </c>
      <c r="M1060" s="403" t="s">
        <v>19449</v>
      </c>
      <c r="N1060" s="403" t="s">
        <v>19450</v>
      </c>
      <c r="O1060" s="403" t="s">
        <v>7083</v>
      </c>
      <c r="P1060" s="403" t="s">
        <v>5314</v>
      </c>
      <c r="Q1060" s="403" t="s">
        <v>7458</v>
      </c>
      <c r="R1060" s="403" t="s">
        <v>19451</v>
      </c>
      <c r="S1060" s="403" t="s">
        <v>15909</v>
      </c>
      <c r="T1060" s="403" t="s">
        <v>15910</v>
      </c>
      <c r="U1060" s="403"/>
      <c r="V1060" s="403" t="s">
        <v>23024</v>
      </c>
      <c r="W1060" s="403" t="s">
        <v>23024</v>
      </c>
      <c r="X1060" s="403" t="s">
        <v>23024</v>
      </c>
      <c r="Y1060" s="403" t="s">
        <v>23024</v>
      </c>
    </row>
    <row r="1061" spans="1:25">
      <c r="A1061" s="363">
        <f t="shared" si="135"/>
        <v>1060</v>
      </c>
      <c r="B1061" s="363" t="str">
        <f t="shared" si="128"/>
        <v>44</v>
      </c>
      <c r="C1061" s="405" t="str">
        <f t="shared" si="129"/>
        <v>第010052号</v>
      </c>
      <c r="D1061" s="405" t="str">
        <f t="shared" si="130"/>
        <v>（有）小野工業</v>
      </c>
      <c r="E1061" s="405" t="str">
        <f t="shared" si="131"/>
        <v>代表取締役</v>
      </c>
      <c r="F1061" s="405" t="str">
        <f t="shared" si="132"/>
        <v>小野　忠史</v>
      </c>
      <c r="G1061" s="405" t="str">
        <f t="shared" si="133"/>
        <v>主たる営業所</v>
      </c>
      <c r="H1061" s="405" t="str">
        <f t="shared" si="134"/>
        <v>佐伯市大字青山６７２５</v>
      </c>
      <c r="L1061" s="403" t="s">
        <v>9917</v>
      </c>
      <c r="M1061" s="403" t="s">
        <v>9918</v>
      </c>
      <c r="N1061" s="403" t="s">
        <v>3376</v>
      </c>
      <c r="O1061" s="403" t="s">
        <v>7084</v>
      </c>
      <c r="P1061" s="403" t="s">
        <v>3377</v>
      </c>
      <c r="Q1061" s="403" t="s">
        <v>9919</v>
      </c>
      <c r="R1061" s="403" t="s">
        <v>5570</v>
      </c>
      <c r="S1061" s="403" t="s">
        <v>19452</v>
      </c>
      <c r="T1061" s="403" t="s">
        <v>19452</v>
      </c>
      <c r="U1061" s="403"/>
      <c r="V1061" s="403" t="s">
        <v>23024</v>
      </c>
      <c r="W1061" s="403" t="s">
        <v>23024</v>
      </c>
      <c r="X1061" s="403" t="s">
        <v>23024</v>
      </c>
      <c r="Y1061" s="403" t="s">
        <v>23024</v>
      </c>
    </row>
    <row r="1062" spans="1:25">
      <c r="A1062" s="363">
        <f t="shared" si="135"/>
        <v>1061</v>
      </c>
      <c r="B1062" s="363" t="str">
        <f t="shared" si="128"/>
        <v>44</v>
      </c>
      <c r="C1062" s="405" t="str">
        <f t="shared" si="129"/>
        <v>第010071号</v>
      </c>
      <c r="D1062" s="405" t="str">
        <f t="shared" si="130"/>
        <v>開成建設工業（株）</v>
      </c>
      <c r="E1062" s="405" t="str">
        <f t="shared" si="131"/>
        <v>代表取締役</v>
      </c>
      <c r="F1062" s="405" t="str">
        <f t="shared" si="132"/>
        <v>遠嶋　幸弘</v>
      </c>
      <c r="G1062" s="405" t="str">
        <f t="shared" si="133"/>
        <v>主たる営業所</v>
      </c>
      <c r="H1062" s="405" t="str">
        <f t="shared" si="134"/>
        <v>宇佐市安心院町東椎屋５８－２</v>
      </c>
      <c r="L1062" s="403" t="s">
        <v>9920</v>
      </c>
      <c r="M1062" s="403" t="s">
        <v>9921</v>
      </c>
      <c r="N1062" s="403" t="s">
        <v>3378</v>
      </c>
      <c r="O1062" s="403" t="s">
        <v>7084</v>
      </c>
      <c r="P1062" s="403" t="s">
        <v>3379</v>
      </c>
      <c r="Q1062" s="403" t="s">
        <v>9922</v>
      </c>
      <c r="R1062" s="403" t="s">
        <v>19453</v>
      </c>
      <c r="S1062" s="403" t="s">
        <v>15911</v>
      </c>
      <c r="T1062" s="403" t="s">
        <v>15912</v>
      </c>
      <c r="U1062" s="403"/>
      <c r="V1062" s="403" t="s">
        <v>23024</v>
      </c>
      <c r="W1062" s="403" t="s">
        <v>23024</v>
      </c>
      <c r="X1062" s="403" t="s">
        <v>23024</v>
      </c>
      <c r="Y1062" s="403" t="s">
        <v>23024</v>
      </c>
    </row>
    <row r="1063" spans="1:25">
      <c r="A1063" s="363">
        <f t="shared" si="135"/>
        <v>1062</v>
      </c>
      <c r="B1063" s="363" t="str">
        <f t="shared" si="128"/>
        <v>44</v>
      </c>
      <c r="C1063" s="405" t="str">
        <f t="shared" si="129"/>
        <v>第010074号</v>
      </c>
      <c r="D1063" s="405" t="str">
        <f t="shared" si="130"/>
        <v>（有）秋則建設</v>
      </c>
      <c r="E1063" s="405" t="str">
        <f t="shared" si="131"/>
        <v>代表取締役</v>
      </c>
      <c r="F1063" s="405" t="str">
        <f t="shared" si="132"/>
        <v>後藤　雄一郎</v>
      </c>
      <c r="G1063" s="405" t="str">
        <f t="shared" si="133"/>
        <v>主たる営業所</v>
      </c>
      <c r="H1063" s="405" t="str">
        <f t="shared" si="134"/>
        <v>別府市大畑町２１－４３</v>
      </c>
      <c r="L1063" s="403" t="s">
        <v>9923</v>
      </c>
      <c r="M1063" s="403" t="s">
        <v>9924</v>
      </c>
      <c r="N1063" s="403" t="s">
        <v>3380</v>
      </c>
      <c r="O1063" s="403" t="s">
        <v>7084</v>
      </c>
      <c r="P1063" s="403" t="s">
        <v>3381</v>
      </c>
      <c r="Q1063" s="403" t="s">
        <v>9925</v>
      </c>
      <c r="R1063" s="403" t="s">
        <v>19454</v>
      </c>
      <c r="S1063" s="403" t="s">
        <v>15913</v>
      </c>
      <c r="T1063" s="403" t="s">
        <v>15914</v>
      </c>
      <c r="U1063" s="403"/>
      <c r="V1063" s="403" t="s">
        <v>23024</v>
      </c>
      <c r="W1063" s="403" t="s">
        <v>23024</v>
      </c>
      <c r="X1063" s="403" t="s">
        <v>23024</v>
      </c>
      <c r="Y1063" s="403" t="s">
        <v>23024</v>
      </c>
    </row>
    <row r="1064" spans="1:25">
      <c r="A1064" s="363">
        <f t="shared" si="135"/>
        <v>1063</v>
      </c>
      <c r="B1064" s="363" t="str">
        <f t="shared" si="128"/>
        <v>44</v>
      </c>
      <c r="C1064" s="405" t="str">
        <f t="shared" si="129"/>
        <v>第010079号</v>
      </c>
      <c r="D1064" s="405" t="str">
        <f t="shared" si="130"/>
        <v>（有）西高産業</v>
      </c>
      <c r="E1064" s="405" t="str">
        <f t="shared" si="131"/>
        <v>代表取締役</v>
      </c>
      <c r="F1064" s="405" t="str">
        <f t="shared" si="132"/>
        <v>高橋　政幸</v>
      </c>
      <c r="G1064" s="405" t="str">
        <f t="shared" si="133"/>
        <v>主たる営業所</v>
      </c>
      <c r="H1064" s="405" t="str">
        <f t="shared" si="134"/>
        <v>竹田市荻町西福寺５６８６</v>
      </c>
      <c r="L1064" s="403" t="s">
        <v>9926</v>
      </c>
      <c r="M1064" s="403" t="s">
        <v>9927</v>
      </c>
      <c r="N1064" s="403" t="s">
        <v>3382</v>
      </c>
      <c r="O1064" s="403" t="s">
        <v>7084</v>
      </c>
      <c r="P1064" s="403" t="s">
        <v>3383</v>
      </c>
      <c r="Q1064" s="403" t="s">
        <v>9928</v>
      </c>
      <c r="R1064" s="403" t="s">
        <v>5571</v>
      </c>
      <c r="S1064" s="403" t="s">
        <v>15915</v>
      </c>
      <c r="T1064" s="403" t="s">
        <v>15916</v>
      </c>
      <c r="U1064" s="403"/>
      <c r="V1064" s="403" t="s">
        <v>23024</v>
      </c>
      <c r="W1064" s="403" t="s">
        <v>23024</v>
      </c>
      <c r="X1064" s="403" t="s">
        <v>23024</v>
      </c>
      <c r="Y1064" s="403" t="s">
        <v>23024</v>
      </c>
    </row>
    <row r="1065" spans="1:25">
      <c r="A1065" s="363">
        <f t="shared" si="135"/>
        <v>1064</v>
      </c>
      <c r="B1065" s="363" t="str">
        <f t="shared" si="128"/>
        <v>44</v>
      </c>
      <c r="C1065" s="405" t="str">
        <f t="shared" si="129"/>
        <v>第010093号</v>
      </c>
      <c r="D1065" s="405" t="str">
        <f t="shared" si="130"/>
        <v>天昇建設工業（有）</v>
      </c>
      <c r="E1065" s="405" t="str">
        <f t="shared" si="131"/>
        <v>代表取締役</v>
      </c>
      <c r="F1065" s="405" t="str">
        <f t="shared" si="132"/>
        <v>玉井　美佳</v>
      </c>
      <c r="G1065" s="405" t="str">
        <f t="shared" si="133"/>
        <v>主たる営業所</v>
      </c>
      <c r="H1065" s="405" t="str">
        <f t="shared" si="134"/>
        <v>杵築市大字杵築６６５－５０５</v>
      </c>
      <c r="L1065" s="403" t="s">
        <v>9929</v>
      </c>
      <c r="M1065" s="403" t="s">
        <v>9930</v>
      </c>
      <c r="N1065" s="403" t="s">
        <v>3384</v>
      </c>
      <c r="O1065" s="403" t="s">
        <v>7084</v>
      </c>
      <c r="P1065" s="403" t="s">
        <v>3385</v>
      </c>
      <c r="Q1065" s="403" t="s">
        <v>7637</v>
      </c>
      <c r="R1065" s="403" t="s">
        <v>19455</v>
      </c>
      <c r="S1065" s="403" t="s">
        <v>15917</v>
      </c>
      <c r="T1065" s="403" t="s">
        <v>15918</v>
      </c>
      <c r="U1065" s="403"/>
      <c r="V1065" s="403" t="s">
        <v>23024</v>
      </c>
      <c r="W1065" s="403" t="s">
        <v>23024</v>
      </c>
      <c r="X1065" s="403" t="s">
        <v>23024</v>
      </c>
      <c r="Y1065" s="403" t="s">
        <v>23024</v>
      </c>
    </row>
    <row r="1066" spans="1:25">
      <c r="A1066" s="363">
        <f t="shared" si="135"/>
        <v>1065</v>
      </c>
      <c r="B1066" s="363" t="str">
        <f t="shared" si="128"/>
        <v>44</v>
      </c>
      <c r="C1066" s="405" t="str">
        <f t="shared" si="129"/>
        <v>第010094号</v>
      </c>
      <c r="D1066" s="405" t="str">
        <f t="shared" si="130"/>
        <v>（有）福大建設</v>
      </c>
      <c r="E1066" s="405" t="str">
        <f t="shared" si="131"/>
        <v>代表取締役</v>
      </c>
      <c r="F1066" s="405" t="str">
        <f t="shared" si="132"/>
        <v>川邉　日出輝</v>
      </c>
      <c r="G1066" s="405" t="str">
        <f t="shared" si="133"/>
        <v>主たる営業所</v>
      </c>
      <c r="H1066" s="405" t="str">
        <f t="shared" si="134"/>
        <v>大分市大字鴛野９９３－４</v>
      </c>
      <c r="L1066" s="403" t="s">
        <v>9931</v>
      </c>
      <c r="M1066" s="403" t="s">
        <v>9932</v>
      </c>
      <c r="N1066" s="403" t="s">
        <v>3386</v>
      </c>
      <c r="O1066" s="403" t="s">
        <v>7084</v>
      </c>
      <c r="P1066" s="403" t="s">
        <v>3387</v>
      </c>
      <c r="Q1066" s="403" t="s">
        <v>8820</v>
      </c>
      <c r="R1066" s="403" t="s">
        <v>19456</v>
      </c>
      <c r="S1066" s="403" t="s">
        <v>15919</v>
      </c>
      <c r="T1066" s="403" t="s">
        <v>15920</v>
      </c>
      <c r="U1066" s="403"/>
      <c r="V1066" s="403" t="s">
        <v>23024</v>
      </c>
      <c r="W1066" s="403" t="s">
        <v>23024</v>
      </c>
      <c r="X1066" s="403" t="s">
        <v>23024</v>
      </c>
      <c r="Y1066" s="403" t="s">
        <v>23024</v>
      </c>
    </row>
    <row r="1067" spans="1:25">
      <c r="A1067" s="363">
        <f t="shared" si="135"/>
        <v>1066</v>
      </c>
      <c r="B1067" s="363" t="str">
        <f t="shared" si="128"/>
        <v>44</v>
      </c>
      <c r="C1067" s="405" t="str">
        <f t="shared" si="129"/>
        <v>第010096号</v>
      </c>
      <c r="D1067" s="405" t="str">
        <f t="shared" si="130"/>
        <v>（株）国栄エンジニアリング</v>
      </c>
      <c r="E1067" s="405" t="str">
        <f t="shared" si="131"/>
        <v>代表取締役</v>
      </c>
      <c r="F1067" s="405" t="str">
        <f t="shared" si="132"/>
        <v>渡邊　幸司</v>
      </c>
      <c r="G1067" s="405" t="str">
        <f t="shared" si="133"/>
        <v>主たる営業所</v>
      </c>
      <c r="H1067" s="405" t="str">
        <f t="shared" si="134"/>
        <v>佐伯市大字上岡３３９８－３</v>
      </c>
      <c r="L1067" s="403" t="s">
        <v>9933</v>
      </c>
      <c r="M1067" s="403" t="s">
        <v>9934</v>
      </c>
      <c r="N1067" s="403" t="s">
        <v>3388</v>
      </c>
      <c r="O1067" s="403" t="s">
        <v>7084</v>
      </c>
      <c r="P1067" s="403" t="s">
        <v>3389</v>
      </c>
      <c r="Q1067" s="403" t="s">
        <v>8530</v>
      </c>
      <c r="R1067" s="403" t="s">
        <v>19457</v>
      </c>
      <c r="S1067" s="403" t="s">
        <v>15921</v>
      </c>
      <c r="T1067" s="403" t="s">
        <v>15922</v>
      </c>
      <c r="U1067" s="403"/>
      <c r="V1067" s="403" t="s">
        <v>23024</v>
      </c>
      <c r="W1067" s="403" t="s">
        <v>23024</v>
      </c>
      <c r="X1067" s="403" t="s">
        <v>23024</v>
      </c>
      <c r="Y1067" s="403" t="s">
        <v>23024</v>
      </c>
    </row>
    <row r="1068" spans="1:25">
      <c r="A1068" s="363">
        <f t="shared" si="135"/>
        <v>1067</v>
      </c>
      <c r="B1068" s="363" t="str">
        <f t="shared" si="128"/>
        <v>44</v>
      </c>
      <c r="C1068" s="405" t="str">
        <f t="shared" si="129"/>
        <v>第010099号</v>
      </c>
      <c r="D1068" s="405" t="str">
        <f t="shared" si="130"/>
        <v>（有）大野電設工業</v>
      </c>
      <c r="E1068" s="405" t="str">
        <f t="shared" si="131"/>
        <v>代表取締役</v>
      </c>
      <c r="F1068" s="405" t="str">
        <f t="shared" si="132"/>
        <v>伊妻　恭平</v>
      </c>
      <c r="G1068" s="405" t="str">
        <f t="shared" si="133"/>
        <v>主たる営業所</v>
      </c>
      <c r="H1068" s="405" t="str">
        <f t="shared" si="134"/>
        <v>大分市向原東２－７－７</v>
      </c>
      <c r="L1068" s="403" t="s">
        <v>9935</v>
      </c>
      <c r="M1068" s="403" t="s">
        <v>9936</v>
      </c>
      <c r="N1068" s="403" t="s">
        <v>3390</v>
      </c>
      <c r="O1068" s="403" t="s">
        <v>7084</v>
      </c>
      <c r="P1068" s="403" t="s">
        <v>3391</v>
      </c>
      <c r="Q1068" s="403" t="s">
        <v>7336</v>
      </c>
      <c r="R1068" s="403" t="s">
        <v>19458</v>
      </c>
      <c r="S1068" s="403" t="s">
        <v>15923</v>
      </c>
      <c r="T1068" s="403" t="s">
        <v>15924</v>
      </c>
      <c r="U1068" s="403"/>
      <c r="V1068" s="403" t="s">
        <v>23024</v>
      </c>
      <c r="W1068" s="403" t="s">
        <v>23024</v>
      </c>
      <c r="X1068" s="403" t="s">
        <v>23024</v>
      </c>
      <c r="Y1068" s="403" t="s">
        <v>23024</v>
      </c>
    </row>
    <row r="1069" spans="1:25">
      <c r="A1069" s="363">
        <f t="shared" si="135"/>
        <v>1068</v>
      </c>
      <c r="B1069" s="363" t="str">
        <f t="shared" si="128"/>
        <v>44</v>
      </c>
      <c r="C1069" s="405" t="str">
        <f t="shared" si="129"/>
        <v>第010104号</v>
      </c>
      <c r="D1069" s="405" t="str">
        <f t="shared" si="130"/>
        <v>（有）赤木建設</v>
      </c>
      <c r="E1069" s="405" t="str">
        <f t="shared" si="131"/>
        <v>代表取締役</v>
      </c>
      <c r="F1069" s="405" t="str">
        <f t="shared" si="132"/>
        <v>後藤　慎一郎</v>
      </c>
      <c r="G1069" s="405" t="str">
        <f t="shared" si="133"/>
        <v>主たる営業所</v>
      </c>
      <c r="H1069" s="405" t="str">
        <f t="shared" si="134"/>
        <v>佐伯市直川大字赤木２３５６</v>
      </c>
      <c r="L1069" s="403" t="s">
        <v>9937</v>
      </c>
      <c r="M1069" s="403" t="s">
        <v>9938</v>
      </c>
      <c r="N1069" s="403" t="s">
        <v>3392</v>
      </c>
      <c r="O1069" s="403" t="s">
        <v>7084</v>
      </c>
      <c r="P1069" s="403" t="s">
        <v>3393</v>
      </c>
      <c r="Q1069" s="403" t="s">
        <v>9939</v>
      </c>
      <c r="R1069" s="403" t="s">
        <v>5572</v>
      </c>
      <c r="S1069" s="403" t="s">
        <v>15925</v>
      </c>
      <c r="T1069" s="403" t="s">
        <v>15926</v>
      </c>
      <c r="U1069" s="403"/>
      <c r="V1069" s="403" t="s">
        <v>23024</v>
      </c>
      <c r="W1069" s="403" t="s">
        <v>23024</v>
      </c>
      <c r="X1069" s="403" t="s">
        <v>23024</v>
      </c>
      <c r="Y1069" s="403" t="s">
        <v>23024</v>
      </c>
    </row>
    <row r="1070" spans="1:25">
      <c r="A1070" s="363">
        <f t="shared" si="135"/>
        <v>1069</v>
      </c>
      <c r="B1070" s="363" t="str">
        <f t="shared" si="128"/>
        <v>44</v>
      </c>
      <c r="C1070" s="405" t="str">
        <f t="shared" si="129"/>
        <v>第010106号</v>
      </c>
      <c r="D1070" s="405" t="str">
        <f t="shared" si="130"/>
        <v>（有）飯田工務店</v>
      </c>
      <c r="E1070" s="405" t="str">
        <f t="shared" si="131"/>
        <v>代表取締役</v>
      </c>
      <c r="F1070" s="405" t="str">
        <f t="shared" si="132"/>
        <v>飯田　友和</v>
      </c>
      <c r="G1070" s="405" t="str">
        <f t="shared" si="133"/>
        <v>主たる営業所</v>
      </c>
      <c r="H1070" s="405" t="str">
        <f t="shared" si="134"/>
        <v>日田市天瀬町合田１９８５</v>
      </c>
      <c r="L1070" s="403" t="s">
        <v>9940</v>
      </c>
      <c r="M1070" s="403" t="s">
        <v>9941</v>
      </c>
      <c r="N1070" s="403" t="s">
        <v>3394</v>
      </c>
      <c r="O1070" s="403" t="s">
        <v>7084</v>
      </c>
      <c r="P1070" s="403" t="s">
        <v>3395</v>
      </c>
      <c r="Q1070" s="403" t="s">
        <v>8377</v>
      </c>
      <c r="R1070" s="403" t="s">
        <v>5573</v>
      </c>
      <c r="S1070" s="403" t="s">
        <v>15927</v>
      </c>
      <c r="T1070" s="403" t="s">
        <v>15928</v>
      </c>
      <c r="U1070" s="403"/>
      <c r="V1070" s="403" t="s">
        <v>23024</v>
      </c>
      <c r="W1070" s="403" t="s">
        <v>23024</v>
      </c>
      <c r="X1070" s="403" t="s">
        <v>23024</v>
      </c>
      <c r="Y1070" s="403" t="s">
        <v>23024</v>
      </c>
    </row>
    <row r="1071" spans="1:25">
      <c r="A1071" s="363">
        <f t="shared" si="135"/>
        <v>1070</v>
      </c>
      <c r="B1071" s="363" t="str">
        <f t="shared" si="128"/>
        <v>44</v>
      </c>
      <c r="C1071" s="405" t="str">
        <f t="shared" si="129"/>
        <v>第010116号</v>
      </c>
      <c r="D1071" s="405" t="str">
        <f t="shared" si="130"/>
        <v>（有）防災サービス</v>
      </c>
      <c r="E1071" s="405" t="str">
        <f t="shared" si="131"/>
        <v>代表取締役</v>
      </c>
      <c r="F1071" s="405" t="str">
        <f t="shared" si="132"/>
        <v>安倍　信義</v>
      </c>
      <c r="G1071" s="405" t="str">
        <f t="shared" si="133"/>
        <v>主たる営業所</v>
      </c>
      <c r="H1071" s="405" t="str">
        <f t="shared" si="134"/>
        <v>大分市ふじが丘南３－８－４</v>
      </c>
      <c r="L1071" s="403" t="s">
        <v>9942</v>
      </c>
      <c r="M1071" s="403" t="s">
        <v>9943</v>
      </c>
      <c r="N1071" s="403" t="s">
        <v>3396</v>
      </c>
      <c r="O1071" s="403" t="s">
        <v>7084</v>
      </c>
      <c r="P1071" s="403" t="s">
        <v>3397</v>
      </c>
      <c r="Q1071" s="403" t="s">
        <v>9944</v>
      </c>
      <c r="R1071" s="403" t="s">
        <v>19459</v>
      </c>
      <c r="S1071" s="403" t="s">
        <v>15929</v>
      </c>
      <c r="T1071" s="403" t="s">
        <v>15930</v>
      </c>
      <c r="U1071" s="403"/>
      <c r="V1071" s="403" t="s">
        <v>23024</v>
      </c>
      <c r="W1071" s="403" t="s">
        <v>23024</v>
      </c>
      <c r="X1071" s="403" t="s">
        <v>23024</v>
      </c>
      <c r="Y1071" s="403" t="s">
        <v>23024</v>
      </c>
    </row>
    <row r="1072" spans="1:25">
      <c r="A1072" s="363">
        <f t="shared" si="135"/>
        <v>1071</v>
      </c>
      <c r="B1072" s="363" t="str">
        <f t="shared" si="128"/>
        <v>44</v>
      </c>
      <c r="C1072" s="405" t="str">
        <f t="shared" si="129"/>
        <v>第010131号</v>
      </c>
      <c r="D1072" s="405" t="str">
        <f t="shared" si="130"/>
        <v>（株）小川工業</v>
      </c>
      <c r="E1072" s="405" t="str">
        <f t="shared" si="131"/>
        <v>代表取締役</v>
      </c>
      <c r="F1072" s="405" t="str">
        <f t="shared" si="132"/>
        <v>小川　智史</v>
      </c>
      <c r="G1072" s="405" t="str">
        <f t="shared" si="133"/>
        <v>主たる営業所</v>
      </c>
      <c r="H1072" s="405" t="str">
        <f t="shared" si="134"/>
        <v>中津市大字今津６４９</v>
      </c>
      <c r="L1072" s="404" t="s">
        <v>9945</v>
      </c>
      <c r="M1072" s="404" t="s">
        <v>9946</v>
      </c>
      <c r="N1072" s="404" t="s">
        <v>3398</v>
      </c>
      <c r="O1072" s="404" t="s">
        <v>7084</v>
      </c>
      <c r="P1072" s="404" t="s">
        <v>5252</v>
      </c>
      <c r="Q1072" s="404" t="s">
        <v>8897</v>
      </c>
      <c r="R1072" s="404" t="s">
        <v>5574</v>
      </c>
      <c r="S1072" s="404" t="s">
        <v>15931</v>
      </c>
      <c r="T1072" s="404" t="s">
        <v>15932</v>
      </c>
      <c r="U1072" s="404"/>
      <c r="V1072" s="404" t="s">
        <v>23024</v>
      </c>
      <c r="W1072" s="404" t="s">
        <v>23024</v>
      </c>
      <c r="X1072" s="404" t="s">
        <v>23024</v>
      </c>
      <c r="Y1072" s="404" t="s">
        <v>23024</v>
      </c>
    </row>
    <row r="1073" spans="1:25">
      <c r="A1073" s="363">
        <f t="shared" si="135"/>
        <v>1072</v>
      </c>
      <c r="B1073" s="363" t="str">
        <f t="shared" si="128"/>
        <v>44</v>
      </c>
      <c r="C1073" s="405" t="str">
        <f t="shared" si="129"/>
        <v>第010134号</v>
      </c>
      <c r="D1073" s="405" t="str">
        <f t="shared" si="130"/>
        <v>（株）豊倉</v>
      </c>
      <c r="E1073" s="405" t="str">
        <f t="shared" si="131"/>
        <v>代表取締役</v>
      </c>
      <c r="F1073" s="405" t="str">
        <f t="shared" si="132"/>
        <v>矢川　哲也</v>
      </c>
      <c r="G1073" s="405" t="str">
        <f t="shared" si="133"/>
        <v>主たる営業所</v>
      </c>
      <c r="H1073" s="405" t="str">
        <f t="shared" si="134"/>
        <v>佐伯市弥生大字上小倉１０８３－１</v>
      </c>
      <c r="L1073" s="402" t="s">
        <v>9947</v>
      </c>
      <c r="M1073" s="402" t="s">
        <v>9948</v>
      </c>
      <c r="N1073" s="402" t="s">
        <v>3399</v>
      </c>
      <c r="O1073" s="402" t="s">
        <v>7084</v>
      </c>
      <c r="P1073" s="402" t="s">
        <v>3400</v>
      </c>
      <c r="Q1073" s="402" t="s">
        <v>9949</v>
      </c>
      <c r="R1073" s="402" t="s">
        <v>19460</v>
      </c>
      <c r="S1073" s="402" t="s">
        <v>15933</v>
      </c>
      <c r="T1073" s="402" t="s">
        <v>15934</v>
      </c>
      <c r="U1073" s="402"/>
      <c r="V1073" s="402" t="s">
        <v>23024</v>
      </c>
      <c r="W1073" s="402" t="s">
        <v>23024</v>
      </c>
      <c r="X1073" s="402" t="s">
        <v>23024</v>
      </c>
      <c r="Y1073" s="402" t="s">
        <v>23024</v>
      </c>
    </row>
    <row r="1074" spans="1:25">
      <c r="A1074" s="363">
        <f t="shared" si="135"/>
        <v>1073</v>
      </c>
      <c r="B1074" s="363" t="str">
        <f t="shared" si="128"/>
        <v>44</v>
      </c>
      <c r="C1074" s="405" t="str">
        <f t="shared" si="129"/>
        <v>第010137号</v>
      </c>
      <c r="D1074" s="405" t="str">
        <f t="shared" si="130"/>
        <v>（有）毛利興業</v>
      </c>
      <c r="E1074" s="405" t="str">
        <f t="shared" si="131"/>
        <v>代表取締役</v>
      </c>
      <c r="F1074" s="405" t="str">
        <f t="shared" si="132"/>
        <v>毛利　忠美</v>
      </c>
      <c r="G1074" s="405" t="str">
        <f t="shared" si="133"/>
        <v>主たる営業所</v>
      </c>
      <c r="H1074" s="405" t="str">
        <f t="shared" si="134"/>
        <v>大分市三佐１－２１－３</v>
      </c>
      <c r="L1074" s="403" t="s">
        <v>9950</v>
      </c>
      <c r="M1074" s="403" t="s">
        <v>9951</v>
      </c>
      <c r="N1074" s="403" t="s">
        <v>3401</v>
      </c>
      <c r="O1074" s="403" t="s">
        <v>7084</v>
      </c>
      <c r="P1074" s="403" t="s">
        <v>3402</v>
      </c>
      <c r="Q1074" s="403" t="s">
        <v>7413</v>
      </c>
      <c r="R1074" s="403" t="s">
        <v>19461</v>
      </c>
      <c r="S1074" s="403" t="s">
        <v>15935</v>
      </c>
      <c r="T1074" s="403" t="s">
        <v>15936</v>
      </c>
      <c r="U1074" s="403"/>
      <c r="V1074" s="403" t="s">
        <v>23024</v>
      </c>
      <c r="W1074" s="403" t="s">
        <v>23024</v>
      </c>
      <c r="X1074" s="403" t="s">
        <v>23024</v>
      </c>
      <c r="Y1074" s="403" t="s">
        <v>23024</v>
      </c>
    </row>
    <row r="1075" spans="1:25">
      <c r="A1075" s="363">
        <f t="shared" si="135"/>
        <v>1074</v>
      </c>
      <c r="B1075" s="363" t="str">
        <f t="shared" si="128"/>
        <v>44</v>
      </c>
      <c r="C1075" s="405" t="str">
        <f t="shared" si="129"/>
        <v>第010147号</v>
      </c>
      <c r="D1075" s="405" t="str">
        <f t="shared" si="130"/>
        <v>東陽緑化（株）</v>
      </c>
      <c r="E1075" s="405" t="str">
        <f t="shared" si="131"/>
        <v>代表取締役</v>
      </c>
      <c r="F1075" s="405" t="str">
        <f t="shared" si="132"/>
        <v>渡邉　周平</v>
      </c>
      <c r="G1075" s="405" t="str">
        <f t="shared" si="133"/>
        <v>主たる営業所</v>
      </c>
      <c r="H1075" s="405" t="str">
        <f t="shared" si="134"/>
        <v>大分市徳島１－７－２３</v>
      </c>
      <c r="L1075" s="403" t="s">
        <v>9952</v>
      </c>
      <c r="M1075" s="403" t="s">
        <v>9953</v>
      </c>
      <c r="N1075" s="403" t="s">
        <v>3403</v>
      </c>
      <c r="O1075" s="403" t="s">
        <v>7084</v>
      </c>
      <c r="P1075" s="403" t="s">
        <v>3404</v>
      </c>
      <c r="Q1075" s="403" t="s">
        <v>7515</v>
      </c>
      <c r="R1075" s="403" t="s">
        <v>19462</v>
      </c>
      <c r="S1075" s="403" t="s">
        <v>15937</v>
      </c>
      <c r="T1075" s="403" t="s">
        <v>15938</v>
      </c>
      <c r="U1075" s="403"/>
      <c r="V1075" s="403" t="s">
        <v>23024</v>
      </c>
      <c r="W1075" s="403" t="s">
        <v>23024</v>
      </c>
      <c r="X1075" s="403" t="s">
        <v>23024</v>
      </c>
      <c r="Y1075" s="403" t="s">
        <v>23024</v>
      </c>
    </row>
    <row r="1076" spans="1:25">
      <c r="A1076" s="363">
        <f t="shared" si="135"/>
        <v>1075</v>
      </c>
      <c r="B1076" s="363" t="str">
        <f t="shared" si="128"/>
        <v>44</v>
      </c>
      <c r="C1076" s="405" t="str">
        <f t="shared" si="129"/>
        <v>第010150号</v>
      </c>
      <c r="D1076" s="405" t="str">
        <f t="shared" si="130"/>
        <v>（有）田中総合建設</v>
      </c>
      <c r="E1076" s="405" t="str">
        <f t="shared" si="131"/>
        <v>代表取締役</v>
      </c>
      <c r="F1076" s="405" t="str">
        <f t="shared" si="132"/>
        <v>田中　志栄</v>
      </c>
      <c r="G1076" s="405" t="str">
        <f t="shared" si="133"/>
        <v>主たる営業所</v>
      </c>
      <c r="H1076" s="405" t="str">
        <f t="shared" si="134"/>
        <v>宇佐市大字蜷木１２９０</v>
      </c>
      <c r="L1076" s="403" t="s">
        <v>9954</v>
      </c>
      <c r="M1076" s="403" t="s">
        <v>9955</v>
      </c>
      <c r="N1076" s="403" t="s">
        <v>3405</v>
      </c>
      <c r="O1076" s="403" t="s">
        <v>7084</v>
      </c>
      <c r="P1076" s="403" t="s">
        <v>3406</v>
      </c>
      <c r="Q1076" s="403" t="s">
        <v>8202</v>
      </c>
      <c r="R1076" s="403" t="s">
        <v>5575</v>
      </c>
      <c r="S1076" s="403" t="s">
        <v>15939</v>
      </c>
      <c r="T1076" s="403" t="s">
        <v>15940</v>
      </c>
      <c r="U1076" s="403"/>
      <c r="V1076" s="403" t="s">
        <v>23024</v>
      </c>
      <c r="W1076" s="403" t="s">
        <v>23024</v>
      </c>
      <c r="X1076" s="403" t="s">
        <v>23024</v>
      </c>
      <c r="Y1076" s="403" t="s">
        <v>23024</v>
      </c>
    </row>
    <row r="1077" spans="1:25">
      <c r="A1077" s="363">
        <f t="shared" si="135"/>
        <v>1076</v>
      </c>
      <c r="B1077" s="363" t="str">
        <f t="shared" si="128"/>
        <v>44</v>
      </c>
      <c r="C1077" s="405" t="str">
        <f t="shared" si="129"/>
        <v>第010152号</v>
      </c>
      <c r="D1077" s="405" t="str">
        <f t="shared" si="130"/>
        <v>（有）ジェイエフエンジニアリング</v>
      </c>
      <c r="E1077" s="405" t="str">
        <f t="shared" si="131"/>
        <v>代表取締役</v>
      </c>
      <c r="F1077" s="405" t="str">
        <f t="shared" si="132"/>
        <v>佐々木　敦夫</v>
      </c>
      <c r="G1077" s="405" t="str">
        <f t="shared" si="133"/>
        <v>主たる営業所</v>
      </c>
      <c r="H1077" s="405" t="str">
        <f t="shared" si="134"/>
        <v>大分市三川上１－１－１５</v>
      </c>
      <c r="L1077" s="403" t="s">
        <v>9956</v>
      </c>
      <c r="M1077" s="403" t="s">
        <v>9957</v>
      </c>
      <c r="N1077" s="403" t="s">
        <v>3407</v>
      </c>
      <c r="O1077" s="403" t="s">
        <v>7084</v>
      </c>
      <c r="P1077" s="403" t="s">
        <v>3408</v>
      </c>
      <c r="Q1077" s="403" t="s">
        <v>8753</v>
      </c>
      <c r="R1077" s="403" t="s">
        <v>19463</v>
      </c>
      <c r="S1077" s="403" t="s">
        <v>15941</v>
      </c>
      <c r="T1077" s="403" t="s">
        <v>15942</v>
      </c>
      <c r="U1077" s="403"/>
      <c r="V1077" s="403" t="s">
        <v>23024</v>
      </c>
      <c r="W1077" s="403" t="s">
        <v>23024</v>
      </c>
      <c r="X1077" s="403" t="s">
        <v>23024</v>
      </c>
      <c r="Y1077" s="403" t="s">
        <v>23024</v>
      </c>
    </row>
    <row r="1078" spans="1:25">
      <c r="A1078" s="363">
        <f t="shared" si="135"/>
        <v>1077</v>
      </c>
      <c r="B1078" s="363" t="str">
        <f t="shared" si="128"/>
        <v>44</v>
      </c>
      <c r="C1078" s="405" t="str">
        <f t="shared" si="129"/>
        <v>第010161号</v>
      </c>
      <c r="D1078" s="405" t="str">
        <f t="shared" si="130"/>
        <v>（有）泉水緑化産業</v>
      </c>
      <c r="E1078" s="405" t="str">
        <f t="shared" si="131"/>
        <v>代表取締役</v>
      </c>
      <c r="F1078" s="405" t="str">
        <f t="shared" si="132"/>
        <v>熊谷　大志郎</v>
      </c>
      <c r="G1078" s="405" t="str">
        <f t="shared" si="133"/>
        <v>主たる営業所</v>
      </c>
      <c r="H1078" s="405" t="str">
        <f t="shared" si="134"/>
        <v>玖珠郡九重町大字湯坪９４５</v>
      </c>
      <c r="L1078" s="403" t="s">
        <v>9958</v>
      </c>
      <c r="M1078" s="403" t="s">
        <v>9959</v>
      </c>
      <c r="N1078" s="403" t="s">
        <v>3409</v>
      </c>
      <c r="O1078" s="403" t="s">
        <v>7084</v>
      </c>
      <c r="P1078" s="403" t="s">
        <v>3410</v>
      </c>
      <c r="Q1078" s="403" t="s">
        <v>9960</v>
      </c>
      <c r="R1078" s="403" t="s">
        <v>5576</v>
      </c>
      <c r="S1078" s="403" t="s">
        <v>15943</v>
      </c>
      <c r="T1078" s="403" t="s">
        <v>15944</v>
      </c>
      <c r="U1078" s="403"/>
      <c r="V1078" s="403" t="s">
        <v>23024</v>
      </c>
      <c r="W1078" s="403" t="s">
        <v>23024</v>
      </c>
      <c r="X1078" s="403" t="s">
        <v>23024</v>
      </c>
      <c r="Y1078" s="403" t="s">
        <v>23024</v>
      </c>
    </row>
    <row r="1079" spans="1:25">
      <c r="A1079" s="363">
        <f t="shared" si="135"/>
        <v>1078</v>
      </c>
      <c r="B1079" s="363" t="str">
        <f t="shared" si="128"/>
        <v>44</v>
      </c>
      <c r="C1079" s="405" t="str">
        <f t="shared" si="129"/>
        <v>第010163号</v>
      </c>
      <c r="D1079" s="405" t="str">
        <f t="shared" si="130"/>
        <v>（有）矢野硝子店</v>
      </c>
      <c r="E1079" s="405" t="str">
        <f t="shared" si="131"/>
        <v>代表取締役</v>
      </c>
      <c r="F1079" s="405" t="str">
        <f t="shared" si="132"/>
        <v>新尾　伸樹</v>
      </c>
      <c r="G1079" s="405" t="str">
        <f t="shared" si="133"/>
        <v>主たる営業所</v>
      </c>
      <c r="H1079" s="405" t="str">
        <f t="shared" si="134"/>
        <v>中津市田尻崎８－４</v>
      </c>
      <c r="L1079" s="403" t="s">
        <v>9961</v>
      </c>
      <c r="M1079" s="403" t="s">
        <v>9962</v>
      </c>
      <c r="N1079" s="403" t="s">
        <v>3411</v>
      </c>
      <c r="O1079" s="403" t="s">
        <v>7084</v>
      </c>
      <c r="P1079" s="403" t="s">
        <v>3412</v>
      </c>
      <c r="Q1079" s="403" t="s">
        <v>8072</v>
      </c>
      <c r="R1079" s="403" t="s">
        <v>19464</v>
      </c>
      <c r="S1079" s="403" t="s">
        <v>15945</v>
      </c>
      <c r="T1079" s="403" t="s">
        <v>15946</v>
      </c>
      <c r="U1079" s="403"/>
      <c r="V1079" s="403" t="s">
        <v>23024</v>
      </c>
      <c r="W1079" s="403" t="s">
        <v>23024</v>
      </c>
      <c r="X1079" s="403" t="s">
        <v>23024</v>
      </c>
      <c r="Y1079" s="403" t="s">
        <v>23024</v>
      </c>
    </row>
    <row r="1080" spans="1:25">
      <c r="A1080" s="363">
        <f t="shared" si="135"/>
        <v>1079</v>
      </c>
      <c r="B1080" s="363" t="str">
        <f t="shared" si="128"/>
        <v>44</v>
      </c>
      <c r="C1080" s="405" t="str">
        <f t="shared" si="129"/>
        <v>第010167号</v>
      </c>
      <c r="D1080" s="405" t="str">
        <f t="shared" si="130"/>
        <v>（株）土井</v>
      </c>
      <c r="E1080" s="405" t="str">
        <f t="shared" si="131"/>
        <v>代表取締役</v>
      </c>
      <c r="F1080" s="405" t="str">
        <f t="shared" si="132"/>
        <v>土井　重巳</v>
      </c>
      <c r="G1080" s="405" t="str">
        <f t="shared" si="133"/>
        <v>主たる営業所</v>
      </c>
      <c r="H1080" s="405" t="str">
        <f t="shared" si="134"/>
        <v>大分市大字一木１２１２－６０</v>
      </c>
      <c r="L1080" s="403" t="s">
        <v>9963</v>
      </c>
      <c r="M1080" s="403" t="s">
        <v>9964</v>
      </c>
      <c r="N1080" s="403" t="s">
        <v>3413</v>
      </c>
      <c r="O1080" s="403" t="s">
        <v>7084</v>
      </c>
      <c r="P1080" s="403" t="s">
        <v>3414</v>
      </c>
      <c r="Q1080" s="403" t="s">
        <v>7501</v>
      </c>
      <c r="R1080" s="403" t="s">
        <v>19465</v>
      </c>
      <c r="S1080" s="403" t="s">
        <v>15947</v>
      </c>
      <c r="T1080" s="403" t="s">
        <v>15948</v>
      </c>
      <c r="U1080" s="403"/>
      <c r="V1080" s="403" t="s">
        <v>23024</v>
      </c>
      <c r="W1080" s="403" t="s">
        <v>23024</v>
      </c>
      <c r="X1080" s="403" t="s">
        <v>23024</v>
      </c>
      <c r="Y1080" s="403" t="s">
        <v>23024</v>
      </c>
    </row>
    <row r="1081" spans="1:25">
      <c r="A1081" s="363">
        <f t="shared" si="135"/>
        <v>1080</v>
      </c>
      <c r="B1081" s="363" t="str">
        <f t="shared" si="128"/>
        <v>44</v>
      </c>
      <c r="C1081" s="405" t="str">
        <f t="shared" si="129"/>
        <v>第010170号</v>
      </c>
      <c r="D1081" s="405" t="str">
        <f t="shared" si="130"/>
        <v>（有）旭建設工業</v>
      </c>
      <c r="E1081" s="405" t="str">
        <f t="shared" si="131"/>
        <v>代表取締役</v>
      </c>
      <c r="F1081" s="405" t="str">
        <f t="shared" si="132"/>
        <v>工藤　未来</v>
      </c>
      <c r="G1081" s="405" t="str">
        <f t="shared" si="133"/>
        <v>主たる営業所</v>
      </c>
      <c r="H1081" s="405" t="str">
        <f t="shared" si="134"/>
        <v>佐伯市本匠大字波寄１７０５</v>
      </c>
      <c r="L1081" s="403" t="s">
        <v>9965</v>
      </c>
      <c r="M1081" s="403" t="s">
        <v>9966</v>
      </c>
      <c r="N1081" s="403" t="s">
        <v>3415</v>
      </c>
      <c r="O1081" s="403" t="s">
        <v>7084</v>
      </c>
      <c r="P1081" s="403" t="s">
        <v>3416</v>
      </c>
      <c r="Q1081" s="403" t="s">
        <v>9967</v>
      </c>
      <c r="R1081" s="403" t="s">
        <v>5577</v>
      </c>
      <c r="S1081" s="403" t="s">
        <v>15949</v>
      </c>
      <c r="T1081" s="403" t="s">
        <v>15950</v>
      </c>
      <c r="U1081" s="403"/>
      <c r="V1081" s="403" t="s">
        <v>23024</v>
      </c>
      <c r="W1081" s="403" t="s">
        <v>23024</v>
      </c>
      <c r="X1081" s="403" t="s">
        <v>23024</v>
      </c>
      <c r="Y1081" s="403" t="s">
        <v>23024</v>
      </c>
    </row>
    <row r="1082" spans="1:25">
      <c r="A1082" s="363">
        <f t="shared" si="135"/>
        <v>1081</v>
      </c>
      <c r="B1082" s="363" t="str">
        <f t="shared" si="128"/>
        <v>44</v>
      </c>
      <c r="C1082" s="405" t="str">
        <f t="shared" si="129"/>
        <v>第010175号</v>
      </c>
      <c r="D1082" s="405" t="str">
        <f t="shared" si="130"/>
        <v>（有）井上塗装</v>
      </c>
      <c r="E1082" s="405" t="str">
        <f t="shared" si="131"/>
        <v>代表取締役</v>
      </c>
      <c r="F1082" s="405" t="str">
        <f t="shared" si="132"/>
        <v>井上　金作</v>
      </c>
      <c r="G1082" s="405" t="str">
        <f t="shared" si="133"/>
        <v>主たる営業所</v>
      </c>
      <c r="H1082" s="405" t="str">
        <f t="shared" si="134"/>
        <v>日田市大字東有田２０７７－１</v>
      </c>
      <c r="L1082" s="403" t="s">
        <v>9968</v>
      </c>
      <c r="M1082" s="403" t="s">
        <v>9969</v>
      </c>
      <c r="N1082" s="403" t="s">
        <v>3417</v>
      </c>
      <c r="O1082" s="403" t="s">
        <v>7084</v>
      </c>
      <c r="P1082" s="403" t="s">
        <v>3418</v>
      </c>
      <c r="Q1082" s="403" t="s">
        <v>9970</v>
      </c>
      <c r="R1082" s="403" t="s">
        <v>19466</v>
      </c>
      <c r="S1082" s="403" t="s">
        <v>15951</v>
      </c>
      <c r="T1082" s="403" t="s">
        <v>15952</v>
      </c>
      <c r="U1082" s="403"/>
      <c r="V1082" s="403" t="s">
        <v>23024</v>
      </c>
      <c r="W1082" s="403" t="s">
        <v>23024</v>
      </c>
      <c r="X1082" s="403" t="s">
        <v>23024</v>
      </c>
      <c r="Y1082" s="403" t="s">
        <v>23024</v>
      </c>
    </row>
    <row r="1083" spans="1:25">
      <c r="A1083" s="363">
        <f t="shared" si="135"/>
        <v>1082</v>
      </c>
      <c r="B1083" s="363" t="str">
        <f t="shared" si="128"/>
        <v>44</v>
      </c>
      <c r="C1083" s="405" t="str">
        <f t="shared" si="129"/>
        <v>第010176号</v>
      </c>
      <c r="D1083" s="405" t="str">
        <f t="shared" si="130"/>
        <v>（有）野上工務店</v>
      </c>
      <c r="E1083" s="405" t="str">
        <f t="shared" si="131"/>
        <v>取締役</v>
      </c>
      <c r="F1083" s="405" t="str">
        <f t="shared" si="132"/>
        <v>野上　悟</v>
      </c>
      <c r="G1083" s="405" t="str">
        <f t="shared" si="133"/>
        <v>主たる営業所</v>
      </c>
      <c r="H1083" s="405" t="str">
        <f t="shared" si="134"/>
        <v>日田市大字北豆田１７７７－１</v>
      </c>
      <c r="L1083" s="403" t="s">
        <v>9971</v>
      </c>
      <c r="M1083" s="403" t="s">
        <v>9972</v>
      </c>
      <c r="N1083" s="403" t="s">
        <v>3419</v>
      </c>
      <c r="O1083" s="403" t="s">
        <v>7085</v>
      </c>
      <c r="P1083" s="403" t="s">
        <v>3420</v>
      </c>
      <c r="Q1083" s="403" t="s">
        <v>8570</v>
      </c>
      <c r="R1083" s="403" t="s">
        <v>19467</v>
      </c>
      <c r="S1083" s="403" t="s">
        <v>15953</v>
      </c>
      <c r="T1083" s="403" t="s">
        <v>15954</v>
      </c>
      <c r="U1083" s="403"/>
      <c r="V1083" s="403" t="s">
        <v>23024</v>
      </c>
      <c r="W1083" s="403" t="s">
        <v>23024</v>
      </c>
      <c r="X1083" s="403" t="s">
        <v>23024</v>
      </c>
      <c r="Y1083" s="403" t="s">
        <v>23024</v>
      </c>
    </row>
    <row r="1084" spans="1:25">
      <c r="A1084" s="363">
        <f t="shared" si="135"/>
        <v>1083</v>
      </c>
      <c r="B1084" s="363" t="str">
        <f t="shared" si="128"/>
        <v>44</v>
      </c>
      <c r="C1084" s="405" t="str">
        <f t="shared" si="129"/>
        <v>第010191号</v>
      </c>
      <c r="D1084" s="405" t="str">
        <f t="shared" si="130"/>
        <v>合谷造園（有）</v>
      </c>
      <c r="E1084" s="405" t="str">
        <f t="shared" si="131"/>
        <v>代表取締役</v>
      </c>
      <c r="F1084" s="405" t="str">
        <f t="shared" si="132"/>
        <v>合谷　哲夫</v>
      </c>
      <c r="G1084" s="405" t="str">
        <f t="shared" si="133"/>
        <v>主たる営業所</v>
      </c>
      <c r="H1084" s="405" t="str">
        <f t="shared" si="134"/>
        <v>日田市大字十二町８２－１</v>
      </c>
      <c r="L1084" s="403" t="s">
        <v>9973</v>
      </c>
      <c r="M1084" s="403" t="s">
        <v>9974</v>
      </c>
      <c r="N1084" s="403" t="s">
        <v>3421</v>
      </c>
      <c r="O1084" s="403" t="s">
        <v>7084</v>
      </c>
      <c r="P1084" s="403" t="s">
        <v>3422</v>
      </c>
      <c r="Q1084" s="403" t="s">
        <v>8556</v>
      </c>
      <c r="R1084" s="403" t="s">
        <v>19468</v>
      </c>
      <c r="S1084" s="403" t="s">
        <v>15955</v>
      </c>
      <c r="T1084" s="403" t="s">
        <v>15956</v>
      </c>
      <c r="U1084" s="403"/>
      <c r="V1084" s="403" t="s">
        <v>23024</v>
      </c>
      <c r="W1084" s="403" t="s">
        <v>23024</v>
      </c>
      <c r="X1084" s="403" t="s">
        <v>23024</v>
      </c>
      <c r="Y1084" s="403" t="s">
        <v>23024</v>
      </c>
    </row>
    <row r="1085" spans="1:25">
      <c r="A1085" s="363">
        <f t="shared" si="135"/>
        <v>1084</v>
      </c>
      <c r="B1085" s="363" t="str">
        <f t="shared" si="128"/>
        <v>44</v>
      </c>
      <c r="C1085" s="405" t="str">
        <f t="shared" si="129"/>
        <v>第010204号</v>
      </c>
      <c r="D1085" s="405" t="str">
        <f t="shared" si="130"/>
        <v>（有）建装</v>
      </c>
      <c r="E1085" s="405" t="str">
        <f t="shared" si="131"/>
        <v>代表取締役</v>
      </c>
      <c r="F1085" s="405" t="str">
        <f t="shared" si="132"/>
        <v>増山　幸宣</v>
      </c>
      <c r="G1085" s="405" t="str">
        <f t="shared" si="133"/>
        <v>主たる営業所</v>
      </c>
      <c r="H1085" s="405" t="str">
        <f t="shared" si="134"/>
        <v>竹田市大字玉来７７９－１</v>
      </c>
      <c r="L1085" s="403" t="s">
        <v>9975</v>
      </c>
      <c r="M1085" s="403" t="s">
        <v>9976</v>
      </c>
      <c r="N1085" s="403" t="s">
        <v>3423</v>
      </c>
      <c r="O1085" s="403" t="s">
        <v>7084</v>
      </c>
      <c r="P1085" s="403" t="s">
        <v>3424</v>
      </c>
      <c r="Q1085" s="403" t="s">
        <v>7965</v>
      </c>
      <c r="R1085" s="403" t="s">
        <v>19469</v>
      </c>
      <c r="S1085" s="403" t="s">
        <v>15957</v>
      </c>
      <c r="T1085" s="403" t="s">
        <v>15958</v>
      </c>
      <c r="U1085" s="403"/>
      <c r="V1085" s="403" t="s">
        <v>23024</v>
      </c>
      <c r="W1085" s="403" t="s">
        <v>23024</v>
      </c>
      <c r="X1085" s="403" t="s">
        <v>23024</v>
      </c>
      <c r="Y1085" s="403" t="s">
        <v>23024</v>
      </c>
    </row>
    <row r="1086" spans="1:25">
      <c r="A1086" s="363">
        <f t="shared" si="135"/>
        <v>1085</v>
      </c>
      <c r="B1086" s="363" t="str">
        <f t="shared" si="128"/>
        <v>44</v>
      </c>
      <c r="C1086" s="405" t="str">
        <f t="shared" si="129"/>
        <v>第010207号</v>
      </c>
      <c r="D1086" s="405" t="str">
        <f t="shared" si="130"/>
        <v>（有）豊田商会</v>
      </c>
      <c r="E1086" s="405" t="str">
        <f t="shared" si="131"/>
        <v>代表取締役</v>
      </c>
      <c r="F1086" s="405" t="str">
        <f t="shared" si="132"/>
        <v>豊田　弘</v>
      </c>
      <c r="G1086" s="405" t="str">
        <f t="shared" si="133"/>
        <v>主たる営業所</v>
      </c>
      <c r="H1086" s="405" t="str">
        <f t="shared" si="134"/>
        <v>大分市古ケ鶴２－５－６</v>
      </c>
      <c r="L1086" s="403" t="s">
        <v>9977</v>
      </c>
      <c r="M1086" s="403" t="s">
        <v>9978</v>
      </c>
      <c r="N1086" s="403" t="s">
        <v>3425</v>
      </c>
      <c r="O1086" s="403" t="s">
        <v>7084</v>
      </c>
      <c r="P1086" s="403" t="s">
        <v>3426</v>
      </c>
      <c r="Q1086" s="403" t="s">
        <v>9979</v>
      </c>
      <c r="R1086" s="403" t="s">
        <v>19470</v>
      </c>
      <c r="S1086" s="403" t="s">
        <v>15959</v>
      </c>
      <c r="T1086" s="403" t="s">
        <v>15960</v>
      </c>
      <c r="U1086" s="403"/>
      <c r="V1086" s="403" t="s">
        <v>23024</v>
      </c>
      <c r="W1086" s="403" t="s">
        <v>23024</v>
      </c>
      <c r="X1086" s="403" t="s">
        <v>23024</v>
      </c>
      <c r="Y1086" s="403" t="s">
        <v>23024</v>
      </c>
    </row>
    <row r="1087" spans="1:25">
      <c r="A1087" s="363">
        <f t="shared" si="135"/>
        <v>1086</v>
      </c>
      <c r="B1087" s="363" t="str">
        <f t="shared" si="128"/>
        <v>44</v>
      </c>
      <c r="C1087" s="405" t="str">
        <f t="shared" si="129"/>
        <v>第010209号</v>
      </c>
      <c r="D1087" s="405" t="str">
        <f t="shared" si="130"/>
        <v>（有）イーグル工業</v>
      </c>
      <c r="E1087" s="405" t="str">
        <f t="shared" si="131"/>
        <v>代表取締役</v>
      </c>
      <c r="F1087" s="405" t="str">
        <f t="shared" si="132"/>
        <v>釘宮　強</v>
      </c>
      <c r="G1087" s="405" t="str">
        <f t="shared" si="133"/>
        <v>主たる営業所</v>
      </c>
      <c r="H1087" s="405" t="str">
        <f t="shared" si="134"/>
        <v>大分市大字関園９６２－２</v>
      </c>
      <c r="L1087" s="403" t="s">
        <v>19471</v>
      </c>
      <c r="M1087" s="403" t="s">
        <v>19472</v>
      </c>
      <c r="N1087" s="403" t="s">
        <v>19473</v>
      </c>
      <c r="O1087" s="403" t="s">
        <v>7084</v>
      </c>
      <c r="P1087" s="403" t="s">
        <v>19474</v>
      </c>
      <c r="Q1087" s="403" t="s">
        <v>8332</v>
      </c>
      <c r="R1087" s="403" t="s">
        <v>19475</v>
      </c>
      <c r="S1087" s="403" t="s">
        <v>19476</v>
      </c>
      <c r="T1087" s="403" t="s">
        <v>19477</v>
      </c>
      <c r="U1087" s="403"/>
      <c r="V1087" s="403" t="s">
        <v>23024</v>
      </c>
      <c r="W1087" s="403" t="s">
        <v>23024</v>
      </c>
      <c r="X1087" s="403" t="s">
        <v>23024</v>
      </c>
      <c r="Y1087" s="403" t="s">
        <v>23024</v>
      </c>
    </row>
    <row r="1088" spans="1:25">
      <c r="A1088" s="363">
        <f t="shared" si="135"/>
        <v>1087</v>
      </c>
      <c r="B1088" s="363" t="str">
        <f t="shared" si="128"/>
        <v>44</v>
      </c>
      <c r="C1088" s="405" t="str">
        <f t="shared" si="129"/>
        <v>第010214号</v>
      </c>
      <c r="D1088" s="405" t="str">
        <f t="shared" si="130"/>
        <v>（株）江藤製作所</v>
      </c>
      <c r="E1088" s="405" t="str">
        <f t="shared" si="131"/>
        <v>代表取締役</v>
      </c>
      <c r="F1088" s="405" t="str">
        <f t="shared" si="132"/>
        <v>神品　誠治</v>
      </c>
      <c r="G1088" s="405" t="str">
        <f t="shared" si="133"/>
        <v>主たる営業所</v>
      </c>
      <c r="H1088" s="405" t="str">
        <f t="shared" si="134"/>
        <v>大分市乙津町４－７</v>
      </c>
      <c r="L1088" s="403" t="s">
        <v>9980</v>
      </c>
      <c r="M1088" s="403" t="s">
        <v>9981</v>
      </c>
      <c r="N1088" s="403" t="s">
        <v>3427</v>
      </c>
      <c r="O1088" s="403" t="s">
        <v>7084</v>
      </c>
      <c r="P1088" s="403" t="s">
        <v>3428</v>
      </c>
      <c r="Q1088" s="403" t="s">
        <v>9672</v>
      </c>
      <c r="R1088" s="403" t="s">
        <v>19478</v>
      </c>
      <c r="S1088" s="403" t="s">
        <v>15961</v>
      </c>
      <c r="T1088" s="403" t="s">
        <v>15962</v>
      </c>
      <c r="U1088" s="403"/>
      <c r="V1088" s="403" t="s">
        <v>23024</v>
      </c>
      <c r="W1088" s="403" t="s">
        <v>23024</v>
      </c>
      <c r="X1088" s="403" t="s">
        <v>23024</v>
      </c>
      <c r="Y1088" s="403" t="s">
        <v>23024</v>
      </c>
    </row>
    <row r="1089" spans="1:25">
      <c r="A1089" s="363">
        <f t="shared" si="135"/>
        <v>1088</v>
      </c>
      <c r="B1089" s="363" t="str">
        <f t="shared" si="128"/>
        <v>44</v>
      </c>
      <c r="C1089" s="405" t="str">
        <f t="shared" si="129"/>
        <v>第010226号</v>
      </c>
      <c r="D1089" s="405" t="str">
        <f t="shared" si="130"/>
        <v>（株）イズミ電機</v>
      </c>
      <c r="E1089" s="405" t="str">
        <f t="shared" si="131"/>
        <v>代表取締役</v>
      </c>
      <c r="F1089" s="405" t="str">
        <f t="shared" si="132"/>
        <v>泉　浩司</v>
      </c>
      <c r="G1089" s="405" t="str">
        <f t="shared" si="133"/>
        <v>主たる営業所</v>
      </c>
      <c r="H1089" s="405" t="str">
        <f t="shared" si="134"/>
        <v>大分市西鶴崎２－７－１７</v>
      </c>
      <c r="L1089" s="403" t="s">
        <v>9982</v>
      </c>
      <c r="M1089" s="403" t="s">
        <v>9983</v>
      </c>
      <c r="N1089" s="403" t="s">
        <v>3429</v>
      </c>
      <c r="O1089" s="403" t="s">
        <v>7084</v>
      </c>
      <c r="P1089" s="403" t="s">
        <v>3430</v>
      </c>
      <c r="Q1089" s="403" t="s">
        <v>9984</v>
      </c>
      <c r="R1089" s="403" t="s">
        <v>19479</v>
      </c>
      <c r="S1089" s="403" t="s">
        <v>15963</v>
      </c>
      <c r="T1089" s="403" t="s">
        <v>15964</v>
      </c>
      <c r="U1089" s="403"/>
      <c r="V1089" s="403" t="s">
        <v>23024</v>
      </c>
      <c r="W1089" s="403" t="s">
        <v>23024</v>
      </c>
      <c r="X1089" s="403" t="s">
        <v>23024</v>
      </c>
      <c r="Y1089" s="403" t="s">
        <v>23024</v>
      </c>
    </row>
    <row r="1090" spans="1:25">
      <c r="A1090" s="363">
        <f t="shared" si="135"/>
        <v>1089</v>
      </c>
      <c r="B1090" s="363" t="str">
        <f t="shared" ref="B1090:B1153" si="136">LEFT(L1090,2)</f>
        <v>44</v>
      </c>
      <c r="C1090" s="405" t="str">
        <f t="shared" ref="C1090:C1153" si="137">IF(B1090="","","第"&amp;RIGHT(L1090,6)&amp;"号")</f>
        <v>第010227号</v>
      </c>
      <c r="D1090" s="405" t="str">
        <f t="shared" ref="D1090:D1153" si="138">N1090</f>
        <v>（株）明研</v>
      </c>
      <c r="E1090" s="405" t="str">
        <f t="shared" ref="E1090:E1153" si="139">IF(V1090="　",O1090,"")</f>
        <v>代表取締役</v>
      </c>
      <c r="F1090" s="405" t="str">
        <f t="shared" ref="F1090:F1153" si="140">IF(V1090="　",P1090,W1090)</f>
        <v>後藤　謙治</v>
      </c>
      <c r="G1090" s="405" t="str">
        <f t="shared" ref="G1090:G1153" si="141">IF(V1090="　","主たる営業所",V1090)</f>
        <v>主たる営業所</v>
      </c>
      <c r="H1090" s="405" t="str">
        <f t="shared" ref="H1090:H1153" si="142">IF(V1090="　",R1090,Y1090)</f>
        <v>大分市大字片島４４４－１</v>
      </c>
      <c r="L1090" s="403" t="s">
        <v>9985</v>
      </c>
      <c r="M1090" s="403" t="s">
        <v>8485</v>
      </c>
      <c r="N1090" s="403" t="s">
        <v>3431</v>
      </c>
      <c r="O1090" s="403" t="s">
        <v>7084</v>
      </c>
      <c r="P1090" s="403" t="s">
        <v>3432</v>
      </c>
      <c r="Q1090" s="403" t="s">
        <v>8687</v>
      </c>
      <c r="R1090" s="403" t="s">
        <v>19480</v>
      </c>
      <c r="S1090" s="403" t="s">
        <v>15965</v>
      </c>
      <c r="T1090" s="403" t="s">
        <v>15966</v>
      </c>
      <c r="U1090" s="403"/>
      <c r="V1090" s="403" t="s">
        <v>23024</v>
      </c>
      <c r="W1090" s="403" t="s">
        <v>23024</v>
      </c>
      <c r="X1090" s="403" t="s">
        <v>23024</v>
      </c>
      <c r="Y1090" s="403" t="s">
        <v>23024</v>
      </c>
    </row>
    <row r="1091" spans="1:25">
      <c r="A1091" s="363">
        <f t="shared" ref="A1091:A1154" si="143">IF(B1091="","",A1090+1)</f>
        <v>1090</v>
      </c>
      <c r="B1091" s="363" t="str">
        <f t="shared" si="136"/>
        <v>44</v>
      </c>
      <c r="C1091" s="405" t="str">
        <f t="shared" si="137"/>
        <v>第010234号</v>
      </c>
      <c r="D1091" s="405" t="str">
        <f t="shared" si="138"/>
        <v>修進建設（有）</v>
      </c>
      <c r="E1091" s="405" t="str">
        <f t="shared" si="139"/>
        <v>代表取締役</v>
      </c>
      <c r="F1091" s="405" t="str">
        <f t="shared" si="140"/>
        <v>木元　修司</v>
      </c>
      <c r="G1091" s="405" t="str">
        <f t="shared" si="141"/>
        <v>主たる営業所</v>
      </c>
      <c r="H1091" s="405" t="str">
        <f t="shared" si="142"/>
        <v>大分市大字福良４８３</v>
      </c>
      <c r="L1091" s="403" t="s">
        <v>9986</v>
      </c>
      <c r="M1091" s="403" t="s">
        <v>9987</v>
      </c>
      <c r="N1091" s="403" t="s">
        <v>3433</v>
      </c>
      <c r="O1091" s="403" t="s">
        <v>7084</v>
      </c>
      <c r="P1091" s="403" t="s">
        <v>3434</v>
      </c>
      <c r="Q1091" s="403" t="s">
        <v>9988</v>
      </c>
      <c r="R1091" s="403" t="s">
        <v>5578</v>
      </c>
      <c r="S1091" s="403" t="s">
        <v>15967</v>
      </c>
      <c r="T1091" s="403" t="s">
        <v>15968</v>
      </c>
      <c r="U1091" s="403"/>
      <c r="V1091" s="403" t="s">
        <v>23024</v>
      </c>
      <c r="W1091" s="403" t="s">
        <v>23024</v>
      </c>
      <c r="X1091" s="403" t="s">
        <v>23024</v>
      </c>
      <c r="Y1091" s="403" t="s">
        <v>23024</v>
      </c>
    </row>
    <row r="1092" spans="1:25">
      <c r="A1092" s="363">
        <f t="shared" si="143"/>
        <v>1091</v>
      </c>
      <c r="B1092" s="363" t="str">
        <f t="shared" si="136"/>
        <v>44</v>
      </c>
      <c r="C1092" s="405" t="str">
        <f t="shared" si="137"/>
        <v>第010236号</v>
      </c>
      <c r="D1092" s="405" t="str">
        <f t="shared" si="138"/>
        <v>（有）伊藤水道工業所</v>
      </c>
      <c r="E1092" s="405" t="str">
        <f t="shared" si="139"/>
        <v>代表取締役</v>
      </c>
      <c r="F1092" s="405" t="str">
        <f t="shared" si="140"/>
        <v>伊藤　美智子</v>
      </c>
      <c r="G1092" s="405" t="str">
        <f t="shared" si="141"/>
        <v>主たる営業所</v>
      </c>
      <c r="H1092" s="405" t="str">
        <f t="shared" si="142"/>
        <v>別府市大字鶴見６６－６</v>
      </c>
      <c r="L1092" s="403" t="s">
        <v>9989</v>
      </c>
      <c r="M1092" s="403" t="s">
        <v>9990</v>
      </c>
      <c r="N1092" s="403" t="s">
        <v>3435</v>
      </c>
      <c r="O1092" s="403" t="s">
        <v>7084</v>
      </c>
      <c r="P1092" s="403" t="s">
        <v>3436</v>
      </c>
      <c r="Q1092" s="403" t="s">
        <v>9415</v>
      </c>
      <c r="R1092" s="403" t="s">
        <v>19481</v>
      </c>
      <c r="S1092" s="403" t="s">
        <v>15969</v>
      </c>
      <c r="T1092" s="403" t="s">
        <v>15970</v>
      </c>
      <c r="U1092" s="403"/>
      <c r="V1092" s="403" t="s">
        <v>23024</v>
      </c>
      <c r="W1092" s="403" t="s">
        <v>23024</v>
      </c>
      <c r="X1092" s="403" t="s">
        <v>23024</v>
      </c>
      <c r="Y1092" s="403" t="s">
        <v>23024</v>
      </c>
    </row>
    <row r="1093" spans="1:25">
      <c r="A1093" s="363">
        <f t="shared" si="143"/>
        <v>1092</v>
      </c>
      <c r="B1093" s="363" t="str">
        <f t="shared" si="136"/>
        <v>44</v>
      </c>
      <c r="C1093" s="405" t="str">
        <f t="shared" si="137"/>
        <v>第010255号</v>
      </c>
      <c r="D1093" s="405" t="str">
        <f t="shared" si="138"/>
        <v>（株）ノガミ住建</v>
      </c>
      <c r="E1093" s="405" t="str">
        <f t="shared" si="139"/>
        <v>代表取締役</v>
      </c>
      <c r="F1093" s="405" t="str">
        <f t="shared" si="140"/>
        <v>野上　隆市</v>
      </c>
      <c r="G1093" s="405" t="str">
        <f t="shared" si="141"/>
        <v>主たる営業所</v>
      </c>
      <c r="H1093" s="405" t="str">
        <f t="shared" si="142"/>
        <v>大分市寺崎町１－６－９</v>
      </c>
      <c r="L1093" s="403" t="s">
        <v>9991</v>
      </c>
      <c r="M1093" s="403" t="s">
        <v>9992</v>
      </c>
      <c r="N1093" s="403" t="s">
        <v>3437</v>
      </c>
      <c r="O1093" s="403" t="s">
        <v>7084</v>
      </c>
      <c r="P1093" s="403" t="s">
        <v>3438</v>
      </c>
      <c r="Q1093" s="403" t="s">
        <v>7316</v>
      </c>
      <c r="R1093" s="403" t="s">
        <v>19482</v>
      </c>
      <c r="S1093" s="403" t="s">
        <v>15971</v>
      </c>
      <c r="T1093" s="403" t="s">
        <v>15972</v>
      </c>
      <c r="U1093" s="403"/>
      <c r="V1093" s="403" t="s">
        <v>23024</v>
      </c>
      <c r="W1093" s="403" t="s">
        <v>23024</v>
      </c>
      <c r="X1093" s="403" t="s">
        <v>23024</v>
      </c>
      <c r="Y1093" s="403" t="s">
        <v>23024</v>
      </c>
    </row>
    <row r="1094" spans="1:25">
      <c r="A1094" s="363">
        <f t="shared" si="143"/>
        <v>1093</v>
      </c>
      <c r="B1094" s="363" t="str">
        <f t="shared" si="136"/>
        <v>44</v>
      </c>
      <c r="C1094" s="405" t="str">
        <f t="shared" si="137"/>
        <v>第010276号</v>
      </c>
      <c r="D1094" s="405" t="str">
        <f t="shared" si="138"/>
        <v>（有）小島建設</v>
      </c>
      <c r="E1094" s="405" t="str">
        <f t="shared" si="139"/>
        <v>取締役</v>
      </c>
      <c r="F1094" s="405" t="str">
        <f t="shared" si="140"/>
        <v>大矢　直人</v>
      </c>
      <c r="G1094" s="405" t="str">
        <f t="shared" si="141"/>
        <v>主たる営業所</v>
      </c>
      <c r="H1094" s="405" t="str">
        <f t="shared" si="142"/>
        <v>佐伯市蒲江大字葛原浦１２３７－１</v>
      </c>
      <c r="L1094" s="403" t="s">
        <v>9993</v>
      </c>
      <c r="M1094" s="403" t="s">
        <v>9994</v>
      </c>
      <c r="N1094" s="403" t="s">
        <v>3439</v>
      </c>
      <c r="O1094" s="403" t="s">
        <v>7085</v>
      </c>
      <c r="P1094" s="403" t="s">
        <v>3440</v>
      </c>
      <c r="Q1094" s="403" t="s">
        <v>9995</v>
      </c>
      <c r="R1094" s="403" t="s">
        <v>19483</v>
      </c>
      <c r="S1094" s="403" t="s">
        <v>15973</v>
      </c>
      <c r="T1094" s="403" t="s">
        <v>15974</v>
      </c>
      <c r="U1094" s="403"/>
      <c r="V1094" s="403" t="s">
        <v>23024</v>
      </c>
      <c r="W1094" s="403" t="s">
        <v>23024</v>
      </c>
      <c r="X1094" s="403" t="s">
        <v>23024</v>
      </c>
      <c r="Y1094" s="403" t="s">
        <v>23024</v>
      </c>
    </row>
    <row r="1095" spans="1:25">
      <c r="A1095" s="363">
        <f t="shared" si="143"/>
        <v>1094</v>
      </c>
      <c r="B1095" s="363" t="str">
        <f t="shared" si="136"/>
        <v>44</v>
      </c>
      <c r="C1095" s="405" t="str">
        <f t="shared" si="137"/>
        <v>第010281号</v>
      </c>
      <c r="D1095" s="405" t="str">
        <f t="shared" si="138"/>
        <v>（有）大善工業</v>
      </c>
      <c r="E1095" s="405" t="str">
        <f t="shared" si="139"/>
        <v>代表取締役</v>
      </c>
      <c r="F1095" s="405" t="str">
        <f t="shared" si="140"/>
        <v>大戸　朗</v>
      </c>
      <c r="G1095" s="405" t="str">
        <f t="shared" si="141"/>
        <v>主たる営業所</v>
      </c>
      <c r="H1095" s="405" t="str">
        <f t="shared" si="142"/>
        <v>臼杵市大字佐志生６７００－１</v>
      </c>
      <c r="L1095" s="403" t="s">
        <v>9996</v>
      </c>
      <c r="M1095" s="403" t="s">
        <v>9997</v>
      </c>
      <c r="N1095" s="403" t="s">
        <v>3441</v>
      </c>
      <c r="O1095" s="403" t="s">
        <v>7084</v>
      </c>
      <c r="P1095" s="403" t="s">
        <v>3442</v>
      </c>
      <c r="Q1095" s="403" t="s">
        <v>7774</v>
      </c>
      <c r="R1095" s="403" t="s">
        <v>19484</v>
      </c>
      <c r="S1095" s="403" t="s">
        <v>15975</v>
      </c>
      <c r="T1095" s="403" t="s">
        <v>15976</v>
      </c>
      <c r="U1095" s="403"/>
      <c r="V1095" s="403" t="s">
        <v>23024</v>
      </c>
      <c r="W1095" s="403" t="s">
        <v>23024</v>
      </c>
      <c r="X1095" s="403" t="s">
        <v>23024</v>
      </c>
      <c r="Y1095" s="403" t="s">
        <v>23024</v>
      </c>
    </row>
    <row r="1096" spans="1:25">
      <c r="A1096" s="363">
        <f t="shared" si="143"/>
        <v>1095</v>
      </c>
      <c r="B1096" s="363" t="str">
        <f t="shared" si="136"/>
        <v>44</v>
      </c>
      <c r="C1096" s="405" t="str">
        <f t="shared" si="137"/>
        <v>第010289号</v>
      </c>
      <c r="D1096" s="405" t="str">
        <f t="shared" si="138"/>
        <v>（有）桑野組</v>
      </c>
      <c r="E1096" s="405" t="str">
        <f t="shared" si="139"/>
        <v>代表取締役</v>
      </c>
      <c r="F1096" s="405" t="str">
        <f t="shared" si="140"/>
        <v>桑野　博巳</v>
      </c>
      <c r="G1096" s="405" t="str">
        <f t="shared" si="141"/>
        <v>主たる営業所</v>
      </c>
      <c r="H1096" s="405" t="str">
        <f t="shared" si="142"/>
        <v>日田市大字上野４４－２０</v>
      </c>
      <c r="L1096" s="403" t="s">
        <v>9998</v>
      </c>
      <c r="M1096" s="403" t="s">
        <v>9999</v>
      </c>
      <c r="N1096" s="403" t="s">
        <v>5286</v>
      </c>
      <c r="O1096" s="403" t="s">
        <v>7084</v>
      </c>
      <c r="P1096" s="403" t="s">
        <v>5315</v>
      </c>
      <c r="Q1096" s="403" t="s">
        <v>7291</v>
      </c>
      <c r="R1096" s="403" t="s">
        <v>19485</v>
      </c>
      <c r="S1096" s="403" t="s">
        <v>15977</v>
      </c>
      <c r="T1096" s="403" t="s">
        <v>15977</v>
      </c>
      <c r="U1096" s="403"/>
      <c r="V1096" s="403" t="s">
        <v>23024</v>
      </c>
      <c r="W1096" s="403" t="s">
        <v>23024</v>
      </c>
      <c r="X1096" s="403" t="s">
        <v>23024</v>
      </c>
      <c r="Y1096" s="403" t="s">
        <v>23024</v>
      </c>
    </row>
    <row r="1097" spans="1:25">
      <c r="A1097" s="363">
        <f t="shared" si="143"/>
        <v>1096</v>
      </c>
      <c r="B1097" s="363" t="str">
        <f t="shared" si="136"/>
        <v>44</v>
      </c>
      <c r="C1097" s="405" t="str">
        <f t="shared" si="137"/>
        <v>第010291号</v>
      </c>
      <c r="D1097" s="405" t="str">
        <f t="shared" si="138"/>
        <v>（有）ヒメーン山園</v>
      </c>
      <c r="E1097" s="405" t="str">
        <f t="shared" si="139"/>
        <v>代表取締役</v>
      </c>
      <c r="F1097" s="405" t="str">
        <f t="shared" si="140"/>
        <v>木村　純孝</v>
      </c>
      <c r="G1097" s="405" t="str">
        <f t="shared" si="141"/>
        <v>主たる営業所</v>
      </c>
      <c r="H1097" s="405" t="str">
        <f t="shared" si="142"/>
        <v>臼杵市大字市浜１１４０－１</v>
      </c>
      <c r="L1097" s="403" t="s">
        <v>10000</v>
      </c>
      <c r="M1097" s="403" t="s">
        <v>10001</v>
      </c>
      <c r="N1097" s="403" t="s">
        <v>3443</v>
      </c>
      <c r="O1097" s="403" t="s">
        <v>7084</v>
      </c>
      <c r="P1097" s="403" t="s">
        <v>3444</v>
      </c>
      <c r="Q1097" s="403" t="s">
        <v>7741</v>
      </c>
      <c r="R1097" s="403" t="s">
        <v>19486</v>
      </c>
      <c r="S1097" s="403" t="s">
        <v>15978</v>
      </c>
      <c r="T1097" s="403" t="s">
        <v>15979</v>
      </c>
      <c r="U1097" s="403"/>
      <c r="V1097" s="403" t="s">
        <v>23024</v>
      </c>
      <c r="W1097" s="403" t="s">
        <v>23024</v>
      </c>
      <c r="X1097" s="403" t="s">
        <v>23024</v>
      </c>
      <c r="Y1097" s="403" t="s">
        <v>23024</v>
      </c>
    </row>
    <row r="1098" spans="1:25">
      <c r="A1098" s="363">
        <f t="shared" si="143"/>
        <v>1097</v>
      </c>
      <c r="B1098" s="363" t="str">
        <f t="shared" si="136"/>
        <v>44</v>
      </c>
      <c r="C1098" s="405" t="str">
        <f t="shared" si="137"/>
        <v>第010294号</v>
      </c>
      <c r="D1098" s="405" t="str">
        <f t="shared" si="138"/>
        <v>（有）宇佐造園</v>
      </c>
      <c r="E1098" s="405" t="str">
        <f t="shared" si="139"/>
        <v>代表取締役</v>
      </c>
      <c r="F1098" s="405" t="str">
        <f t="shared" si="140"/>
        <v>前田　公芳</v>
      </c>
      <c r="G1098" s="405" t="str">
        <f t="shared" si="141"/>
        <v>主たる営業所</v>
      </c>
      <c r="H1098" s="405" t="str">
        <f t="shared" si="142"/>
        <v>宇佐市大字蜷木１２４２</v>
      </c>
      <c r="L1098" s="403" t="s">
        <v>10002</v>
      </c>
      <c r="M1098" s="403" t="s">
        <v>10003</v>
      </c>
      <c r="N1098" s="403" t="s">
        <v>3445</v>
      </c>
      <c r="O1098" s="403" t="s">
        <v>7084</v>
      </c>
      <c r="P1098" s="403" t="s">
        <v>3446</v>
      </c>
      <c r="Q1098" s="403" t="s">
        <v>8202</v>
      </c>
      <c r="R1098" s="403" t="s">
        <v>5579</v>
      </c>
      <c r="S1098" s="403" t="s">
        <v>15980</v>
      </c>
      <c r="T1098" s="403" t="s">
        <v>15981</v>
      </c>
      <c r="U1098" s="403"/>
      <c r="V1098" s="403" t="s">
        <v>23024</v>
      </c>
      <c r="W1098" s="403" t="s">
        <v>23024</v>
      </c>
      <c r="X1098" s="403" t="s">
        <v>23024</v>
      </c>
      <c r="Y1098" s="403" t="s">
        <v>23024</v>
      </c>
    </row>
    <row r="1099" spans="1:25">
      <c r="A1099" s="363">
        <f t="shared" si="143"/>
        <v>1098</v>
      </c>
      <c r="B1099" s="363" t="str">
        <f t="shared" si="136"/>
        <v>44</v>
      </c>
      <c r="C1099" s="405" t="str">
        <f t="shared" si="137"/>
        <v>第010295号</v>
      </c>
      <c r="D1099" s="405" t="str">
        <f t="shared" si="138"/>
        <v>（有）新光電設</v>
      </c>
      <c r="E1099" s="405" t="str">
        <f t="shared" si="139"/>
        <v>代表取締役</v>
      </c>
      <c r="F1099" s="405" t="str">
        <f t="shared" si="140"/>
        <v>佐藤　玲晃</v>
      </c>
      <c r="G1099" s="405" t="str">
        <f t="shared" si="141"/>
        <v>主たる営業所</v>
      </c>
      <c r="H1099" s="405" t="str">
        <f t="shared" si="142"/>
        <v>別府市小倉町６－２９</v>
      </c>
      <c r="L1099" s="403" t="s">
        <v>10004</v>
      </c>
      <c r="M1099" s="403" t="s">
        <v>10005</v>
      </c>
      <c r="N1099" s="403" t="s">
        <v>3447</v>
      </c>
      <c r="O1099" s="403" t="s">
        <v>7084</v>
      </c>
      <c r="P1099" s="403" t="s">
        <v>3448</v>
      </c>
      <c r="Q1099" s="403" t="s">
        <v>7625</v>
      </c>
      <c r="R1099" s="403" t="s">
        <v>19487</v>
      </c>
      <c r="S1099" s="403" t="s">
        <v>15982</v>
      </c>
      <c r="T1099" s="403" t="s">
        <v>19488</v>
      </c>
      <c r="U1099" s="403"/>
      <c r="V1099" s="403" t="s">
        <v>23024</v>
      </c>
      <c r="W1099" s="403" t="s">
        <v>23024</v>
      </c>
      <c r="X1099" s="403" t="s">
        <v>23024</v>
      </c>
      <c r="Y1099" s="403" t="s">
        <v>23024</v>
      </c>
    </row>
    <row r="1100" spans="1:25">
      <c r="A1100" s="363">
        <f t="shared" si="143"/>
        <v>1099</v>
      </c>
      <c r="B1100" s="363" t="str">
        <f t="shared" si="136"/>
        <v>44</v>
      </c>
      <c r="C1100" s="405" t="str">
        <f t="shared" si="137"/>
        <v>第010309号</v>
      </c>
      <c r="D1100" s="405" t="str">
        <f t="shared" si="138"/>
        <v>（株）大昌興産</v>
      </c>
      <c r="E1100" s="405" t="str">
        <f t="shared" si="139"/>
        <v>代表取締役</v>
      </c>
      <c r="F1100" s="405" t="str">
        <f t="shared" si="140"/>
        <v>小代　一昌</v>
      </c>
      <c r="G1100" s="405" t="str">
        <f t="shared" si="141"/>
        <v>主たる営業所</v>
      </c>
      <c r="H1100" s="405" t="str">
        <f t="shared" si="142"/>
        <v>竹田市大字挟田２５４１</v>
      </c>
      <c r="L1100" s="403" t="s">
        <v>10006</v>
      </c>
      <c r="M1100" s="403" t="s">
        <v>10007</v>
      </c>
      <c r="N1100" s="403" t="s">
        <v>3449</v>
      </c>
      <c r="O1100" s="403" t="s">
        <v>7084</v>
      </c>
      <c r="P1100" s="403" t="s">
        <v>3450</v>
      </c>
      <c r="Q1100" s="403" t="s">
        <v>10008</v>
      </c>
      <c r="R1100" s="403" t="s">
        <v>5580</v>
      </c>
      <c r="S1100" s="403" t="s">
        <v>15983</v>
      </c>
      <c r="T1100" s="403" t="s">
        <v>15984</v>
      </c>
      <c r="U1100" s="403"/>
      <c r="V1100" s="403" t="s">
        <v>23024</v>
      </c>
      <c r="W1100" s="403" t="s">
        <v>23024</v>
      </c>
      <c r="X1100" s="403" t="s">
        <v>23024</v>
      </c>
      <c r="Y1100" s="403" t="s">
        <v>23024</v>
      </c>
    </row>
    <row r="1101" spans="1:25">
      <c r="A1101" s="363">
        <f t="shared" si="143"/>
        <v>1100</v>
      </c>
      <c r="B1101" s="363" t="str">
        <f t="shared" si="136"/>
        <v>44</v>
      </c>
      <c r="C1101" s="405" t="str">
        <f t="shared" si="137"/>
        <v>第010312号</v>
      </c>
      <c r="D1101" s="405" t="str">
        <f t="shared" si="138"/>
        <v>（株）カッターアバンセ</v>
      </c>
      <c r="E1101" s="405" t="str">
        <f t="shared" si="139"/>
        <v>代表取締役</v>
      </c>
      <c r="F1101" s="405" t="str">
        <f t="shared" si="140"/>
        <v>高倉　悠史</v>
      </c>
      <c r="G1101" s="405" t="str">
        <f t="shared" si="141"/>
        <v>主たる営業所</v>
      </c>
      <c r="H1101" s="405" t="str">
        <f t="shared" si="142"/>
        <v>大分市古ケ鶴１－７－７</v>
      </c>
      <c r="L1101" s="403" t="s">
        <v>10009</v>
      </c>
      <c r="M1101" s="403" t="s">
        <v>10010</v>
      </c>
      <c r="N1101" s="403" t="s">
        <v>3451</v>
      </c>
      <c r="O1101" s="403" t="s">
        <v>7084</v>
      </c>
      <c r="P1101" s="403" t="s">
        <v>3452</v>
      </c>
      <c r="Q1101" s="403" t="s">
        <v>9979</v>
      </c>
      <c r="R1101" s="403" t="s">
        <v>19489</v>
      </c>
      <c r="S1101" s="403" t="s">
        <v>15985</v>
      </c>
      <c r="T1101" s="403" t="s">
        <v>15986</v>
      </c>
      <c r="U1101" s="403"/>
      <c r="V1101" s="403" t="s">
        <v>23024</v>
      </c>
      <c r="W1101" s="403" t="s">
        <v>23024</v>
      </c>
      <c r="X1101" s="403" t="s">
        <v>23024</v>
      </c>
      <c r="Y1101" s="403" t="s">
        <v>23024</v>
      </c>
    </row>
    <row r="1102" spans="1:25">
      <c r="A1102" s="363">
        <f t="shared" si="143"/>
        <v>1101</v>
      </c>
      <c r="B1102" s="363" t="str">
        <f t="shared" si="136"/>
        <v>44</v>
      </c>
      <c r="C1102" s="405" t="str">
        <f t="shared" si="137"/>
        <v>第010320号</v>
      </c>
      <c r="D1102" s="405" t="str">
        <f t="shared" si="138"/>
        <v>（有）冷熱技研</v>
      </c>
      <c r="E1102" s="405" t="str">
        <f t="shared" si="139"/>
        <v>代表取締役</v>
      </c>
      <c r="F1102" s="405" t="str">
        <f t="shared" si="140"/>
        <v>林田　眞</v>
      </c>
      <c r="G1102" s="405" t="str">
        <f t="shared" si="141"/>
        <v>主たる営業所</v>
      </c>
      <c r="H1102" s="405" t="str">
        <f t="shared" si="142"/>
        <v>大分市大字片島１３６２－１３</v>
      </c>
      <c r="L1102" s="403" t="s">
        <v>10011</v>
      </c>
      <c r="M1102" s="403" t="s">
        <v>10012</v>
      </c>
      <c r="N1102" s="403" t="s">
        <v>3453</v>
      </c>
      <c r="O1102" s="403" t="s">
        <v>7084</v>
      </c>
      <c r="P1102" s="403" t="s">
        <v>3454</v>
      </c>
      <c r="Q1102" s="403" t="s">
        <v>8687</v>
      </c>
      <c r="R1102" s="403" t="s">
        <v>19490</v>
      </c>
      <c r="S1102" s="403" t="s">
        <v>15987</v>
      </c>
      <c r="T1102" s="403" t="s">
        <v>15988</v>
      </c>
      <c r="U1102" s="403"/>
      <c r="V1102" s="403" t="s">
        <v>23024</v>
      </c>
      <c r="W1102" s="403" t="s">
        <v>23024</v>
      </c>
      <c r="X1102" s="403" t="s">
        <v>23024</v>
      </c>
      <c r="Y1102" s="403" t="s">
        <v>23024</v>
      </c>
    </row>
    <row r="1103" spans="1:25">
      <c r="A1103" s="363">
        <f t="shared" si="143"/>
        <v>1102</v>
      </c>
      <c r="B1103" s="363" t="str">
        <f t="shared" si="136"/>
        <v>44</v>
      </c>
      <c r="C1103" s="405" t="str">
        <f t="shared" si="137"/>
        <v>第010325号</v>
      </c>
      <c r="D1103" s="405" t="str">
        <f t="shared" si="138"/>
        <v>（有）渡辺建設</v>
      </c>
      <c r="E1103" s="405" t="str">
        <f t="shared" si="139"/>
        <v>代表取締役</v>
      </c>
      <c r="F1103" s="405" t="str">
        <f t="shared" si="140"/>
        <v>渡邊　剛輔</v>
      </c>
      <c r="G1103" s="405" t="str">
        <f t="shared" si="141"/>
        <v>主たる営業所</v>
      </c>
      <c r="H1103" s="405" t="str">
        <f t="shared" si="142"/>
        <v>中津市大字大貞３４２－５</v>
      </c>
      <c r="L1103" s="403" t="s">
        <v>10013</v>
      </c>
      <c r="M1103" s="403" t="s">
        <v>8384</v>
      </c>
      <c r="N1103" s="403" t="s">
        <v>3296</v>
      </c>
      <c r="O1103" s="403" t="s">
        <v>7084</v>
      </c>
      <c r="P1103" s="403" t="s">
        <v>3455</v>
      </c>
      <c r="Q1103" s="403" t="s">
        <v>9475</v>
      </c>
      <c r="R1103" s="403" t="s">
        <v>19491</v>
      </c>
      <c r="S1103" s="403" t="s">
        <v>15989</v>
      </c>
      <c r="T1103" s="403" t="s">
        <v>15990</v>
      </c>
      <c r="U1103" s="403"/>
      <c r="V1103" s="403" t="s">
        <v>23024</v>
      </c>
      <c r="W1103" s="403" t="s">
        <v>23024</v>
      </c>
      <c r="X1103" s="403" t="s">
        <v>23024</v>
      </c>
      <c r="Y1103" s="403" t="s">
        <v>23024</v>
      </c>
    </row>
    <row r="1104" spans="1:25">
      <c r="A1104" s="363">
        <f t="shared" si="143"/>
        <v>1103</v>
      </c>
      <c r="B1104" s="363" t="str">
        <f t="shared" si="136"/>
        <v>44</v>
      </c>
      <c r="C1104" s="405" t="str">
        <f t="shared" si="137"/>
        <v>第010335号</v>
      </c>
      <c r="D1104" s="405" t="str">
        <f t="shared" si="138"/>
        <v>（有）朝久野電業社</v>
      </c>
      <c r="E1104" s="405" t="str">
        <f t="shared" si="139"/>
        <v>取締役</v>
      </c>
      <c r="F1104" s="405" t="str">
        <f t="shared" si="140"/>
        <v>朝久野　卓也</v>
      </c>
      <c r="G1104" s="405" t="str">
        <f t="shared" si="141"/>
        <v>主たる営業所</v>
      </c>
      <c r="H1104" s="405" t="str">
        <f t="shared" si="142"/>
        <v>大分市光吉台２－３－２</v>
      </c>
      <c r="L1104" s="403" t="s">
        <v>10014</v>
      </c>
      <c r="M1104" s="403" t="s">
        <v>10015</v>
      </c>
      <c r="N1104" s="403" t="s">
        <v>3456</v>
      </c>
      <c r="O1104" s="403" t="s">
        <v>7085</v>
      </c>
      <c r="P1104" s="403" t="s">
        <v>3457</v>
      </c>
      <c r="Q1104" s="403" t="s">
        <v>9690</v>
      </c>
      <c r="R1104" s="403" t="s">
        <v>19492</v>
      </c>
      <c r="S1104" s="403" t="s">
        <v>15991</v>
      </c>
      <c r="T1104" s="403" t="s">
        <v>15992</v>
      </c>
      <c r="U1104" s="403"/>
      <c r="V1104" s="403" t="s">
        <v>23024</v>
      </c>
      <c r="W1104" s="403" t="s">
        <v>23024</v>
      </c>
      <c r="X1104" s="403" t="s">
        <v>23024</v>
      </c>
      <c r="Y1104" s="403" t="s">
        <v>23024</v>
      </c>
    </row>
    <row r="1105" spans="1:25">
      <c r="A1105" s="363">
        <f t="shared" si="143"/>
        <v>1104</v>
      </c>
      <c r="B1105" s="363" t="str">
        <f t="shared" si="136"/>
        <v>44</v>
      </c>
      <c r="C1105" s="405" t="str">
        <f t="shared" si="137"/>
        <v>第010337号</v>
      </c>
      <c r="D1105" s="405" t="str">
        <f t="shared" si="138"/>
        <v>（有）河建工業</v>
      </c>
      <c r="E1105" s="405" t="str">
        <f t="shared" si="139"/>
        <v>代表取締役</v>
      </c>
      <c r="F1105" s="405" t="str">
        <f t="shared" si="140"/>
        <v>河野　和人</v>
      </c>
      <c r="G1105" s="405" t="str">
        <f t="shared" si="141"/>
        <v>主たる営業所</v>
      </c>
      <c r="H1105" s="405" t="str">
        <f t="shared" si="142"/>
        <v>大分市大字木上字小柳４０７－２</v>
      </c>
      <c r="L1105" s="403" t="s">
        <v>10016</v>
      </c>
      <c r="M1105" s="403" t="s">
        <v>10017</v>
      </c>
      <c r="N1105" s="403" t="s">
        <v>3458</v>
      </c>
      <c r="O1105" s="403" t="s">
        <v>7084</v>
      </c>
      <c r="P1105" s="403" t="s">
        <v>3459</v>
      </c>
      <c r="Q1105" s="403" t="s">
        <v>10018</v>
      </c>
      <c r="R1105" s="403" t="s">
        <v>19493</v>
      </c>
      <c r="S1105" s="403" t="s">
        <v>15993</v>
      </c>
      <c r="T1105" s="403" t="s">
        <v>15994</v>
      </c>
      <c r="U1105" s="403"/>
      <c r="V1105" s="403" t="s">
        <v>23024</v>
      </c>
      <c r="W1105" s="403" t="s">
        <v>23024</v>
      </c>
      <c r="X1105" s="403" t="s">
        <v>23024</v>
      </c>
      <c r="Y1105" s="403" t="s">
        <v>23024</v>
      </c>
    </row>
    <row r="1106" spans="1:25">
      <c r="A1106" s="363">
        <f t="shared" si="143"/>
        <v>1105</v>
      </c>
      <c r="B1106" s="363" t="str">
        <f t="shared" si="136"/>
        <v>44</v>
      </c>
      <c r="C1106" s="405" t="str">
        <f t="shared" si="137"/>
        <v>第010339号</v>
      </c>
      <c r="D1106" s="405" t="str">
        <f t="shared" si="138"/>
        <v>（有）堀電気</v>
      </c>
      <c r="E1106" s="405" t="str">
        <f t="shared" si="139"/>
        <v>代表取締役</v>
      </c>
      <c r="F1106" s="405" t="str">
        <f t="shared" si="140"/>
        <v>堀　彰</v>
      </c>
      <c r="G1106" s="405" t="str">
        <f t="shared" si="141"/>
        <v>主たる営業所</v>
      </c>
      <c r="H1106" s="405" t="str">
        <f t="shared" si="142"/>
        <v>別府市石垣西１０－５－１５</v>
      </c>
      <c r="L1106" s="403" t="s">
        <v>10019</v>
      </c>
      <c r="M1106" s="403" t="s">
        <v>10020</v>
      </c>
      <c r="N1106" s="403" t="s">
        <v>3460</v>
      </c>
      <c r="O1106" s="403" t="s">
        <v>7084</v>
      </c>
      <c r="P1106" s="403" t="s">
        <v>3461</v>
      </c>
      <c r="Q1106" s="403" t="s">
        <v>8438</v>
      </c>
      <c r="R1106" s="403" t="s">
        <v>19494</v>
      </c>
      <c r="S1106" s="403" t="s">
        <v>15995</v>
      </c>
      <c r="T1106" s="403" t="s">
        <v>15996</v>
      </c>
      <c r="U1106" s="403"/>
      <c r="V1106" s="403" t="s">
        <v>23024</v>
      </c>
      <c r="W1106" s="403" t="s">
        <v>23024</v>
      </c>
      <c r="X1106" s="403" t="s">
        <v>23024</v>
      </c>
      <c r="Y1106" s="403" t="s">
        <v>23024</v>
      </c>
    </row>
    <row r="1107" spans="1:25">
      <c r="A1107" s="363">
        <f t="shared" si="143"/>
        <v>1106</v>
      </c>
      <c r="B1107" s="363" t="str">
        <f t="shared" si="136"/>
        <v>44</v>
      </c>
      <c r="C1107" s="405" t="str">
        <f t="shared" si="137"/>
        <v>第010348号</v>
      </c>
      <c r="D1107" s="405" t="str">
        <f t="shared" si="138"/>
        <v>（有）川野工業</v>
      </c>
      <c r="E1107" s="405" t="str">
        <f t="shared" si="139"/>
        <v>代表取締役</v>
      </c>
      <c r="F1107" s="405" t="str">
        <f t="shared" si="140"/>
        <v>川野　直樹</v>
      </c>
      <c r="G1107" s="405" t="str">
        <f t="shared" si="141"/>
        <v>主たる営業所</v>
      </c>
      <c r="H1107" s="405" t="str">
        <f t="shared" si="142"/>
        <v>臼杵市野津町大字東谷６６６２</v>
      </c>
      <c r="L1107" s="403" t="s">
        <v>10021</v>
      </c>
      <c r="M1107" s="403" t="s">
        <v>8770</v>
      </c>
      <c r="N1107" s="403" t="s">
        <v>2458</v>
      </c>
      <c r="O1107" s="403" t="s">
        <v>7084</v>
      </c>
      <c r="P1107" s="403" t="s">
        <v>3462</v>
      </c>
      <c r="Q1107" s="403" t="s">
        <v>19495</v>
      </c>
      <c r="R1107" s="403" t="s">
        <v>5581</v>
      </c>
      <c r="S1107" s="403" t="s">
        <v>15997</v>
      </c>
      <c r="T1107" s="403" t="s">
        <v>15998</v>
      </c>
      <c r="U1107" s="403"/>
      <c r="V1107" s="403" t="s">
        <v>23024</v>
      </c>
      <c r="W1107" s="403" t="s">
        <v>23024</v>
      </c>
      <c r="X1107" s="403" t="s">
        <v>23024</v>
      </c>
      <c r="Y1107" s="403" t="s">
        <v>23024</v>
      </c>
    </row>
    <row r="1108" spans="1:25">
      <c r="A1108" s="363">
        <f t="shared" si="143"/>
        <v>1107</v>
      </c>
      <c r="B1108" s="363" t="str">
        <f t="shared" si="136"/>
        <v>44</v>
      </c>
      <c r="C1108" s="405" t="str">
        <f t="shared" si="137"/>
        <v>第010374号</v>
      </c>
      <c r="D1108" s="405" t="str">
        <f t="shared" si="138"/>
        <v>（有）県南建設工業</v>
      </c>
      <c r="E1108" s="405" t="str">
        <f t="shared" si="139"/>
        <v>代表取締役</v>
      </c>
      <c r="F1108" s="405" t="str">
        <f t="shared" si="140"/>
        <v>佐々木　武道</v>
      </c>
      <c r="G1108" s="405" t="str">
        <f t="shared" si="141"/>
        <v>主たる営業所</v>
      </c>
      <c r="H1108" s="405" t="str">
        <f t="shared" si="142"/>
        <v>臼杵市大字臼杵７２－２３８</v>
      </c>
      <c r="L1108" s="403" t="s">
        <v>10022</v>
      </c>
      <c r="M1108" s="403" t="s">
        <v>10023</v>
      </c>
      <c r="N1108" s="403" t="s">
        <v>3463</v>
      </c>
      <c r="O1108" s="403" t="s">
        <v>7084</v>
      </c>
      <c r="P1108" s="403" t="s">
        <v>3464</v>
      </c>
      <c r="Q1108" s="403" t="s">
        <v>7757</v>
      </c>
      <c r="R1108" s="403" t="s">
        <v>19496</v>
      </c>
      <c r="S1108" s="403" t="s">
        <v>15999</v>
      </c>
      <c r="T1108" s="403" t="s">
        <v>15999</v>
      </c>
      <c r="U1108" s="403"/>
      <c r="V1108" s="403" t="s">
        <v>23024</v>
      </c>
      <c r="W1108" s="403" t="s">
        <v>23024</v>
      </c>
      <c r="X1108" s="403" t="s">
        <v>23024</v>
      </c>
      <c r="Y1108" s="403" t="s">
        <v>23024</v>
      </c>
    </row>
    <row r="1109" spans="1:25">
      <c r="A1109" s="363">
        <f t="shared" si="143"/>
        <v>1108</v>
      </c>
      <c r="B1109" s="363" t="str">
        <f t="shared" si="136"/>
        <v>44</v>
      </c>
      <c r="C1109" s="405" t="str">
        <f t="shared" si="137"/>
        <v>第010376号</v>
      </c>
      <c r="D1109" s="405" t="str">
        <f t="shared" si="138"/>
        <v>渡辺水道</v>
      </c>
      <c r="E1109" s="405" t="str">
        <f t="shared" si="139"/>
        <v>代表</v>
      </c>
      <c r="F1109" s="405" t="str">
        <f t="shared" si="140"/>
        <v>渡邉　正美</v>
      </c>
      <c r="G1109" s="405" t="str">
        <f t="shared" si="141"/>
        <v>主たる営業所</v>
      </c>
      <c r="H1109" s="405" t="str">
        <f t="shared" si="142"/>
        <v>国東市武蔵町古市６１４－１</v>
      </c>
      <c r="L1109" s="403" t="s">
        <v>10024</v>
      </c>
      <c r="M1109" s="403" t="s">
        <v>10025</v>
      </c>
      <c r="N1109" s="403" t="s">
        <v>3465</v>
      </c>
      <c r="O1109" s="403" t="s">
        <v>7091</v>
      </c>
      <c r="P1109" s="403" t="s">
        <v>3466</v>
      </c>
      <c r="Q1109" s="403" t="s">
        <v>7715</v>
      </c>
      <c r="R1109" s="403" t="s">
        <v>19497</v>
      </c>
      <c r="S1109" s="403" t="s">
        <v>16000</v>
      </c>
      <c r="T1109" s="403" t="s">
        <v>16000</v>
      </c>
      <c r="U1109" s="403"/>
      <c r="V1109" s="403" t="s">
        <v>23024</v>
      </c>
      <c r="W1109" s="403" t="s">
        <v>23024</v>
      </c>
      <c r="X1109" s="403" t="s">
        <v>23024</v>
      </c>
      <c r="Y1109" s="403" t="s">
        <v>23024</v>
      </c>
    </row>
    <row r="1110" spans="1:25">
      <c r="A1110" s="363">
        <f t="shared" si="143"/>
        <v>1109</v>
      </c>
      <c r="B1110" s="363" t="str">
        <f t="shared" si="136"/>
        <v>44</v>
      </c>
      <c r="C1110" s="405" t="str">
        <f t="shared" si="137"/>
        <v>第010377号</v>
      </c>
      <c r="D1110" s="405" t="str">
        <f t="shared" si="138"/>
        <v>（株）大総</v>
      </c>
      <c r="E1110" s="405" t="str">
        <f t="shared" si="139"/>
        <v>代表取締役</v>
      </c>
      <c r="F1110" s="405" t="str">
        <f t="shared" si="140"/>
        <v>由見　真治朗</v>
      </c>
      <c r="G1110" s="405" t="str">
        <f t="shared" si="141"/>
        <v>主たる営業所</v>
      </c>
      <c r="H1110" s="405" t="str">
        <f t="shared" si="142"/>
        <v>大分市大字片島２９９５－５</v>
      </c>
      <c r="L1110" s="403" t="s">
        <v>10026</v>
      </c>
      <c r="M1110" s="403" t="s">
        <v>10027</v>
      </c>
      <c r="N1110" s="403" t="s">
        <v>3467</v>
      </c>
      <c r="O1110" s="403" t="s">
        <v>7084</v>
      </c>
      <c r="P1110" s="403" t="s">
        <v>3468</v>
      </c>
      <c r="Q1110" s="403" t="s">
        <v>8687</v>
      </c>
      <c r="R1110" s="403" t="s">
        <v>18994</v>
      </c>
      <c r="S1110" s="403" t="s">
        <v>16001</v>
      </c>
      <c r="T1110" s="403" t="s">
        <v>16002</v>
      </c>
      <c r="U1110" s="403"/>
      <c r="V1110" s="403" t="s">
        <v>23024</v>
      </c>
      <c r="W1110" s="403" t="s">
        <v>23024</v>
      </c>
      <c r="X1110" s="403" t="s">
        <v>23024</v>
      </c>
      <c r="Y1110" s="403" t="s">
        <v>23024</v>
      </c>
    </row>
    <row r="1111" spans="1:25">
      <c r="A1111" s="363">
        <f t="shared" si="143"/>
        <v>1110</v>
      </c>
      <c r="B1111" s="363" t="str">
        <f t="shared" si="136"/>
        <v>44</v>
      </c>
      <c r="C1111" s="405" t="str">
        <f t="shared" si="137"/>
        <v>第010382号</v>
      </c>
      <c r="D1111" s="405" t="str">
        <f t="shared" si="138"/>
        <v>（有）衞藤水道設備</v>
      </c>
      <c r="E1111" s="405" t="str">
        <f t="shared" si="139"/>
        <v>代表取締役</v>
      </c>
      <c r="F1111" s="405" t="str">
        <f t="shared" si="140"/>
        <v>衞藤　忠</v>
      </c>
      <c r="G1111" s="405" t="str">
        <f t="shared" si="141"/>
        <v>主たる営業所</v>
      </c>
      <c r="H1111" s="405" t="str">
        <f t="shared" si="142"/>
        <v>豊後大野市清川町六種２６２１</v>
      </c>
      <c r="L1111" s="403" t="s">
        <v>10028</v>
      </c>
      <c r="M1111" s="403" t="s">
        <v>10029</v>
      </c>
      <c r="N1111" s="403" t="s">
        <v>3469</v>
      </c>
      <c r="O1111" s="403" t="s">
        <v>7084</v>
      </c>
      <c r="P1111" s="403" t="s">
        <v>3470</v>
      </c>
      <c r="Q1111" s="403" t="s">
        <v>10030</v>
      </c>
      <c r="R1111" s="403" t="s">
        <v>5582</v>
      </c>
      <c r="S1111" s="403" t="s">
        <v>16003</v>
      </c>
      <c r="T1111" s="403" t="s">
        <v>16004</v>
      </c>
      <c r="U1111" s="403"/>
      <c r="V1111" s="403" t="s">
        <v>23024</v>
      </c>
      <c r="W1111" s="403" t="s">
        <v>23024</v>
      </c>
      <c r="X1111" s="403" t="s">
        <v>23024</v>
      </c>
      <c r="Y1111" s="403" t="s">
        <v>23024</v>
      </c>
    </row>
    <row r="1112" spans="1:25">
      <c r="A1112" s="363">
        <f t="shared" si="143"/>
        <v>1111</v>
      </c>
      <c r="B1112" s="363" t="str">
        <f t="shared" si="136"/>
        <v>44</v>
      </c>
      <c r="C1112" s="405" t="str">
        <f t="shared" si="137"/>
        <v>第010392号</v>
      </c>
      <c r="D1112" s="405" t="str">
        <f t="shared" si="138"/>
        <v>（株）セイワ</v>
      </c>
      <c r="E1112" s="405" t="str">
        <f t="shared" si="139"/>
        <v>代表取締役</v>
      </c>
      <c r="F1112" s="405" t="str">
        <f t="shared" si="140"/>
        <v>小松　眞吾</v>
      </c>
      <c r="G1112" s="405" t="str">
        <f t="shared" si="141"/>
        <v>主たる営業所</v>
      </c>
      <c r="H1112" s="405" t="str">
        <f t="shared" si="142"/>
        <v>日田市大山町東大山１９８６－３</v>
      </c>
      <c r="L1112" s="403" t="s">
        <v>10031</v>
      </c>
      <c r="M1112" s="403" t="s">
        <v>10032</v>
      </c>
      <c r="N1112" s="403" t="s">
        <v>3471</v>
      </c>
      <c r="O1112" s="403" t="s">
        <v>7084</v>
      </c>
      <c r="P1112" s="403" t="s">
        <v>3472</v>
      </c>
      <c r="Q1112" s="403" t="s">
        <v>9580</v>
      </c>
      <c r="R1112" s="403" t="s">
        <v>19498</v>
      </c>
      <c r="S1112" s="403" t="s">
        <v>16005</v>
      </c>
      <c r="T1112" s="403" t="s">
        <v>16006</v>
      </c>
      <c r="U1112" s="403"/>
      <c r="V1112" s="403" t="s">
        <v>23024</v>
      </c>
      <c r="W1112" s="403" t="s">
        <v>23024</v>
      </c>
      <c r="X1112" s="403" t="s">
        <v>23024</v>
      </c>
      <c r="Y1112" s="403" t="s">
        <v>23024</v>
      </c>
    </row>
    <row r="1113" spans="1:25">
      <c r="A1113" s="363">
        <f t="shared" si="143"/>
        <v>1112</v>
      </c>
      <c r="B1113" s="363" t="str">
        <f t="shared" si="136"/>
        <v>44</v>
      </c>
      <c r="C1113" s="405" t="str">
        <f t="shared" si="137"/>
        <v>第010412号</v>
      </c>
      <c r="D1113" s="405" t="str">
        <f t="shared" si="138"/>
        <v>（有）三和水工</v>
      </c>
      <c r="E1113" s="405" t="str">
        <f t="shared" si="139"/>
        <v>代表取締役</v>
      </c>
      <c r="F1113" s="405" t="str">
        <f t="shared" si="140"/>
        <v>坂本　康行</v>
      </c>
      <c r="G1113" s="405" t="str">
        <f t="shared" si="141"/>
        <v>主たる営業所</v>
      </c>
      <c r="H1113" s="405" t="str">
        <f t="shared" si="142"/>
        <v>日田市大字北豆田８３３－１８</v>
      </c>
      <c r="L1113" s="403" t="s">
        <v>10033</v>
      </c>
      <c r="M1113" s="403" t="s">
        <v>10034</v>
      </c>
      <c r="N1113" s="403" t="s">
        <v>3473</v>
      </c>
      <c r="O1113" s="403" t="s">
        <v>7084</v>
      </c>
      <c r="P1113" s="403" t="s">
        <v>3474</v>
      </c>
      <c r="Q1113" s="403" t="s">
        <v>8019</v>
      </c>
      <c r="R1113" s="403" t="s">
        <v>19499</v>
      </c>
      <c r="S1113" s="403" t="s">
        <v>16007</v>
      </c>
      <c r="T1113" s="403" t="s">
        <v>16008</v>
      </c>
      <c r="U1113" s="403"/>
      <c r="V1113" s="403" t="s">
        <v>23024</v>
      </c>
      <c r="W1113" s="403" t="s">
        <v>23024</v>
      </c>
      <c r="X1113" s="403" t="s">
        <v>23024</v>
      </c>
      <c r="Y1113" s="403" t="s">
        <v>23024</v>
      </c>
    </row>
    <row r="1114" spans="1:25">
      <c r="A1114" s="363">
        <f t="shared" si="143"/>
        <v>1113</v>
      </c>
      <c r="B1114" s="363" t="str">
        <f t="shared" si="136"/>
        <v>44</v>
      </c>
      <c r="C1114" s="405" t="str">
        <f t="shared" si="137"/>
        <v>第010417号</v>
      </c>
      <c r="D1114" s="405" t="str">
        <f t="shared" si="138"/>
        <v>（有）はちまん設備</v>
      </c>
      <c r="E1114" s="405" t="str">
        <f t="shared" si="139"/>
        <v>代表取締役</v>
      </c>
      <c r="F1114" s="405" t="str">
        <f t="shared" si="140"/>
        <v>松崎　賢介</v>
      </c>
      <c r="G1114" s="405" t="str">
        <f t="shared" si="141"/>
        <v>主たる営業所</v>
      </c>
      <c r="H1114" s="405" t="str">
        <f t="shared" si="142"/>
        <v>宇佐市大字南宇佐１２６７－１</v>
      </c>
      <c r="L1114" s="403" t="s">
        <v>10035</v>
      </c>
      <c r="M1114" s="403" t="s">
        <v>10036</v>
      </c>
      <c r="N1114" s="403" t="s">
        <v>3475</v>
      </c>
      <c r="O1114" s="403" t="s">
        <v>7084</v>
      </c>
      <c r="P1114" s="403" t="s">
        <v>3476</v>
      </c>
      <c r="Q1114" s="403" t="s">
        <v>10037</v>
      </c>
      <c r="R1114" s="403" t="s">
        <v>19500</v>
      </c>
      <c r="S1114" s="403" t="s">
        <v>16009</v>
      </c>
      <c r="T1114" s="403" t="s">
        <v>16010</v>
      </c>
      <c r="U1114" s="403"/>
      <c r="V1114" s="403" t="s">
        <v>23024</v>
      </c>
      <c r="W1114" s="403" t="s">
        <v>23024</v>
      </c>
      <c r="X1114" s="403" t="s">
        <v>23024</v>
      </c>
      <c r="Y1114" s="403" t="s">
        <v>23024</v>
      </c>
    </row>
    <row r="1115" spans="1:25">
      <c r="A1115" s="363">
        <f t="shared" si="143"/>
        <v>1114</v>
      </c>
      <c r="B1115" s="363" t="str">
        <f t="shared" si="136"/>
        <v>44</v>
      </c>
      <c r="C1115" s="405" t="str">
        <f t="shared" si="137"/>
        <v>第010419号</v>
      </c>
      <c r="D1115" s="405" t="str">
        <f t="shared" si="138"/>
        <v>（有）石川工業</v>
      </c>
      <c r="E1115" s="405" t="str">
        <f t="shared" si="139"/>
        <v>代表取締役</v>
      </c>
      <c r="F1115" s="405" t="str">
        <f t="shared" si="140"/>
        <v>石川　剛</v>
      </c>
      <c r="G1115" s="405" t="str">
        <f t="shared" si="141"/>
        <v>主たる営業所</v>
      </c>
      <c r="H1115" s="405" t="str">
        <f t="shared" si="142"/>
        <v>大分市大字八幡１８４８－３</v>
      </c>
      <c r="L1115" s="403" t="s">
        <v>10038</v>
      </c>
      <c r="M1115" s="403" t="s">
        <v>10039</v>
      </c>
      <c r="N1115" s="403" t="s">
        <v>3477</v>
      </c>
      <c r="O1115" s="403" t="s">
        <v>7084</v>
      </c>
      <c r="P1115" s="403" t="s">
        <v>3478</v>
      </c>
      <c r="Q1115" s="403" t="s">
        <v>8713</v>
      </c>
      <c r="R1115" s="403" t="s">
        <v>19501</v>
      </c>
      <c r="S1115" s="403" t="s">
        <v>16011</v>
      </c>
      <c r="T1115" s="403" t="s">
        <v>16012</v>
      </c>
      <c r="U1115" s="403"/>
      <c r="V1115" s="403" t="s">
        <v>23024</v>
      </c>
      <c r="W1115" s="403" t="s">
        <v>23024</v>
      </c>
      <c r="X1115" s="403" t="s">
        <v>23024</v>
      </c>
      <c r="Y1115" s="403" t="s">
        <v>23024</v>
      </c>
    </row>
    <row r="1116" spans="1:25">
      <c r="A1116" s="363">
        <f t="shared" si="143"/>
        <v>1115</v>
      </c>
      <c r="B1116" s="363" t="str">
        <f t="shared" si="136"/>
        <v>44</v>
      </c>
      <c r="C1116" s="405" t="str">
        <f t="shared" si="137"/>
        <v>第010420号</v>
      </c>
      <c r="D1116" s="405" t="str">
        <f t="shared" si="138"/>
        <v>（株）池部造園</v>
      </c>
      <c r="E1116" s="405" t="str">
        <f t="shared" si="139"/>
        <v>代表取締役</v>
      </c>
      <c r="F1116" s="405" t="str">
        <f t="shared" si="140"/>
        <v>池部　寛</v>
      </c>
      <c r="G1116" s="405" t="str">
        <f t="shared" si="141"/>
        <v>主たる営業所</v>
      </c>
      <c r="H1116" s="405" t="str">
        <f t="shared" si="142"/>
        <v>大分市小佐井１－４－１７</v>
      </c>
      <c r="L1116" s="403" t="s">
        <v>10040</v>
      </c>
      <c r="M1116" s="403" t="s">
        <v>10041</v>
      </c>
      <c r="N1116" s="403" t="s">
        <v>3479</v>
      </c>
      <c r="O1116" s="403" t="s">
        <v>7084</v>
      </c>
      <c r="P1116" s="403" t="s">
        <v>3480</v>
      </c>
      <c r="Q1116" s="403" t="s">
        <v>10042</v>
      </c>
      <c r="R1116" s="403" t="s">
        <v>19502</v>
      </c>
      <c r="S1116" s="403" t="s">
        <v>16013</v>
      </c>
      <c r="T1116" s="403" t="s">
        <v>16014</v>
      </c>
      <c r="U1116" s="403"/>
      <c r="V1116" s="403" t="s">
        <v>23024</v>
      </c>
      <c r="W1116" s="403" t="s">
        <v>23024</v>
      </c>
      <c r="X1116" s="403" t="s">
        <v>23024</v>
      </c>
      <c r="Y1116" s="403" t="s">
        <v>23024</v>
      </c>
    </row>
    <row r="1117" spans="1:25">
      <c r="A1117" s="363">
        <f t="shared" si="143"/>
        <v>1116</v>
      </c>
      <c r="B1117" s="363" t="str">
        <f t="shared" si="136"/>
        <v>44</v>
      </c>
      <c r="C1117" s="405" t="str">
        <f t="shared" si="137"/>
        <v>第010434号</v>
      </c>
      <c r="D1117" s="405" t="str">
        <f t="shared" si="138"/>
        <v>川昇（株）</v>
      </c>
      <c r="E1117" s="405" t="str">
        <f t="shared" si="139"/>
        <v>代表取締役</v>
      </c>
      <c r="F1117" s="405" t="str">
        <f t="shared" si="140"/>
        <v>川野　翔太朗</v>
      </c>
      <c r="G1117" s="405" t="str">
        <f t="shared" si="141"/>
        <v>主たる営業所</v>
      </c>
      <c r="H1117" s="405" t="str">
        <f t="shared" si="142"/>
        <v>大分市錦町３－７－２９－１</v>
      </c>
      <c r="L1117" s="403" t="s">
        <v>10043</v>
      </c>
      <c r="M1117" s="403" t="s">
        <v>10044</v>
      </c>
      <c r="N1117" s="403" t="s">
        <v>3481</v>
      </c>
      <c r="O1117" s="403" t="s">
        <v>7084</v>
      </c>
      <c r="P1117" s="403" t="s">
        <v>19503</v>
      </c>
      <c r="Q1117" s="403" t="s">
        <v>9657</v>
      </c>
      <c r="R1117" s="403" t="s">
        <v>19504</v>
      </c>
      <c r="S1117" s="403" t="s">
        <v>16015</v>
      </c>
      <c r="T1117" s="403" t="s">
        <v>16016</v>
      </c>
      <c r="U1117" s="403"/>
      <c r="V1117" s="403" t="s">
        <v>23024</v>
      </c>
      <c r="W1117" s="403" t="s">
        <v>23024</v>
      </c>
      <c r="X1117" s="403" t="s">
        <v>23024</v>
      </c>
      <c r="Y1117" s="403" t="s">
        <v>23024</v>
      </c>
    </row>
    <row r="1118" spans="1:25">
      <c r="A1118" s="363">
        <f t="shared" si="143"/>
        <v>1117</v>
      </c>
      <c r="B1118" s="363" t="str">
        <f t="shared" si="136"/>
        <v>44</v>
      </c>
      <c r="C1118" s="405" t="str">
        <f t="shared" si="137"/>
        <v>第010437号</v>
      </c>
      <c r="D1118" s="405" t="str">
        <f t="shared" si="138"/>
        <v>（株）三興</v>
      </c>
      <c r="E1118" s="405" t="str">
        <f t="shared" si="139"/>
        <v>代表取締役</v>
      </c>
      <c r="F1118" s="405" t="str">
        <f t="shared" si="140"/>
        <v>安達　哲也</v>
      </c>
      <c r="G1118" s="405" t="str">
        <f t="shared" si="141"/>
        <v>主たる営業所</v>
      </c>
      <c r="H1118" s="405" t="str">
        <f t="shared" si="142"/>
        <v>大分市大字丹生３０－４１</v>
      </c>
      <c r="L1118" s="403" t="s">
        <v>10045</v>
      </c>
      <c r="M1118" s="403" t="s">
        <v>10046</v>
      </c>
      <c r="N1118" s="403" t="s">
        <v>3482</v>
      </c>
      <c r="O1118" s="403" t="s">
        <v>7084</v>
      </c>
      <c r="P1118" s="403" t="s">
        <v>1536</v>
      </c>
      <c r="Q1118" s="403" t="s">
        <v>7472</v>
      </c>
      <c r="R1118" s="403" t="s">
        <v>19505</v>
      </c>
      <c r="S1118" s="403" t="s">
        <v>16017</v>
      </c>
      <c r="T1118" s="403" t="s">
        <v>16018</v>
      </c>
      <c r="U1118" s="403"/>
      <c r="V1118" s="403" t="s">
        <v>23024</v>
      </c>
      <c r="W1118" s="403" t="s">
        <v>23024</v>
      </c>
      <c r="X1118" s="403" t="s">
        <v>23024</v>
      </c>
      <c r="Y1118" s="403" t="s">
        <v>23024</v>
      </c>
    </row>
    <row r="1119" spans="1:25">
      <c r="A1119" s="363">
        <f t="shared" si="143"/>
        <v>1118</v>
      </c>
      <c r="B1119" s="363" t="str">
        <f t="shared" si="136"/>
        <v>44</v>
      </c>
      <c r="C1119" s="405" t="str">
        <f t="shared" si="137"/>
        <v>第010461号</v>
      </c>
      <c r="D1119" s="405" t="str">
        <f t="shared" si="138"/>
        <v>（株）東大分ノヴェル</v>
      </c>
      <c r="E1119" s="405" t="str">
        <f t="shared" si="139"/>
        <v>代表取締役</v>
      </c>
      <c r="F1119" s="405" t="str">
        <f t="shared" si="140"/>
        <v>小林　昭雄</v>
      </c>
      <c r="G1119" s="405" t="str">
        <f t="shared" si="141"/>
        <v>主たる営業所</v>
      </c>
      <c r="H1119" s="405" t="str">
        <f t="shared" si="142"/>
        <v>大分市牧上町１６－１２</v>
      </c>
      <c r="L1119" s="403" t="s">
        <v>10047</v>
      </c>
      <c r="M1119" s="403" t="s">
        <v>10048</v>
      </c>
      <c r="N1119" s="403" t="s">
        <v>3483</v>
      </c>
      <c r="O1119" s="403" t="s">
        <v>7084</v>
      </c>
      <c r="P1119" s="403" t="s">
        <v>3484</v>
      </c>
      <c r="Q1119" s="403" t="s">
        <v>8745</v>
      </c>
      <c r="R1119" s="403" t="s">
        <v>19506</v>
      </c>
      <c r="S1119" s="403" t="s">
        <v>16019</v>
      </c>
      <c r="T1119" s="403" t="s">
        <v>16020</v>
      </c>
      <c r="U1119" s="403"/>
      <c r="V1119" s="403" t="s">
        <v>23024</v>
      </c>
      <c r="W1119" s="403" t="s">
        <v>23024</v>
      </c>
      <c r="X1119" s="403" t="s">
        <v>23024</v>
      </c>
      <c r="Y1119" s="403" t="s">
        <v>23024</v>
      </c>
    </row>
    <row r="1120" spans="1:25">
      <c r="A1120" s="363">
        <f t="shared" si="143"/>
        <v>1119</v>
      </c>
      <c r="B1120" s="363" t="str">
        <f t="shared" si="136"/>
        <v>44</v>
      </c>
      <c r="C1120" s="405" t="str">
        <f t="shared" si="137"/>
        <v>第010468号</v>
      </c>
      <c r="D1120" s="405" t="str">
        <f t="shared" si="138"/>
        <v>（有）ヒロ建設</v>
      </c>
      <c r="E1120" s="405" t="str">
        <f t="shared" si="139"/>
        <v>代表取締役</v>
      </c>
      <c r="F1120" s="405" t="str">
        <f t="shared" si="140"/>
        <v>手嶋　浩信</v>
      </c>
      <c r="G1120" s="405" t="str">
        <f t="shared" si="141"/>
        <v>主たる営業所</v>
      </c>
      <c r="H1120" s="405" t="str">
        <f t="shared" si="142"/>
        <v>杵築市大字八坂１１７１－１</v>
      </c>
      <c r="L1120" s="403" t="s">
        <v>10049</v>
      </c>
      <c r="M1120" s="403" t="s">
        <v>10050</v>
      </c>
      <c r="N1120" s="403" t="s">
        <v>3485</v>
      </c>
      <c r="O1120" s="403" t="s">
        <v>7084</v>
      </c>
      <c r="P1120" s="403" t="s">
        <v>3486</v>
      </c>
      <c r="Q1120" s="403" t="s">
        <v>9379</v>
      </c>
      <c r="R1120" s="403" t="s">
        <v>19507</v>
      </c>
      <c r="S1120" s="403" t="s">
        <v>16021</v>
      </c>
      <c r="T1120" s="403" t="s">
        <v>16022</v>
      </c>
      <c r="U1120" s="403"/>
      <c r="V1120" s="403" t="s">
        <v>23024</v>
      </c>
      <c r="W1120" s="403" t="s">
        <v>23024</v>
      </c>
      <c r="X1120" s="403" t="s">
        <v>23024</v>
      </c>
      <c r="Y1120" s="403" t="s">
        <v>23024</v>
      </c>
    </row>
    <row r="1121" spans="1:25">
      <c r="A1121" s="363">
        <f t="shared" si="143"/>
        <v>1120</v>
      </c>
      <c r="B1121" s="363" t="str">
        <f t="shared" si="136"/>
        <v>44</v>
      </c>
      <c r="C1121" s="405" t="str">
        <f t="shared" si="137"/>
        <v>第010472号</v>
      </c>
      <c r="D1121" s="405" t="str">
        <f t="shared" si="138"/>
        <v>（有）トリゴエ建設</v>
      </c>
      <c r="E1121" s="405" t="str">
        <f t="shared" si="139"/>
        <v>代表取締役</v>
      </c>
      <c r="F1121" s="405" t="str">
        <f t="shared" si="140"/>
        <v>加藤　出</v>
      </c>
      <c r="G1121" s="405" t="str">
        <f t="shared" si="141"/>
        <v>主たる営業所</v>
      </c>
      <c r="H1121" s="405" t="str">
        <f t="shared" si="142"/>
        <v>国東市安岐町吉松４３－２</v>
      </c>
      <c r="L1121" s="403" t="s">
        <v>10051</v>
      </c>
      <c r="M1121" s="403" t="s">
        <v>10052</v>
      </c>
      <c r="N1121" s="403" t="s">
        <v>3487</v>
      </c>
      <c r="O1121" s="403" t="s">
        <v>7084</v>
      </c>
      <c r="P1121" s="403" t="s">
        <v>19508</v>
      </c>
      <c r="Q1121" s="403" t="s">
        <v>9585</v>
      </c>
      <c r="R1121" s="403" t="s">
        <v>19509</v>
      </c>
      <c r="S1121" s="403" t="s">
        <v>16023</v>
      </c>
      <c r="T1121" s="403" t="s">
        <v>15630</v>
      </c>
      <c r="U1121" s="403"/>
      <c r="V1121" s="403" t="s">
        <v>23024</v>
      </c>
      <c r="W1121" s="403" t="s">
        <v>23024</v>
      </c>
      <c r="X1121" s="403" t="s">
        <v>23024</v>
      </c>
      <c r="Y1121" s="403" t="s">
        <v>23024</v>
      </c>
    </row>
    <row r="1122" spans="1:25">
      <c r="A1122" s="363">
        <f t="shared" si="143"/>
        <v>1121</v>
      </c>
      <c r="B1122" s="363" t="str">
        <f t="shared" si="136"/>
        <v>44</v>
      </c>
      <c r="C1122" s="405" t="str">
        <f t="shared" si="137"/>
        <v>第010477号</v>
      </c>
      <c r="D1122" s="405" t="str">
        <f t="shared" si="138"/>
        <v>神田産業（有）</v>
      </c>
      <c r="E1122" s="405" t="str">
        <f t="shared" si="139"/>
        <v>代表取締役</v>
      </c>
      <c r="F1122" s="405" t="str">
        <f t="shared" si="140"/>
        <v>神田　竜彦</v>
      </c>
      <c r="G1122" s="405" t="str">
        <f t="shared" si="141"/>
        <v>主たる営業所</v>
      </c>
      <c r="H1122" s="405" t="str">
        <f t="shared" si="142"/>
        <v>豊後大野市三重町赤嶺１０９４－７</v>
      </c>
      <c r="L1122" s="403" t="s">
        <v>10053</v>
      </c>
      <c r="M1122" s="403" t="s">
        <v>10054</v>
      </c>
      <c r="N1122" s="403" t="s">
        <v>3488</v>
      </c>
      <c r="O1122" s="403" t="s">
        <v>7084</v>
      </c>
      <c r="P1122" s="403" t="s">
        <v>3489</v>
      </c>
      <c r="Q1122" s="403" t="s">
        <v>7879</v>
      </c>
      <c r="R1122" s="403" t="s">
        <v>19510</v>
      </c>
      <c r="S1122" s="403" t="s">
        <v>16024</v>
      </c>
      <c r="T1122" s="403" t="s">
        <v>16025</v>
      </c>
      <c r="U1122" s="403"/>
      <c r="V1122" s="403" t="s">
        <v>23024</v>
      </c>
      <c r="W1122" s="403" t="s">
        <v>23024</v>
      </c>
      <c r="X1122" s="403" t="s">
        <v>23024</v>
      </c>
      <c r="Y1122" s="403" t="s">
        <v>23024</v>
      </c>
    </row>
    <row r="1123" spans="1:25">
      <c r="A1123" s="363">
        <f t="shared" si="143"/>
        <v>1122</v>
      </c>
      <c r="B1123" s="363" t="str">
        <f t="shared" si="136"/>
        <v>44</v>
      </c>
      <c r="C1123" s="405" t="str">
        <f t="shared" si="137"/>
        <v>第010491号</v>
      </c>
      <c r="D1123" s="405" t="str">
        <f t="shared" si="138"/>
        <v>緑産業</v>
      </c>
      <c r="E1123" s="405" t="str">
        <f t="shared" si="139"/>
        <v>事業主</v>
      </c>
      <c r="F1123" s="405" t="str">
        <f t="shared" si="140"/>
        <v>佐藤　享</v>
      </c>
      <c r="G1123" s="405" t="str">
        <f t="shared" si="141"/>
        <v>主たる営業所</v>
      </c>
      <c r="H1123" s="405" t="str">
        <f t="shared" si="142"/>
        <v>中津市大字万田５６５</v>
      </c>
      <c r="L1123" s="403" t="s">
        <v>10055</v>
      </c>
      <c r="M1123" s="403" t="s">
        <v>10056</v>
      </c>
      <c r="N1123" s="403" t="s">
        <v>3490</v>
      </c>
      <c r="O1123" s="403" t="s">
        <v>7088</v>
      </c>
      <c r="P1123" s="403" t="s">
        <v>3491</v>
      </c>
      <c r="Q1123" s="403" t="s">
        <v>8090</v>
      </c>
      <c r="R1123" s="403" t="s">
        <v>5583</v>
      </c>
      <c r="S1123" s="403" t="s">
        <v>16026</v>
      </c>
      <c r="T1123" s="403">
        <v>0</v>
      </c>
      <c r="U1123" s="403"/>
      <c r="V1123" s="403" t="s">
        <v>23024</v>
      </c>
      <c r="W1123" s="403" t="s">
        <v>23024</v>
      </c>
      <c r="X1123" s="403" t="s">
        <v>23024</v>
      </c>
      <c r="Y1123" s="403" t="s">
        <v>23024</v>
      </c>
    </row>
    <row r="1124" spans="1:25">
      <c r="A1124" s="363">
        <f t="shared" si="143"/>
        <v>1123</v>
      </c>
      <c r="B1124" s="363" t="str">
        <f t="shared" si="136"/>
        <v>44</v>
      </c>
      <c r="C1124" s="405" t="str">
        <f t="shared" si="137"/>
        <v>第010492号</v>
      </c>
      <c r="D1124" s="405" t="str">
        <f t="shared" si="138"/>
        <v>（株）オー・エム・ケイ</v>
      </c>
      <c r="E1124" s="405" t="str">
        <f t="shared" si="139"/>
        <v>代表取締役</v>
      </c>
      <c r="F1124" s="405" t="str">
        <f t="shared" si="140"/>
        <v>吉田　忠実</v>
      </c>
      <c r="G1124" s="405" t="str">
        <f t="shared" si="141"/>
        <v>主たる営業所</v>
      </c>
      <c r="H1124" s="405" t="str">
        <f t="shared" si="142"/>
        <v>大分市青崎１－１０－５</v>
      </c>
      <c r="L1124" s="403" t="s">
        <v>10057</v>
      </c>
      <c r="M1124" s="403" t="s">
        <v>10058</v>
      </c>
      <c r="N1124" s="403" t="s">
        <v>3492</v>
      </c>
      <c r="O1124" s="403" t="s">
        <v>7084</v>
      </c>
      <c r="P1124" s="403" t="s">
        <v>3493</v>
      </c>
      <c r="Q1124" s="403" t="s">
        <v>7528</v>
      </c>
      <c r="R1124" s="403" t="s">
        <v>19511</v>
      </c>
      <c r="S1124" s="403" t="s">
        <v>16027</v>
      </c>
      <c r="T1124" s="403" t="s">
        <v>16028</v>
      </c>
      <c r="U1124" s="403"/>
      <c r="V1124" s="403" t="s">
        <v>23024</v>
      </c>
      <c r="W1124" s="403" t="s">
        <v>23024</v>
      </c>
      <c r="X1124" s="403" t="s">
        <v>23024</v>
      </c>
      <c r="Y1124" s="403" t="s">
        <v>23024</v>
      </c>
    </row>
    <row r="1125" spans="1:25">
      <c r="A1125" s="363">
        <f t="shared" si="143"/>
        <v>1124</v>
      </c>
      <c r="B1125" s="363" t="str">
        <f t="shared" si="136"/>
        <v>44</v>
      </c>
      <c r="C1125" s="405" t="str">
        <f t="shared" si="137"/>
        <v>第010494号</v>
      </c>
      <c r="D1125" s="405" t="str">
        <f t="shared" si="138"/>
        <v>（有）パシック電工</v>
      </c>
      <c r="E1125" s="405" t="str">
        <f t="shared" si="139"/>
        <v>代表取締役</v>
      </c>
      <c r="F1125" s="405" t="str">
        <f t="shared" si="140"/>
        <v>里見　陵</v>
      </c>
      <c r="G1125" s="405" t="str">
        <f t="shared" si="141"/>
        <v>主たる営業所</v>
      </c>
      <c r="H1125" s="405" t="str">
        <f t="shared" si="142"/>
        <v>大分市乙津港町１－８－２７</v>
      </c>
      <c r="L1125" s="403" t="s">
        <v>10059</v>
      </c>
      <c r="M1125" s="403" t="s">
        <v>10060</v>
      </c>
      <c r="N1125" s="403" t="s">
        <v>3494</v>
      </c>
      <c r="O1125" s="403" t="s">
        <v>7084</v>
      </c>
      <c r="P1125" s="403" t="s">
        <v>19512</v>
      </c>
      <c r="Q1125" s="403" t="s">
        <v>7425</v>
      </c>
      <c r="R1125" s="403" t="s">
        <v>19513</v>
      </c>
      <c r="S1125" s="403" t="s">
        <v>16029</v>
      </c>
      <c r="T1125" s="403" t="s">
        <v>16030</v>
      </c>
      <c r="U1125" s="403"/>
      <c r="V1125" s="403" t="s">
        <v>23024</v>
      </c>
      <c r="W1125" s="403" t="s">
        <v>23024</v>
      </c>
      <c r="X1125" s="403" t="s">
        <v>23024</v>
      </c>
      <c r="Y1125" s="403" t="s">
        <v>23024</v>
      </c>
    </row>
    <row r="1126" spans="1:25">
      <c r="A1126" s="363">
        <f t="shared" si="143"/>
        <v>1125</v>
      </c>
      <c r="B1126" s="363" t="str">
        <f t="shared" si="136"/>
        <v>44</v>
      </c>
      <c r="C1126" s="405" t="str">
        <f t="shared" si="137"/>
        <v>第010499号</v>
      </c>
      <c r="D1126" s="405" t="str">
        <f t="shared" si="138"/>
        <v>（有）松尾設備</v>
      </c>
      <c r="E1126" s="405" t="str">
        <f t="shared" si="139"/>
        <v>代表取締役</v>
      </c>
      <c r="F1126" s="405" t="str">
        <f t="shared" si="140"/>
        <v>松尾　剛徳</v>
      </c>
      <c r="G1126" s="405" t="str">
        <f t="shared" si="141"/>
        <v>主たる営業所</v>
      </c>
      <c r="H1126" s="405" t="str">
        <f t="shared" si="142"/>
        <v>別府市大字鉄輪１１６６－５</v>
      </c>
      <c r="L1126" s="403" t="s">
        <v>10061</v>
      </c>
      <c r="M1126" s="403" t="s">
        <v>10062</v>
      </c>
      <c r="N1126" s="403" t="s">
        <v>3495</v>
      </c>
      <c r="O1126" s="403" t="s">
        <v>7084</v>
      </c>
      <c r="P1126" s="403" t="s">
        <v>3496</v>
      </c>
      <c r="Q1126" s="403" t="s">
        <v>9425</v>
      </c>
      <c r="R1126" s="403" t="s">
        <v>19514</v>
      </c>
      <c r="S1126" s="403" t="s">
        <v>16031</v>
      </c>
      <c r="T1126" s="403" t="s">
        <v>16032</v>
      </c>
      <c r="U1126" s="403"/>
      <c r="V1126" s="403" t="s">
        <v>23024</v>
      </c>
      <c r="W1126" s="403" t="s">
        <v>23024</v>
      </c>
      <c r="X1126" s="403" t="s">
        <v>23024</v>
      </c>
      <c r="Y1126" s="403" t="s">
        <v>23024</v>
      </c>
    </row>
    <row r="1127" spans="1:25">
      <c r="A1127" s="363">
        <f t="shared" si="143"/>
        <v>1126</v>
      </c>
      <c r="B1127" s="363" t="str">
        <f t="shared" si="136"/>
        <v>44</v>
      </c>
      <c r="C1127" s="405" t="str">
        <f t="shared" si="137"/>
        <v>第010502号</v>
      </c>
      <c r="D1127" s="405" t="str">
        <f t="shared" si="138"/>
        <v>（有）真田工務店</v>
      </c>
      <c r="E1127" s="405" t="str">
        <f t="shared" si="139"/>
        <v>代表取締役</v>
      </c>
      <c r="F1127" s="405" t="str">
        <f t="shared" si="140"/>
        <v>真田　一利</v>
      </c>
      <c r="G1127" s="405" t="str">
        <f t="shared" si="141"/>
        <v>主たる営業所</v>
      </c>
      <c r="H1127" s="405" t="str">
        <f t="shared" si="142"/>
        <v>宇佐市院内町上恵良７－１</v>
      </c>
      <c r="L1127" s="403" t="s">
        <v>10063</v>
      </c>
      <c r="M1127" s="403" t="s">
        <v>10064</v>
      </c>
      <c r="N1127" s="403" t="s">
        <v>3497</v>
      </c>
      <c r="O1127" s="403" t="s">
        <v>7084</v>
      </c>
      <c r="P1127" s="403" t="s">
        <v>3498</v>
      </c>
      <c r="Q1127" s="403" t="s">
        <v>8243</v>
      </c>
      <c r="R1127" s="403" t="s">
        <v>19515</v>
      </c>
      <c r="S1127" s="403" t="s">
        <v>16033</v>
      </c>
      <c r="T1127" s="403" t="s">
        <v>16034</v>
      </c>
      <c r="U1127" s="403"/>
      <c r="V1127" s="403" t="s">
        <v>23024</v>
      </c>
      <c r="W1127" s="403" t="s">
        <v>23024</v>
      </c>
      <c r="X1127" s="403" t="s">
        <v>23024</v>
      </c>
      <c r="Y1127" s="403" t="s">
        <v>23024</v>
      </c>
    </row>
    <row r="1128" spans="1:25">
      <c r="A1128" s="363">
        <f t="shared" si="143"/>
        <v>1127</v>
      </c>
      <c r="B1128" s="363" t="str">
        <f t="shared" si="136"/>
        <v>44</v>
      </c>
      <c r="C1128" s="405" t="str">
        <f t="shared" si="137"/>
        <v>第010506号</v>
      </c>
      <c r="D1128" s="405" t="str">
        <f t="shared" si="138"/>
        <v>（有）玖珠緑化建設</v>
      </c>
      <c r="E1128" s="405" t="str">
        <f t="shared" si="139"/>
        <v>代表取締役</v>
      </c>
      <c r="F1128" s="405" t="str">
        <f t="shared" si="140"/>
        <v>楳木　文秋</v>
      </c>
      <c r="G1128" s="405" t="str">
        <f t="shared" si="141"/>
        <v>主たる営業所</v>
      </c>
      <c r="H1128" s="405" t="str">
        <f t="shared" si="142"/>
        <v>玖珠郡九重町大字町田３０７８－１</v>
      </c>
      <c r="L1128" s="403" t="s">
        <v>10065</v>
      </c>
      <c r="M1128" s="403" t="s">
        <v>10066</v>
      </c>
      <c r="N1128" s="403" t="s">
        <v>3499</v>
      </c>
      <c r="O1128" s="403" t="s">
        <v>7084</v>
      </c>
      <c r="P1128" s="403" t="s">
        <v>3500</v>
      </c>
      <c r="Q1128" s="403" t="s">
        <v>7977</v>
      </c>
      <c r="R1128" s="403" t="s">
        <v>19516</v>
      </c>
      <c r="S1128" s="403" t="s">
        <v>16035</v>
      </c>
      <c r="T1128" s="403" t="s">
        <v>16036</v>
      </c>
      <c r="U1128" s="403"/>
      <c r="V1128" s="403" t="s">
        <v>23024</v>
      </c>
      <c r="W1128" s="403" t="s">
        <v>23024</v>
      </c>
      <c r="X1128" s="403" t="s">
        <v>23024</v>
      </c>
      <c r="Y1128" s="403" t="s">
        <v>23024</v>
      </c>
    </row>
    <row r="1129" spans="1:25">
      <c r="A1129" s="363">
        <f t="shared" si="143"/>
        <v>1128</v>
      </c>
      <c r="B1129" s="363" t="str">
        <f t="shared" si="136"/>
        <v>44</v>
      </c>
      <c r="C1129" s="405" t="str">
        <f t="shared" si="137"/>
        <v>第010507号</v>
      </c>
      <c r="D1129" s="405" t="str">
        <f t="shared" si="138"/>
        <v>（有）相良電気商会</v>
      </c>
      <c r="E1129" s="405" t="str">
        <f t="shared" si="139"/>
        <v>代表取締役</v>
      </c>
      <c r="F1129" s="405" t="str">
        <f t="shared" si="140"/>
        <v>相良　和利</v>
      </c>
      <c r="G1129" s="405" t="str">
        <f t="shared" si="141"/>
        <v>主たる営業所</v>
      </c>
      <c r="H1129" s="405" t="str">
        <f t="shared" si="142"/>
        <v>玖珠郡玖珠町大字帆足２２８－４</v>
      </c>
      <c r="L1129" s="403" t="s">
        <v>10067</v>
      </c>
      <c r="M1129" s="403" t="s">
        <v>10068</v>
      </c>
      <c r="N1129" s="403" t="s">
        <v>3501</v>
      </c>
      <c r="O1129" s="403" t="s">
        <v>7084</v>
      </c>
      <c r="P1129" s="403" t="s">
        <v>3502</v>
      </c>
      <c r="Q1129" s="403" t="s">
        <v>7988</v>
      </c>
      <c r="R1129" s="403" t="s">
        <v>19517</v>
      </c>
      <c r="S1129" s="403" t="s">
        <v>16037</v>
      </c>
      <c r="T1129" s="403" t="s">
        <v>16038</v>
      </c>
      <c r="U1129" s="403"/>
      <c r="V1129" s="403" t="s">
        <v>23024</v>
      </c>
      <c r="W1129" s="403" t="s">
        <v>23024</v>
      </c>
      <c r="X1129" s="403" t="s">
        <v>23024</v>
      </c>
      <c r="Y1129" s="403" t="s">
        <v>23024</v>
      </c>
    </row>
    <row r="1130" spans="1:25">
      <c r="A1130" s="363">
        <f t="shared" si="143"/>
        <v>1129</v>
      </c>
      <c r="B1130" s="363" t="str">
        <f t="shared" si="136"/>
        <v>44</v>
      </c>
      <c r="C1130" s="405" t="str">
        <f t="shared" si="137"/>
        <v>第010509号</v>
      </c>
      <c r="D1130" s="405" t="str">
        <f t="shared" si="138"/>
        <v>（株）セイブ開発</v>
      </c>
      <c r="E1130" s="405" t="str">
        <f t="shared" si="139"/>
        <v>代表取締役</v>
      </c>
      <c r="F1130" s="405" t="str">
        <f t="shared" si="140"/>
        <v>佐野　徹</v>
      </c>
      <c r="G1130" s="405" t="str">
        <f t="shared" si="141"/>
        <v>主たる営業所</v>
      </c>
      <c r="H1130" s="405" t="str">
        <f t="shared" si="142"/>
        <v>速見郡日出町大字藤原２６３６－３</v>
      </c>
      <c r="L1130" s="403" t="s">
        <v>10069</v>
      </c>
      <c r="M1130" s="403" t="s">
        <v>10070</v>
      </c>
      <c r="N1130" s="403" t="s">
        <v>3503</v>
      </c>
      <c r="O1130" s="403" t="s">
        <v>7084</v>
      </c>
      <c r="P1130" s="403" t="s">
        <v>3504</v>
      </c>
      <c r="Q1130" s="403" t="s">
        <v>7619</v>
      </c>
      <c r="R1130" s="403" t="s">
        <v>19518</v>
      </c>
      <c r="S1130" s="403" t="s">
        <v>16039</v>
      </c>
      <c r="T1130" s="403" t="s">
        <v>14131</v>
      </c>
      <c r="U1130" s="403"/>
      <c r="V1130" s="403" t="s">
        <v>23024</v>
      </c>
      <c r="W1130" s="403" t="s">
        <v>23024</v>
      </c>
      <c r="X1130" s="403" t="s">
        <v>23024</v>
      </c>
      <c r="Y1130" s="403" t="s">
        <v>23024</v>
      </c>
    </row>
    <row r="1131" spans="1:25">
      <c r="A1131" s="363">
        <f t="shared" si="143"/>
        <v>1130</v>
      </c>
      <c r="B1131" s="363" t="str">
        <f t="shared" si="136"/>
        <v>44</v>
      </c>
      <c r="C1131" s="405" t="str">
        <f t="shared" si="137"/>
        <v>第010518号</v>
      </c>
      <c r="D1131" s="405" t="str">
        <f t="shared" si="138"/>
        <v>（有）日豊工業社</v>
      </c>
      <c r="E1131" s="405" t="str">
        <f t="shared" si="139"/>
        <v>代表取締役</v>
      </c>
      <c r="F1131" s="405" t="str">
        <f t="shared" si="140"/>
        <v>光永　竜也</v>
      </c>
      <c r="G1131" s="405" t="str">
        <f t="shared" si="141"/>
        <v>主たる営業所</v>
      </c>
      <c r="H1131" s="405" t="str">
        <f t="shared" si="142"/>
        <v>別府市堀田町５－６３</v>
      </c>
      <c r="L1131" s="403" t="s">
        <v>10071</v>
      </c>
      <c r="M1131" s="403" t="s">
        <v>10072</v>
      </c>
      <c r="N1131" s="403" t="s">
        <v>3505</v>
      </c>
      <c r="O1131" s="403" t="s">
        <v>7084</v>
      </c>
      <c r="P1131" s="403" t="s">
        <v>3506</v>
      </c>
      <c r="Q1131" s="403" t="s">
        <v>8352</v>
      </c>
      <c r="R1131" s="403" t="s">
        <v>19519</v>
      </c>
      <c r="S1131" s="403" t="s">
        <v>16040</v>
      </c>
      <c r="T1131" s="403" t="s">
        <v>16041</v>
      </c>
      <c r="U1131" s="403"/>
      <c r="V1131" s="403" t="s">
        <v>23024</v>
      </c>
      <c r="W1131" s="403" t="s">
        <v>23024</v>
      </c>
      <c r="X1131" s="403" t="s">
        <v>23024</v>
      </c>
      <c r="Y1131" s="403" t="s">
        <v>23024</v>
      </c>
    </row>
    <row r="1132" spans="1:25">
      <c r="A1132" s="363">
        <f t="shared" si="143"/>
        <v>1131</v>
      </c>
      <c r="B1132" s="363" t="str">
        <f t="shared" si="136"/>
        <v>44</v>
      </c>
      <c r="C1132" s="405" t="str">
        <f t="shared" si="137"/>
        <v>第010520号</v>
      </c>
      <c r="D1132" s="405" t="str">
        <f t="shared" si="138"/>
        <v>（有）挾間管工</v>
      </c>
      <c r="E1132" s="405" t="str">
        <f t="shared" si="139"/>
        <v>代表取締役</v>
      </c>
      <c r="F1132" s="405" t="str">
        <f t="shared" si="140"/>
        <v>佐藤　祐輔</v>
      </c>
      <c r="G1132" s="405" t="str">
        <f t="shared" si="141"/>
        <v>主たる営業所</v>
      </c>
      <c r="H1132" s="405" t="str">
        <f t="shared" si="142"/>
        <v>由布市挾間町鬼瀬７５１－６</v>
      </c>
      <c r="L1132" s="403" t="s">
        <v>10073</v>
      </c>
      <c r="M1132" s="403" t="s">
        <v>10074</v>
      </c>
      <c r="N1132" s="403" t="s">
        <v>3507</v>
      </c>
      <c r="O1132" s="403" t="s">
        <v>7084</v>
      </c>
      <c r="P1132" s="403" t="s">
        <v>3508</v>
      </c>
      <c r="Q1132" s="403" t="s">
        <v>8731</v>
      </c>
      <c r="R1132" s="403" t="s">
        <v>19520</v>
      </c>
      <c r="S1132" s="403" t="s">
        <v>16042</v>
      </c>
      <c r="T1132" s="403" t="s">
        <v>16043</v>
      </c>
      <c r="U1132" s="403"/>
      <c r="V1132" s="403" t="s">
        <v>23024</v>
      </c>
      <c r="W1132" s="403" t="s">
        <v>23024</v>
      </c>
      <c r="X1132" s="403" t="s">
        <v>23024</v>
      </c>
      <c r="Y1132" s="403" t="s">
        <v>23024</v>
      </c>
    </row>
    <row r="1133" spans="1:25">
      <c r="A1133" s="363">
        <f t="shared" si="143"/>
        <v>1132</v>
      </c>
      <c r="B1133" s="363" t="str">
        <f t="shared" si="136"/>
        <v>44</v>
      </c>
      <c r="C1133" s="405" t="str">
        <f t="shared" si="137"/>
        <v>第010526号</v>
      </c>
      <c r="D1133" s="405" t="str">
        <f t="shared" si="138"/>
        <v>（有）三郷電設</v>
      </c>
      <c r="E1133" s="405" t="str">
        <f t="shared" si="139"/>
        <v>代表取締役</v>
      </c>
      <c r="F1133" s="405" t="str">
        <f t="shared" si="140"/>
        <v>三好　繁</v>
      </c>
      <c r="G1133" s="405" t="str">
        <f t="shared" si="141"/>
        <v>主たる営業所</v>
      </c>
      <c r="H1133" s="405" t="str">
        <f t="shared" si="142"/>
        <v>中津市山国町中摩３２５０－１</v>
      </c>
      <c r="L1133" s="403" t="s">
        <v>10075</v>
      </c>
      <c r="M1133" s="403" t="s">
        <v>10076</v>
      </c>
      <c r="N1133" s="403" t="s">
        <v>3509</v>
      </c>
      <c r="O1133" s="403" t="s">
        <v>7084</v>
      </c>
      <c r="P1133" s="403" t="s">
        <v>3510</v>
      </c>
      <c r="Q1133" s="403" t="s">
        <v>10077</v>
      </c>
      <c r="R1133" s="403" t="s">
        <v>19521</v>
      </c>
      <c r="S1133" s="403" t="s">
        <v>16044</v>
      </c>
      <c r="T1133" s="403" t="s">
        <v>16045</v>
      </c>
      <c r="U1133" s="403"/>
      <c r="V1133" s="403" t="s">
        <v>23024</v>
      </c>
      <c r="W1133" s="403" t="s">
        <v>23024</v>
      </c>
      <c r="X1133" s="403" t="s">
        <v>23024</v>
      </c>
      <c r="Y1133" s="403" t="s">
        <v>23024</v>
      </c>
    </row>
    <row r="1134" spans="1:25">
      <c r="A1134" s="363">
        <f t="shared" si="143"/>
        <v>1133</v>
      </c>
      <c r="B1134" s="363" t="str">
        <f t="shared" si="136"/>
        <v>44</v>
      </c>
      <c r="C1134" s="405" t="str">
        <f t="shared" si="137"/>
        <v>第010546号</v>
      </c>
      <c r="D1134" s="405" t="str">
        <f t="shared" si="138"/>
        <v>（株）山村設備工業</v>
      </c>
      <c r="E1134" s="405" t="str">
        <f t="shared" si="139"/>
        <v>代表取締役</v>
      </c>
      <c r="F1134" s="405" t="str">
        <f t="shared" si="140"/>
        <v>山村　宗久</v>
      </c>
      <c r="G1134" s="405" t="str">
        <f t="shared" si="141"/>
        <v>主たる営業所</v>
      </c>
      <c r="H1134" s="405" t="str">
        <f t="shared" si="142"/>
        <v>大分市大字下郡１５１０－１６</v>
      </c>
      <c r="L1134" s="403" t="s">
        <v>10078</v>
      </c>
      <c r="M1134" s="403" t="s">
        <v>10079</v>
      </c>
      <c r="N1134" s="403" t="s">
        <v>3511</v>
      </c>
      <c r="O1134" s="403" t="s">
        <v>7084</v>
      </c>
      <c r="P1134" s="403" t="s">
        <v>3512</v>
      </c>
      <c r="Q1134" s="403" t="s">
        <v>10080</v>
      </c>
      <c r="R1134" s="403" t="s">
        <v>19522</v>
      </c>
      <c r="S1134" s="403" t="s">
        <v>16046</v>
      </c>
      <c r="T1134" s="403" t="s">
        <v>16047</v>
      </c>
      <c r="U1134" s="403"/>
      <c r="V1134" s="403" t="s">
        <v>23024</v>
      </c>
      <c r="W1134" s="403" t="s">
        <v>23024</v>
      </c>
      <c r="X1134" s="403" t="s">
        <v>23024</v>
      </c>
      <c r="Y1134" s="403" t="s">
        <v>23024</v>
      </c>
    </row>
    <row r="1135" spans="1:25">
      <c r="A1135" s="363">
        <f t="shared" si="143"/>
        <v>1134</v>
      </c>
      <c r="B1135" s="363" t="str">
        <f t="shared" si="136"/>
        <v>44</v>
      </c>
      <c r="C1135" s="405" t="str">
        <f t="shared" si="137"/>
        <v>第010549号</v>
      </c>
      <c r="D1135" s="405" t="str">
        <f t="shared" si="138"/>
        <v>（有）首藤造園</v>
      </c>
      <c r="E1135" s="405" t="str">
        <f t="shared" si="139"/>
        <v>代表取締役</v>
      </c>
      <c r="F1135" s="405" t="str">
        <f t="shared" si="140"/>
        <v>首藤　政文</v>
      </c>
      <c r="G1135" s="405" t="str">
        <f t="shared" si="141"/>
        <v>主たる営業所</v>
      </c>
      <c r="H1135" s="405" t="str">
        <f t="shared" si="142"/>
        <v>豊後大野市三重町内田１６１５</v>
      </c>
      <c r="L1135" s="404" t="s">
        <v>10081</v>
      </c>
      <c r="M1135" s="404" t="s">
        <v>10082</v>
      </c>
      <c r="N1135" s="404" t="s">
        <v>3513</v>
      </c>
      <c r="O1135" s="404" t="s">
        <v>7084</v>
      </c>
      <c r="P1135" s="404" t="s">
        <v>3514</v>
      </c>
      <c r="Q1135" s="404" t="s">
        <v>7899</v>
      </c>
      <c r="R1135" s="404" t="s">
        <v>5584</v>
      </c>
      <c r="S1135" s="404" t="s">
        <v>16048</v>
      </c>
      <c r="T1135" s="404" t="s">
        <v>16049</v>
      </c>
      <c r="U1135" s="404"/>
      <c r="V1135" s="404" t="s">
        <v>23024</v>
      </c>
      <c r="W1135" s="404" t="s">
        <v>23024</v>
      </c>
      <c r="X1135" s="404" t="s">
        <v>23024</v>
      </c>
      <c r="Y1135" s="404" t="s">
        <v>23024</v>
      </c>
    </row>
    <row r="1136" spans="1:25">
      <c r="A1136" s="363">
        <f t="shared" si="143"/>
        <v>1135</v>
      </c>
      <c r="B1136" s="363" t="str">
        <f t="shared" si="136"/>
        <v>44</v>
      </c>
      <c r="C1136" s="405" t="str">
        <f t="shared" si="137"/>
        <v>第010554号</v>
      </c>
      <c r="D1136" s="405" t="str">
        <f t="shared" si="138"/>
        <v>（有）小野工務店</v>
      </c>
      <c r="E1136" s="405" t="str">
        <f t="shared" si="139"/>
        <v>取締役</v>
      </c>
      <c r="F1136" s="405" t="str">
        <f t="shared" si="140"/>
        <v>小野　政文</v>
      </c>
      <c r="G1136" s="405" t="str">
        <f t="shared" si="141"/>
        <v>主たる営業所</v>
      </c>
      <c r="H1136" s="405" t="str">
        <f t="shared" si="142"/>
        <v>中津市大字加来２２８３－３３３</v>
      </c>
      <c r="L1136" s="402" t="s">
        <v>10083</v>
      </c>
      <c r="M1136" s="402" t="s">
        <v>10084</v>
      </c>
      <c r="N1136" s="402" t="s">
        <v>3515</v>
      </c>
      <c r="O1136" s="402" t="s">
        <v>7085</v>
      </c>
      <c r="P1136" s="402" t="s">
        <v>3516</v>
      </c>
      <c r="Q1136" s="402" t="s">
        <v>7351</v>
      </c>
      <c r="R1136" s="402" t="s">
        <v>19523</v>
      </c>
      <c r="S1136" s="402" t="s">
        <v>16050</v>
      </c>
      <c r="T1136" s="402" t="s">
        <v>16051</v>
      </c>
      <c r="U1136" s="402"/>
      <c r="V1136" s="402" t="s">
        <v>23024</v>
      </c>
      <c r="W1136" s="402" t="s">
        <v>23024</v>
      </c>
      <c r="X1136" s="402" t="s">
        <v>23024</v>
      </c>
      <c r="Y1136" s="402" t="s">
        <v>23024</v>
      </c>
    </row>
    <row r="1137" spans="1:25">
      <c r="A1137" s="363">
        <f t="shared" si="143"/>
        <v>1136</v>
      </c>
      <c r="B1137" s="363" t="str">
        <f t="shared" si="136"/>
        <v>44</v>
      </c>
      <c r="C1137" s="405" t="str">
        <f t="shared" si="137"/>
        <v>第010560号</v>
      </c>
      <c r="D1137" s="405" t="str">
        <f t="shared" si="138"/>
        <v>（株）大分維持</v>
      </c>
      <c r="E1137" s="405" t="str">
        <f t="shared" si="139"/>
        <v>代表取締役</v>
      </c>
      <c r="F1137" s="405" t="str">
        <f t="shared" si="140"/>
        <v>首藤　晋哉</v>
      </c>
      <c r="G1137" s="405" t="str">
        <f t="shared" si="141"/>
        <v>主たる営業所</v>
      </c>
      <c r="H1137" s="405" t="str">
        <f t="shared" si="142"/>
        <v>大分市下郡北３－１６－２</v>
      </c>
      <c r="L1137" s="403" t="s">
        <v>10085</v>
      </c>
      <c r="M1137" s="403" t="s">
        <v>10086</v>
      </c>
      <c r="N1137" s="403" t="s">
        <v>3517</v>
      </c>
      <c r="O1137" s="403" t="s">
        <v>7084</v>
      </c>
      <c r="P1137" s="403" t="s">
        <v>3518</v>
      </c>
      <c r="Q1137" s="403" t="s">
        <v>9524</v>
      </c>
      <c r="R1137" s="403" t="s">
        <v>19524</v>
      </c>
      <c r="S1137" s="403" t="s">
        <v>16052</v>
      </c>
      <c r="T1137" s="403" t="s">
        <v>16053</v>
      </c>
      <c r="U1137" s="403"/>
      <c r="V1137" s="403" t="s">
        <v>23024</v>
      </c>
      <c r="W1137" s="403" t="s">
        <v>23024</v>
      </c>
      <c r="X1137" s="403" t="s">
        <v>23024</v>
      </c>
      <c r="Y1137" s="403" t="s">
        <v>23024</v>
      </c>
    </row>
    <row r="1138" spans="1:25">
      <c r="A1138" s="363">
        <f t="shared" si="143"/>
        <v>1137</v>
      </c>
      <c r="B1138" s="363" t="str">
        <f t="shared" si="136"/>
        <v>44</v>
      </c>
      <c r="C1138" s="405" t="str">
        <f t="shared" si="137"/>
        <v>第010572号</v>
      </c>
      <c r="D1138" s="405" t="str">
        <f t="shared" si="138"/>
        <v>（有）鎧南工業</v>
      </c>
      <c r="E1138" s="405" t="str">
        <f t="shared" si="139"/>
        <v>代表取締役</v>
      </c>
      <c r="F1138" s="405" t="str">
        <f t="shared" si="140"/>
        <v>後藤　千鶴</v>
      </c>
      <c r="G1138" s="405" t="str">
        <f t="shared" si="141"/>
        <v>主たる営業所</v>
      </c>
      <c r="H1138" s="405" t="str">
        <f t="shared" si="142"/>
        <v>豊後大野市大野町屋原３９３－１</v>
      </c>
      <c r="L1138" s="403" t="s">
        <v>10088</v>
      </c>
      <c r="M1138" s="403" t="s">
        <v>10089</v>
      </c>
      <c r="N1138" s="403" t="s">
        <v>3519</v>
      </c>
      <c r="O1138" s="403" t="s">
        <v>7084</v>
      </c>
      <c r="P1138" s="403" t="s">
        <v>3520</v>
      </c>
      <c r="Q1138" s="403" t="s">
        <v>9091</v>
      </c>
      <c r="R1138" s="403" t="s">
        <v>19525</v>
      </c>
      <c r="S1138" s="403" t="s">
        <v>16054</v>
      </c>
      <c r="T1138" s="403" t="s">
        <v>16055</v>
      </c>
      <c r="U1138" s="403"/>
      <c r="V1138" s="403" t="s">
        <v>23024</v>
      </c>
      <c r="W1138" s="403" t="s">
        <v>23024</v>
      </c>
      <c r="X1138" s="403" t="s">
        <v>23024</v>
      </c>
      <c r="Y1138" s="403" t="s">
        <v>23024</v>
      </c>
    </row>
    <row r="1139" spans="1:25">
      <c r="A1139" s="363">
        <f t="shared" si="143"/>
        <v>1138</v>
      </c>
      <c r="B1139" s="363" t="str">
        <f t="shared" si="136"/>
        <v>44</v>
      </c>
      <c r="C1139" s="405" t="str">
        <f t="shared" si="137"/>
        <v>第010579号</v>
      </c>
      <c r="D1139" s="405" t="str">
        <f t="shared" si="138"/>
        <v>（有）武蔵建設</v>
      </c>
      <c r="E1139" s="405" t="str">
        <f t="shared" si="139"/>
        <v>代表取締役</v>
      </c>
      <c r="F1139" s="405" t="str">
        <f t="shared" si="140"/>
        <v>元永　好則</v>
      </c>
      <c r="G1139" s="405" t="str">
        <f t="shared" si="141"/>
        <v>主たる営業所</v>
      </c>
      <c r="H1139" s="405" t="str">
        <f t="shared" si="142"/>
        <v>国東市武蔵町古市１１７１</v>
      </c>
      <c r="L1139" s="403" t="s">
        <v>10090</v>
      </c>
      <c r="M1139" s="403" t="s">
        <v>10091</v>
      </c>
      <c r="N1139" s="403" t="s">
        <v>3521</v>
      </c>
      <c r="O1139" s="403" t="s">
        <v>7084</v>
      </c>
      <c r="P1139" s="403" t="s">
        <v>3522</v>
      </c>
      <c r="Q1139" s="403" t="s">
        <v>7715</v>
      </c>
      <c r="R1139" s="403" t="s">
        <v>5585</v>
      </c>
      <c r="S1139" s="403" t="s">
        <v>16056</v>
      </c>
      <c r="T1139" s="403" t="s">
        <v>14184</v>
      </c>
      <c r="U1139" s="403"/>
      <c r="V1139" s="403" t="s">
        <v>23024</v>
      </c>
      <c r="W1139" s="403" t="s">
        <v>23024</v>
      </c>
      <c r="X1139" s="403" t="s">
        <v>23024</v>
      </c>
      <c r="Y1139" s="403" t="s">
        <v>23024</v>
      </c>
    </row>
    <row r="1140" spans="1:25">
      <c r="A1140" s="363">
        <f t="shared" si="143"/>
        <v>1139</v>
      </c>
      <c r="B1140" s="363" t="str">
        <f t="shared" si="136"/>
        <v>44</v>
      </c>
      <c r="C1140" s="405" t="str">
        <f t="shared" si="137"/>
        <v>第010580号</v>
      </c>
      <c r="D1140" s="405" t="str">
        <f t="shared" si="138"/>
        <v>（有）小牟礼建設</v>
      </c>
      <c r="E1140" s="405" t="str">
        <f t="shared" si="139"/>
        <v>代表取締役</v>
      </c>
      <c r="F1140" s="405" t="str">
        <f t="shared" si="140"/>
        <v>戸田　保</v>
      </c>
      <c r="G1140" s="405" t="str">
        <f t="shared" si="141"/>
        <v>主たる営業所</v>
      </c>
      <c r="H1140" s="405" t="str">
        <f t="shared" si="142"/>
        <v>豊後大野市朝地町市万田１０６９－２</v>
      </c>
      <c r="L1140" s="403" t="s">
        <v>10092</v>
      </c>
      <c r="M1140" s="403" t="s">
        <v>10093</v>
      </c>
      <c r="N1140" s="403" t="s">
        <v>3523</v>
      </c>
      <c r="O1140" s="403" t="s">
        <v>7084</v>
      </c>
      <c r="P1140" s="403" t="s">
        <v>3524</v>
      </c>
      <c r="Q1140" s="403" t="s">
        <v>10094</v>
      </c>
      <c r="R1140" s="403" t="s">
        <v>19526</v>
      </c>
      <c r="S1140" s="403" t="s">
        <v>16057</v>
      </c>
      <c r="T1140" s="403" t="s">
        <v>16058</v>
      </c>
      <c r="U1140" s="403"/>
      <c r="V1140" s="403" t="s">
        <v>23024</v>
      </c>
      <c r="W1140" s="403" t="s">
        <v>23024</v>
      </c>
      <c r="X1140" s="403" t="s">
        <v>23024</v>
      </c>
      <c r="Y1140" s="403" t="s">
        <v>23024</v>
      </c>
    </row>
    <row r="1141" spans="1:25">
      <c r="A1141" s="363">
        <f t="shared" si="143"/>
        <v>1140</v>
      </c>
      <c r="B1141" s="363" t="str">
        <f t="shared" si="136"/>
        <v>44</v>
      </c>
      <c r="C1141" s="405" t="str">
        <f t="shared" si="137"/>
        <v>第010582号</v>
      </c>
      <c r="D1141" s="405" t="str">
        <f t="shared" si="138"/>
        <v>（有）信栄建設工業</v>
      </c>
      <c r="E1141" s="405" t="str">
        <f t="shared" si="139"/>
        <v>代表取締役</v>
      </c>
      <c r="F1141" s="405" t="str">
        <f t="shared" si="140"/>
        <v>稲付　慶吾</v>
      </c>
      <c r="G1141" s="405" t="str">
        <f t="shared" si="141"/>
        <v>主たる営業所</v>
      </c>
      <c r="H1141" s="405" t="str">
        <f t="shared" si="142"/>
        <v>中津市大字伊藤田１１５－１</v>
      </c>
      <c r="L1141" s="403" t="s">
        <v>10095</v>
      </c>
      <c r="M1141" s="403" t="s">
        <v>10096</v>
      </c>
      <c r="N1141" s="403" t="s">
        <v>3525</v>
      </c>
      <c r="O1141" s="403" t="s">
        <v>7084</v>
      </c>
      <c r="P1141" s="403" t="s">
        <v>3526</v>
      </c>
      <c r="Q1141" s="403" t="s">
        <v>10097</v>
      </c>
      <c r="R1141" s="403" t="s">
        <v>19527</v>
      </c>
      <c r="S1141" s="403" t="s">
        <v>16059</v>
      </c>
      <c r="T1141" s="403" t="s">
        <v>16060</v>
      </c>
      <c r="U1141" s="403"/>
      <c r="V1141" s="403" t="s">
        <v>23024</v>
      </c>
      <c r="W1141" s="403" t="s">
        <v>23024</v>
      </c>
      <c r="X1141" s="403" t="s">
        <v>23024</v>
      </c>
      <c r="Y1141" s="403" t="s">
        <v>23024</v>
      </c>
    </row>
    <row r="1142" spans="1:25">
      <c r="A1142" s="363">
        <f t="shared" si="143"/>
        <v>1141</v>
      </c>
      <c r="B1142" s="363" t="str">
        <f t="shared" si="136"/>
        <v>44</v>
      </c>
      <c r="C1142" s="405" t="str">
        <f t="shared" si="137"/>
        <v>第010587号</v>
      </c>
      <c r="D1142" s="405" t="str">
        <f t="shared" si="138"/>
        <v>（有）エム・シー</v>
      </c>
      <c r="E1142" s="405" t="str">
        <f t="shared" si="139"/>
        <v>代表取締役</v>
      </c>
      <c r="F1142" s="405" t="str">
        <f t="shared" si="140"/>
        <v>橋本　千年</v>
      </c>
      <c r="G1142" s="405" t="str">
        <f t="shared" si="141"/>
        <v>主たる営業所</v>
      </c>
      <c r="H1142" s="405" t="str">
        <f t="shared" si="142"/>
        <v>由布市庄内町柿原１８７４－２</v>
      </c>
      <c r="L1142" s="403" t="s">
        <v>10098</v>
      </c>
      <c r="M1142" s="403" t="s">
        <v>10099</v>
      </c>
      <c r="N1142" s="403" t="s">
        <v>3527</v>
      </c>
      <c r="O1142" s="403" t="s">
        <v>7084</v>
      </c>
      <c r="P1142" s="403" t="s">
        <v>3528</v>
      </c>
      <c r="Q1142" s="403" t="s">
        <v>7548</v>
      </c>
      <c r="R1142" s="403" t="s">
        <v>19528</v>
      </c>
      <c r="S1142" s="403" t="s">
        <v>16061</v>
      </c>
      <c r="T1142" s="403" t="s">
        <v>16062</v>
      </c>
      <c r="U1142" s="403"/>
      <c r="V1142" s="403" t="s">
        <v>23024</v>
      </c>
      <c r="W1142" s="403" t="s">
        <v>23024</v>
      </c>
      <c r="X1142" s="403" t="s">
        <v>23024</v>
      </c>
      <c r="Y1142" s="403" t="s">
        <v>23024</v>
      </c>
    </row>
    <row r="1143" spans="1:25">
      <c r="A1143" s="363">
        <f t="shared" si="143"/>
        <v>1142</v>
      </c>
      <c r="B1143" s="363" t="str">
        <f t="shared" si="136"/>
        <v>44</v>
      </c>
      <c r="C1143" s="405" t="str">
        <f t="shared" si="137"/>
        <v>第010588号</v>
      </c>
      <c r="D1143" s="405" t="str">
        <f t="shared" si="138"/>
        <v>（有）共栄建設工業</v>
      </c>
      <c r="E1143" s="405" t="str">
        <f t="shared" si="139"/>
        <v>代表取締役</v>
      </c>
      <c r="F1143" s="405" t="str">
        <f t="shared" si="140"/>
        <v>古庄　栄</v>
      </c>
      <c r="G1143" s="405" t="str">
        <f t="shared" si="141"/>
        <v>主たる営業所</v>
      </c>
      <c r="H1143" s="405" t="str">
        <f t="shared" si="142"/>
        <v>宇佐市大字小向野３５４－３</v>
      </c>
      <c r="L1143" s="403" t="s">
        <v>10100</v>
      </c>
      <c r="M1143" s="403" t="s">
        <v>10101</v>
      </c>
      <c r="N1143" s="403" t="s">
        <v>3529</v>
      </c>
      <c r="O1143" s="403" t="s">
        <v>7084</v>
      </c>
      <c r="P1143" s="403" t="s">
        <v>19529</v>
      </c>
      <c r="Q1143" s="403" t="s">
        <v>10102</v>
      </c>
      <c r="R1143" s="403" t="s">
        <v>19530</v>
      </c>
      <c r="S1143" s="403" t="s">
        <v>16063</v>
      </c>
      <c r="T1143" s="403" t="s">
        <v>16064</v>
      </c>
      <c r="U1143" s="403"/>
      <c r="V1143" s="403" t="s">
        <v>23024</v>
      </c>
      <c r="W1143" s="403" t="s">
        <v>23024</v>
      </c>
      <c r="X1143" s="403" t="s">
        <v>23024</v>
      </c>
      <c r="Y1143" s="403" t="s">
        <v>23024</v>
      </c>
    </row>
    <row r="1144" spans="1:25">
      <c r="A1144" s="363">
        <f t="shared" si="143"/>
        <v>1143</v>
      </c>
      <c r="B1144" s="363" t="str">
        <f t="shared" si="136"/>
        <v>44</v>
      </c>
      <c r="C1144" s="405" t="str">
        <f t="shared" si="137"/>
        <v>第010589号</v>
      </c>
      <c r="D1144" s="405" t="str">
        <f t="shared" si="138"/>
        <v>（株）大徳産業</v>
      </c>
      <c r="E1144" s="405" t="str">
        <f t="shared" si="139"/>
        <v>代表取締役</v>
      </c>
      <c r="F1144" s="405" t="str">
        <f t="shared" si="140"/>
        <v>岡本　研次</v>
      </c>
      <c r="G1144" s="405" t="str">
        <f t="shared" si="141"/>
        <v>主たる営業所</v>
      </c>
      <c r="H1144" s="405" t="str">
        <f t="shared" si="142"/>
        <v>豊後大野市三重町秋葉１４１８</v>
      </c>
      <c r="L1144" s="403" t="s">
        <v>10103</v>
      </c>
      <c r="M1144" s="403" t="s">
        <v>10104</v>
      </c>
      <c r="N1144" s="403" t="s">
        <v>3530</v>
      </c>
      <c r="O1144" s="403" t="s">
        <v>7084</v>
      </c>
      <c r="P1144" s="403" t="s">
        <v>3531</v>
      </c>
      <c r="Q1144" s="403" t="s">
        <v>10105</v>
      </c>
      <c r="R1144" s="403" t="s">
        <v>5586</v>
      </c>
      <c r="S1144" s="403" t="s">
        <v>16065</v>
      </c>
      <c r="T1144" s="403" t="s">
        <v>16066</v>
      </c>
      <c r="U1144" s="403"/>
      <c r="V1144" s="403" t="s">
        <v>23024</v>
      </c>
      <c r="W1144" s="403" t="s">
        <v>23024</v>
      </c>
      <c r="X1144" s="403" t="s">
        <v>23024</v>
      </c>
      <c r="Y1144" s="403" t="s">
        <v>23024</v>
      </c>
    </row>
    <row r="1145" spans="1:25">
      <c r="A1145" s="363">
        <f t="shared" si="143"/>
        <v>1144</v>
      </c>
      <c r="B1145" s="363" t="str">
        <f t="shared" si="136"/>
        <v>44</v>
      </c>
      <c r="C1145" s="405" t="str">
        <f t="shared" si="137"/>
        <v>第010591号</v>
      </c>
      <c r="D1145" s="405" t="str">
        <f t="shared" si="138"/>
        <v>（有）吉良工業所</v>
      </c>
      <c r="E1145" s="405" t="str">
        <f t="shared" si="139"/>
        <v>代表取締役</v>
      </c>
      <c r="F1145" s="405" t="str">
        <f t="shared" si="140"/>
        <v>吉良　正勝</v>
      </c>
      <c r="G1145" s="405" t="str">
        <f t="shared" si="141"/>
        <v>主たる営業所</v>
      </c>
      <c r="H1145" s="405" t="str">
        <f t="shared" si="142"/>
        <v>大分市大字三佐字遠見２３８０－１１</v>
      </c>
      <c r="L1145" s="403" t="s">
        <v>10106</v>
      </c>
      <c r="M1145" s="403" t="s">
        <v>10107</v>
      </c>
      <c r="N1145" s="403" t="s">
        <v>3532</v>
      </c>
      <c r="O1145" s="403" t="s">
        <v>7084</v>
      </c>
      <c r="P1145" s="403" t="s">
        <v>3533</v>
      </c>
      <c r="Q1145" s="403" t="s">
        <v>7413</v>
      </c>
      <c r="R1145" s="403" t="s">
        <v>19531</v>
      </c>
      <c r="S1145" s="403" t="s">
        <v>16067</v>
      </c>
      <c r="T1145" s="403" t="s">
        <v>16068</v>
      </c>
      <c r="U1145" s="403"/>
      <c r="V1145" s="403" t="s">
        <v>23024</v>
      </c>
      <c r="W1145" s="403" t="s">
        <v>23024</v>
      </c>
      <c r="X1145" s="403" t="s">
        <v>23024</v>
      </c>
      <c r="Y1145" s="403" t="s">
        <v>23024</v>
      </c>
    </row>
    <row r="1146" spans="1:25">
      <c r="A1146" s="363">
        <f t="shared" si="143"/>
        <v>1145</v>
      </c>
      <c r="B1146" s="363" t="str">
        <f t="shared" si="136"/>
        <v>44</v>
      </c>
      <c r="C1146" s="405" t="str">
        <f t="shared" si="137"/>
        <v>第010598号</v>
      </c>
      <c r="D1146" s="405" t="str">
        <f t="shared" si="138"/>
        <v>（有）東大分ガーデン</v>
      </c>
      <c r="E1146" s="405" t="str">
        <f t="shared" si="139"/>
        <v>代表取締役</v>
      </c>
      <c r="F1146" s="405" t="str">
        <f t="shared" si="140"/>
        <v>佐藤　淳</v>
      </c>
      <c r="G1146" s="405" t="str">
        <f t="shared" si="141"/>
        <v>主たる営業所</v>
      </c>
      <c r="H1146" s="405" t="str">
        <f t="shared" si="142"/>
        <v>大分市角子原１－１－１２</v>
      </c>
      <c r="L1146" s="403" t="s">
        <v>10108</v>
      </c>
      <c r="M1146" s="403" t="s">
        <v>10109</v>
      </c>
      <c r="N1146" s="403" t="s">
        <v>3534</v>
      </c>
      <c r="O1146" s="403" t="s">
        <v>7084</v>
      </c>
      <c r="P1146" s="403" t="s">
        <v>3535</v>
      </c>
      <c r="Q1146" s="403" t="s">
        <v>10110</v>
      </c>
      <c r="R1146" s="403" t="s">
        <v>19532</v>
      </c>
      <c r="S1146" s="403" t="s">
        <v>16069</v>
      </c>
      <c r="T1146" s="403" t="s">
        <v>16070</v>
      </c>
      <c r="U1146" s="403"/>
      <c r="V1146" s="403" t="s">
        <v>23024</v>
      </c>
      <c r="W1146" s="403" t="s">
        <v>23024</v>
      </c>
      <c r="X1146" s="403" t="s">
        <v>23024</v>
      </c>
      <c r="Y1146" s="403" t="s">
        <v>23024</v>
      </c>
    </row>
    <row r="1147" spans="1:25">
      <c r="A1147" s="363">
        <f t="shared" si="143"/>
        <v>1146</v>
      </c>
      <c r="B1147" s="363" t="str">
        <f t="shared" si="136"/>
        <v>44</v>
      </c>
      <c r="C1147" s="405" t="str">
        <f t="shared" si="137"/>
        <v>第010603号</v>
      </c>
      <c r="D1147" s="405" t="str">
        <f t="shared" si="138"/>
        <v>首藤工務店（有）</v>
      </c>
      <c r="E1147" s="405" t="str">
        <f t="shared" si="139"/>
        <v>代表取締役</v>
      </c>
      <c r="F1147" s="405" t="str">
        <f t="shared" si="140"/>
        <v>首藤　陽蔵</v>
      </c>
      <c r="G1147" s="405" t="str">
        <f t="shared" si="141"/>
        <v>主たる営業所</v>
      </c>
      <c r="H1147" s="405" t="str">
        <f t="shared" si="142"/>
        <v>豊後大野市三重町内田３５８８－１</v>
      </c>
      <c r="L1147" s="403" t="s">
        <v>10111</v>
      </c>
      <c r="M1147" s="403" t="s">
        <v>10112</v>
      </c>
      <c r="N1147" s="403" t="s">
        <v>3536</v>
      </c>
      <c r="O1147" s="403" t="s">
        <v>7084</v>
      </c>
      <c r="P1147" s="403" t="s">
        <v>3537</v>
      </c>
      <c r="Q1147" s="403" t="s">
        <v>7899</v>
      </c>
      <c r="R1147" s="403" t="s">
        <v>19533</v>
      </c>
      <c r="S1147" s="403" t="s">
        <v>16071</v>
      </c>
      <c r="T1147" s="403" t="s">
        <v>16072</v>
      </c>
      <c r="U1147" s="403"/>
      <c r="V1147" s="403" t="s">
        <v>23024</v>
      </c>
      <c r="W1147" s="403" t="s">
        <v>23024</v>
      </c>
      <c r="X1147" s="403" t="s">
        <v>23024</v>
      </c>
      <c r="Y1147" s="403" t="s">
        <v>23024</v>
      </c>
    </row>
    <row r="1148" spans="1:25">
      <c r="A1148" s="363">
        <f t="shared" si="143"/>
        <v>1147</v>
      </c>
      <c r="B1148" s="363" t="str">
        <f t="shared" si="136"/>
        <v>44</v>
      </c>
      <c r="C1148" s="405" t="str">
        <f t="shared" si="137"/>
        <v>第010605号</v>
      </c>
      <c r="D1148" s="405" t="str">
        <f t="shared" si="138"/>
        <v>（株）タカフジ</v>
      </c>
      <c r="E1148" s="405" t="str">
        <f t="shared" si="139"/>
        <v>代表取締役</v>
      </c>
      <c r="F1148" s="405" t="str">
        <f t="shared" si="140"/>
        <v>佐藤　隆彦</v>
      </c>
      <c r="G1148" s="405" t="str">
        <f t="shared" si="141"/>
        <v>主たる営業所</v>
      </c>
      <c r="H1148" s="405" t="str">
        <f t="shared" si="142"/>
        <v>大分市三佐６－３－２５</v>
      </c>
      <c r="L1148" s="403" t="s">
        <v>10113</v>
      </c>
      <c r="M1148" s="403" t="s">
        <v>10114</v>
      </c>
      <c r="N1148" s="403" t="s">
        <v>3538</v>
      </c>
      <c r="O1148" s="403" t="s">
        <v>7084</v>
      </c>
      <c r="P1148" s="403" t="s">
        <v>3539</v>
      </c>
      <c r="Q1148" s="403" t="s">
        <v>7413</v>
      </c>
      <c r="R1148" s="403" t="s">
        <v>19534</v>
      </c>
      <c r="S1148" s="403" t="s">
        <v>16073</v>
      </c>
      <c r="T1148" s="403" t="s">
        <v>16074</v>
      </c>
      <c r="U1148" s="403"/>
      <c r="V1148" s="403" t="s">
        <v>23024</v>
      </c>
      <c r="W1148" s="403" t="s">
        <v>23024</v>
      </c>
      <c r="X1148" s="403" t="s">
        <v>23024</v>
      </c>
      <c r="Y1148" s="403" t="s">
        <v>23024</v>
      </c>
    </row>
    <row r="1149" spans="1:25">
      <c r="A1149" s="363">
        <f t="shared" si="143"/>
        <v>1148</v>
      </c>
      <c r="B1149" s="363" t="str">
        <f t="shared" si="136"/>
        <v>44</v>
      </c>
      <c r="C1149" s="405" t="str">
        <f t="shared" si="137"/>
        <v>第010607号</v>
      </c>
      <c r="D1149" s="405" t="str">
        <f t="shared" si="138"/>
        <v>（株）木下築炉</v>
      </c>
      <c r="E1149" s="405" t="str">
        <f t="shared" si="139"/>
        <v>代表取締役</v>
      </c>
      <c r="F1149" s="405" t="str">
        <f t="shared" si="140"/>
        <v>安樂　真澄</v>
      </c>
      <c r="G1149" s="405" t="str">
        <f t="shared" si="141"/>
        <v>主たる営業所</v>
      </c>
      <c r="H1149" s="405" t="str">
        <f t="shared" si="142"/>
        <v>大分市大字迫８１７</v>
      </c>
      <c r="L1149" s="403" t="s">
        <v>10115</v>
      </c>
      <c r="M1149" s="403" t="s">
        <v>10116</v>
      </c>
      <c r="N1149" s="403" t="s">
        <v>3540</v>
      </c>
      <c r="O1149" s="403" t="s">
        <v>7084</v>
      </c>
      <c r="P1149" s="403" t="s">
        <v>3541</v>
      </c>
      <c r="Q1149" s="403" t="s">
        <v>10117</v>
      </c>
      <c r="R1149" s="403" t="s">
        <v>5587</v>
      </c>
      <c r="S1149" s="403" t="s">
        <v>16075</v>
      </c>
      <c r="T1149" s="403" t="s">
        <v>16076</v>
      </c>
      <c r="U1149" s="403"/>
      <c r="V1149" s="403" t="s">
        <v>23024</v>
      </c>
      <c r="W1149" s="403" t="s">
        <v>23024</v>
      </c>
      <c r="X1149" s="403" t="s">
        <v>23024</v>
      </c>
      <c r="Y1149" s="403" t="s">
        <v>23024</v>
      </c>
    </row>
    <row r="1150" spans="1:25">
      <c r="A1150" s="363">
        <f t="shared" si="143"/>
        <v>1149</v>
      </c>
      <c r="B1150" s="363" t="str">
        <f t="shared" si="136"/>
        <v>44</v>
      </c>
      <c r="C1150" s="405" t="str">
        <f t="shared" si="137"/>
        <v>第010608号</v>
      </c>
      <c r="D1150" s="405" t="str">
        <f t="shared" si="138"/>
        <v>（有）協和建設工業</v>
      </c>
      <c r="E1150" s="405" t="str">
        <f t="shared" si="139"/>
        <v>取締役</v>
      </c>
      <c r="F1150" s="405" t="str">
        <f t="shared" si="140"/>
        <v>宮本　範義</v>
      </c>
      <c r="G1150" s="405" t="str">
        <f t="shared" si="141"/>
        <v>主たる営業所</v>
      </c>
      <c r="H1150" s="405" t="str">
        <f t="shared" si="142"/>
        <v>宇佐市大字赤尾７８９－２</v>
      </c>
      <c r="L1150" s="403" t="s">
        <v>10118</v>
      </c>
      <c r="M1150" s="403" t="s">
        <v>10119</v>
      </c>
      <c r="N1150" s="403" t="s">
        <v>3542</v>
      </c>
      <c r="O1150" s="403" t="s">
        <v>7085</v>
      </c>
      <c r="P1150" s="403" t="s">
        <v>3543</v>
      </c>
      <c r="Q1150" s="403" t="s">
        <v>10120</v>
      </c>
      <c r="R1150" s="403" t="s">
        <v>19535</v>
      </c>
      <c r="S1150" s="403" t="s">
        <v>16077</v>
      </c>
      <c r="T1150" s="403" t="s">
        <v>16078</v>
      </c>
      <c r="U1150" s="403"/>
      <c r="V1150" s="403" t="s">
        <v>23024</v>
      </c>
      <c r="W1150" s="403" t="s">
        <v>23024</v>
      </c>
      <c r="X1150" s="403" t="s">
        <v>23024</v>
      </c>
      <c r="Y1150" s="403" t="s">
        <v>23024</v>
      </c>
    </row>
    <row r="1151" spans="1:25">
      <c r="A1151" s="363">
        <f t="shared" si="143"/>
        <v>1150</v>
      </c>
      <c r="B1151" s="363" t="str">
        <f t="shared" si="136"/>
        <v>44</v>
      </c>
      <c r="C1151" s="405" t="str">
        <f t="shared" si="137"/>
        <v>第010615号</v>
      </c>
      <c r="D1151" s="405" t="str">
        <f t="shared" si="138"/>
        <v>（株）向野工務店</v>
      </c>
      <c r="E1151" s="405" t="str">
        <f t="shared" si="139"/>
        <v>代表取締役</v>
      </c>
      <c r="F1151" s="405" t="str">
        <f t="shared" si="140"/>
        <v>向野　正悟</v>
      </c>
      <c r="G1151" s="405" t="str">
        <f t="shared" si="141"/>
        <v>主たる営業所</v>
      </c>
      <c r="H1151" s="405" t="str">
        <f t="shared" si="142"/>
        <v>中津市大字蛎瀬１２１５－２５</v>
      </c>
      <c r="L1151" s="403" t="s">
        <v>10121</v>
      </c>
      <c r="M1151" s="403" t="s">
        <v>10122</v>
      </c>
      <c r="N1151" s="403" t="s">
        <v>3544</v>
      </c>
      <c r="O1151" s="403" t="s">
        <v>7084</v>
      </c>
      <c r="P1151" s="403" t="s">
        <v>3545</v>
      </c>
      <c r="Q1151" s="403" t="s">
        <v>10123</v>
      </c>
      <c r="R1151" s="403" t="s">
        <v>19536</v>
      </c>
      <c r="S1151" s="403" t="s">
        <v>16079</v>
      </c>
      <c r="T1151" s="403" t="s">
        <v>16080</v>
      </c>
      <c r="U1151" s="403"/>
      <c r="V1151" s="403" t="s">
        <v>23024</v>
      </c>
      <c r="W1151" s="403" t="s">
        <v>23024</v>
      </c>
      <c r="X1151" s="403" t="s">
        <v>23024</v>
      </c>
      <c r="Y1151" s="403" t="s">
        <v>23024</v>
      </c>
    </row>
    <row r="1152" spans="1:25">
      <c r="A1152" s="363">
        <f t="shared" si="143"/>
        <v>1151</v>
      </c>
      <c r="B1152" s="363" t="str">
        <f t="shared" si="136"/>
        <v>44</v>
      </c>
      <c r="C1152" s="405" t="str">
        <f t="shared" si="137"/>
        <v>第010622号</v>
      </c>
      <c r="D1152" s="405" t="str">
        <f t="shared" si="138"/>
        <v>（有）疋田電工</v>
      </c>
      <c r="E1152" s="405" t="str">
        <f t="shared" si="139"/>
        <v>代表取締役</v>
      </c>
      <c r="F1152" s="405" t="str">
        <f t="shared" si="140"/>
        <v>疋田　太郎</v>
      </c>
      <c r="G1152" s="405" t="str">
        <f t="shared" si="141"/>
        <v>主たる営業所</v>
      </c>
      <c r="H1152" s="405" t="str">
        <f t="shared" si="142"/>
        <v>臼杵市大字望月９５２－１</v>
      </c>
      <c r="L1152" s="403" t="s">
        <v>10124</v>
      </c>
      <c r="M1152" s="403" t="s">
        <v>10125</v>
      </c>
      <c r="N1152" s="403" t="s">
        <v>3546</v>
      </c>
      <c r="O1152" s="403" t="s">
        <v>7084</v>
      </c>
      <c r="P1152" s="403" t="s">
        <v>3547</v>
      </c>
      <c r="Q1152" s="403" t="s">
        <v>10126</v>
      </c>
      <c r="R1152" s="403" t="s">
        <v>19537</v>
      </c>
      <c r="S1152" s="403" t="s">
        <v>16081</v>
      </c>
      <c r="T1152" s="403" t="s">
        <v>16082</v>
      </c>
      <c r="U1152" s="403"/>
      <c r="V1152" s="403" t="s">
        <v>23024</v>
      </c>
      <c r="W1152" s="403" t="s">
        <v>23024</v>
      </c>
      <c r="X1152" s="403" t="s">
        <v>23024</v>
      </c>
      <c r="Y1152" s="403" t="s">
        <v>23024</v>
      </c>
    </row>
    <row r="1153" spans="1:25">
      <c r="A1153" s="363">
        <f t="shared" si="143"/>
        <v>1152</v>
      </c>
      <c r="B1153" s="363" t="str">
        <f t="shared" si="136"/>
        <v>44</v>
      </c>
      <c r="C1153" s="405" t="str">
        <f t="shared" si="137"/>
        <v>第010631号</v>
      </c>
      <c r="D1153" s="405" t="str">
        <f t="shared" si="138"/>
        <v>（有）サンスポーツ工業</v>
      </c>
      <c r="E1153" s="405" t="str">
        <f t="shared" si="139"/>
        <v>代表取締役</v>
      </c>
      <c r="F1153" s="405" t="str">
        <f t="shared" si="140"/>
        <v>友永　晃</v>
      </c>
      <c r="G1153" s="405" t="str">
        <f t="shared" si="141"/>
        <v>主たる営業所</v>
      </c>
      <c r="H1153" s="405" t="str">
        <f t="shared" si="142"/>
        <v>大分市三川新町１－２－１１</v>
      </c>
      <c r="L1153" s="403" t="s">
        <v>10127</v>
      </c>
      <c r="M1153" s="403" t="s">
        <v>10128</v>
      </c>
      <c r="N1153" s="403" t="s">
        <v>3548</v>
      </c>
      <c r="O1153" s="403" t="s">
        <v>7084</v>
      </c>
      <c r="P1153" s="403" t="s">
        <v>3549</v>
      </c>
      <c r="Q1153" s="403" t="s">
        <v>8286</v>
      </c>
      <c r="R1153" s="403" t="s">
        <v>19538</v>
      </c>
      <c r="S1153" s="403" t="s">
        <v>16083</v>
      </c>
      <c r="T1153" s="403" t="s">
        <v>16084</v>
      </c>
      <c r="U1153" s="403"/>
      <c r="V1153" s="403" t="s">
        <v>23024</v>
      </c>
      <c r="W1153" s="403" t="s">
        <v>23024</v>
      </c>
      <c r="X1153" s="403" t="s">
        <v>23024</v>
      </c>
      <c r="Y1153" s="403" t="s">
        <v>23024</v>
      </c>
    </row>
    <row r="1154" spans="1:25">
      <c r="A1154" s="363">
        <f t="shared" si="143"/>
        <v>1153</v>
      </c>
      <c r="B1154" s="363" t="str">
        <f t="shared" ref="B1154:B1217" si="144">LEFT(L1154,2)</f>
        <v>44</v>
      </c>
      <c r="C1154" s="405" t="str">
        <f t="shared" ref="C1154:C1217" si="145">IF(B1154="","","第"&amp;RIGHT(L1154,6)&amp;"号")</f>
        <v>第010635号</v>
      </c>
      <c r="D1154" s="405" t="str">
        <f t="shared" ref="D1154:D1217" si="146">N1154</f>
        <v>（有）明陽工務店</v>
      </c>
      <c r="E1154" s="405" t="str">
        <f t="shared" ref="E1154:E1217" si="147">IF(V1154="　",O1154,"")</f>
        <v>代表取締役</v>
      </c>
      <c r="F1154" s="405" t="str">
        <f t="shared" ref="F1154:F1217" si="148">IF(V1154="　",P1154,W1154)</f>
        <v>戸次　智文</v>
      </c>
      <c r="G1154" s="405" t="str">
        <f t="shared" ref="G1154:G1217" si="149">IF(V1154="　","主たる営業所",V1154)</f>
        <v>主たる営業所</v>
      </c>
      <c r="H1154" s="405" t="str">
        <f t="shared" ref="H1154:H1217" si="150">IF(V1154="　",R1154,Y1154)</f>
        <v>大分市大字猪野１２４３－１</v>
      </c>
      <c r="L1154" s="403" t="s">
        <v>10129</v>
      </c>
      <c r="M1154" s="403" t="s">
        <v>10130</v>
      </c>
      <c r="N1154" s="403" t="s">
        <v>3550</v>
      </c>
      <c r="O1154" s="403" t="s">
        <v>7084</v>
      </c>
      <c r="P1154" s="403" t="s">
        <v>3551</v>
      </c>
      <c r="Q1154" s="403" t="s">
        <v>8834</v>
      </c>
      <c r="R1154" s="403" t="s">
        <v>19539</v>
      </c>
      <c r="S1154" s="403" t="s">
        <v>16085</v>
      </c>
      <c r="T1154" s="403" t="s">
        <v>16086</v>
      </c>
      <c r="U1154" s="403"/>
      <c r="V1154" s="403" t="s">
        <v>23024</v>
      </c>
      <c r="W1154" s="403" t="s">
        <v>23024</v>
      </c>
      <c r="X1154" s="403" t="s">
        <v>23024</v>
      </c>
      <c r="Y1154" s="403" t="s">
        <v>23024</v>
      </c>
    </row>
    <row r="1155" spans="1:25">
      <c r="A1155" s="363">
        <f t="shared" ref="A1155:A1218" si="151">IF(B1155="","",A1154+1)</f>
        <v>1154</v>
      </c>
      <c r="B1155" s="363" t="str">
        <f t="shared" si="144"/>
        <v>44</v>
      </c>
      <c r="C1155" s="405" t="str">
        <f t="shared" si="145"/>
        <v>第010649号</v>
      </c>
      <c r="D1155" s="405" t="str">
        <f t="shared" si="146"/>
        <v>（株）ツインデック</v>
      </c>
      <c r="E1155" s="405" t="str">
        <f t="shared" si="147"/>
        <v>代表取締役</v>
      </c>
      <c r="F1155" s="405" t="str">
        <f t="shared" si="148"/>
        <v>松井　弘</v>
      </c>
      <c r="G1155" s="405" t="str">
        <f t="shared" si="149"/>
        <v>主たる営業所</v>
      </c>
      <c r="H1155" s="405" t="str">
        <f t="shared" si="150"/>
        <v>大分市大字片島５５－１</v>
      </c>
      <c r="L1155" s="403" t="s">
        <v>10131</v>
      </c>
      <c r="M1155" s="403" t="s">
        <v>10132</v>
      </c>
      <c r="N1155" s="403" t="s">
        <v>3552</v>
      </c>
      <c r="O1155" s="403" t="s">
        <v>7084</v>
      </c>
      <c r="P1155" s="403" t="s">
        <v>3553</v>
      </c>
      <c r="Q1155" s="403" t="s">
        <v>8687</v>
      </c>
      <c r="R1155" s="403" t="s">
        <v>19540</v>
      </c>
      <c r="S1155" s="403" t="s">
        <v>16087</v>
      </c>
      <c r="T1155" s="403" t="s">
        <v>16088</v>
      </c>
      <c r="U1155" s="403"/>
      <c r="V1155" s="403" t="s">
        <v>23024</v>
      </c>
      <c r="W1155" s="403" t="s">
        <v>23024</v>
      </c>
      <c r="X1155" s="403" t="s">
        <v>23024</v>
      </c>
      <c r="Y1155" s="403" t="s">
        <v>23024</v>
      </c>
    </row>
    <row r="1156" spans="1:25">
      <c r="A1156" s="363">
        <f t="shared" si="151"/>
        <v>1155</v>
      </c>
      <c r="B1156" s="363" t="str">
        <f t="shared" si="144"/>
        <v>44</v>
      </c>
      <c r="C1156" s="405" t="str">
        <f t="shared" si="145"/>
        <v>第010650号</v>
      </c>
      <c r="D1156" s="405" t="str">
        <f t="shared" si="146"/>
        <v>（有）井上工業</v>
      </c>
      <c r="E1156" s="405" t="str">
        <f t="shared" si="147"/>
        <v>代表取締役</v>
      </c>
      <c r="F1156" s="405" t="str">
        <f t="shared" si="148"/>
        <v>井上　裕二</v>
      </c>
      <c r="G1156" s="405" t="str">
        <f t="shared" si="149"/>
        <v>主たる営業所</v>
      </c>
      <c r="H1156" s="405" t="str">
        <f t="shared" si="150"/>
        <v>大分市大字片島５０３－１</v>
      </c>
      <c r="L1156" s="403" t="s">
        <v>10133</v>
      </c>
      <c r="M1156" s="403" t="s">
        <v>10134</v>
      </c>
      <c r="N1156" s="403" t="s">
        <v>3554</v>
      </c>
      <c r="O1156" s="403" t="s">
        <v>7084</v>
      </c>
      <c r="P1156" s="403" t="s">
        <v>3555</v>
      </c>
      <c r="Q1156" s="403" t="s">
        <v>8687</v>
      </c>
      <c r="R1156" s="403" t="s">
        <v>19541</v>
      </c>
      <c r="S1156" s="403" t="s">
        <v>16089</v>
      </c>
      <c r="T1156" s="403" t="s">
        <v>16090</v>
      </c>
      <c r="U1156" s="403"/>
      <c r="V1156" s="403" t="s">
        <v>23024</v>
      </c>
      <c r="W1156" s="403" t="s">
        <v>23024</v>
      </c>
      <c r="X1156" s="403" t="s">
        <v>23024</v>
      </c>
      <c r="Y1156" s="403" t="s">
        <v>23024</v>
      </c>
    </row>
    <row r="1157" spans="1:25">
      <c r="A1157" s="363">
        <f t="shared" si="151"/>
        <v>1156</v>
      </c>
      <c r="B1157" s="363" t="str">
        <f t="shared" si="144"/>
        <v>44</v>
      </c>
      <c r="C1157" s="405" t="str">
        <f t="shared" si="145"/>
        <v>第010656号</v>
      </c>
      <c r="D1157" s="405" t="str">
        <f t="shared" si="146"/>
        <v>（有）新九州</v>
      </c>
      <c r="E1157" s="405" t="str">
        <f t="shared" si="147"/>
        <v>代表取締役</v>
      </c>
      <c r="F1157" s="405" t="str">
        <f t="shared" si="148"/>
        <v>加藤　大輔</v>
      </c>
      <c r="G1157" s="405" t="str">
        <f t="shared" si="149"/>
        <v>主たる営業所</v>
      </c>
      <c r="H1157" s="405" t="str">
        <f t="shared" si="150"/>
        <v>津久見市大字上青江３３７５－１０</v>
      </c>
      <c r="L1157" s="403" t="s">
        <v>10135</v>
      </c>
      <c r="M1157" s="403" t="s">
        <v>10136</v>
      </c>
      <c r="N1157" s="403" t="s">
        <v>3556</v>
      </c>
      <c r="O1157" s="403" t="s">
        <v>7084</v>
      </c>
      <c r="P1157" s="403" t="s">
        <v>3557</v>
      </c>
      <c r="Q1157" s="403" t="s">
        <v>7771</v>
      </c>
      <c r="R1157" s="403" t="s">
        <v>19542</v>
      </c>
      <c r="S1157" s="403" t="s">
        <v>16091</v>
      </c>
      <c r="T1157" s="403" t="s">
        <v>16092</v>
      </c>
      <c r="U1157" s="403"/>
      <c r="V1157" s="403" t="s">
        <v>23024</v>
      </c>
      <c r="W1157" s="403" t="s">
        <v>23024</v>
      </c>
      <c r="X1157" s="403" t="s">
        <v>23024</v>
      </c>
      <c r="Y1157" s="403" t="s">
        <v>23024</v>
      </c>
    </row>
    <row r="1158" spans="1:25">
      <c r="A1158" s="363">
        <f t="shared" si="151"/>
        <v>1157</v>
      </c>
      <c r="B1158" s="363" t="str">
        <f t="shared" si="144"/>
        <v>44</v>
      </c>
      <c r="C1158" s="405" t="str">
        <f t="shared" si="145"/>
        <v>第010657号</v>
      </c>
      <c r="D1158" s="405" t="str">
        <f t="shared" si="146"/>
        <v>（有）矢野技建</v>
      </c>
      <c r="E1158" s="405" t="str">
        <f t="shared" si="147"/>
        <v>代表取締役</v>
      </c>
      <c r="F1158" s="405" t="str">
        <f t="shared" si="148"/>
        <v>矢野　文憲</v>
      </c>
      <c r="G1158" s="405" t="str">
        <f t="shared" si="149"/>
        <v>主たる営業所</v>
      </c>
      <c r="H1158" s="405" t="str">
        <f t="shared" si="150"/>
        <v>玖珠郡九重町大字引治４１３－１</v>
      </c>
      <c r="L1158" s="403" t="s">
        <v>10137</v>
      </c>
      <c r="M1158" s="403" t="s">
        <v>10138</v>
      </c>
      <c r="N1158" s="403" t="s">
        <v>3558</v>
      </c>
      <c r="O1158" s="403" t="s">
        <v>7084</v>
      </c>
      <c r="P1158" s="403" t="s">
        <v>3559</v>
      </c>
      <c r="Q1158" s="403" t="s">
        <v>10139</v>
      </c>
      <c r="R1158" s="403" t="s">
        <v>19543</v>
      </c>
      <c r="S1158" s="403" t="s">
        <v>16093</v>
      </c>
      <c r="T1158" s="403" t="s">
        <v>16094</v>
      </c>
      <c r="U1158" s="403"/>
      <c r="V1158" s="403" t="s">
        <v>23024</v>
      </c>
      <c r="W1158" s="403" t="s">
        <v>23024</v>
      </c>
      <c r="X1158" s="403" t="s">
        <v>23024</v>
      </c>
      <c r="Y1158" s="403" t="s">
        <v>23024</v>
      </c>
    </row>
    <row r="1159" spans="1:25">
      <c r="A1159" s="363">
        <f t="shared" si="151"/>
        <v>1158</v>
      </c>
      <c r="B1159" s="363" t="str">
        <f t="shared" si="144"/>
        <v>44</v>
      </c>
      <c r="C1159" s="405" t="str">
        <f t="shared" si="145"/>
        <v>第010658号</v>
      </c>
      <c r="D1159" s="405" t="str">
        <f t="shared" si="146"/>
        <v>（有）フジモト施設</v>
      </c>
      <c r="E1159" s="405" t="str">
        <f t="shared" si="147"/>
        <v>代表取締役</v>
      </c>
      <c r="F1159" s="405" t="str">
        <f t="shared" si="148"/>
        <v>藤本　良則</v>
      </c>
      <c r="G1159" s="405" t="str">
        <f t="shared" si="149"/>
        <v>主たる営業所</v>
      </c>
      <c r="H1159" s="405" t="str">
        <f t="shared" si="150"/>
        <v>玖珠郡玖珠町大字戸畑１７９７－１</v>
      </c>
      <c r="L1159" s="403" t="s">
        <v>10140</v>
      </c>
      <c r="M1159" s="403" t="s">
        <v>10141</v>
      </c>
      <c r="N1159" s="403" t="s">
        <v>3560</v>
      </c>
      <c r="O1159" s="403" t="s">
        <v>7084</v>
      </c>
      <c r="P1159" s="403" t="s">
        <v>3561</v>
      </c>
      <c r="Q1159" s="403" t="s">
        <v>7999</v>
      </c>
      <c r="R1159" s="403" t="s">
        <v>19544</v>
      </c>
      <c r="S1159" s="403" t="s">
        <v>16095</v>
      </c>
      <c r="T1159" s="403" t="s">
        <v>16096</v>
      </c>
      <c r="U1159" s="403"/>
      <c r="V1159" s="403" t="s">
        <v>23024</v>
      </c>
      <c r="W1159" s="403" t="s">
        <v>23024</v>
      </c>
      <c r="X1159" s="403" t="s">
        <v>23024</v>
      </c>
      <c r="Y1159" s="403" t="s">
        <v>23024</v>
      </c>
    </row>
    <row r="1160" spans="1:25">
      <c r="A1160" s="363">
        <f t="shared" si="151"/>
        <v>1159</v>
      </c>
      <c r="B1160" s="363" t="str">
        <f t="shared" si="144"/>
        <v>44</v>
      </c>
      <c r="C1160" s="405" t="str">
        <f t="shared" si="145"/>
        <v>第010675号</v>
      </c>
      <c r="D1160" s="405" t="str">
        <f t="shared" si="146"/>
        <v>（有）深野建設</v>
      </c>
      <c r="E1160" s="405" t="str">
        <f t="shared" si="147"/>
        <v>代表取締役</v>
      </c>
      <c r="F1160" s="405" t="str">
        <f t="shared" si="148"/>
        <v>深野　純</v>
      </c>
      <c r="G1160" s="405" t="str">
        <f t="shared" si="149"/>
        <v>主たる営業所</v>
      </c>
      <c r="H1160" s="405" t="str">
        <f t="shared" si="150"/>
        <v>佐伯市新女島２－７１６９－３</v>
      </c>
      <c r="L1160" s="403" t="s">
        <v>10142</v>
      </c>
      <c r="M1160" s="403" t="s">
        <v>10143</v>
      </c>
      <c r="N1160" s="403" t="s">
        <v>3563</v>
      </c>
      <c r="O1160" s="403" t="s">
        <v>7084</v>
      </c>
      <c r="P1160" s="403" t="s">
        <v>5253</v>
      </c>
      <c r="Q1160" s="403" t="s">
        <v>18725</v>
      </c>
      <c r="R1160" s="403" t="s">
        <v>19545</v>
      </c>
      <c r="S1160" s="403" t="s">
        <v>16097</v>
      </c>
      <c r="T1160" s="403" t="s">
        <v>16097</v>
      </c>
      <c r="U1160" s="403"/>
      <c r="V1160" s="403" t="s">
        <v>23024</v>
      </c>
      <c r="W1160" s="403" t="s">
        <v>23024</v>
      </c>
      <c r="X1160" s="403" t="s">
        <v>23024</v>
      </c>
      <c r="Y1160" s="403" t="s">
        <v>23024</v>
      </c>
    </row>
    <row r="1161" spans="1:25">
      <c r="A1161" s="363">
        <f t="shared" si="151"/>
        <v>1160</v>
      </c>
      <c r="B1161" s="363" t="str">
        <f t="shared" si="144"/>
        <v>44</v>
      </c>
      <c r="C1161" s="405" t="str">
        <f t="shared" si="145"/>
        <v>第010677号</v>
      </c>
      <c r="D1161" s="405" t="str">
        <f t="shared" si="146"/>
        <v>（有）一生工務店</v>
      </c>
      <c r="E1161" s="405" t="str">
        <f t="shared" si="147"/>
        <v>代表取締役</v>
      </c>
      <c r="F1161" s="405" t="str">
        <f t="shared" si="148"/>
        <v>石川　一生</v>
      </c>
      <c r="G1161" s="405" t="str">
        <f t="shared" si="149"/>
        <v>主たる営業所</v>
      </c>
      <c r="H1161" s="405" t="str">
        <f t="shared" si="150"/>
        <v>大分市大字寒田８７３－４</v>
      </c>
      <c r="L1161" s="403" t="s">
        <v>10144</v>
      </c>
      <c r="M1161" s="403" t="s">
        <v>10145</v>
      </c>
      <c r="N1161" s="403" t="s">
        <v>3564</v>
      </c>
      <c r="O1161" s="403" t="s">
        <v>7084</v>
      </c>
      <c r="P1161" s="403" t="s">
        <v>3565</v>
      </c>
      <c r="Q1161" s="403" t="s">
        <v>8820</v>
      </c>
      <c r="R1161" s="403" t="s">
        <v>19546</v>
      </c>
      <c r="S1161" s="403" t="s">
        <v>16098</v>
      </c>
      <c r="T1161" s="403" t="s">
        <v>16099</v>
      </c>
      <c r="U1161" s="403"/>
      <c r="V1161" s="403" t="s">
        <v>23024</v>
      </c>
      <c r="W1161" s="403" t="s">
        <v>23024</v>
      </c>
      <c r="X1161" s="403" t="s">
        <v>23024</v>
      </c>
      <c r="Y1161" s="403" t="s">
        <v>23024</v>
      </c>
    </row>
    <row r="1162" spans="1:25">
      <c r="A1162" s="363">
        <f t="shared" si="151"/>
        <v>1161</v>
      </c>
      <c r="B1162" s="363" t="str">
        <f t="shared" si="144"/>
        <v>44</v>
      </c>
      <c r="C1162" s="405" t="str">
        <f t="shared" si="145"/>
        <v>第010682号</v>
      </c>
      <c r="D1162" s="405" t="str">
        <f t="shared" si="146"/>
        <v>大分エージェンシー（株）</v>
      </c>
      <c r="E1162" s="405" t="str">
        <f t="shared" si="147"/>
        <v>代表取締役</v>
      </c>
      <c r="F1162" s="405" t="str">
        <f t="shared" si="148"/>
        <v>高倉　康弘</v>
      </c>
      <c r="G1162" s="405" t="str">
        <f t="shared" si="149"/>
        <v>主たる営業所</v>
      </c>
      <c r="H1162" s="405" t="str">
        <f t="shared" si="150"/>
        <v>大分市法勝台１－１－１３</v>
      </c>
      <c r="L1162" s="403" t="s">
        <v>10146</v>
      </c>
      <c r="M1162" s="403" t="s">
        <v>10147</v>
      </c>
      <c r="N1162" s="403" t="s">
        <v>3566</v>
      </c>
      <c r="O1162" s="403" t="s">
        <v>7084</v>
      </c>
      <c r="P1162" s="403" t="s">
        <v>3567</v>
      </c>
      <c r="Q1162" s="403" t="s">
        <v>10148</v>
      </c>
      <c r="R1162" s="403" t="s">
        <v>19547</v>
      </c>
      <c r="S1162" s="403" t="s">
        <v>16100</v>
      </c>
      <c r="T1162" s="403" t="s">
        <v>16101</v>
      </c>
      <c r="U1162" s="403"/>
      <c r="V1162" s="403" t="s">
        <v>23024</v>
      </c>
      <c r="W1162" s="403" t="s">
        <v>23024</v>
      </c>
      <c r="X1162" s="403" t="s">
        <v>23024</v>
      </c>
      <c r="Y1162" s="403" t="s">
        <v>23024</v>
      </c>
    </row>
    <row r="1163" spans="1:25">
      <c r="A1163" s="363">
        <f t="shared" si="151"/>
        <v>1162</v>
      </c>
      <c r="B1163" s="363" t="str">
        <f t="shared" si="144"/>
        <v>44</v>
      </c>
      <c r="C1163" s="405" t="str">
        <f t="shared" si="145"/>
        <v>第010683号</v>
      </c>
      <c r="D1163" s="405" t="str">
        <f t="shared" si="146"/>
        <v>別府市管工事（同）</v>
      </c>
      <c r="E1163" s="405" t="str">
        <f t="shared" si="147"/>
        <v>代表理事</v>
      </c>
      <c r="F1163" s="405" t="str">
        <f t="shared" si="148"/>
        <v>志賀　敏夫</v>
      </c>
      <c r="G1163" s="405" t="str">
        <f t="shared" si="149"/>
        <v>主たる営業所</v>
      </c>
      <c r="H1163" s="405" t="str">
        <f t="shared" si="150"/>
        <v>別府市山の手新町５－２</v>
      </c>
      <c r="L1163" s="403" t="s">
        <v>10149</v>
      </c>
      <c r="M1163" s="403" t="s">
        <v>10150</v>
      </c>
      <c r="N1163" s="403" t="s">
        <v>3568</v>
      </c>
      <c r="O1163" s="403" t="s">
        <v>7090</v>
      </c>
      <c r="P1163" s="403" t="s">
        <v>2180</v>
      </c>
      <c r="Q1163" s="403" t="s">
        <v>19548</v>
      </c>
      <c r="R1163" s="403" t="s">
        <v>19549</v>
      </c>
      <c r="S1163" s="403" t="s">
        <v>16102</v>
      </c>
      <c r="T1163" s="403" t="s">
        <v>16103</v>
      </c>
      <c r="U1163" s="403"/>
      <c r="V1163" s="403" t="s">
        <v>23024</v>
      </c>
      <c r="W1163" s="403" t="s">
        <v>23024</v>
      </c>
      <c r="X1163" s="403" t="s">
        <v>23024</v>
      </c>
      <c r="Y1163" s="403" t="s">
        <v>23024</v>
      </c>
    </row>
    <row r="1164" spans="1:25">
      <c r="A1164" s="363">
        <f t="shared" si="151"/>
        <v>1163</v>
      </c>
      <c r="B1164" s="363" t="str">
        <f t="shared" si="144"/>
        <v>44</v>
      </c>
      <c r="C1164" s="405" t="str">
        <f t="shared" si="145"/>
        <v>第010686号</v>
      </c>
      <c r="D1164" s="405" t="str">
        <f t="shared" si="146"/>
        <v>寺脇産業（有）</v>
      </c>
      <c r="E1164" s="405" t="str">
        <f t="shared" si="147"/>
        <v>代表取締役</v>
      </c>
      <c r="F1164" s="405" t="str">
        <f t="shared" si="148"/>
        <v>後藤　英明</v>
      </c>
      <c r="G1164" s="405" t="str">
        <f t="shared" si="149"/>
        <v>主たる営業所</v>
      </c>
      <c r="H1164" s="405" t="str">
        <f t="shared" si="150"/>
        <v>大分市大字猪野６５８－４</v>
      </c>
      <c r="L1164" s="403" t="s">
        <v>10151</v>
      </c>
      <c r="M1164" s="403" t="s">
        <v>10152</v>
      </c>
      <c r="N1164" s="403" t="s">
        <v>3569</v>
      </c>
      <c r="O1164" s="403" t="s">
        <v>7084</v>
      </c>
      <c r="P1164" s="403" t="s">
        <v>19550</v>
      </c>
      <c r="Q1164" s="403" t="s">
        <v>8834</v>
      </c>
      <c r="R1164" s="403" t="s">
        <v>19551</v>
      </c>
      <c r="S1164" s="403" t="s">
        <v>16104</v>
      </c>
      <c r="T1164" s="403" t="s">
        <v>16105</v>
      </c>
      <c r="U1164" s="403"/>
      <c r="V1164" s="403" t="s">
        <v>23024</v>
      </c>
      <c r="W1164" s="403" t="s">
        <v>23024</v>
      </c>
      <c r="X1164" s="403" t="s">
        <v>23024</v>
      </c>
      <c r="Y1164" s="403" t="s">
        <v>23024</v>
      </c>
    </row>
    <row r="1165" spans="1:25">
      <c r="A1165" s="363">
        <f t="shared" si="151"/>
        <v>1164</v>
      </c>
      <c r="B1165" s="363" t="str">
        <f t="shared" si="144"/>
        <v>44</v>
      </c>
      <c r="C1165" s="405" t="str">
        <f t="shared" si="145"/>
        <v>第010689号</v>
      </c>
      <c r="D1165" s="405" t="str">
        <f t="shared" si="146"/>
        <v>（有）広成産業</v>
      </c>
      <c r="E1165" s="405" t="str">
        <f t="shared" si="147"/>
        <v>代表取締役</v>
      </c>
      <c r="F1165" s="405" t="str">
        <f t="shared" si="148"/>
        <v>高田　留里子</v>
      </c>
      <c r="G1165" s="405" t="str">
        <f t="shared" si="149"/>
        <v>主たる営業所</v>
      </c>
      <c r="H1165" s="405" t="str">
        <f t="shared" si="150"/>
        <v>玖珠郡玖珠町大字大隈１００６－２</v>
      </c>
      <c r="L1165" s="403" t="s">
        <v>10153</v>
      </c>
      <c r="M1165" s="403" t="s">
        <v>10154</v>
      </c>
      <c r="N1165" s="403" t="s">
        <v>3570</v>
      </c>
      <c r="O1165" s="403" t="s">
        <v>7084</v>
      </c>
      <c r="P1165" s="403" t="s">
        <v>19552</v>
      </c>
      <c r="Q1165" s="403" t="s">
        <v>7985</v>
      </c>
      <c r="R1165" s="403" t="s">
        <v>19553</v>
      </c>
      <c r="S1165" s="403" t="s">
        <v>16106</v>
      </c>
      <c r="T1165" s="403" t="s">
        <v>16107</v>
      </c>
      <c r="U1165" s="403"/>
      <c r="V1165" s="403" t="s">
        <v>23024</v>
      </c>
      <c r="W1165" s="403" t="s">
        <v>23024</v>
      </c>
      <c r="X1165" s="403" t="s">
        <v>23024</v>
      </c>
      <c r="Y1165" s="403" t="s">
        <v>23024</v>
      </c>
    </row>
    <row r="1166" spans="1:25">
      <c r="A1166" s="363">
        <f t="shared" si="151"/>
        <v>1165</v>
      </c>
      <c r="B1166" s="363" t="str">
        <f t="shared" si="144"/>
        <v>44</v>
      </c>
      <c r="C1166" s="405" t="str">
        <f t="shared" si="145"/>
        <v>第010696号</v>
      </c>
      <c r="D1166" s="405" t="str">
        <f t="shared" si="146"/>
        <v>酒井工業</v>
      </c>
      <c r="E1166" s="405" t="str">
        <f t="shared" si="147"/>
        <v>事業主</v>
      </c>
      <c r="F1166" s="405" t="str">
        <f t="shared" si="148"/>
        <v>酒井　国治</v>
      </c>
      <c r="G1166" s="405" t="str">
        <f t="shared" si="149"/>
        <v>主たる営業所</v>
      </c>
      <c r="H1166" s="405" t="str">
        <f t="shared" si="150"/>
        <v>日田市天瀬町出口３３６５</v>
      </c>
      <c r="L1166" s="403" t="s">
        <v>10155</v>
      </c>
      <c r="M1166" s="403" t="s">
        <v>10156</v>
      </c>
      <c r="N1166" s="403" t="s">
        <v>3571</v>
      </c>
      <c r="O1166" s="403" t="s">
        <v>7088</v>
      </c>
      <c r="P1166" s="403" t="s">
        <v>3572</v>
      </c>
      <c r="Q1166" s="403" t="s">
        <v>10157</v>
      </c>
      <c r="R1166" s="403" t="s">
        <v>5588</v>
      </c>
      <c r="S1166" s="403" t="s">
        <v>16108</v>
      </c>
      <c r="T1166" s="403" t="s">
        <v>16108</v>
      </c>
      <c r="U1166" s="403"/>
      <c r="V1166" s="403" t="s">
        <v>23024</v>
      </c>
      <c r="W1166" s="403" t="s">
        <v>23024</v>
      </c>
      <c r="X1166" s="403" t="s">
        <v>23024</v>
      </c>
      <c r="Y1166" s="403" t="s">
        <v>23024</v>
      </c>
    </row>
    <row r="1167" spans="1:25">
      <c r="A1167" s="363">
        <f t="shared" si="151"/>
        <v>1166</v>
      </c>
      <c r="B1167" s="363" t="str">
        <f t="shared" si="144"/>
        <v>44</v>
      </c>
      <c r="C1167" s="405" t="str">
        <f t="shared" si="145"/>
        <v>第010697号</v>
      </c>
      <c r="D1167" s="405" t="str">
        <f t="shared" si="146"/>
        <v>（有）イトウボーリング</v>
      </c>
      <c r="E1167" s="405" t="str">
        <f t="shared" si="147"/>
        <v>代表取締役</v>
      </c>
      <c r="F1167" s="405" t="str">
        <f t="shared" si="148"/>
        <v>伊藤　昭彦</v>
      </c>
      <c r="G1167" s="405" t="str">
        <f t="shared" si="149"/>
        <v>主たる営業所</v>
      </c>
      <c r="H1167" s="405" t="str">
        <f t="shared" si="150"/>
        <v>日田市吹上町３－１６</v>
      </c>
      <c r="L1167" s="403" t="s">
        <v>10158</v>
      </c>
      <c r="M1167" s="403" t="s">
        <v>10159</v>
      </c>
      <c r="N1167" s="403" t="s">
        <v>3573</v>
      </c>
      <c r="O1167" s="403" t="s">
        <v>7084</v>
      </c>
      <c r="P1167" s="403" t="s">
        <v>3574</v>
      </c>
      <c r="Q1167" s="403" t="s">
        <v>9276</v>
      </c>
      <c r="R1167" s="403" t="s">
        <v>19554</v>
      </c>
      <c r="S1167" s="403" t="s">
        <v>16109</v>
      </c>
      <c r="T1167" s="403" t="s">
        <v>16110</v>
      </c>
      <c r="U1167" s="403"/>
      <c r="V1167" s="403" t="s">
        <v>23024</v>
      </c>
      <c r="W1167" s="403" t="s">
        <v>23024</v>
      </c>
      <c r="X1167" s="403" t="s">
        <v>23024</v>
      </c>
      <c r="Y1167" s="403" t="s">
        <v>23024</v>
      </c>
    </row>
    <row r="1168" spans="1:25">
      <c r="A1168" s="363">
        <f t="shared" si="151"/>
        <v>1167</v>
      </c>
      <c r="B1168" s="363" t="str">
        <f t="shared" si="144"/>
        <v>44</v>
      </c>
      <c r="C1168" s="405" t="str">
        <f t="shared" si="145"/>
        <v>第010705号</v>
      </c>
      <c r="D1168" s="405" t="str">
        <f t="shared" si="146"/>
        <v>（有）和田電気工事</v>
      </c>
      <c r="E1168" s="405" t="str">
        <f t="shared" si="147"/>
        <v>代表取締役</v>
      </c>
      <c r="F1168" s="405" t="str">
        <f t="shared" si="148"/>
        <v>和田　章宏</v>
      </c>
      <c r="G1168" s="405" t="str">
        <f t="shared" si="149"/>
        <v>主たる営業所</v>
      </c>
      <c r="H1168" s="405" t="str">
        <f t="shared" si="150"/>
        <v>大分市田尻中央１７－１２</v>
      </c>
      <c r="L1168" s="403" t="s">
        <v>10160</v>
      </c>
      <c r="M1168" s="403" t="s">
        <v>10161</v>
      </c>
      <c r="N1168" s="403" t="s">
        <v>3575</v>
      </c>
      <c r="O1168" s="403" t="s">
        <v>7084</v>
      </c>
      <c r="P1168" s="403" t="s">
        <v>3576</v>
      </c>
      <c r="Q1168" s="403" t="s">
        <v>10162</v>
      </c>
      <c r="R1168" s="403" t="s">
        <v>19555</v>
      </c>
      <c r="S1168" s="403" t="s">
        <v>16111</v>
      </c>
      <c r="T1168" s="403" t="s">
        <v>16112</v>
      </c>
      <c r="U1168" s="403"/>
      <c r="V1168" s="403" t="s">
        <v>23024</v>
      </c>
      <c r="W1168" s="403" t="s">
        <v>23024</v>
      </c>
      <c r="X1168" s="403" t="s">
        <v>23024</v>
      </c>
      <c r="Y1168" s="403" t="s">
        <v>23024</v>
      </c>
    </row>
    <row r="1169" spans="1:25">
      <c r="A1169" s="363">
        <f t="shared" si="151"/>
        <v>1168</v>
      </c>
      <c r="B1169" s="363" t="str">
        <f t="shared" si="144"/>
        <v>44</v>
      </c>
      <c r="C1169" s="405" t="str">
        <f t="shared" si="145"/>
        <v>第010712号</v>
      </c>
      <c r="D1169" s="405" t="str">
        <f t="shared" si="146"/>
        <v>大分家屋解体（有）</v>
      </c>
      <c r="E1169" s="405" t="str">
        <f t="shared" si="147"/>
        <v>取締役</v>
      </c>
      <c r="F1169" s="405" t="str">
        <f t="shared" si="148"/>
        <v>豊東　竹治</v>
      </c>
      <c r="G1169" s="405" t="str">
        <f t="shared" si="149"/>
        <v>主たる営業所</v>
      </c>
      <c r="H1169" s="405" t="str">
        <f t="shared" si="150"/>
        <v>大分市羽屋新町３－２－２</v>
      </c>
      <c r="L1169" s="403" t="s">
        <v>10163</v>
      </c>
      <c r="M1169" s="403" t="s">
        <v>10164</v>
      </c>
      <c r="N1169" s="403" t="s">
        <v>3577</v>
      </c>
      <c r="O1169" s="403" t="s">
        <v>7085</v>
      </c>
      <c r="P1169" s="403" t="s">
        <v>3578</v>
      </c>
      <c r="Q1169" s="403" t="s">
        <v>10165</v>
      </c>
      <c r="R1169" s="403" t="s">
        <v>19556</v>
      </c>
      <c r="S1169" s="403" t="s">
        <v>16113</v>
      </c>
      <c r="T1169" s="403" t="s">
        <v>16114</v>
      </c>
      <c r="U1169" s="403"/>
      <c r="V1169" s="403" t="s">
        <v>23024</v>
      </c>
      <c r="W1169" s="403" t="s">
        <v>23024</v>
      </c>
      <c r="X1169" s="403" t="s">
        <v>23024</v>
      </c>
      <c r="Y1169" s="403" t="s">
        <v>23024</v>
      </c>
    </row>
    <row r="1170" spans="1:25">
      <c r="A1170" s="363">
        <f t="shared" si="151"/>
        <v>1169</v>
      </c>
      <c r="B1170" s="363" t="str">
        <f t="shared" si="144"/>
        <v>44</v>
      </c>
      <c r="C1170" s="405" t="str">
        <f t="shared" si="145"/>
        <v>第010729号</v>
      </c>
      <c r="D1170" s="405" t="str">
        <f t="shared" si="146"/>
        <v>（有）トーコー建設</v>
      </c>
      <c r="E1170" s="405" t="str">
        <f t="shared" si="147"/>
        <v>代表取締役</v>
      </c>
      <c r="F1170" s="405" t="str">
        <f t="shared" si="148"/>
        <v>藤原　光義</v>
      </c>
      <c r="G1170" s="405" t="str">
        <f t="shared" si="149"/>
        <v>主たる営業所</v>
      </c>
      <c r="H1170" s="405" t="str">
        <f t="shared" si="150"/>
        <v>中津市本耶馬渓町落合１１７７</v>
      </c>
      <c r="L1170" s="403" t="s">
        <v>10166</v>
      </c>
      <c r="M1170" s="403" t="s">
        <v>10167</v>
      </c>
      <c r="N1170" s="403" t="s">
        <v>3579</v>
      </c>
      <c r="O1170" s="403" t="s">
        <v>7084</v>
      </c>
      <c r="P1170" s="403" t="s">
        <v>3580</v>
      </c>
      <c r="Q1170" s="403" t="s">
        <v>10168</v>
      </c>
      <c r="R1170" s="403" t="s">
        <v>5589</v>
      </c>
      <c r="S1170" s="403" t="s">
        <v>16115</v>
      </c>
      <c r="T1170" s="403" t="s">
        <v>16115</v>
      </c>
      <c r="U1170" s="403"/>
      <c r="V1170" s="403" t="s">
        <v>23024</v>
      </c>
      <c r="W1170" s="403" t="s">
        <v>23024</v>
      </c>
      <c r="X1170" s="403" t="s">
        <v>23024</v>
      </c>
      <c r="Y1170" s="403" t="s">
        <v>23024</v>
      </c>
    </row>
    <row r="1171" spans="1:25">
      <c r="A1171" s="363">
        <f t="shared" si="151"/>
        <v>1170</v>
      </c>
      <c r="B1171" s="363" t="str">
        <f t="shared" si="144"/>
        <v>44</v>
      </c>
      <c r="C1171" s="405" t="str">
        <f t="shared" si="145"/>
        <v>第010734号</v>
      </c>
      <c r="D1171" s="405" t="str">
        <f t="shared" si="146"/>
        <v>（株）オールマイト</v>
      </c>
      <c r="E1171" s="405" t="str">
        <f t="shared" si="147"/>
        <v>代表取締役</v>
      </c>
      <c r="F1171" s="405" t="str">
        <f t="shared" si="148"/>
        <v>淡路　壽一</v>
      </c>
      <c r="G1171" s="405" t="str">
        <f t="shared" si="149"/>
        <v>主たる営業所</v>
      </c>
      <c r="H1171" s="405" t="str">
        <f t="shared" si="150"/>
        <v>佐伯市弥生大字門田１３１３</v>
      </c>
      <c r="L1171" s="403" t="s">
        <v>10169</v>
      </c>
      <c r="M1171" s="403" t="s">
        <v>10170</v>
      </c>
      <c r="N1171" s="403" t="s">
        <v>3581</v>
      </c>
      <c r="O1171" s="403" t="s">
        <v>7084</v>
      </c>
      <c r="P1171" s="403" t="s">
        <v>3582</v>
      </c>
      <c r="Q1171" s="403" t="s">
        <v>7836</v>
      </c>
      <c r="R1171" s="403" t="s">
        <v>5590</v>
      </c>
      <c r="S1171" s="403" t="s">
        <v>16116</v>
      </c>
      <c r="T1171" s="403" t="s">
        <v>16117</v>
      </c>
      <c r="U1171" s="403"/>
      <c r="V1171" s="403" t="s">
        <v>23024</v>
      </c>
      <c r="W1171" s="403" t="s">
        <v>23024</v>
      </c>
      <c r="X1171" s="403" t="s">
        <v>23024</v>
      </c>
      <c r="Y1171" s="403" t="s">
        <v>23024</v>
      </c>
    </row>
    <row r="1172" spans="1:25">
      <c r="A1172" s="363">
        <f t="shared" si="151"/>
        <v>1171</v>
      </c>
      <c r="B1172" s="363" t="str">
        <f t="shared" si="144"/>
        <v>44</v>
      </c>
      <c r="C1172" s="405" t="str">
        <f t="shared" si="145"/>
        <v>第010739号</v>
      </c>
      <c r="D1172" s="405" t="str">
        <f t="shared" si="146"/>
        <v>（有）高本組</v>
      </c>
      <c r="E1172" s="405" t="str">
        <f t="shared" si="147"/>
        <v>代表取締役</v>
      </c>
      <c r="F1172" s="405" t="str">
        <f t="shared" si="148"/>
        <v>高本　伸二</v>
      </c>
      <c r="G1172" s="405" t="str">
        <f t="shared" si="149"/>
        <v>主たる営業所</v>
      </c>
      <c r="H1172" s="405" t="str">
        <f t="shared" si="150"/>
        <v>中津市大字福島２５１６－８</v>
      </c>
      <c r="L1172" s="403" t="s">
        <v>10171</v>
      </c>
      <c r="M1172" s="403" t="s">
        <v>10172</v>
      </c>
      <c r="N1172" s="403" t="s">
        <v>3583</v>
      </c>
      <c r="O1172" s="403" t="s">
        <v>7084</v>
      </c>
      <c r="P1172" s="403" t="s">
        <v>3584</v>
      </c>
      <c r="Q1172" s="403" t="s">
        <v>8893</v>
      </c>
      <c r="R1172" s="403" t="s">
        <v>19557</v>
      </c>
      <c r="S1172" s="403" t="s">
        <v>16118</v>
      </c>
      <c r="T1172" s="403" t="s">
        <v>16119</v>
      </c>
      <c r="U1172" s="403"/>
      <c r="V1172" s="403" t="s">
        <v>23024</v>
      </c>
      <c r="W1172" s="403" t="s">
        <v>23024</v>
      </c>
      <c r="X1172" s="403" t="s">
        <v>23024</v>
      </c>
      <c r="Y1172" s="403" t="s">
        <v>23024</v>
      </c>
    </row>
    <row r="1173" spans="1:25">
      <c r="A1173" s="363">
        <f t="shared" si="151"/>
        <v>1172</v>
      </c>
      <c r="B1173" s="363" t="str">
        <f t="shared" si="144"/>
        <v>44</v>
      </c>
      <c r="C1173" s="405" t="str">
        <f t="shared" si="145"/>
        <v>第010740号</v>
      </c>
      <c r="D1173" s="405" t="str">
        <f t="shared" si="146"/>
        <v>日伸建設工業（株）</v>
      </c>
      <c r="E1173" s="405" t="str">
        <f t="shared" si="147"/>
        <v>代表取締役</v>
      </c>
      <c r="F1173" s="405" t="str">
        <f t="shared" si="148"/>
        <v>大庭　浩司</v>
      </c>
      <c r="G1173" s="405" t="str">
        <f t="shared" si="149"/>
        <v>主たる営業所</v>
      </c>
      <c r="H1173" s="405" t="str">
        <f t="shared" si="150"/>
        <v>杵築市山香町大字立石１３１－１</v>
      </c>
      <c r="L1173" s="403" t="s">
        <v>10173</v>
      </c>
      <c r="M1173" s="403" t="s">
        <v>10174</v>
      </c>
      <c r="N1173" s="403" t="s">
        <v>3585</v>
      </c>
      <c r="O1173" s="403" t="s">
        <v>7084</v>
      </c>
      <c r="P1173" s="403" t="s">
        <v>3586</v>
      </c>
      <c r="Q1173" s="403" t="s">
        <v>10175</v>
      </c>
      <c r="R1173" s="403" t="s">
        <v>19558</v>
      </c>
      <c r="S1173" s="403" t="s">
        <v>16120</v>
      </c>
      <c r="T1173" s="403" t="s">
        <v>16121</v>
      </c>
      <c r="U1173" s="403"/>
      <c r="V1173" s="403" t="s">
        <v>23024</v>
      </c>
      <c r="W1173" s="403" t="s">
        <v>23024</v>
      </c>
      <c r="X1173" s="403" t="s">
        <v>23024</v>
      </c>
      <c r="Y1173" s="403" t="s">
        <v>23024</v>
      </c>
    </row>
    <row r="1174" spans="1:25">
      <c r="A1174" s="363">
        <f t="shared" si="151"/>
        <v>1173</v>
      </c>
      <c r="B1174" s="363" t="str">
        <f t="shared" si="144"/>
        <v>44</v>
      </c>
      <c r="C1174" s="405" t="str">
        <f t="shared" si="145"/>
        <v>第010741号</v>
      </c>
      <c r="D1174" s="405" t="str">
        <f t="shared" si="146"/>
        <v>（有）東九州フェンス工業</v>
      </c>
      <c r="E1174" s="405" t="str">
        <f t="shared" si="147"/>
        <v>代表取締役</v>
      </c>
      <c r="F1174" s="405" t="str">
        <f t="shared" si="148"/>
        <v>砂山　百合子</v>
      </c>
      <c r="G1174" s="405" t="str">
        <f t="shared" si="149"/>
        <v>主たる営業所</v>
      </c>
      <c r="H1174" s="405" t="str">
        <f t="shared" si="150"/>
        <v>宇佐市大字尾永井８３２－６</v>
      </c>
      <c r="L1174" s="403" t="s">
        <v>10176</v>
      </c>
      <c r="M1174" s="403" t="s">
        <v>10177</v>
      </c>
      <c r="N1174" s="403" t="s">
        <v>3587</v>
      </c>
      <c r="O1174" s="403" t="s">
        <v>7084</v>
      </c>
      <c r="P1174" s="403" t="s">
        <v>3588</v>
      </c>
      <c r="Q1174" s="403" t="s">
        <v>10178</v>
      </c>
      <c r="R1174" s="403" t="s">
        <v>19559</v>
      </c>
      <c r="S1174" s="403" t="s">
        <v>16122</v>
      </c>
      <c r="T1174" s="403" t="s">
        <v>16123</v>
      </c>
      <c r="U1174" s="403"/>
      <c r="V1174" s="403" t="s">
        <v>23024</v>
      </c>
      <c r="W1174" s="403" t="s">
        <v>23024</v>
      </c>
      <c r="X1174" s="403" t="s">
        <v>23024</v>
      </c>
      <c r="Y1174" s="403" t="s">
        <v>23024</v>
      </c>
    </row>
    <row r="1175" spans="1:25">
      <c r="A1175" s="363">
        <f t="shared" si="151"/>
        <v>1174</v>
      </c>
      <c r="B1175" s="363" t="str">
        <f t="shared" si="144"/>
        <v>44</v>
      </c>
      <c r="C1175" s="405" t="str">
        <f t="shared" si="145"/>
        <v>第010744号</v>
      </c>
      <c r="D1175" s="405" t="str">
        <f t="shared" si="146"/>
        <v>（株）明和ジオテック</v>
      </c>
      <c r="E1175" s="405" t="str">
        <f t="shared" si="147"/>
        <v>代表取締役</v>
      </c>
      <c r="F1175" s="405" t="str">
        <f t="shared" si="148"/>
        <v>玉置　芳明</v>
      </c>
      <c r="G1175" s="405" t="str">
        <f t="shared" si="149"/>
        <v>主たる営業所</v>
      </c>
      <c r="H1175" s="405" t="str">
        <f t="shared" si="150"/>
        <v>大分市大在北３－１１－３８</v>
      </c>
      <c r="L1175" s="403" t="s">
        <v>10179</v>
      </c>
      <c r="M1175" s="403" t="s">
        <v>10180</v>
      </c>
      <c r="N1175" s="403" t="s">
        <v>3589</v>
      </c>
      <c r="O1175" s="403" t="s">
        <v>7084</v>
      </c>
      <c r="P1175" s="403" t="s">
        <v>3590</v>
      </c>
      <c r="Q1175" s="403" t="s">
        <v>10181</v>
      </c>
      <c r="R1175" s="403" t="s">
        <v>19560</v>
      </c>
      <c r="S1175" s="403" t="s">
        <v>16124</v>
      </c>
      <c r="T1175" s="403" t="s">
        <v>16125</v>
      </c>
      <c r="U1175" s="403"/>
      <c r="V1175" s="403" t="s">
        <v>23024</v>
      </c>
      <c r="W1175" s="403" t="s">
        <v>23024</v>
      </c>
      <c r="X1175" s="403" t="s">
        <v>23024</v>
      </c>
      <c r="Y1175" s="403" t="s">
        <v>23024</v>
      </c>
    </row>
    <row r="1176" spans="1:25">
      <c r="A1176" s="363">
        <f t="shared" si="151"/>
        <v>1175</v>
      </c>
      <c r="B1176" s="363" t="str">
        <f t="shared" si="144"/>
        <v>44</v>
      </c>
      <c r="C1176" s="405" t="str">
        <f t="shared" si="145"/>
        <v>第010747号</v>
      </c>
      <c r="D1176" s="405" t="str">
        <f t="shared" si="146"/>
        <v>（有）豊後建設</v>
      </c>
      <c r="E1176" s="405" t="str">
        <f t="shared" si="147"/>
        <v>代表取締役</v>
      </c>
      <c r="F1176" s="405" t="str">
        <f t="shared" si="148"/>
        <v>森崎　孝治</v>
      </c>
      <c r="G1176" s="405" t="str">
        <f t="shared" si="149"/>
        <v>主たる営業所</v>
      </c>
      <c r="H1176" s="405" t="str">
        <f t="shared" si="150"/>
        <v>佐伯市中の島１－５６４２－２</v>
      </c>
      <c r="L1176" s="403" t="s">
        <v>10182</v>
      </c>
      <c r="M1176" s="403" t="s">
        <v>10183</v>
      </c>
      <c r="N1176" s="403" t="s">
        <v>3591</v>
      </c>
      <c r="O1176" s="403" t="s">
        <v>7084</v>
      </c>
      <c r="P1176" s="403" t="s">
        <v>5316</v>
      </c>
      <c r="Q1176" s="403" t="s">
        <v>7874</v>
      </c>
      <c r="R1176" s="403" t="s">
        <v>19561</v>
      </c>
      <c r="S1176" s="403" t="s">
        <v>16126</v>
      </c>
      <c r="T1176" s="403" t="s">
        <v>16127</v>
      </c>
      <c r="U1176" s="403"/>
      <c r="V1176" s="403" t="s">
        <v>23024</v>
      </c>
      <c r="W1176" s="403" t="s">
        <v>23024</v>
      </c>
      <c r="X1176" s="403" t="s">
        <v>23024</v>
      </c>
      <c r="Y1176" s="403" t="s">
        <v>23024</v>
      </c>
    </row>
    <row r="1177" spans="1:25">
      <c r="A1177" s="363">
        <f t="shared" si="151"/>
        <v>1176</v>
      </c>
      <c r="B1177" s="363" t="str">
        <f t="shared" si="144"/>
        <v>44</v>
      </c>
      <c r="C1177" s="405" t="str">
        <f t="shared" si="145"/>
        <v>第010760号</v>
      </c>
      <c r="D1177" s="405" t="str">
        <f t="shared" si="146"/>
        <v>（株）別電工業</v>
      </c>
      <c r="E1177" s="405" t="str">
        <f t="shared" si="147"/>
        <v>代表取締役</v>
      </c>
      <c r="F1177" s="405" t="str">
        <f t="shared" si="148"/>
        <v>坂本　寛</v>
      </c>
      <c r="G1177" s="405" t="str">
        <f t="shared" si="149"/>
        <v>主たる営業所</v>
      </c>
      <c r="H1177" s="405" t="str">
        <f t="shared" si="150"/>
        <v>別府市野口元町１１－３３</v>
      </c>
      <c r="L1177" s="403" t="s">
        <v>10184</v>
      </c>
      <c r="M1177" s="403" t="s">
        <v>10185</v>
      </c>
      <c r="N1177" s="403" t="s">
        <v>3592</v>
      </c>
      <c r="O1177" s="403" t="s">
        <v>7084</v>
      </c>
      <c r="P1177" s="403" t="s">
        <v>3593</v>
      </c>
      <c r="Q1177" s="403" t="s">
        <v>8411</v>
      </c>
      <c r="R1177" s="403" t="s">
        <v>19562</v>
      </c>
      <c r="S1177" s="403" t="s">
        <v>16128</v>
      </c>
      <c r="T1177" s="403" t="s">
        <v>16129</v>
      </c>
      <c r="U1177" s="403"/>
      <c r="V1177" s="403" t="s">
        <v>23024</v>
      </c>
      <c r="W1177" s="403" t="s">
        <v>23024</v>
      </c>
      <c r="X1177" s="403" t="s">
        <v>23024</v>
      </c>
      <c r="Y1177" s="403" t="s">
        <v>23024</v>
      </c>
    </row>
    <row r="1178" spans="1:25">
      <c r="A1178" s="363">
        <f t="shared" si="151"/>
        <v>1177</v>
      </c>
      <c r="B1178" s="363" t="str">
        <f t="shared" si="144"/>
        <v>44</v>
      </c>
      <c r="C1178" s="405" t="str">
        <f t="shared" si="145"/>
        <v>第010762号</v>
      </c>
      <c r="D1178" s="405" t="str">
        <f t="shared" si="146"/>
        <v>（有）ＯＳＫ</v>
      </c>
      <c r="E1178" s="405" t="str">
        <f t="shared" si="147"/>
        <v>代表取締役</v>
      </c>
      <c r="F1178" s="405" t="str">
        <f t="shared" si="148"/>
        <v>岡　雅章</v>
      </c>
      <c r="G1178" s="405" t="str">
        <f t="shared" si="149"/>
        <v>主たる営業所</v>
      </c>
      <c r="H1178" s="405" t="str">
        <f t="shared" si="150"/>
        <v>由布市挾間町内成３１８６</v>
      </c>
      <c r="L1178" s="403" t="s">
        <v>19563</v>
      </c>
      <c r="M1178" s="403" t="s">
        <v>19564</v>
      </c>
      <c r="N1178" s="403" t="s">
        <v>19565</v>
      </c>
      <c r="O1178" s="403" t="s">
        <v>7084</v>
      </c>
      <c r="P1178" s="403" t="s">
        <v>19566</v>
      </c>
      <c r="Q1178" s="403" t="s">
        <v>19567</v>
      </c>
      <c r="R1178" s="403" t="s">
        <v>19568</v>
      </c>
      <c r="S1178" s="403" t="s">
        <v>19569</v>
      </c>
      <c r="T1178" s="403" t="s">
        <v>19570</v>
      </c>
      <c r="U1178" s="403"/>
      <c r="V1178" s="403" t="s">
        <v>23024</v>
      </c>
      <c r="W1178" s="403" t="s">
        <v>23024</v>
      </c>
      <c r="X1178" s="403" t="s">
        <v>23024</v>
      </c>
      <c r="Y1178" s="403" t="s">
        <v>23024</v>
      </c>
    </row>
    <row r="1179" spans="1:25">
      <c r="A1179" s="363">
        <f t="shared" si="151"/>
        <v>1178</v>
      </c>
      <c r="B1179" s="363" t="str">
        <f t="shared" si="144"/>
        <v>44</v>
      </c>
      <c r="C1179" s="405" t="str">
        <f t="shared" si="145"/>
        <v>第010766号</v>
      </c>
      <c r="D1179" s="405" t="str">
        <f t="shared" si="146"/>
        <v>（有）アイワ不動産建設</v>
      </c>
      <c r="E1179" s="405" t="str">
        <f t="shared" si="147"/>
        <v>取締役</v>
      </c>
      <c r="F1179" s="405" t="str">
        <f t="shared" si="148"/>
        <v>長谷　俊明</v>
      </c>
      <c r="G1179" s="405" t="str">
        <f t="shared" si="149"/>
        <v>主たる営業所</v>
      </c>
      <c r="H1179" s="405" t="str">
        <f t="shared" si="150"/>
        <v>大分市下郡中央３－９－４１</v>
      </c>
      <c r="L1179" s="403" t="s">
        <v>10186</v>
      </c>
      <c r="M1179" s="403" t="s">
        <v>10187</v>
      </c>
      <c r="N1179" s="403" t="s">
        <v>3594</v>
      </c>
      <c r="O1179" s="403" t="s">
        <v>7085</v>
      </c>
      <c r="P1179" s="403" t="s">
        <v>3595</v>
      </c>
      <c r="Q1179" s="403" t="s">
        <v>8335</v>
      </c>
      <c r="R1179" s="403" t="s">
        <v>19571</v>
      </c>
      <c r="S1179" s="403" t="s">
        <v>16130</v>
      </c>
      <c r="T1179" s="403" t="s">
        <v>16131</v>
      </c>
      <c r="U1179" s="403"/>
      <c r="V1179" s="403" t="s">
        <v>23024</v>
      </c>
      <c r="W1179" s="403" t="s">
        <v>23024</v>
      </c>
      <c r="X1179" s="403" t="s">
        <v>23024</v>
      </c>
      <c r="Y1179" s="403" t="s">
        <v>23024</v>
      </c>
    </row>
    <row r="1180" spans="1:25">
      <c r="A1180" s="363">
        <f t="shared" si="151"/>
        <v>1179</v>
      </c>
      <c r="B1180" s="363" t="str">
        <f t="shared" si="144"/>
        <v>44</v>
      </c>
      <c r="C1180" s="405" t="str">
        <f t="shared" si="145"/>
        <v>第010769号</v>
      </c>
      <c r="D1180" s="405" t="str">
        <f t="shared" si="146"/>
        <v>（株）宮園電装</v>
      </c>
      <c r="E1180" s="405" t="str">
        <f t="shared" si="147"/>
        <v>代表取締役</v>
      </c>
      <c r="F1180" s="405" t="str">
        <f t="shared" si="148"/>
        <v>宮園　健吾</v>
      </c>
      <c r="G1180" s="405" t="str">
        <f t="shared" si="149"/>
        <v>主たる営業所</v>
      </c>
      <c r="H1180" s="405" t="str">
        <f t="shared" si="150"/>
        <v>大分市南太平寺１－９－１</v>
      </c>
      <c r="L1180" s="403" t="s">
        <v>10188</v>
      </c>
      <c r="M1180" s="403" t="s">
        <v>10189</v>
      </c>
      <c r="N1180" s="403" t="s">
        <v>3596</v>
      </c>
      <c r="O1180" s="403" t="s">
        <v>7084</v>
      </c>
      <c r="P1180" s="403" t="s">
        <v>3597</v>
      </c>
      <c r="Q1180" s="403" t="s">
        <v>10190</v>
      </c>
      <c r="R1180" s="403" t="s">
        <v>19572</v>
      </c>
      <c r="S1180" s="403" t="s">
        <v>16132</v>
      </c>
      <c r="T1180" s="403" t="s">
        <v>16133</v>
      </c>
      <c r="U1180" s="403"/>
      <c r="V1180" s="403" t="s">
        <v>23024</v>
      </c>
      <c r="W1180" s="403" t="s">
        <v>23024</v>
      </c>
      <c r="X1180" s="403" t="s">
        <v>23024</v>
      </c>
      <c r="Y1180" s="403" t="s">
        <v>23024</v>
      </c>
    </row>
    <row r="1181" spans="1:25">
      <c r="A1181" s="363">
        <f t="shared" si="151"/>
        <v>1180</v>
      </c>
      <c r="B1181" s="363" t="str">
        <f t="shared" si="144"/>
        <v>44</v>
      </c>
      <c r="C1181" s="405" t="str">
        <f t="shared" si="145"/>
        <v>第010778号</v>
      </c>
      <c r="D1181" s="405" t="str">
        <f t="shared" si="146"/>
        <v>（有）松田庭園</v>
      </c>
      <c r="E1181" s="405" t="str">
        <f t="shared" si="147"/>
        <v>代表取締役</v>
      </c>
      <c r="F1181" s="405" t="str">
        <f t="shared" si="148"/>
        <v>松田　大樹</v>
      </c>
      <c r="G1181" s="405" t="str">
        <f t="shared" si="149"/>
        <v>主たる営業所</v>
      </c>
      <c r="H1181" s="405" t="str">
        <f t="shared" si="150"/>
        <v>速見郡日出町大字藤原２２３４－１</v>
      </c>
      <c r="L1181" s="403" t="s">
        <v>10191</v>
      </c>
      <c r="M1181" s="403" t="s">
        <v>10192</v>
      </c>
      <c r="N1181" s="403" t="s">
        <v>3598</v>
      </c>
      <c r="O1181" s="403" t="s">
        <v>7084</v>
      </c>
      <c r="P1181" s="403" t="s">
        <v>3599</v>
      </c>
      <c r="Q1181" s="403" t="s">
        <v>7619</v>
      </c>
      <c r="R1181" s="403" t="s">
        <v>19573</v>
      </c>
      <c r="S1181" s="403" t="s">
        <v>16134</v>
      </c>
      <c r="T1181" s="403" t="s">
        <v>16135</v>
      </c>
      <c r="U1181" s="403"/>
      <c r="V1181" s="403" t="s">
        <v>23024</v>
      </c>
      <c r="W1181" s="403" t="s">
        <v>23024</v>
      </c>
      <c r="X1181" s="403" t="s">
        <v>23024</v>
      </c>
      <c r="Y1181" s="403" t="s">
        <v>23024</v>
      </c>
    </row>
    <row r="1182" spans="1:25">
      <c r="A1182" s="363">
        <f t="shared" si="151"/>
        <v>1181</v>
      </c>
      <c r="B1182" s="363" t="str">
        <f t="shared" si="144"/>
        <v>44</v>
      </c>
      <c r="C1182" s="405" t="str">
        <f t="shared" si="145"/>
        <v>第010780号</v>
      </c>
      <c r="D1182" s="405" t="str">
        <f t="shared" si="146"/>
        <v>（有）三信水道</v>
      </c>
      <c r="E1182" s="405" t="str">
        <f t="shared" si="147"/>
        <v>代表取締役</v>
      </c>
      <c r="F1182" s="405" t="str">
        <f t="shared" si="148"/>
        <v>薬師寺　哲也</v>
      </c>
      <c r="G1182" s="405" t="str">
        <f t="shared" si="149"/>
        <v>主たる営業所</v>
      </c>
      <c r="H1182" s="405" t="str">
        <f t="shared" si="150"/>
        <v>臼杵市大字海添字浜２５７３－３５</v>
      </c>
      <c r="L1182" s="403" t="s">
        <v>10193</v>
      </c>
      <c r="M1182" s="403" t="s">
        <v>10194</v>
      </c>
      <c r="N1182" s="403" t="s">
        <v>3600</v>
      </c>
      <c r="O1182" s="403" t="s">
        <v>7084</v>
      </c>
      <c r="P1182" s="403" t="s">
        <v>3601</v>
      </c>
      <c r="Q1182" s="403" t="s">
        <v>7763</v>
      </c>
      <c r="R1182" s="403" t="s">
        <v>19574</v>
      </c>
      <c r="S1182" s="403" t="s">
        <v>16136</v>
      </c>
      <c r="T1182" s="403" t="s">
        <v>16137</v>
      </c>
      <c r="U1182" s="403"/>
      <c r="V1182" s="403" t="s">
        <v>23024</v>
      </c>
      <c r="W1182" s="403" t="s">
        <v>23024</v>
      </c>
      <c r="X1182" s="403" t="s">
        <v>23024</v>
      </c>
      <c r="Y1182" s="403" t="s">
        <v>23024</v>
      </c>
    </row>
    <row r="1183" spans="1:25">
      <c r="A1183" s="363">
        <f t="shared" si="151"/>
        <v>1182</v>
      </c>
      <c r="B1183" s="363" t="str">
        <f t="shared" si="144"/>
        <v>44</v>
      </c>
      <c r="C1183" s="405" t="str">
        <f t="shared" si="145"/>
        <v>第010782号</v>
      </c>
      <c r="D1183" s="405" t="str">
        <f t="shared" si="146"/>
        <v>（株）菊池電氣工業</v>
      </c>
      <c r="E1183" s="405" t="str">
        <f t="shared" si="147"/>
        <v>代表取締役</v>
      </c>
      <c r="F1183" s="405" t="str">
        <f t="shared" si="148"/>
        <v>菊池　有二</v>
      </c>
      <c r="G1183" s="405" t="str">
        <f t="shared" si="149"/>
        <v>主たる営業所</v>
      </c>
      <c r="H1183" s="405" t="str">
        <f t="shared" si="150"/>
        <v>佐伯市西谷町４－４７</v>
      </c>
      <c r="L1183" s="403" t="s">
        <v>10195</v>
      </c>
      <c r="M1183" s="403" t="s">
        <v>10196</v>
      </c>
      <c r="N1183" s="403" t="s">
        <v>3602</v>
      </c>
      <c r="O1183" s="403" t="s">
        <v>7084</v>
      </c>
      <c r="P1183" s="403" t="s">
        <v>3603</v>
      </c>
      <c r="Q1183" s="403" t="s">
        <v>10197</v>
      </c>
      <c r="R1183" s="403" t="s">
        <v>19575</v>
      </c>
      <c r="S1183" s="403" t="s">
        <v>16138</v>
      </c>
      <c r="T1183" s="403" t="s">
        <v>16139</v>
      </c>
      <c r="U1183" s="403"/>
      <c r="V1183" s="403" t="s">
        <v>23024</v>
      </c>
      <c r="W1183" s="403" t="s">
        <v>23024</v>
      </c>
      <c r="X1183" s="403" t="s">
        <v>23024</v>
      </c>
      <c r="Y1183" s="403" t="s">
        <v>23024</v>
      </c>
    </row>
    <row r="1184" spans="1:25">
      <c r="A1184" s="363">
        <f t="shared" si="151"/>
        <v>1183</v>
      </c>
      <c r="B1184" s="363" t="str">
        <f t="shared" si="144"/>
        <v>44</v>
      </c>
      <c r="C1184" s="405" t="str">
        <f t="shared" si="145"/>
        <v>第010785号</v>
      </c>
      <c r="D1184" s="405" t="str">
        <f t="shared" si="146"/>
        <v>（株）アイ・ネット</v>
      </c>
      <c r="E1184" s="405" t="str">
        <f t="shared" si="147"/>
        <v>代表取締役</v>
      </c>
      <c r="F1184" s="405" t="str">
        <f t="shared" si="148"/>
        <v>綿丸　伸太朗</v>
      </c>
      <c r="G1184" s="405" t="str">
        <f t="shared" si="149"/>
        <v>主たる営業所</v>
      </c>
      <c r="H1184" s="405" t="str">
        <f t="shared" si="150"/>
        <v>中津市大字伊藤田２１６８－１</v>
      </c>
      <c r="L1184" s="403" t="s">
        <v>10198</v>
      </c>
      <c r="M1184" s="403" t="s">
        <v>10199</v>
      </c>
      <c r="N1184" s="403" t="s">
        <v>3604</v>
      </c>
      <c r="O1184" s="403" t="s">
        <v>7084</v>
      </c>
      <c r="P1184" s="403" t="s">
        <v>3605</v>
      </c>
      <c r="Q1184" s="403" t="s">
        <v>10097</v>
      </c>
      <c r="R1184" s="403" t="s">
        <v>19576</v>
      </c>
      <c r="S1184" s="403" t="s">
        <v>16140</v>
      </c>
      <c r="T1184" s="403" t="s">
        <v>16141</v>
      </c>
      <c r="U1184" s="403"/>
      <c r="V1184" s="403" t="s">
        <v>23024</v>
      </c>
      <c r="W1184" s="403" t="s">
        <v>23024</v>
      </c>
      <c r="X1184" s="403" t="s">
        <v>23024</v>
      </c>
      <c r="Y1184" s="403" t="s">
        <v>23024</v>
      </c>
    </row>
    <row r="1185" spans="1:25">
      <c r="A1185" s="363">
        <f t="shared" si="151"/>
        <v>1184</v>
      </c>
      <c r="B1185" s="363" t="str">
        <f t="shared" si="144"/>
        <v>44</v>
      </c>
      <c r="C1185" s="405" t="str">
        <f t="shared" si="145"/>
        <v>第010796号</v>
      </c>
      <c r="D1185" s="405" t="str">
        <f t="shared" si="146"/>
        <v>（有）昇和工業</v>
      </c>
      <c r="E1185" s="405" t="str">
        <f t="shared" si="147"/>
        <v>代表取締役</v>
      </c>
      <c r="F1185" s="405" t="str">
        <f t="shared" si="148"/>
        <v>伊東　由人</v>
      </c>
      <c r="G1185" s="405" t="str">
        <f t="shared" si="149"/>
        <v>主たる営業所</v>
      </c>
      <c r="H1185" s="405" t="str">
        <f t="shared" si="150"/>
        <v>大分市大字小池原字東谷３９４</v>
      </c>
      <c r="L1185" s="403" t="s">
        <v>10200</v>
      </c>
      <c r="M1185" s="403" t="s">
        <v>10201</v>
      </c>
      <c r="N1185" s="403" t="s">
        <v>3606</v>
      </c>
      <c r="O1185" s="403" t="s">
        <v>7084</v>
      </c>
      <c r="P1185" s="403" t="s">
        <v>3607</v>
      </c>
      <c r="Q1185" s="403" t="s">
        <v>8694</v>
      </c>
      <c r="R1185" s="403" t="s">
        <v>5591</v>
      </c>
      <c r="S1185" s="403" t="s">
        <v>16142</v>
      </c>
      <c r="T1185" s="403" t="s">
        <v>16143</v>
      </c>
      <c r="U1185" s="403"/>
      <c r="V1185" s="403" t="s">
        <v>23024</v>
      </c>
      <c r="W1185" s="403" t="s">
        <v>23024</v>
      </c>
      <c r="X1185" s="403" t="s">
        <v>23024</v>
      </c>
      <c r="Y1185" s="403" t="s">
        <v>23024</v>
      </c>
    </row>
    <row r="1186" spans="1:25">
      <c r="A1186" s="363">
        <f t="shared" si="151"/>
        <v>1185</v>
      </c>
      <c r="B1186" s="363" t="str">
        <f t="shared" si="144"/>
        <v>44</v>
      </c>
      <c r="C1186" s="405" t="str">
        <f t="shared" si="145"/>
        <v>第010802号</v>
      </c>
      <c r="D1186" s="405" t="str">
        <f t="shared" si="146"/>
        <v>日本配管（有）</v>
      </c>
      <c r="E1186" s="405" t="str">
        <f t="shared" si="147"/>
        <v>代表取締役</v>
      </c>
      <c r="F1186" s="405" t="str">
        <f t="shared" si="148"/>
        <v>幸松　克俊</v>
      </c>
      <c r="G1186" s="405" t="str">
        <f t="shared" si="149"/>
        <v>主たる営業所</v>
      </c>
      <c r="H1186" s="405" t="str">
        <f t="shared" si="150"/>
        <v>大分市向原西２－７－６</v>
      </c>
      <c r="L1186" s="403" t="s">
        <v>10202</v>
      </c>
      <c r="M1186" s="403" t="s">
        <v>10203</v>
      </c>
      <c r="N1186" s="403" t="s">
        <v>3608</v>
      </c>
      <c r="O1186" s="403" t="s">
        <v>7084</v>
      </c>
      <c r="P1186" s="403" t="s">
        <v>3609</v>
      </c>
      <c r="Q1186" s="403" t="s">
        <v>7309</v>
      </c>
      <c r="R1186" s="403" t="s">
        <v>19577</v>
      </c>
      <c r="S1186" s="403" t="s">
        <v>16144</v>
      </c>
      <c r="T1186" s="403" t="s">
        <v>16145</v>
      </c>
      <c r="U1186" s="403"/>
      <c r="V1186" s="403" t="s">
        <v>23024</v>
      </c>
      <c r="W1186" s="403" t="s">
        <v>23024</v>
      </c>
      <c r="X1186" s="403" t="s">
        <v>23024</v>
      </c>
      <c r="Y1186" s="403" t="s">
        <v>23024</v>
      </c>
    </row>
    <row r="1187" spans="1:25">
      <c r="A1187" s="363">
        <f t="shared" si="151"/>
        <v>1186</v>
      </c>
      <c r="B1187" s="363" t="str">
        <f t="shared" si="144"/>
        <v>44</v>
      </c>
      <c r="C1187" s="405" t="str">
        <f t="shared" si="145"/>
        <v>第010804号</v>
      </c>
      <c r="D1187" s="405" t="str">
        <f t="shared" si="146"/>
        <v>（有）九建施設</v>
      </c>
      <c r="E1187" s="405" t="str">
        <f t="shared" si="147"/>
        <v>代表取締役</v>
      </c>
      <c r="F1187" s="405" t="str">
        <f t="shared" si="148"/>
        <v>元永　北斗</v>
      </c>
      <c r="G1187" s="405" t="str">
        <f t="shared" si="149"/>
        <v>主たる営業所</v>
      </c>
      <c r="H1187" s="405" t="str">
        <f t="shared" si="150"/>
        <v>宇佐市院内町温見２０９－３</v>
      </c>
      <c r="L1187" s="403" t="s">
        <v>10204</v>
      </c>
      <c r="M1187" s="403" t="s">
        <v>10205</v>
      </c>
      <c r="N1187" s="403" t="s">
        <v>3610</v>
      </c>
      <c r="O1187" s="403" t="s">
        <v>7084</v>
      </c>
      <c r="P1187" s="403" t="s">
        <v>3611</v>
      </c>
      <c r="Q1187" s="403" t="s">
        <v>10206</v>
      </c>
      <c r="R1187" s="403" t="s">
        <v>19578</v>
      </c>
      <c r="S1187" s="403" t="s">
        <v>16146</v>
      </c>
      <c r="T1187" s="403" t="s">
        <v>16147</v>
      </c>
      <c r="U1187" s="403"/>
      <c r="V1187" s="403" t="s">
        <v>23024</v>
      </c>
      <c r="W1187" s="403" t="s">
        <v>23024</v>
      </c>
      <c r="X1187" s="403" t="s">
        <v>23024</v>
      </c>
      <c r="Y1187" s="403" t="s">
        <v>23024</v>
      </c>
    </row>
    <row r="1188" spans="1:25">
      <c r="A1188" s="363">
        <f t="shared" si="151"/>
        <v>1187</v>
      </c>
      <c r="B1188" s="363" t="str">
        <f t="shared" si="144"/>
        <v>44</v>
      </c>
      <c r="C1188" s="405" t="str">
        <f t="shared" si="145"/>
        <v>第010810号</v>
      </c>
      <c r="D1188" s="405" t="str">
        <f t="shared" si="146"/>
        <v>甲斐管工事（有）</v>
      </c>
      <c r="E1188" s="405" t="str">
        <f t="shared" si="147"/>
        <v>代表取締役</v>
      </c>
      <c r="F1188" s="405" t="str">
        <f t="shared" si="148"/>
        <v>甲斐　正巳</v>
      </c>
      <c r="G1188" s="405" t="str">
        <f t="shared" si="149"/>
        <v>主たる営業所</v>
      </c>
      <c r="H1188" s="405" t="str">
        <f t="shared" si="150"/>
        <v>佐伯市大字鶴望４１０４－２</v>
      </c>
      <c r="L1188" s="403" t="s">
        <v>10207</v>
      </c>
      <c r="M1188" s="403" t="s">
        <v>10208</v>
      </c>
      <c r="N1188" s="403" t="s">
        <v>3612</v>
      </c>
      <c r="O1188" s="403" t="s">
        <v>7084</v>
      </c>
      <c r="P1188" s="403" t="s">
        <v>3613</v>
      </c>
      <c r="Q1188" s="403" t="s">
        <v>8463</v>
      </c>
      <c r="R1188" s="403" t="s">
        <v>19579</v>
      </c>
      <c r="S1188" s="403" t="s">
        <v>16148</v>
      </c>
      <c r="T1188" s="403" t="s">
        <v>16149</v>
      </c>
      <c r="U1188" s="403"/>
      <c r="V1188" s="403" t="s">
        <v>23024</v>
      </c>
      <c r="W1188" s="403" t="s">
        <v>23024</v>
      </c>
      <c r="X1188" s="403" t="s">
        <v>23024</v>
      </c>
      <c r="Y1188" s="403" t="s">
        <v>23024</v>
      </c>
    </row>
    <row r="1189" spans="1:25">
      <c r="A1189" s="363">
        <f t="shared" si="151"/>
        <v>1188</v>
      </c>
      <c r="B1189" s="363" t="str">
        <f t="shared" si="144"/>
        <v>44</v>
      </c>
      <c r="C1189" s="405" t="str">
        <f t="shared" si="145"/>
        <v>第010831号</v>
      </c>
      <c r="D1189" s="405" t="str">
        <f t="shared" si="146"/>
        <v>（有）よしおか塗装</v>
      </c>
      <c r="E1189" s="405" t="str">
        <f t="shared" si="147"/>
        <v>代表取締役</v>
      </c>
      <c r="F1189" s="405" t="str">
        <f t="shared" si="148"/>
        <v>吉岡　敏郎</v>
      </c>
      <c r="G1189" s="405" t="str">
        <f t="shared" si="149"/>
        <v>主たる営業所</v>
      </c>
      <c r="H1189" s="405" t="str">
        <f t="shared" si="150"/>
        <v>臼杵市大字福良１２５－１</v>
      </c>
      <c r="L1189" s="403" t="s">
        <v>10209</v>
      </c>
      <c r="M1189" s="403" t="s">
        <v>10210</v>
      </c>
      <c r="N1189" s="403" t="s">
        <v>3614</v>
      </c>
      <c r="O1189" s="403" t="s">
        <v>7084</v>
      </c>
      <c r="P1189" s="403" t="s">
        <v>3615</v>
      </c>
      <c r="Q1189" s="403" t="s">
        <v>9456</v>
      </c>
      <c r="R1189" s="403" t="s">
        <v>19580</v>
      </c>
      <c r="S1189" s="403" t="s">
        <v>16150</v>
      </c>
      <c r="T1189" s="403" t="s">
        <v>16151</v>
      </c>
      <c r="U1189" s="403"/>
      <c r="V1189" s="403" t="s">
        <v>23024</v>
      </c>
      <c r="W1189" s="403" t="s">
        <v>23024</v>
      </c>
      <c r="X1189" s="403" t="s">
        <v>23024</v>
      </c>
      <c r="Y1189" s="403" t="s">
        <v>23024</v>
      </c>
    </row>
    <row r="1190" spans="1:25">
      <c r="A1190" s="363">
        <f t="shared" si="151"/>
        <v>1189</v>
      </c>
      <c r="B1190" s="363" t="str">
        <f t="shared" si="144"/>
        <v>44</v>
      </c>
      <c r="C1190" s="405" t="str">
        <f t="shared" si="145"/>
        <v>第010834号</v>
      </c>
      <c r="D1190" s="405" t="str">
        <f t="shared" si="146"/>
        <v>三栄建設工業（株）</v>
      </c>
      <c r="E1190" s="405" t="str">
        <f t="shared" si="147"/>
        <v>代表取締役</v>
      </c>
      <c r="F1190" s="405" t="str">
        <f t="shared" si="148"/>
        <v>三浦　勲</v>
      </c>
      <c r="G1190" s="405" t="str">
        <f t="shared" si="149"/>
        <v>主たる営業所</v>
      </c>
      <c r="H1190" s="405" t="str">
        <f t="shared" si="150"/>
        <v>大分市畑中２－６－６</v>
      </c>
      <c r="L1190" s="403" t="s">
        <v>10211</v>
      </c>
      <c r="M1190" s="403" t="s">
        <v>10212</v>
      </c>
      <c r="N1190" s="403" t="s">
        <v>3616</v>
      </c>
      <c r="O1190" s="403" t="s">
        <v>7084</v>
      </c>
      <c r="P1190" s="403" t="s">
        <v>3617</v>
      </c>
      <c r="Q1190" s="403" t="s">
        <v>9334</v>
      </c>
      <c r="R1190" s="403" t="s">
        <v>19581</v>
      </c>
      <c r="S1190" s="403" t="s">
        <v>16152</v>
      </c>
      <c r="T1190" s="403" t="s">
        <v>16153</v>
      </c>
      <c r="U1190" s="403"/>
      <c r="V1190" s="403" t="s">
        <v>23024</v>
      </c>
      <c r="W1190" s="403" t="s">
        <v>23024</v>
      </c>
      <c r="X1190" s="403" t="s">
        <v>23024</v>
      </c>
      <c r="Y1190" s="403" t="s">
        <v>23024</v>
      </c>
    </row>
    <row r="1191" spans="1:25">
      <c r="A1191" s="363">
        <f t="shared" si="151"/>
        <v>1190</v>
      </c>
      <c r="B1191" s="363" t="str">
        <f t="shared" si="144"/>
        <v>44</v>
      </c>
      <c r="C1191" s="405" t="str">
        <f t="shared" si="145"/>
        <v>第010836号</v>
      </c>
      <c r="D1191" s="405" t="str">
        <f t="shared" si="146"/>
        <v>中島技建工業（有）</v>
      </c>
      <c r="E1191" s="405" t="str">
        <f t="shared" si="147"/>
        <v>代表取締役</v>
      </c>
      <c r="F1191" s="405" t="str">
        <f t="shared" si="148"/>
        <v>中島　秀一</v>
      </c>
      <c r="G1191" s="405" t="str">
        <f t="shared" si="149"/>
        <v>主たる営業所</v>
      </c>
      <c r="H1191" s="405" t="str">
        <f t="shared" si="150"/>
        <v>大分市判田台北３－４－８</v>
      </c>
      <c r="L1191" s="403" t="s">
        <v>10213</v>
      </c>
      <c r="M1191" s="403" t="s">
        <v>10214</v>
      </c>
      <c r="N1191" s="403" t="s">
        <v>3618</v>
      </c>
      <c r="O1191" s="403" t="s">
        <v>7084</v>
      </c>
      <c r="P1191" s="403" t="s">
        <v>3619</v>
      </c>
      <c r="Q1191" s="403" t="s">
        <v>10215</v>
      </c>
      <c r="R1191" s="403" t="s">
        <v>19582</v>
      </c>
      <c r="S1191" s="403" t="s">
        <v>16154</v>
      </c>
      <c r="T1191" s="403" t="s">
        <v>16155</v>
      </c>
      <c r="U1191" s="403"/>
      <c r="V1191" s="403" t="s">
        <v>23024</v>
      </c>
      <c r="W1191" s="403" t="s">
        <v>23024</v>
      </c>
      <c r="X1191" s="403" t="s">
        <v>23024</v>
      </c>
      <c r="Y1191" s="403" t="s">
        <v>23024</v>
      </c>
    </row>
    <row r="1192" spans="1:25">
      <c r="A1192" s="363">
        <f t="shared" si="151"/>
        <v>1191</v>
      </c>
      <c r="B1192" s="363" t="str">
        <f t="shared" si="144"/>
        <v>44</v>
      </c>
      <c r="C1192" s="405" t="str">
        <f t="shared" si="145"/>
        <v>第010842号</v>
      </c>
      <c r="D1192" s="405" t="str">
        <f t="shared" si="146"/>
        <v>（有）ツカサ</v>
      </c>
      <c r="E1192" s="405" t="str">
        <f t="shared" si="147"/>
        <v>代表取締役</v>
      </c>
      <c r="F1192" s="405" t="str">
        <f t="shared" si="148"/>
        <v>佐久間　由賀里</v>
      </c>
      <c r="G1192" s="405" t="str">
        <f t="shared" si="149"/>
        <v>主たる営業所</v>
      </c>
      <c r="H1192" s="405" t="str">
        <f t="shared" si="150"/>
        <v>日田市天瀬町女子畑小谷６００－１</v>
      </c>
      <c r="L1192" s="403" t="s">
        <v>10216</v>
      </c>
      <c r="M1192" s="403" t="s">
        <v>10217</v>
      </c>
      <c r="N1192" s="403" t="s">
        <v>3620</v>
      </c>
      <c r="O1192" s="403" t="s">
        <v>7084</v>
      </c>
      <c r="P1192" s="403" t="s">
        <v>3621</v>
      </c>
      <c r="Q1192" s="403" t="s">
        <v>10218</v>
      </c>
      <c r="R1192" s="403" t="s">
        <v>19583</v>
      </c>
      <c r="S1192" s="403" t="s">
        <v>16156</v>
      </c>
      <c r="T1192" s="403" t="s">
        <v>16157</v>
      </c>
      <c r="U1192" s="403"/>
      <c r="V1192" s="403" t="s">
        <v>23024</v>
      </c>
      <c r="W1192" s="403" t="s">
        <v>23024</v>
      </c>
      <c r="X1192" s="403" t="s">
        <v>23024</v>
      </c>
      <c r="Y1192" s="403" t="s">
        <v>23024</v>
      </c>
    </row>
    <row r="1193" spans="1:25">
      <c r="A1193" s="363">
        <f t="shared" si="151"/>
        <v>1192</v>
      </c>
      <c r="B1193" s="363" t="str">
        <f t="shared" si="144"/>
        <v>44</v>
      </c>
      <c r="C1193" s="405" t="str">
        <f t="shared" si="145"/>
        <v>第010852号</v>
      </c>
      <c r="D1193" s="405" t="str">
        <f t="shared" si="146"/>
        <v>（有）丸富士工業</v>
      </c>
      <c r="E1193" s="405" t="str">
        <f t="shared" si="147"/>
        <v>代表取締役</v>
      </c>
      <c r="F1193" s="405" t="str">
        <f t="shared" si="148"/>
        <v>森本　昭尾</v>
      </c>
      <c r="G1193" s="405" t="str">
        <f t="shared" si="149"/>
        <v>主たる営業所</v>
      </c>
      <c r="H1193" s="405" t="str">
        <f t="shared" si="150"/>
        <v>別府市大字亀川１０６２－８</v>
      </c>
      <c r="L1193" s="403" t="s">
        <v>10219</v>
      </c>
      <c r="M1193" s="403" t="s">
        <v>10220</v>
      </c>
      <c r="N1193" s="403" t="s">
        <v>3622</v>
      </c>
      <c r="O1193" s="403" t="s">
        <v>7084</v>
      </c>
      <c r="P1193" s="403" t="s">
        <v>3623</v>
      </c>
      <c r="Q1193" s="403" t="s">
        <v>9790</v>
      </c>
      <c r="R1193" s="403" t="s">
        <v>19584</v>
      </c>
      <c r="S1193" s="403" t="s">
        <v>16158</v>
      </c>
      <c r="T1193" s="403" t="s">
        <v>16158</v>
      </c>
      <c r="U1193" s="403"/>
      <c r="V1193" s="403" t="s">
        <v>23024</v>
      </c>
      <c r="W1193" s="403" t="s">
        <v>23024</v>
      </c>
      <c r="X1193" s="403" t="s">
        <v>23024</v>
      </c>
      <c r="Y1193" s="403" t="s">
        <v>23024</v>
      </c>
    </row>
    <row r="1194" spans="1:25">
      <c r="A1194" s="363">
        <f t="shared" si="151"/>
        <v>1193</v>
      </c>
      <c r="B1194" s="363" t="str">
        <f t="shared" si="144"/>
        <v>44</v>
      </c>
      <c r="C1194" s="405" t="str">
        <f t="shared" si="145"/>
        <v>第010857号</v>
      </c>
      <c r="D1194" s="405" t="str">
        <f t="shared" si="146"/>
        <v>（株）クリーン・アップ</v>
      </c>
      <c r="E1194" s="405" t="str">
        <f t="shared" si="147"/>
        <v>代表取締役</v>
      </c>
      <c r="F1194" s="405" t="str">
        <f t="shared" si="148"/>
        <v>下郡　謙悟</v>
      </c>
      <c r="G1194" s="405" t="str">
        <f t="shared" si="149"/>
        <v>主たる営業所</v>
      </c>
      <c r="H1194" s="405" t="str">
        <f t="shared" si="150"/>
        <v>別府市大字鶴見３３１４－１</v>
      </c>
      <c r="L1194" s="403" t="s">
        <v>10221</v>
      </c>
      <c r="M1194" s="403" t="s">
        <v>10222</v>
      </c>
      <c r="N1194" s="403" t="s">
        <v>3624</v>
      </c>
      <c r="O1194" s="403" t="s">
        <v>7084</v>
      </c>
      <c r="P1194" s="403" t="s">
        <v>3625</v>
      </c>
      <c r="Q1194" s="403" t="s">
        <v>9221</v>
      </c>
      <c r="R1194" s="403" t="s">
        <v>19585</v>
      </c>
      <c r="S1194" s="403" t="s">
        <v>16159</v>
      </c>
      <c r="T1194" s="403" t="s">
        <v>16160</v>
      </c>
      <c r="U1194" s="403"/>
      <c r="V1194" s="403" t="s">
        <v>23024</v>
      </c>
      <c r="W1194" s="403" t="s">
        <v>23024</v>
      </c>
      <c r="X1194" s="403" t="s">
        <v>23024</v>
      </c>
      <c r="Y1194" s="403" t="s">
        <v>23024</v>
      </c>
    </row>
    <row r="1195" spans="1:25">
      <c r="A1195" s="363">
        <f t="shared" si="151"/>
        <v>1194</v>
      </c>
      <c r="B1195" s="363" t="str">
        <f t="shared" si="144"/>
        <v>44</v>
      </c>
      <c r="C1195" s="405" t="str">
        <f t="shared" si="145"/>
        <v>第010860号</v>
      </c>
      <c r="D1195" s="405" t="str">
        <f t="shared" si="146"/>
        <v>（株）黒田建商</v>
      </c>
      <c r="E1195" s="405" t="str">
        <f t="shared" si="147"/>
        <v>代表取締役</v>
      </c>
      <c r="F1195" s="405" t="str">
        <f t="shared" si="148"/>
        <v>黒田　雄司</v>
      </c>
      <c r="G1195" s="405" t="str">
        <f t="shared" si="149"/>
        <v>主たる営業所</v>
      </c>
      <c r="H1195" s="405" t="str">
        <f t="shared" si="150"/>
        <v>大分市大字小野鶴１１５２－１</v>
      </c>
      <c r="L1195" s="403" t="s">
        <v>10223</v>
      </c>
      <c r="M1195" s="403" t="s">
        <v>10224</v>
      </c>
      <c r="N1195" s="403" t="s">
        <v>3626</v>
      </c>
      <c r="O1195" s="403" t="s">
        <v>7084</v>
      </c>
      <c r="P1195" s="403" t="s">
        <v>5317</v>
      </c>
      <c r="Q1195" s="403" t="s">
        <v>8283</v>
      </c>
      <c r="R1195" s="403" t="s">
        <v>19586</v>
      </c>
      <c r="S1195" s="403" t="s">
        <v>16161</v>
      </c>
      <c r="T1195" s="403" t="s">
        <v>16162</v>
      </c>
      <c r="U1195" s="403"/>
      <c r="V1195" s="403" t="s">
        <v>23024</v>
      </c>
      <c r="W1195" s="403" t="s">
        <v>23024</v>
      </c>
      <c r="X1195" s="403" t="s">
        <v>23024</v>
      </c>
      <c r="Y1195" s="403" t="s">
        <v>23024</v>
      </c>
    </row>
    <row r="1196" spans="1:25">
      <c r="A1196" s="363">
        <f t="shared" si="151"/>
        <v>1195</v>
      </c>
      <c r="B1196" s="363" t="str">
        <f t="shared" si="144"/>
        <v>44</v>
      </c>
      <c r="C1196" s="405" t="str">
        <f t="shared" si="145"/>
        <v>第010861号</v>
      </c>
      <c r="D1196" s="405" t="str">
        <f t="shared" si="146"/>
        <v>（有）佐藤グリーン</v>
      </c>
      <c r="E1196" s="405" t="str">
        <f t="shared" si="147"/>
        <v>代表取締役</v>
      </c>
      <c r="F1196" s="405" t="str">
        <f t="shared" si="148"/>
        <v>佐藤　司</v>
      </c>
      <c r="G1196" s="405" t="str">
        <f t="shared" si="149"/>
        <v>主たる営業所</v>
      </c>
      <c r="H1196" s="405" t="str">
        <f t="shared" si="150"/>
        <v>宇佐市安心院町筌ノ口１８１６</v>
      </c>
      <c r="L1196" s="403" t="s">
        <v>10225</v>
      </c>
      <c r="M1196" s="403" t="s">
        <v>10226</v>
      </c>
      <c r="N1196" s="403" t="s">
        <v>3627</v>
      </c>
      <c r="O1196" s="403" t="s">
        <v>7084</v>
      </c>
      <c r="P1196" s="403" t="s">
        <v>2589</v>
      </c>
      <c r="Q1196" s="403" t="s">
        <v>10227</v>
      </c>
      <c r="R1196" s="403" t="s">
        <v>5592</v>
      </c>
      <c r="S1196" s="403" t="s">
        <v>16163</v>
      </c>
      <c r="T1196" s="403" t="s">
        <v>16164</v>
      </c>
      <c r="U1196" s="403"/>
      <c r="V1196" s="403" t="s">
        <v>23024</v>
      </c>
      <c r="W1196" s="403" t="s">
        <v>23024</v>
      </c>
      <c r="X1196" s="403" t="s">
        <v>23024</v>
      </c>
      <c r="Y1196" s="403" t="s">
        <v>23024</v>
      </c>
    </row>
    <row r="1197" spans="1:25">
      <c r="A1197" s="363">
        <f t="shared" si="151"/>
        <v>1196</v>
      </c>
      <c r="B1197" s="363" t="str">
        <f t="shared" si="144"/>
        <v>44</v>
      </c>
      <c r="C1197" s="405" t="str">
        <f t="shared" si="145"/>
        <v>第010867号</v>
      </c>
      <c r="D1197" s="405" t="str">
        <f t="shared" si="146"/>
        <v>（株）大分日本無線サービス</v>
      </c>
      <c r="E1197" s="405" t="str">
        <f t="shared" si="147"/>
        <v>代表取締役</v>
      </c>
      <c r="F1197" s="405" t="str">
        <f t="shared" si="148"/>
        <v>村井　勝伯</v>
      </c>
      <c r="G1197" s="405" t="str">
        <f t="shared" si="149"/>
        <v>主たる営業所</v>
      </c>
      <c r="H1197" s="405" t="str">
        <f t="shared" si="150"/>
        <v>速見郡日出町大字豊岡４８３２－２</v>
      </c>
      <c r="L1197" s="403" t="s">
        <v>10228</v>
      </c>
      <c r="M1197" s="403" t="s">
        <v>10229</v>
      </c>
      <c r="N1197" s="403" t="s">
        <v>3628</v>
      </c>
      <c r="O1197" s="403" t="s">
        <v>7084</v>
      </c>
      <c r="P1197" s="403" t="s">
        <v>3629</v>
      </c>
      <c r="Q1197" s="403" t="s">
        <v>8401</v>
      </c>
      <c r="R1197" s="403" t="s">
        <v>19587</v>
      </c>
      <c r="S1197" s="403" t="s">
        <v>16165</v>
      </c>
      <c r="T1197" s="403" t="s">
        <v>16166</v>
      </c>
      <c r="U1197" s="403"/>
      <c r="V1197" s="403" t="s">
        <v>23024</v>
      </c>
      <c r="W1197" s="403" t="s">
        <v>23024</v>
      </c>
      <c r="X1197" s="403" t="s">
        <v>23024</v>
      </c>
      <c r="Y1197" s="403" t="s">
        <v>23024</v>
      </c>
    </row>
    <row r="1198" spans="1:25">
      <c r="A1198" s="363">
        <f t="shared" si="151"/>
        <v>1197</v>
      </c>
      <c r="B1198" s="363" t="str">
        <f t="shared" si="144"/>
        <v>44</v>
      </c>
      <c r="C1198" s="405" t="str">
        <f t="shared" si="145"/>
        <v>第010875号</v>
      </c>
      <c r="D1198" s="405" t="str">
        <f t="shared" si="146"/>
        <v>（有）野崎建築</v>
      </c>
      <c r="E1198" s="405" t="str">
        <f t="shared" si="147"/>
        <v>代表取締役</v>
      </c>
      <c r="F1198" s="405" t="str">
        <f t="shared" si="148"/>
        <v>松田　昌三</v>
      </c>
      <c r="G1198" s="405" t="str">
        <f t="shared" si="149"/>
        <v>主たる営業所</v>
      </c>
      <c r="H1198" s="405" t="str">
        <f t="shared" si="150"/>
        <v>津久見市大字上青江４０７６－２</v>
      </c>
      <c r="L1198" s="404" t="s">
        <v>10230</v>
      </c>
      <c r="M1198" s="404" t="s">
        <v>10231</v>
      </c>
      <c r="N1198" s="404" t="s">
        <v>5287</v>
      </c>
      <c r="O1198" s="404" t="s">
        <v>7084</v>
      </c>
      <c r="P1198" s="404" t="s">
        <v>3630</v>
      </c>
      <c r="Q1198" s="404" t="s">
        <v>7771</v>
      </c>
      <c r="R1198" s="404" t="s">
        <v>19588</v>
      </c>
      <c r="S1198" s="404" t="s">
        <v>16167</v>
      </c>
      <c r="T1198" s="404" t="s">
        <v>16167</v>
      </c>
      <c r="U1198" s="404"/>
      <c r="V1198" s="404" t="s">
        <v>23024</v>
      </c>
      <c r="W1198" s="404" t="s">
        <v>23024</v>
      </c>
      <c r="X1198" s="404" t="s">
        <v>23024</v>
      </c>
      <c r="Y1198" s="404" t="s">
        <v>23024</v>
      </c>
    </row>
    <row r="1199" spans="1:25">
      <c r="A1199" s="363">
        <f t="shared" si="151"/>
        <v>1198</v>
      </c>
      <c r="B1199" s="363" t="str">
        <f t="shared" si="144"/>
        <v>44</v>
      </c>
      <c r="C1199" s="405" t="str">
        <f t="shared" si="145"/>
        <v>第010877号</v>
      </c>
      <c r="D1199" s="405" t="str">
        <f t="shared" si="146"/>
        <v>三和エンジニアリング（株）</v>
      </c>
      <c r="E1199" s="405" t="str">
        <f t="shared" si="147"/>
        <v>代表取締役</v>
      </c>
      <c r="F1199" s="405" t="str">
        <f t="shared" si="148"/>
        <v>小出　勤</v>
      </c>
      <c r="G1199" s="405" t="str">
        <f t="shared" si="149"/>
        <v>主たる営業所</v>
      </c>
      <c r="H1199" s="405" t="str">
        <f t="shared" si="150"/>
        <v>大分市東浜１－１１－１０</v>
      </c>
      <c r="L1199" s="402" t="s">
        <v>10232</v>
      </c>
      <c r="M1199" s="402" t="s">
        <v>10233</v>
      </c>
      <c r="N1199" s="402" t="s">
        <v>3631</v>
      </c>
      <c r="O1199" s="402" t="s">
        <v>7084</v>
      </c>
      <c r="P1199" s="402" t="s">
        <v>3632</v>
      </c>
      <c r="Q1199" s="402" t="s">
        <v>7461</v>
      </c>
      <c r="R1199" s="402" t="s">
        <v>19589</v>
      </c>
      <c r="S1199" s="402" t="s">
        <v>16168</v>
      </c>
      <c r="T1199" s="402" t="s">
        <v>16169</v>
      </c>
      <c r="U1199" s="402"/>
      <c r="V1199" s="402" t="s">
        <v>23024</v>
      </c>
      <c r="W1199" s="402" t="s">
        <v>23024</v>
      </c>
      <c r="X1199" s="402" t="s">
        <v>23024</v>
      </c>
      <c r="Y1199" s="402" t="s">
        <v>23024</v>
      </c>
    </row>
    <row r="1200" spans="1:25">
      <c r="A1200" s="363">
        <f t="shared" si="151"/>
        <v>1199</v>
      </c>
      <c r="B1200" s="363" t="str">
        <f t="shared" si="144"/>
        <v>44</v>
      </c>
      <c r="C1200" s="405" t="str">
        <f t="shared" si="145"/>
        <v>第010893号</v>
      </c>
      <c r="D1200" s="405" t="str">
        <f t="shared" si="146"/>
        <v>（有）石洋産業</v>
      </c>
      <c r="E1200" s="405" t="str">
        <f t="shared" si="147"/>
        <v>代表取締役</v>
      </c>
      <c r="F1200" s="405" t="str">
        <f t="shared" si="148"/>
        <v>石田　晴輝</v>
      </c>
      <c r="G1200" s="405" t="str">
        <f t="shared" si="149"/>
        <v>主たる営業所</v>
      </c>
      <c r="H1200" s="405" t="str">
        <f t="shared" si="150"/>
        <v>佐伯市中の島３－５８９８－３８</v>
      </c>
      <c r="L1200" s="403" t="s">
        <v>10234</v>
      </c>
      <c r="M1200" s="403" t="s">
        <v>10235</v>
      </c>
      <c r="N1200" s="403" t="s">
        <v>3633</v>
      </c>
      <c r="O1200" s="403" t="s">
        <v>7084</v>
      </c>
      <c r="P1200" s="403" t="s">
        <v>3634</v>
      </c>
      <c r="Q1200" s="403" t="s">
        <v>7874</v>
      </c>
      <c r="R1200" s="403" t="s">
        <v>19590</v>
      </c>
      <c r="S1200" s="403" t="s">
        <v>16170</v>
      </c>
      <c r="T1200" s="403" t="s">
        <v>16171</v>
      </c>
      <c r="U1200" s="403"/>
      <c r="V1200" s="403" t="s">
        <v>23024</v>
      </c>
      <c r="W1200" s="403" t="s">
        <v>23024</v>
      </c>
      <c r="X1200" s="403" t="s">
        <v>23024</v>
      </c>
      <c r="Y1200" s="403" t="s">
        <v>23024</v>
      </c>
    </row>
    <row r="1201" spans="1:25">
      <c r="A1201" s="363">
        <f t="shared" si="151"/>
        <v>1200</v>
      </c>
      <c r="B1201" s="363" t="str">
        <f t="shared" si="144"/>
        <v>44</v>
      </c>
      <c r="C1201" s="405" t="str">
        <f t="shared" si="145"/>
        <v>第010896号</v>
      </c>
      <c r="D1201" s="405" t="str">
        <f t="shared" si="146"/>
        <v>（株）サンプラス</v>
      </c>
      <c r="E1201" s="405" t="str">
        <f t="shared" si="147"/>
        <v>代表取締役</v>
      </c>
      <c r="F1201" s="405" t="str">
        <f t="shared" si="148"/>
        <v>古家　透</v>
      </c>
      <c r="G1201" s="405" t="str">
        <f t="shared" si="149"/>
        <v>主たる営業所</v>
      </c>
      <c r="H1201" s="405" t="str">
        <f t="shared" si="150"/>
        <v>別府市南立石本町２２－５</v>
      </c>
      <c r="L1201" s="403" t="s">
        <v>10236</v>
      </c>
      <c r="M1201" s="403" t="s">
        <v>10237</v>
      </c>
      <c r="N1201" s="403" t="s">
        <v>3635</v>
      </c>
      <c r="O1201" s="403" t="s">
        <v>7084</v>
      </c>
      <c r="P1201" s="403" t="s">
        <v>3636</v>
      </c>
      <c r="Q1201" s="403" t="s">
        <v>19591</v>
      </c>
      <c r="R1201" s="403" t="s">
        <v>19592</v>
      </c>
      <c r="S1201" s="403" t="s">
        <v>16172</v>
      </c>
      <c r="T1201" s="403" t="s">
        <v>16173</v>
      </c>
      <c r="U1201" s="403"/>
      <c r="V1201" s="403" t="s">
        <v>23024</v>
      </c>
      <c r="W1201" s="403" t="s">
        <v>23024</v>
      </c>
      <c r="X1201" s="403" t="s">
        <v>23024</v>
      </c>
      <c r="Y1201" s="403" t="s">
        <v>23024</v>
      </c>
    </row>
    <row r="1202" spans="1:25">
      <c r="A1202" s="363">
        <f t="shared" si="151"/>
        <v>1201</v>
      </c>
      <c r="B1202" s="363" t="str">
        <f t="shared" si="144"/>
        <v>44</v>
      </c>
      <c r="C1202" s="405" t="str">
        <f t="shared" si="145"/>
        <v>第010905号</v>
      </c>
      <c r="D1202" s="405" t="str">
        <f t="shared" si="146"/>
        <v>（有）富松建設</v>
      </c>
      <c r="E1202" s="405" t="str">
        <f t="shared" si="147"/>
        <v>代表取締役</v>
      </c>
      <c r="F1202" s="405" t="str">
        <f t="shared" si="148"/>
        <v>富松　誠</v>
      </c>
      <c r="G1202" s="405" t="str">
        <f t="shared" si="149"/>
        <v>主たる営業所</v>
      </c>
      <c r="H1202" s="405" t="str">
        <f t="shared" si="150"/>
        <v>佐伯市東町２－１</v>
      </c>
      <c r="L1202" s="403" t="s">
        <v>10238</v>
      </c>
      <c r="M1202" s="403" t="s">
        <v>10239</v>
      </c>
      <c r="N1202" s="403" t="s">
        <v>3637</v>
      </c>
      <c r="O1202" s="403" t="s">
        <v>7084</v>
      </c>
      <c r="P1202" s="403" t="s">
        <v>3638</v>
      </c>
      <c r="Q1202" s="403" t="s">
        <v>7830</v>
      </c>
      <c r="R1202" s="403" t="s">
        <v>19593</v>
      </c>
      <c r="S1202" s="403" t="s">
        <v>16174</v>
      </c>
      <c r="T1202" s="403" t="s">
        <v>16174</v>
      </c>
      <c r="U1202" s="403"/>
      <c r="V1202" s="403" t="s">
        <v>23024</v>
      </c>
      <c r="W1202" s="403" t="s">
        <v>23024</v>
      </c>
      <c r="X1202" s="403" t="s">
        <v>23024</v>
      </c>
      <c r="Y1202" s="403" t="s">
        <v>23024</v>
      </c>
    </row>
    <row r="1203" spans="1:25">
      <c r="A1203" s="363">
        <f t="shared" si="151"/>
        <v>1202</v>
      </c>
      <c r="B1203" s="363" t="str">
        <f t="shared" si="144"/>
        <v>44</v>
      </c>
      <c r="C1203" s="405" t="str">
        <f t="shared" si="145"/>
        <v>第010910号</v>
      </c>
      <c r="D1203" s="405" t="str">
        <f t="shared" si="146"/>
        <v>（有）加藤土木</v>
      </c>
      <c r="E1203" s="405" t="str">
        <f t="shared" si="147"/>
        <v>代表取締役</v>
      </c>
      <c r="F1203" s="405" t="str">
        <f t="shared" si="148"/>
        <v>加藤　聖人</v>
      </c>
      <c r="G1203" s="405" t="str">
        <f t="shared" si="149"/>
        <v>主たる営業所</v>
      </c>
      <c r="H1203" s="405" t="str">
        <f t="shared" si="150"/>
        <v>玖珠郡玖珠町大字戸畑２３１６－２</v>
      </c>
      <c r="L1203" s="403" t="s">
        <v>10240</v>
      </c>
      <c r="M1203" s="403" t="s">
        <v>10241</v>
      </c>
      <c r="N1203" s="403" t="s">
        <v>3639</v>
      </c>
      <c r="O1203" s="403" t="s">
        <v>7084</v>
      </c>
      <c r="P1203" s="403" t="s">
        <v>3640</v>
      </c>
      <c r="Q1203" s="403" t="s">
        <v>7999</v>
      </c>
      <c r="R1203" s="403" t="s">
        <v>19594</v>
      </c>
      <c r="S1203" s="403" t="s">
        <v>16175</v>
      </c>
      <c r="T1203" s="403" t="s">
        <v>16175</v>
      </c>
      <c r="U1203" s="403"/>
      <c r="V1203" s="403" t="s">
        <v>23024</v>
      </c>
      <c r="W1203" s="403" t="s">
        <v>23024</v>
      </c>
      <c r="X1203" s="403" t="s">
        <v>23024</v>
      </c>
      <c r="Y1203" s="403" t="s">
        <v>23024</v>
      </c>
    </row>
    <row r="1204" spans="1:25">
      <c r="A1204" s="363">
        <f t="shared" si="151"/>
        <v>1203</v>
      </c>
      <c r="B1204" s="363" t="str">
        <f t="shared" si="144"/>
        <v>44</v>
      </c>
      <c r="C1204" s="405" t="str">
        <f t="shared" si="145"/>
        <v>第010911号</v>
      </c>
      <c r="D1204" s="405" t="str">
        <f t="shared" si="146"/>
        <v>（有）山本はつり工業</v>
      </c>
      <c r="E1204" s="405" t="str">
        <f t="shared" si="147"/>
        <v>代表取締役</v>
      </c>
      <c r="F1204" s="405" t="str">
        <f t="shared" si="148"/>
        <v>山本　武文</v>
      </c>
      <c r="G1204" s="405" t="str">
        <f t="shared" si="149"/>
        <v>主たる営業所</v>
      </c>
      <c r="H1204" s="405" t="str">
        <f t="shared" si="150"/>
        <v>別府市上人本町２－２８</v>
      </c>
      <c r="L1204" s="403" t="s">
        <v>10242</v>
      </c>
      <c r="M1204" s="403" t="s">
        <v>10243</v>
      </c>
      <c r="N1204" s="403" t="s">
        <v>3641</v>
      </c>
      <c r="O1204" s="403" t="s">
        <v>7084</v>
      </c>
      <c r="P1204" s="403" t="s">
        <v>3642</v>
      </c>
      <c r="Q1204" s="403" t="s">
        <v>10244</v>
      </c>
      <c r="R1204" s="403" t="s">
        <v>19595</v>
      </c>
      <c r="S1204" s="403" t="s">
        <v>16176</v>
      </c>
      <c r="T1204" s="403" t="s">
        <v>16177</v>
      </c>
      <c r="U1204" s="403"/>
      <c r="V1204" s="403" t="s">
        <v>23024</v>
      </c>
      <c r="W1204" s="403" t="s">
        <v>23024</v>
      </c>
      <c r="X1204" s="403" t="s">
        <v>23024</v>
      </c>
      <c r="Y1204" s="403" t="s">
        <v>23024</v>
      </c>
    </row>
    <row r="1205" spans="1:25">
      <c r="A1205" s="363">
        <f t="shared" si="151"/>
        <v>1204</v>
      </c>
      <c r="B1205" s="363" t="str">
        <f t="shared" si="144"/>
        <v>44</v>
      </c>
      <c r="C1205" s="405" t="str">
        <f t="shared" si="145"/>
        <v>第010921号</v>
      </c>
      <c r="D1205" s="405" t="str">
        <f t="shared" si="146"/>
        <v>渡辺産業（有）</v>
      </c>
      <c r="E1205" s="405" t="str">
        <f t="shared" si="147"/>
        <v>代表取締役</v>
      </c>
      <c r="F1205" s="405" t="str">
        <f t="shared" si="148"/>
        <v>渡邉　博一</v>
      </c>
      <c r="G1205" s="405" t="str">
        <f t="shared" si="149"/>
        <v>主たる営業所</v>
      </c>
      <c r="H1205" s="405" t="str">
        <f t="shared" si="150"/>
        <v>大分市大字佐野４０８１</v>
      </c>
      <c r="L1205" s="403" t="s">
        <v>10245</v>
      </c>
      <c r="M1205" s="403" t="s">
        <v>10246</v>
      </c>
      <c r="N1205" s="403" t="s">
        <v>3643</v>
      </c>
      <c r="O1205" s="403" t="s">
        <v>7084</v>
      </c>
      <c r="P1205" s="403" t="s">
        <v>3644</v>
      </c>
      <c r="Q1205" s="403" t="s">
        <v>10247</v>
      </c>
      <c r="R1205" s="403" t="s">
        <v>5593</v>
      </c>
      <c r="S1205" s="403" t="s">
        <v>16178</v>
      </c>
      <c r="T1205" s="403" t="s">
        <v>16179</v>
      </c>
      <c r="U1205" s="403"/>
      <c r="V1205" s="403" t="s">
        <v>23024</v>
      </c>
      <c r="W1205" s="403" t="s">
        <v>23024</v>
      </c>
      <c r="X1205" s="403" t="s">
        <v>23024</v>
      </c>
      <c r="Y1205" s="403" t="s">
        <v>23024</v>
      </c>
    </row>
    <row r="1206" spans="1:25">
      <c r="A1206" s="363">
        <f t="shared" si="151"/>
        <v>1205</v>
      </c>
      <c r="B1206" s="363" t="str">
        <f t="shared" si="144"/>
        <v>44</v>
      </c>
      <c r="C1206" s="405" t="str">
        <f t="shared" si="145"/>
        <v>第010925号</v>
      </c>
      <c r="D1206" s="405" t="str">
        <f t="shared" si="146"/>
        <v>山下緑化</v>
      </c>
      <c r="E1206" s="405" t="str">
        <f t="shared" si="147"/>
        <v>代表</v>
      </c>
      <c r="F1206" s="405" t="str">
        <f t="shared" si="148"/>
        <v>山下　徳尋</v>
      </c>
      <c r="G1206" s="405" t="str">
        <f t="shared" si="149"/>
        <v>主たる営業所</v>
      </c>
      <c r="H1206" s="405" t="str">
        <f t="shared" si="150"/>
        <v>大分市大字下郡９９６</v>
      </c>
      <c r="L1206" s="403" t="s">
        <v>10248</v>
      </c>
      <c r="M1206" s="403" t="s">
        <v>10249</v>
      </c>
      <c r="N1206" s="403" t="s">
        <v>3645</v>
      </c>
      <c r="O1206" s="403" t="s">
        <v>7091</v>
      </c>
      <c r="P1206" s="403" t="s">
        <v>3646</v>
      </c>
      <c r="Q1206" s="403" t="s">
        <v>7419</v>
      </c>
      <c r="R1206" s="403" t="s">
        <v>5594</v>
      </c>
      <c r="S1206" s="403" t="s">
        <v>16180</v>
      </c>
      <c r="T1206" s="403" t="s">
        <v>16180</v>
      </c>
      <c r="U1206" s="403"/>
      <c r="V1206" s="403" t="s">
        <v>23024</v>
      </c>
      <c r="W1206" s="403" t="s">
        <v>23024</v>
      </c>
      <c r="X1206" s="403" t="s">
        <v>23024</v>
      </c>
      <c r="Y1206" s="403" t="s">
        <v>23024</v>
      </c>
    </row>
    <row r="1207" spans="1:25">
      <c r="A1207" s="363">
        <f t="shared" si="151"/>
        <v>1206</v>
      </c>
      <c r="B1207" s="363" t="str">
        <f t="shared" si="144"/>
        <v>44</v>
      </c>
      <c r="C1207" s="405" t="str">
        <f t="shared" si="145"/>
        <v>第010928号</v>
      </c>
      <c r="D1207" s="405" t="str">
        <f t="shared" si="146"/>
        <v>（有）ファイバーテクノス</v>
      </c>
      <c r="E1207" s="405" t="str">
        <f t="shared" si="147"/>
        <v>代表取締役</v>
      </c>
      <c r="F1207" s="405" t="str">
        <f t="shared" si="148"/>
        <v>諫山　建次</v>
      </c>
      <c r="G1207" s="405" t="str">
        <f t="shared" si="149"/>
        <v>主たる営業所</v>
      </c>
      <c r="H1207" s="405" t="str">
        <f t="shared" si="150"/>
        <v>日田市大字三和６４９－３</v>
      </c>
      <c r="L1207" s="403" t="s">
        <v>10250</v>
      </c>
      <c r="M1207" s="403" t="s">
        <v>10251</v>
      </c>
      <c r="N1207" s="403" t="s">
        <v>3647</v>
      </c>
      <c r="O1207" s="403" t="s">
        <v>7084</v>
      </c>
      <c r="P1207" s="403" t="s">
        <v>5318</v>
      </c>
      <c r="Q1207" s="403" t="s">
        <v>10252</v>
      </c>
      <c r="R1207" s="403" t="s">
        <v>19596</v>
      </c>
      <c r="S1207" s="403" t="s">
        <v>16181</v>
      </c>
      <c r="T1207" s="403" t="s">
        <v>16182</v>
      </c>
      <c r="U1207" s="403"/>
      <c r="V1207" s="403" t="s">
        <v>23024</v>
      </c>
      <c r="W1207" s="403" t="s">
        <v>23024</v>
      </c>
      <c r="X1207" s="403" t="s">
        <v>23024</v>
      </c>
      <c r="Y1207" s="403" t="s">
        <v>23024</v>
      </c>
    </row>
    <row r="1208" spans="1:25">
      <c r="A1208" s="363">
        <f t="shared" si="151"/>
        <v>1207</v>
      </c>
      <c r="B1208" s="363" t="str">
        <f t="shared" si="144"/>
        <v>44</v>
      </c>
      <c r="C1208" s="405" t="str">
        <f t="shared" si="145"/>
        <v>第010937号</v>
      </c>
      <c r="D1208" s="405" t="str">
        <f t="shared" si="146"/>
        <v>（株）ダイトー</v>
      </c>
      <c r="E1208" s="405" t="str">
        <f t="shared" si="147"/>
        <v>代表取締役</v>
      </c>
      <c r="F1208" s="405" t="str">
        <f t="shared" si="148"/>
        <v>赤嶺　茂治</v>
      </c>
      <c r="G1208" s="405" t="str">
        <f t="shared" si="149"/>
        <v>主たる営業所</v>
      </c>
      <c r="H1208" s="405" t="str">
        <f t="shared" si="150"/>
        <v>豊後大野市三重町市場４０５</v>
      </c>
      <c r="L1208" s="403" t="s">
        <v>10253</v>
      </c>
      <c r="M1208" s="403" t="s">
        <v>10254</v>
      </c>
      <c r="N1208" s="403" t="s">
        <v>3648</v>
      </c>
      <c r="O1208" s="403" t="s">
        <v>7084</v>
      </c>
      <c r="P1208" s="403" t="s">
        <v>3649</v>
      </c>
      <c r="Q1208" s="403" t="s">
        <v>10255</v>
      </c>
      <c r="R1208" s="403" t="s">
        <v>5595</v>
      </c>
      <c r="S1208" s="403" t="s">
        <v>16183</v>
      </c>
      <c r="T1208" s="403" t="s">
        <v>16184</v>
      </c>
      <c r="U1208" s="403"/>
      <c r="V1208" s="403" t="s">
        <v>23024</v>
      </c>
      <c r="W1208" s="403" t="s">
        <v>23024</v>
      </c>
      <c r="X1208" s="403" t="s">
        <v>23024</v>
      </c>
      <c r="Y1208" s="403" t="s">
        <v>23024</v>
      </c>
    </row>
    <row r="1209" spans="1:25">
      <c r="A1209" s="363">
        <f t="shared" si="151"/>
        <v>1208</v>
      </c>
      <c r="B1209" s="363" t="str">
        <f t="shared" si="144"/>
        <v>44</v>
      </c>
      <c r="C1209" s="405" t="str">
        <f t="shared" si="145"/>
        <v>第010960号</v>
      </c>
      <c r="D1209" s="405" t="str">
        <f t="shared" si="146"/>
        <v>（有）佐藤鉄工</v>
      </c>
      <c r="E1209" s="405" t="str">
        <f t="shared" si="147"/>
        <v>代表取締役</v>
      </c>
      <c r="F1209" s="405" t="str">
        <f t="shared" si="148"/>
        <v>佐藤　雄一</v>
      </c>
      <c r="G1209" s="405" t="str">
        <f t="shared" si="149"/>
        <v>主たる営業所</v>
      </c>
      <c r="H1209" s="405" t="str">
        <f t="shared" si="150"/>
        <v>由布市挾間町筒口１８５４－２</v>
      </c>
      <c r="L1209" s="403" t="s">
        <v>10256</v>
      </c>
      <c r="M1209" s="403" t="s">
        <v>10257</v>
      </c>
      <c r="N1209" s="403" t="s">
        <v>3651</v>
      </c>
      <c r="O1209" s="403" t="s">
        <v>7084</v>
      </c>
      <c r="P1209" s="403" t="s">
        <v>2371</v>
      </c>
      <c r="Q1209" s="403" t="s">
        <v>10258</v>
      </c>
      <c r="R1209" s="403" t="s">
        <v>19597</v>
      </c>
      <c r="S1209" s="403" t="s">
        <v>16185</v>
      </c>
      <c r="T1209" s="403" t="s">
        <v>16186</v>
      </c>
      <c r="U1209" s="403"/>
      <c r="V1209" s="403" t="s">
        <v>23024</v>
      </c>
      <c r="W1209" s="403" t="s">
        <v>23024</v>
      </c>
      <c r="X1209" s="403" t="s">
        <v>23024</v>
      </c>
      <c r="Y1209" s="403" t="s">
        <v>23024</v>
      </c>
    </row>
    <row r="1210" spans="1:25">
      <c r="A1210" s="363">
        <f t="shared" si="151"/>
        <v>1209</v>
      </c>
      <c r="B1210" s="363" t="str">
        <f t="shared" si="144"/>
        <v>44</v>
      </c>
      <c r="C1210" s="405" t="str">
        <f t="shared" si="145"/>
        <v>第010967号</v>
      </c>
      <c r="D1210" s="405" t="str">
        <f t="shared" si="146"/>
        <v>（株）日本工事広告</v>
      </c>
      <c r="E1210" s="405" t="str">
        <f t="shared" si="147"/>
        <v>代表取締役</v>
      </c>
      <c r="F1210" s="405" t="str">
        <f t="shared" si="148"/>
        <v>有田　修二</v>
      </c>
      <c r="G1210" s="405" t="str">
        <f t="shared" si="149"/>
        <v>主たる営業所</v>
      </c>
      <c r="H1210" s="405" t="str">
        <f t="shared" si="150"/>
        <v>大分市横田１－１０－５</v>
      </c>
      <c r="L1210" s="403" t="s">
        <v>10259</v>
      </c>
      <c r="M1210" s="403" t="s">
        <v>10260</v>
      </c>
      <c r="N1210" s="403" t="s">
        <v>3652</v>
      </c>
      <c r="O1210" s="403" t="s">
        <v>7084</v>
      </c>
      <c r="P1210" s="403" t="s">
        <v>3653</v>
      </c>
      <c r="Q1210" s="403" t="s">
        <v>7374</v>
      </c>
      <c r="R1210" s="403" t="s">
        <v>19598</v>
      </c>
      <c r="S1210" s="403" t="s">
        <v>16187</v>
      </c>
      <c r="T1210" s="403" t="s">
        <v>16188</v>
      </c>
      <c r="U1210" s="403"/>
      <c r="V1210" s="403" t="s">
        <v>23024</v>
      </c>
      <c r="W1210" s="403" t="s">
        <v>23024</v>
      </c>
      <c r="X1210" s="403" t="s">
        <v>23024</v>
      </c>
      <c r="Y1210" s="403" t="s">
        <v>23024</v>
      </c>
    </row>
    <row r="1211" spans="1:25">
      <c r="A1211" s="363">
        <f t="shared" si="151"/>
        <v>1210</v>
      </c>
      <c r="B1211" s="363" t="str">
        <f t="shared" si="144"/>
        <v>44</v>
      </c>
      <c r="C1211" s="405" t="str">
        <f t="shared" si="145"/>
        <v>第010968号</v>
      </c>
      <c r="D1211" s="405" t="str">
        <f t="shared" si="146"/>
        <v>（有）守口電設</v>
      </c>
      <c r="E1211" s="405" t="str">
        <f t="shared" si="147"/>
        <v>代表取締役</v>
      </c>
      <c r="F1211" s="405" t="str">
        <f t="shared" si="148"/>
        <v>守口　浩一</v>
      </c>
      <c r="G1211" s="405" t="str">
        <f t="shared" si="149"/>
        <v>主たる営業所</v>
      </c>
      <c r="H1211" s="405" t="str">
        <f t="shared" si="150"/>
        <v>中津市耶馬溪町大字柿５２５－７</v>
      </c>
      <c r="L1211" s="403" t="s">
        <v>10261</v>
      </c>
      <c r="M1211" s="403" t="s">
        <v>10262</v>
      </c>
      <c r="N1211" s="403" t="s">
        <v>3654</v>
      </c>
      <c r="O1211" s="403" t="s">
        <v>7084</v>
      </c>
      <c r="P1211" s="403" t="s">
        <v>3655</v>
      </c>
      <c r="Q1211" s="403" t="s">
        <v>8081</v>
      </c>
      <c r="R1211" s="403" t="s">
        <v>19599</v>
      </c>
      <c r="S1211" s="403" t="s">
        <v>16189</v>
      </c>
      <c r="T1211" s="403" t="s">
        <v>16190</v>
      </c>
      <c r="U1211" s="403"/>
      <c r="V1211" s="403" t="s">
        <v>23024</v>
      </c>
      <c r="W1211" s="403" t="s">
        <v>23024</v>
      </c>
      <c r="X1211" s="403" t="s">
        <v>23024</v>
      </c>
      <c r="Y1211" s="403" t="s">
        <v>23024</v>
      </c>
    </row>
    <row r="1212" spans="1:25">
      <c r="A1212" s="363">
        <f t="shared" si="151"/>
        <v>1211</v>
      </c>
      <c r="B1212" s="363" t="str">
        <f t="shared" si="144"/>
        <v>44</v>
      </c>
      <c r="C1212" s="405" t="str">
        <f t="shared" si="145"/>
        <v>第010976号</v>
      </c>
      <c r="D1212" s="405" t="str">
        <f t="shared" si="146"/>
        <v>（株）若山電設</v>
      </c>
      <c r="E1212" s="405" t="str">
        <f t="shared" si="147"/>
        <v>代表取締役</v>
      </c>
      <c r="F1212" s="405" t="str">
        <f t="shared" si="148"/>
        <v>若山　典義</v>
      </c>
      <c r="G1212" s="405" t="str">
        <f t="shared" si="149"/>
        <v>主たる営業所</v>
      </c>
      <c r="H1212" s="405" t="str">
        <f t="shared" si="150"/>
        <v>中津市大字永添８２０－１１０</v>
      </c>
      <c r="L1212" s="403" t="s">
        <v>10263</v>
      </c>
      <c r="M1212" s="403" t="s">
        <v>10264</v>
      </c>
      <c r="N1212" s="403" t="s">
        <v>19600</v>
      </c>
      <c r="O1212" s="403" t="s">
        <v>7084</v>
      </c>
      <c r="P1212" s="403" t="s">
        <v>3656</v>
      </c>
      <c r="Q1212" s="403" t="s">
        <v>8111</v>
      </c>
      <c r="R1212" s="403" t="s">
        <v>19601</v>
      </c>
      <c r="S1212" s="403" t="s">
        <v>16191</v>
      </c>
      <c r="T1212" s="403" t="s">
        <v>16192</v>
      </c>
      <c r="U1212" s="403"/>
      <c r="V1212" s="403" t="s">
        <v>23024</v>
      </c>
      <c r="W1212" s="403" t="s">
        <v>23024</v>
      </c>
      <c r="X1212" s="403" t="s">
        <v>23024</v>
      </c>
      <c r="Y1212" s="403" t="s">
        <v>23024</v>
      </c>
    </row>
    <row r="1213" spans="1:25">
      <c r="A1213" s="363">
        <f t="shared" si="151"/>
        <v>1212</v>
      </c>
      <c r="B1213" s="363" t="str">
        <f t="shared" si="144"/>
        <v>44</v>
      </c>
      <c r="C1213" s="405" t="str">
        <f t="shared" si="145"/>
        <v>第010979号</v>
      </c>
      <c r="D1213" s="405" t="str">
        <f t="shared" si="146"/>
        <v>（有）足立機工</v>
      </c>
      <c r="E1213" s="405" t="str">
        <f t="shared" si="147"/>
        <v>代表取締役</v>
      </c>
      <c r="F1213" s="405" t="str">
        <f t="shared" si="148"/>
        <v>足立　雅直</v>
      </c>
      <c r="G1213" s="405" t="str">
        <f t="shared" si="149"/>
        <v>主たる営業所</v>
      </c>
      <c r="H1213" s="405" t="str">
        <f t="shared" si="150"/>
        <v>大分市泉町１１－１５</v>
      </c>
      <c r="L1213" s="403" t="s">
        <v>10265</v>
      </c>
      <c r="M1213" s="403" t="s">
        <v>10266</v>
      </c>
      <c r="N1213" s="403" t="s">
        <v>2632</v>
      </c>
      <c r="O1213" s="403" t="s">
        <v>7084</v>
      </c>
      <c r="P1213" s="403" t="s">
        <v>3657</v>
      </c>
      <c r="Q1213" s="403" t="s">
        <v>10267</v>
      </c>
      <c r="R1213" s="403" t="s">
        <v>19602</v>
      </c>
      <c r="S1213" s="403" t="s">
        <v>16193</v>
      </c>
      <c r="T1213" s="403" t="s">
        <v>16194</v>
      </c>
      <c r="U1213" s="403"/>
      <c r="V1213" s="403" t="s">
        <v>23024</v>
      </c>
      <c r="W1213" s="403" t="s">
        <v>23024</v>
      </c>
      <c r="X1213" s="403" t="s">
        <v>23024</v>
      </c>
      <c r="Y1213" s="403" t="s">
        <v>23024</v>
      </c>
    </row>
    <row r="1214" spans="1:25">
      <c r="A1214" s="363">
        <f t="shared" si="151"/>
        <v>1213</v>
      </c>
      <c r="B1214" s="363" t="str">
        <f t="shared" si="144"/>
        <v>44</v>
      </c>
      <c r="C1214" s="405" t="str">
        <f t="shared" si="145"/>
        <v>第010984号</v>
      </c>
      <c r="D1214" s="405" t="str">
        <f t="shared" si="146"/>
        <v>（有）三協設備</v>
      </c>
      <c r="E1214" s="405" t="str">
        <f t="shared" si="147"/>
        <v>代表取締役</v>
      </c>
      <c r="F1214" s="405" t="str">
        <f t="shared" si="148"/>
        <v>中尾　一貴</v>
      </c>
      <c r="G1214" s="405" t="str">
        <f t="shared" si="149"/>
        <v>主たる営業所</v>
      </c>
      <c r="H1214" s="405" t="str">
        <f t="shared" si="150"/>
        <v>速見郡日出町大字藤原８４１－７</v>
      </c>
      <c r="L1214" s="403" t="s">
        <v>10268</v>
      </c>
      <c r="M1214" s="403" t="s">
        <v>10269</v>
      </c>
      <c r="N1214" s="403" t="s">
        <v>3658</v>
      </c>
      <c r="O1214" s="403" t="s">
        <v>7084</v>
      </c>
      <c r="P1214" s="403" t="s">
        <v>3659</v>
      </c>
      <c r="Q1214" s="403" t="s">
        <v>7619</v>
      </c>
      <c r="R1214" s="403" t="s">
        <v>19603</v>
      </c>
      <c r="S1214" s="403" t="s">
        <v>16195</v>
      </c>
      <c r="T1214" s="403" t="s">
        <v>16196</v>
      </c>
      <c r="U1214" s="403"/>
      <c r="V1214" s="403" t="s">
        <v>23024</v>
      </c>
      <c r="W1214" s="403" t="s">
        <v>23024</v>
      </c>
      <c r="X1214" s="403" t="s">
        <v>23024</v>
      </c>
      <c r="Y1214" s="403" t="s">
        <v>23024</v>
      </c>
    </row>
    <row r="1215" spans="1:25">
      <c r="A1215" s="363">
        <f t="shared" si="151"/>
        <v>1214</v>
      </c>
      <c r="B1215" s="363" t="str">
        <f t="shared" si="144"/>
        <v>44</v>
      </c>
      <c r="C1215" s="405" t="str">
        <f t="shared" si="145"/>
        <v>第010988号</v>
      </c>
      <c r="D1215" s="405" t="str">
        <f t="shared" si="146"/>
        <v>（有）晴屋建築工房一級建築士事務所</v>
      </c>
      <c r="E1215" s="405" t="str">
        <f t="shared" si="147"/>
        <v>代表取締役</v>
      </c>
      <c r="F1215" s="405" t="str">
        <f t="shared" si="148"/>
        <v>秦　弘俊</v>
      </c>
      <c r="G1215" s="405" t="str">
        <f t="shared" si="149"/>
        <v>主たる営業所</v>
      </c>
      <c r="H1215" s="405" t="str">
        <f t="shared" si="150"/>
        <v>大分市新川町１－７－１８</v>
      </c>
      <c r="L1215" s="403" t="s">
        <v>10270</v>
      </c>
      <c r="M1215" s="403" t="s">
        <v>10271</v>
      </c>
      <c r="N1215" s="403" t="s">
        <v>3660</v>
      </c>
      <c r="O1215" s="403" t="s">
        <v>7084</v>
      </c>
      <c r="P1215" s="403" t="s">
        <v>3661</v>
      </c>
      <c r="Q1215" s="403" t="s">
        <v>7431</v>
      </c>
      <c r="R1215" s="403" t="s">
        <v>19604</v>
      </c>
      <c r="S1215" s="403" t="s">
        <v>16197</v>
      </c>
      <c r="T1215" s="403" t="s">
        <v>16198</v>
      </c>
      <c r="U1215" s="403"/>
      <c r="V1215" s="403" t="s">
        <v>23024</v>
      </c>
      <c r="W1215" s="403" t="s">
        <v>23024</v>
      </c>
      <c r="X1215" s="403" t="s">
        <v>23024</v>
      </c>
      <c r="Y1215" s="403" t="s">
        <v>23024</v>
      </c>
    </row>
    <row r="1216" spans="1:25">
      <c r="A1216" s="363">
        <f t="shared" si="151"/>
        <v>1215</v>
      </c>
      <c r="B1216" s="363" t="str">
        <f t="shared" si="144"/>
        <v>44</v>
      </c>
      <c r="C1216" s="405" t="str">
        <f t="shared" si="145"/>
        <v>第010992号</v>
      </c>
      <c r="D1216" s="405" t="str">
        <f t="shared" si="146"/>
        <v>（有）筒井造園土木</v>
      </c>
      <c r="E1216" s="405" t="str">
        <f t="shared" si="147"/>
        <v>取締役</v>
      </c>
      <c r="F1216" s="405" t="str">
        <f t="shared" si="148"/>
        <v>筒井　邦生</v>
      </c>
      <c r="G1216" s="405" t="str">
        <f t="shared" si="149"/>
        <v>主たる営業所</v>
      </c>
      <c r="H1216" s="405" t="str">
        <f t="shared" si="150"/>
        <v>大分市久原中央２－８－２８</v>
      </c>
      <c r="L1216" s="403" t="s">
        <v>10272</v>
      </c>
      <c r="M1216" s="403" t="s">
        <v>10273</v>
      </c>
      <c r="N1216" s="403" t="s">
        <v>3662</v>
      </c>
      <c r="O1216" s="403" t="s">
        <v>7085</v>
      </c>
      <c r="P1216" s="403" t="s">
        <v>3663</v>
      </c>
      <c r="Q1216" s="403" t="s">
        <v>10274</v>
      </c>
      <c r="R1216" s="403" t="s">
        <v>19605</v>
      </c>
      <c r="S1216" s="403" t="s">
        <v>16199</v>
      </c>
      <c r="T1216" s="403" t="s">
        <v>16200</v>
      </c>
      <c r="U1216" s="403"/>
      <c r="V1216" s="403" t="s">
        <v>23024</v>
      </c>
      <c r="W1216" s="403" t="s">
        <v>23024</v>
      </c>
      <c r="X1216" s="403" t="s">
        <v>23024</v>
      </c>
      <c r="Y1216" s="403" t="s">
        <v>23024</v>
      </c>
    </row>
    <row r="1217" spans="1:25">
      <c r="A1217" s="363">
        <f t="shared" si="151"/>
        <v>1216</v>
      </c>
      <c r="B1217" s="363" t="str">
        <f t="shared" si="144"/>
        <v>44</v>
      </c>
      <c r="C1217" s="405" t="str">
        <f t="shared" si="145"/>
        <v>第010999号</v>
      </c>
      <c r="D1217" s="405" t="str">
        <f t="shared" si="146"/>
        <v>（有）輝工業</v>
      </c>
      <c r="E1217" s="405" t="str">
        <f t="shared" si="147"/>
        <v>代表取締役</v>
      </c>
      <c r="F1217" s="405" t="str">
        <f t="shared" si="148"/>
        <v>小野　輝人</v>
      </c>
      <c r="G1217" s="405" t="str">
        <f t="shared" si="149"/>
        <v>主たる営業所</v>
      </c>
      <c r="H1217" s="405" t="str">
        <f t="shared" si="150"/>
        <v>杵築市山香町大字野原３６３７</v>
      </c>
      <c r="L1217" s="403" t="s">
        <v>10275</v>
      </c>
      <c r="M1217" s="403" t="s">
        <v>10276</v>
      </c>
      <c r="N1217" s="403" t="s">
        <v>3664</v>
      </c>
      <c r="O1217" s="403" t="s">
        <v>7084</v>
      </c>
      <c r="P1217" s="403" t="s">
        <v>3665</v>
      </c>
      <c r="Q1217" s="403" t="s">
        <v>8398</v>
      </c>
      <c r="R1217" s="403" t="s">
        <v>5596</v>
      </c>
      <c r="S1217" s="403" t="s">
        <v>16201</v>
      </c>
      <c r="T1217" s="403" t="s">
        <v>16201</v>
      </c>
      <c r="U1217" s="403"/>
      <c r="V1217" s="403" t="s">
        <v>23024</v>
      </c>
      <c r="W1217" s="403" t="s">
        <v>23024</v>
      </c>
      <c r="X1217" s="403" t="s">
        <v>23024</v>
      </c>
      <c r="Y1217" s="403" t="s">
        <v>23024</v>
      </c>
    </row>
    <row r="1218" spans="1:25">
      <c r="A1218" s="363">
        <f t="shared" si="151"/>
        <v>1217</v>
      </c>
      <c r="B1218" s="363" t="str">
        <f t="shared" ref="B1218:B1281" si="152">LEFT(L1218,2)</f>
        <v>44</v>
      </c>
      <c r="C1218" s="405" t="str">
        <f t="shared" ref="C1218:C1281" si="153">IF(B1218="","","第"&amp;RIGHT(L1218,6)&amp;"号")</f>
        <v>第011002号</v>
      </c>
      <c r="D1218" s="405" t="str">
        <f t="shared" ref="D1218:D1281" si="154">N1218</f>
        <v>（株）アペックス工業</v>
      </c>
      <c r="E1218" s="405" t="str">
        <f t="shared" ref="E1218:E1281" si="155">IF(V1218="　",O1218,"")</f>
        <v>代表取締役</v>
      </c>
      <c r="F1218" s="405" t="str">
        <f t="shared" ref="F1218:F1281" si="156">IF(V1218="　",P1218,W1218)</f>
        <v>本田　秀繁</v>
      </c>
      <c r="G1218" s="405" t="str">
        <f t="shared" ref="G1218:G1281" si="157">IF(V1218="　","主たる営業所",V1218)</f>
        <v>主たる営業所</v>
      </c>
      <c r="H1218" s="405" t="str">
        <f t="shared" ref="H1218:H1281" si="158">IF(V1218="　",R1218,Y1218)</f>
        <v>杵築市大字南杵築２６９２－１</v>
      </c>
      <c r="L1218" s="403" t="s">
        <v>10277</v>
      </c>
      <c r="M1218" s="403" t="s">
        <v>10278</v>
      </c>
      <c r="N1218" s="403" t="s">
        <v>3666</v>
      </c>
      <c r="O1218" s="403" t="s">
        <v>7084</v>
      </c>
      <c r="P1218" s="403" t="s">
        <v>3667</v>
      </c>
      <c r="Q1218" s="403" t="s">
        <v>7593</v>
      </c>
      <c r="R1218" s="403" t="s">
        <v>19606</v>
      </c>
      <c r="S1218" s="403" t="s">
        <v>16202</v>
      </c>
      <c r="T1218" s="403" t="s">
        <v>16203</v>
      </c>
      <c r="U1218" s="403"/>
      <c r="V1218" s="403" t="s">
        <v>23024</v>
      </c>
      <c r="W1218" s="403" t="s">
        <v>23024</v>
      </c>
      <c r="X1218" s="403" t="s">
        <v>23024</v>
      </c>
      <c r="Y1218" s="403" t="s">
        <v>23024</v>
      </c>
    </row>
    <row r="1219" spans="1:25">
      <c r="A1219" s="363">
        <f t="shared" ref="A1219:A1282" si="159">IF(B1219="","",A1218+1)</f>
        <v>1218</v>
      </c>
      <c r="B1219" s="363" t="str">
        <f t="shared" si="152"/>
        <v>44</v>
      </c>
      <c r="C1219" s="405" t="str">
        <f t="shared" si="153"/>
        <v>第011012号</v>
      </c>
      <c r="D1219" s="405" t="str">
        <f t="shared" si="154"/>
        <v>（有）フクコー</v>
      </c>
      <c r="E1219" s="405" t="str">
        <f t="shared" si="155"/>
        <v>代表取締役</v>
      </c>
      <c r="F1219" s="405" t="str">
        <f t="shared" si="156"/>
        <v>山口　通夫</v>
      </c>
      <c r="G1219" s="405" t="str">
        <f t="shared" si="157"/>
        <v>主たる営業所</v>
      </c>
      <c r="H1219" s="405" t="str">
        <f t="shared" si="158"/>
        <v>竹田市久住町大字栢木１４４</v>
      </c>
      <c r="L1219" s="403" t="s">
        <v>10279</v>
      </c>
      <c r="M1219" s="403" t="s">
        <v>10280</v>
      </c>
      <c r="N1219" s="403" t="s">
        <v>3668</v>
      </c>
      <c r="O1219" s="403" t="s">
        <v>7084</v>
      </c>
      <c r="P1219" s="403" t="s">
        <v>3669</v>
      </c>
      <c r="Q1219" s="403" t="s">
        <v>9138</v>
      </c>
      <c r="R1219" s="403" t="s">
        <v>5597</v>
      </c>
      <c r="S1219" s="403" t="s">
        <v>16204</v>
      </c>
      <c r="T1219" s="403" t="s">
        <v>16205</v>
      </c>
      <c r="U1219" s="403"/>
      <c r="V1219" s="403" t="s">
        <v>23024</v>
      </c>
      <c r="W1219" s="403" t="s">
        <v>23024</v>
      </c>
      <c r="X1219" s="403" t="s">
        <v>23024</v>
      </c>
      <c r="Y1219" s="403" t="s">
        <v>23024</v>
      </c>
    </row>
    <row r="1220" spans="1:25">
      <c r="A1220" s="363">
        <f t="shared" si="159"/>
        <v>1219</v>
      </c>
      <c r="B1220" s="363" t="str">
        <f t="shared" si="152"/>
        <v>44</v>
      </c>
      <c r="C1220" s="405" t="str">
        <f t="shared" si="153"/>
        <v>第011013号</v>
      </c>
      <c r="D1220" s="405" t="str">
        <f t="shared" si="154"/>
        <v>環世維（株）</v>
      </c>
      <c r="E1220" s="405" t="str">
        <f t="shared" si="155"/>
        <v>代表取締役</v>
      </c>
      <c r="F1220" s="405" t="str">
        <f t="shared" si="156"/>
        <v>楢原　民夫</v>
      </c>
      <c r="G1220" s="405" t="str">
        <f t="shared" si="157"/>
        <v>主たる営業所</v>
      </c>
      <c r="H1220" s="405" t="str">
        <f t="shared" si="158"/>
        <v>日田市田島本町２－１３</v>
      </c>
      <c r="L1220" s="403" t="s">
        <v>10281</v>
      </c>
      <c r="M1220" s="403" t="s">
        <v>10282</v>
      </c>
      <c r="N1220" s="403" t="s">
        <v>3670</v>
      </c>
      <c r="O1220" s="403" t="s">
        <v>7084</v>
      </c>
      <c r="P1220" s="403" t="s">
        <v>3671</v>
      </c>
      <c r="Q1220" s="403" t="s">
        <v>10283</v>
      </c>
      <c r="R1220" s="403" t="s">
        <v>19607</v>
      </c>
      <c r="S1220" s="403" t="s">
        <v>16206</v>
      </c>
      <c r="T1220" s="403" t="s">
        <v>16207</v>
      </c>
      <c r="U1220" s="403"/>
      <c r="V1220" s="403" t="s">
        <v>23024</v>
      </c>
      <c r="W1220" s="403" t="s">
        <v>23024</v>
      </c>
      <c r="X1220" s="403" t="s">
        <v>23024</v>
      </c>
      <c r="Y1220" s="403" t="s">
        <v>23024</v>
      </c>
    </row>
    <row r="1221" spans="1:25">
      <c r="A1221" s="363">
        <f t="shared" si="159"/>
        <v>1220</v>
      </c>
      <c r="B1221" s="363" t="str">
        <f t="shared" si="152"/>
        <v>44</v>
      </c>
      <c r="C1221" s="405" t="str">
        <f t="shared" si="153"/>
        <v>第011018号</v>
      </c>
      <c r="D1221" s="405" t="str">
        <f t="shared" si="154"/>
        <v>（有）おおば塗装</v>
      </c>
      <c r="E1221" s="405" t="str">
        <f t="shared" si="155"/>
        <v>代表取締役</v>
      </c>
      <c r="F1221" s="405" t="str">
        <f t="shared" si="156"/>
        <v>大庭　陽子</v>
      </c>
      <c r="G1221" s="405" t="str">
        <f t="shared" si="157"/>
        <v>主たる営業所</v>
      </c>
      <c r="H1221" s="405" t="str">
        <f t="shared" si="158"/>
        <v>日田市天瀬町湯山１０６２－１</v>
      </c>
      <c r="L1221" s="403" t="s">
        <v>10284</v>
      </c>
      <c r="M1221" s="403" t="s">
        <v>10285</v>
      </c>
      <c r="N1221" s="403" t="s">
        <v>3672</v>
      </c>
      <c r="O1221" s="403" t="s">
        <v>7084</v>
      </c>
      <c r="P1221" s="403" t="s">
        <v>3673</v>
      </c>
      <c r="Q1221" s="403" t="s">
        <v>10286</v>
      </c>
      <c r="R1221" s="403" t="s">
        <v>19608</v>
      </c>
      <c r="S1221" s="403" t="s">
        <v>16208</v>
      </c>
      <c r="T1221" s="403" t="s">
        <v>16209</v>
      </c>
      <c r="U1221" s="403"/>
      <c r="V1221" s="403" t="s">
        <v>23024</v>
      </c>
      <c r="W1221" s="403" t="s">
        <v>23024</v>
      </c>
      <c r="X1221" s="403" t="s">
        <v>23024</v>
      </c>
      <c r="Y1221" s="403" t="s">
        <v>23024</v>
      </c>
    </row>
    <row r="1222" spans="1:25">
      <c r="A1222" s="363">
        <f t="shared" si="159"/>
        <v>1221</v>
      </c>
      <c r="B1222" s="363" t="str">
        <f t="shared" si="152"/>
        <v>44</v>
      </c>
      <c r="C1222" s="405" t="str">
        <f t="shared" si="153"/>
        <v>第011019号</v>
      </c>
      <c r="D1222" s="405" t="str">
        <f t="shared" si="154"/>
        <v>（有）ミック</v>
      </c>
      <c r="E1222" s="405" t="str">
        <f t="shared" si="155"/>
        <v>取締役</v>
      </c>
      <c r="F1222" s="405" t="str">
        <f t="shared" si="156"/>
        <v>三重野　洋造</v>
      </c>
      <c r="G1222" s="405" t="str">
        <f t="shared" si="157"/>
        <v>主たる営業所</v>
      </c>
      <c r="H1222" s="405" t="str">
        <f t="shared" si="158"/>
        <v>別府市石垣西５－４－５６</v>
      </c>
      <c r="L1222" s="403" t="s">
        <v>10287</v>
      </c>
      <c r="M1222" s="403" t="s">
        <v>10288</v>
      </c>
      <c r="N1222" s="403" t="s">
        <v>3674</v>
      </c>
      <c r="O1222" s="403" t="s">
        <v>7085</v>
      </c>
      <c r="P1222" s="403" t="s">
        <v>3675</v>
      </c>
      <c r="Q1222" s="403" t="s">
        <v>8438</v>
      </c>
      <c r="R1222" s="403" t="s">
        <v>19609</v>
      </c>
      <c r="S1222" s="403" t="s">
        <v>16210</v>
      </c>
      <c r="T1222" s="403" t="s">
        <v>16211</v>
      </c>
      <c r="U1222" s="403"/>
      <c r="V1222" s="403" t="s">
        <v>23024</v>
      </c>
      <c r="W1222" s="403" t="s">
        <v>23024</v>
      </c>
      <c r="X1222" s="403" t="s">
        <v>23024</v>
      </c>
      <c r="Y1222" s="403" t="s">
        <v>23024</v>
      </c>
    </row>
    <row r="1223" spans="1:25">
      <c r="A1223" s="363">
        <f t="shared" si="159"/>
        <v>1222</v>
      </c>
      <c r="B1223" s="363" t="str">
        <f t="shared" si="152"/>
        <v>44</v>
      </c>
      <c r="C1223" s="405" t="str">
        <f t="shared" si="153"/>
        <v>第011031号</v>
      </c>
      <c r="D1223" s="405" t="str">
        <f t="shared" si="154"/>
        <v>上田環境衛生（有）</v>
      </c>
      <c r="E1223" s="405" t="str">
        <f t="shared" si="155"/>
        <v>代表取締役</v>
      </c>
      <c r="F1223" s="405" t="str">
        <f t="shared" si="156"/>
        <v>尾形　直樹</v>
      </c>
      <c r="G1223" s="405" t="str">
        <f t="shared" si="157"/>
        <v>主たる営業所</v>
      </c>
      <c r="H1223" s="405" t="str">
        <f t="shared" si="158"/>
        <v>大分市大字片島１１８１－２</v>
      </c>
      <c r="L1223" s="403" t="s">
        <v>10289</v>
      </c>
      <c r="M1223" s="403" t="s">
        <v>10290</v>
      </c>
      <c r="N1223" s="403" t="s">
        <v>3676</v>
      </c>
      <c r="O1223" s="403" t="s">
        <v>7084</v>
      </c>
      <c r="P1223" s="403" t="s">
        <v>3677</v>
      </c>
      <c r="Q1223" s="403" t="s">
        <v>8687</v>
      </c>
      <c r="R1223" s="403" t="s">
        <v>19610</v>
      </c>
      <c r="S1223" s="403" t="s">
        <v>16212</v>
      </c>
      <c r="T1223" s="403" t="s">
        <v>16213</v>
      </c>
      <c r="U1223" s="403"/>
      <c r="V1223" s="403" t="s">
        <v>23024</v>
      </c>
      <c r="W1223" s="403" t="s">
        <v>23024</v>
      </c>
      <c r="X1223" s="403" t="s">
        <v>23024</v>
      </c>
      <c r="Y1223" s="403" t="s">
        <v>23024</v>
      </c>
    </row>
    <row r="1224" spans="1:25">
      <c r="A1224" s="363">
        <f t="shared" si="159"/>
        <v>1223</v>
      </c>
      <c r="B1224" s="363" t="str">
        <f t="shared" si="152"/>
        <v>44</v>
      </c>
      <c r="C1224" s="405" t="str">
        <f t="shared" si="153"/>
        <v>第011033号</v>
      </c>
      <c r="D1224" s="405" t="str">
        <f t="shared" si="154"/>
        <v>後藤建設（株）</v>
      </c>
      <c r="E1224" s="405" t="str">
        <f t="shared" si="155"/>
        <v>代表取締役</v>
      </c>
      <c r="F1224" s="405" t="str">
        <f t="shared" si="156"/>
        <v>久保田　高司</v>
      </c>
      <c r="G1224" s="405" t="str">
        <f t="shared" si="157"/>
        <v>主たる営業所</v>
      </c>
      <c r="H1224" s="405" t="str">
        <f t="shared" si="158"/>
        <v>大分市青崎２－３－４</v>
      </c>
      <c r="L1224" s="403" t="s">
        <v>10291</v>
      </c>
      <c r="M1224" s="403" t="s">
        <v>9102</v>
      </c>
      <c r="N1224" s="403" t="s">
        <v>3678</v>
      </c>
      <c r="O1224" s="403" t="s">
        <v>7084</v>
      </c>
      <c r="P1224" s="403" t="s">
        <v>3679</v>
      </c>
      <c r="Q1224" s="403" t="s">
        <v>7528</v>
      </c>
      <c r="R1224" s="403" t="s">
        <v>19611</v>
      </c>
      <c r="S1224" s="403" t="s">
        <v>16214</v>
      </c>
      <c r="T1224" s="403" t="s">
        <v>16215</v>
      </c>
      <c r="U1224" s="403"/>
      <c r="V1224" s="403" t="s">
        <v>23024</v>
      </c>
      <c r="W1224" s="403" t="s">
        <v>23024</v>
      </c>
      <c r="X1224" s="403" t="s">
        <v>23024</v>
      </c>
      <c r="Y1224" s="403" t="s">
        <v>23024</v>
      </c>
    </row>
    <row r="1225" spans="1:25">
      <c r="A1225" s="363">
        <f t="shared" si="159"/>
        <v>1224</v>
      </c>
      <c r="B1225" s="363" t="str">
        <f t="shared" si="152"/>
        <v>44</v>
      </c>
      <c r="C1225" s="405" t="str">
        <f t="shared" si="153"/>
        <v>第011041号</v>
      </c>
      <c r="D1225" s="405" t="str">
        <f t="shared" si="154"/>
        <v>（有）エスエス緑化産業</v>
      </c>
      <c r="E1225" s="405" t="str">
        <f t="shared" si="155"/>
        <v>代表取締役</v>
      </c>
      <c r="F1225" s="405" t="str">
        <f t="shared" si="156"/>
        <v>秦　悟</v>
      </c>
      <c r="G1225" s="405" t="str">
        <f t="shared" si="157"/>
        <v>主たる営業所</v>
      </c>
      <c r="H1225" s="405" t="str">
        <f t="shared" si="158"/>
        <v>大分市大字中戸次字不動寺４９２－６</v>
      </c>
      <c r="L1225" s="403" t="s">
        <v>10292</v>
      </c>
      <c r="M1225" s="403" t="s">
        <v>10293</v>
      </c>
      <c r="N1225" s="403" t="s">
        <v>3680</v>
      </c>
      <c r="O1225" s="403" t="s">
        <v>7084</v>
      </c>
      <c r="P1225" s="403" t="s">
        <v>3681</v>
      </c>
      <c r="Q1225" s="403" t="s">
        <v>7531</v>
      </c>
      <c r="R1225" s="403" t="s">
        <v>19612</v>
      </c>
      <c r="S1225" s="403" t="s">
        <v>16216</v>
      </c>
      <c r="T1225" s="403" t="s">
        <v>16217</v>
      </c>
      <c r="U1225" s="403"/>
      <c r="V1225" s="403" t="s">
        <v>23024</v>
      </c>
      <c r="W1225" s="403" t="s">
        <v>23024</v>
      </c>
      <c r="X1225" s="403" t="s">
        <v>23024</v>
      </c>
      <c r="Y1225" s="403" t="s">
        <v>23024</v>
      </c>
    </row>
    <row r="1226" spans="1:25">
      <c r="A1226" s="363">
        <f t="shared" si="159"/>
        <v>1225</v>
      </c>
      <c r="B1226" s="363" t="str">
        <f t="shared" si="152"/>
        <v>44</v>
      </c>
      <c r="C1226" s="405" t="str">
        <f t="shared" si="153"/>
        <v>第011049号</v>
      </c>
      <c r="D1226" s="405" t="str">
        <f t="shared" si="154"/>
        <v>（株）タイシン</v>
      </c>
      <c r="E1226" s="405" t="str">
        <f t="shared" si="155"/>
        <v>代表取締役</v>
      </c>
      <c r="F1226" s="405" t="str">
        <f t="shared" si="156"/>
        <v>新納　博明</v>
      </c>
      <c r="G1226" s="405" t="str">
        <f t="shared" si="157"/>
        <v>主たる営業所</v>
      </c>
      <c r="H1226" s="405" t="str">
        <f t="shared" si="158"/>
        <v>大分市牧２－１１－１６</v>
      </c>
      <c r="L1226" s="403" t="s">
        <v>10294</v>
      </c>
      <c r="M1226" s="403" t="s">
        <v>10295</v>
      </c>
      <c r="N1226" s="403" t="s">
        <v>3682</v>
      </c>
      <c r="O1226" s="403" t="s">
        <v>7084</v>
      </c>
      <c r="P1226" s="403" t="s">
        <v>3683</v>
      </c>
      <c r="Q1226" s="403" t="s">
        <v>7400</v>
      </c>
      <c r="R1226" s="403" t="s">
        <v>19613</v>
      </c>
      <c r="S1226" s="403" t="s">
        <v>16218</v>
      </c>
      <c r="T1226" s="403" t="s">
        <v>16219</v>
      </c>
      <c r="U1226" s="403"/>
      <c r="V1226" s="403" t="s">
        <v>23024</v>
      </c>
      <c r="W1226" s="403" t="s">
        <v>23024</v>
      </c>
      <c r="X1226" s="403" t="s">
        <v>23024</v>
      </c>
      <c r="Y1226" s="403" t="s">
        <v>23024</v>
      </c>
    </row>
    <row r="1227" spans="1:25">
      <c r="A1227" s="363">
        <f t="shared" si="159"/>
        <v>1226</v>
      </c>
      <c r="B1227" s="363" t="str">
        <f t="shared" si="152"/>
        <v>44</v>
      </c>
      <c r="C1227" s="405" t="str">
        <f t="shared" si="153"/>
        <v>第011052号</v>
      </c>
      <c r="D1227" s="405" t="str">
        <f t="shared" si="154"/>
        <v>ワコーエンジニアリング（株）</v>
      </c>
      <c r="E1227" s="405" t="str">
        <f t="shared" si="155"/>
        <v>代表取締役</v>
      </c>
      <c r="F1227" s="405" t="str">
        <f t="shared" si="156"/>
        <v>中野　誠</v>
      </c>
      <c r="G1227" s="405" t="str">
        <f t="shared" si="157"/>
        <v>主たる営業所</v>
      </c>
      <c r="H1227" s="405" t="str">
        <f t="shared" si="158"/>
        <v>大分市高松東３－３－６</v>
      </c>
      <c r="L1227" s="403" t="s">
        <v>10296</v>
      </c>
      <c r="M1227" s="403" t="s">
        <v>10297</v>
      </c>
      <c r="N1227" s="403" t="s">
        <v>3684</v>
      </c>
      <c r="O1227" s="403" t="s">
        <v>7084</v>
      </c>
      <c r="P1227" s="403" t="s">
        <v>3685</v>
      </c>
      <c r="Q1227" s="403" t="s">
        <v>10298</v>
      </c>
      <c r="R1227" s="403" t="s">
        <v>19614</v>
      </c>
      <c r="S1227" s="403" t="s">
        <v>16220</v>
      </c>
      <c r="T1227" s="403" t="s">
        <v>16221</v>
      </c>
      <c r="U1227" s="403"/>
      <c r="V1227" s="403" t="s">
        <v>23024</v>
      </c>
      <c r="W1227" s="403" t="s">
        <v>23024</v>
      </c>
      <c r="X1227" s="403" t="s">
        <v>23024</v>
      </c>
      <c r="Y1227" s="403" t="s">
        <v>23024</v>
      </c>
    </row>
    <row r="1228" spans="1:25">
      <c r="A1228" s="363">
        <f t="shared" si="159"/>
        <v>1227</v>
      </c>
      <c r="B1228" s="363" t="str">
        <f t="shared" si="152"/>
        <v>44</v>
      </c>
      <c r="C1228" s="405" t="str">
        <f t="shared" si="153"/>
        <v>第011053号</v>
      </c>
      <c r="D1228" s="405" t="str">
        <f t="shared" si="154"/>
        <v>木村土木</v>
      </c>
      <c r="E1228" s="405" t="str">
        <f t="shared" si="155"/>
        <v>代表者</v>
      </c>
      <c r="F1228" s="405" t="str">
        <f t="shared" si="156"/>
        <v>木村　仰秀</v>
      </c>
      <c r="G1228" s="405" t="str">
        <f t="shared" si="157"/>
        <v>主たる営業所</v>
      </c>
      <c r="H1228" s="405" t="str">
        <f t="shared" si="158"/>
        <v>由布市湯布院町川北１８１２</v>
      </c>
      <c r="L1228" s="403" t="s">
        <v>10299</v>
      </c>
      <c r="M1228" s="403" t="s">
        <v>10300</v>
      </c>
      <c r="N1228" s="403" t="s">
        <v>3686</v>
      </c>
      <c r="O1228" s="403" t="s">
        <v>7086</v>
      </c>
      <c r="P1228" s="403" t="s">
        <v>3687</v>
      </c>
      <c r="Q1228" s="403" t="s">
        <v>7562</v>
      </c>
      <c r="R1228" s="403" t="s">
        <v>5598</v>
      </c>
      <c r="S1228" s="403" t="s">
        <v>16222</v>
      </c>
      <c r="T1228" s="403" t="s">
        <v>16223</v>
      </c>
      <c r="U1228" s="403"/>
      <c r="V1228" s="403" t="s">
        <v>23024</v>
      </c>
      <c r="W1228" s="403" t="s">
        <v>23024</v>
      </c>
      <c r="X1228" s="403" t="s">
        <v>23024</v>
      </c>
      <c r="Y1228" s="403" t="s">
        <v>23024</v>
      </c>
    </row>
    <row r="1229" spans="1:25">
      <c r="A1229" s="363">
        <f t="shared" si="159"/>
        <v>1228</v>
      </c>
      <c r="B1229" s="363" t="str">
        <f t="shared" si="152"/>
        <v>44</v>
      </c>
      <c r="C1229" s="405" t="str">
        <f t="shared" si="153"/>
        <v>第011062号</v>
      </c>
      <c r="D1229" s="405" t="str">
        <f t="shared" si="154"/>
        <v>（有）新世工業</v>
      </c>
      <c r="E1229" s="405" t="str">
        <f t="shared" si="155"/>
        <v>代表取締役</v>
      </c>
      <c r="F1229" s="405" t="str">
        <f t="shared" si="156"/>
        <v>平野　和敏</v>
      </c>
      <c r="G1229" s="405" t="str">
        <f t="shared" si="157"/>
        <v>主たる営業所</v>
      </c>
      <c r="H1229" s="405" t="str">
        <f t="shared" si="158"/>
        <v>大分市東浜１－７－１３</v>
      </c>
      <c r="L1229" s="403" t="s">
        <v>10301</v>
      </c>
      <c r="M1229" s="403" t="s">
        <v>10302</v>
      </c>
      <c r="N1229" s="403" t="s">
        <v>3688</v>
      </c>
      <c r="O1229" s="403" t="s">
        <v>7084</v>
      </c>
      <c r="P1229" s="403" t="s">
        <v>3689</v>
      </c>
      <c r="Q1229" s="403" t="s">
        <v>7461</v>
      </c>
      <c r="R1229" s="403" t="s">
        <v>19615</v>
      </c>
      <c r="S1229" s="403" t="s">
        <v>16224</v>
      </c>
      <c r="T1229" s="403" t="s">
        <v>16225</v>
      </c>
      <c r="U1229" s="403"/>
      <c r="V1229" s="403" t="s">
        <v>23024</v>
      </c>
      <c r="W1229" s="403" t="s">
        <v>23024</v>
      </c>
      <c r="X1229" s="403" t="s">
        <v>23024</v>
      </c>
      <c r="Y1229" s="403" t="s">
        <v>23024</v>
      </c>
    </row>
    <row r="1230" spans="1:25">
      <c r="A1230" s="363">
        <f t="shared" si="159"/>
        <v>1229</v>
      </c>
      <c r="B1230" s="363" t="str">
        <f t="shared" si="152"/>
        <v>44</v>
      </c>
      <c r="C1230" s="405" t="str">
        <f t="shared" si="153"/>
        <v>第011075号</v>
      </c>
      <c r="D1230" s="405" t="str">
        <f t="shared" si="154"/>
        <v>（有）ハーモニー緑化園</v>
      </c>
      <c r="E1230" s="405" t="str">
        <f t="shared" si="155"/>
        <v>代表取締役</v>
      </c>
      <c r="F1230" s="405" t="str">
        <f t="shared" si="156"/>
        <v>牧　英憲</v>
      </c>
      <c r="G1230" s="405" t="str">
        <f t="shared" si="157"/>
        <v>主たる営業所</v>
      </c>
      <c r="H1230" s="405" t="str">
        <f t="shared" si="158"/>
        <v>大分市大字猪野６６－１</v>
      </c>
      <c r="L1230" s="403" t="s">
        <v>10303</v>
      </c>
      <c r="M1230" s="403" t="s">
        <v>10304</v>
      </c>
      <c r="N1230" s="403" t="s">
        <v>3690</v>
      </c>
      <c r="O1230" s="403" t="s">
        <v>7084</v>
      </c>
      <c r="P1230" s="403" t="s">
        <v>3691</v>
      </c>
      <c r="Q1230" s="403" t="s">
        <v>8834</v>
      </c>
      <c r="R1230" s="403" t="s">
        <v>19616</v>
      </c>
      <c r="S1230" s="403" t="s">
        <v>16226</v>
      </c>
      <c r="T1230" s="403" t="s">
        <v>16226</v>
      </c>
      <c r="U1230" s="403"/>
      <c r="V1230" s="403" t="s">
        <v>23024</v>
      </c>
      <c r="W1230" s="403" t="s">
        <v>23024</v>
      </c>
      <c r="X1230" s="403" t="s">
        <v>23024</v>
      </c>
      <c r="Y1230" s="403" t="s">
        <v>23024</v>
      </c>
    </row>
    <row r="1231" spans="1:25">
      <c r="A1231" s="363">
        <f t="shared" si="159"/>
        <v>1230</v>
      </c>
      <c r="B1231" s="363" t="str">
        <f t="shared" si="152"/>
        <v>44</v>
      </c>
      <c r="C1231" s="405" t="str">
        <f t="shared" si="153"/>
        <v>第011077号</v>
      </c>
      <c r="D1231" s="405" t="str">
        <f t="shared" si="154"/>
        <v>（有）三栄重機建設</v>
      </c>
      <c r="E1231" s="405" t="str">
        <f t="shared" si="155"/>
        <v>代表取締役</v>
      </c>
      <c r="F1231" s="405" t="str">
        <f t="shared" si="156"/>
        <v>原田　阿子</v>
      </c>
      <c r="G1231" s="405" t="str">
        <f t="shared" si="157"/>
        <v>主たる営業所</v>
      </c>
      <c r="H1231" s="405" t="str">
        <f t="shared" si="158"/>
        <v>由布市挾間町北方１３５－１</v>
      </c>
      <c r="L1231" s="403" t="s">
        <v>10305</v>
      </c>
      <c r="M1231" s="403" t="s">
        <v>10306</v>
      </c>
      <c r="N1231" s="403" t="s">
        <v>3692</v>
      </c>
      <c r="O1231" s="403" t="s">
        <v>7084</v>
      </c>
      <c r="P1231" s="403" t="s">
        <v>19617</v>
      </c>
      <c r="Q1231" s="403" t="s">
        <v>10307</v>
      </c>
      <c r="R1231" s="403" t="s">
        <v>19618</v>
      </c>
      <c r="S1231" s="403" t="s">
        <v>16227</v>
      </c>
      <c r="T1231" s="403" t="s">
        <v>16228</v>
      </c>
      <c r="U1231" s="403"/>
      <c r="V1231" s="403" t="s">
        <v>23024</v>
      </c>
      <c r="W1231" s="403" t="s">
        <v>23024</v>
      </c>
      <c r="X1231" s="403" t="s">
        <v>23024</v>
      </c>
      <c r="Y1231" s="403" t="s">
        <v>23024</v>
      </c>
    </row>
    <row r="1232" spans="1:25">
      <c r="A1232" s="363">
        <f t="shared" si="159"/>
        <v>1231</v>
      </c>
      <c r="B1232" s="363" t="str">
        <f t="shared" si="152"/>
        <v>44</v>
      </c>
      <c r="C1232" s="405" t="str">
        <f t="shared" si="153"/>
        <v>第011105号</v>
      </c>
      <c r="D1232" s="405" t="str">
        <f t="shared" si="154"/>
        <v>（有）奈良技建</v>
      </c>
      <c r="E1232" s="405" t="str">
        <f t="shared" si="155"/>
        <v>代表取締役</v>
      </c>
      <c r="F1232" s="405" t="str">
        <f t="shared" si="156"/>
        <v>奈良　光治</v>
      </c>
      <c r="G1232" s="405" t="str">
        <f t="shared" si="157"/>
        <v>主たる営業所</v>
      </c>
      <c r="H1232" s="405" t="str">
        <f t="shared" si="158"/>
        <v>宇佐市大字下元重１２－１</v>
      </c>
      <c r="L1232" s="403" t="s">
        <v>10308</v>
      </c>
      <c r="M1232" s="403" t="s">
        <v>10309</v>
      </c>
      <c r="N1232" s="403" t="s">
        <v>3693</v>
      </c>
      <c r="O1232" s="403" t="s">
        <v>7084</v>
      </c>
      <c r="P1232" s="403" t="s">
        <v>3694</v>
      </c>
      <c r="Q1232" s="403" t="s">
        <v>10310</v>
      </c>
      <c r="R1232" s="403" t="s">
        <v>19619</v>
      </c>
      <c r="S1232" s="403" t="s">
        <v>16229</v>
      </c>
      <c r="T1232" s="403" t="s">
        <v>16229</v>
      </c>
      <c r="U1232" s="403"/>
      <c r="V1232" s="403" t="s">
        <v>23024</v>
      </c>
      <c r="W1232" s="403" t="s">
        <v>23024</v>
      </c>
      <c r="X1232" s="403" t="s">
        <v>23024</v>
      </c>
      <c r="Y1232" s="403" t="s">
        <v>23024</v>
      </c>
    </row>
    <row r="1233" spans="1:25">
      <c r="A1233" s="363">
        <f t="shared" si="159"/>
        <v>1232</v>
      </c>
      <c r="B1233" s="363" t="str">
        <f t="shared" si="152"/>
        <v>44</v>
      </c>
      <c r="C1233" s="405" t="str">
        <f t="shared" si="153"/>
        <v>第011106号</v>
      </c>
      <c r="D1233" s="405" t="str">
        <f t="shared" si="154"/>
        <v>（有）サンキューアート</v>
      </c>
      <c r="E1233" s="405" t="str">
        <f t="shared" si="155"/>
        <v>代表取締役</v>
      </c>
      <c r="F1233" s="405" t="str">
        <f t="shared" si="156"/>
        <v>山村　和久</v>
      </c>
      <c r="G1233" s="405" t="str">
        <f t="shared" si="157"/>
        <v>主たる営業所</v>
      </c>
      <c r="H1233" s="405" t="str">
        <f t="shared" si="158"/>
        <v>大分市大字横瀬２３０１－１</v>
      </c>
      <c r="L1233" s="403" t="s">
        <v>10311</v>
      </c>
      <c r="M1233" s="403" t="s">
        <v>10312</v>
      </c>
      <c r="N1233" s="403" t="s">
        <v>3695</v>
      </c>
      <c r="O1233" s="403" t="s">
        <v>7084</v>
      </c>
      <c r="P1233" s="403" t="s">
        <v>3696</v>
      </c>
      <c r="Q1233" s="403" t="s">
        <v>10313</v>
      </c>
      <c r="R1233" s="403" t="s">
        <v>19620</v>
      </c>
      <c r="S1233" s="403" t="s">
        <v>16230</v>
      </c>
      <c r="T1233" s="403" t="s">
        <v>16231</v>
      </c>
      <c r="U1233" s="403"/>
      <c r="V1233" s="403" t="s">
        <v>23024</v>
      </c>
      <c r="W1233" s="403" t="s">
        <v>23024</v>
      </c>
      <c r="X1233" s="403" t="s">
        <v>23024</v>
      </c>
      <c r="Y1233" s="403" t="s">
        <v>23024</v>
      </c>
    </row>
    <row r="1234" spans="1:25">
      <c r="A1234" s="363">
        <f t="shared" si="159"/>
        <v>1233</v>
      </c>
      <c r="B1234" s="363" t="str">
        <f t="shared" si="152"/>
        <v>44</v>
      </c>
      <c r="C1234" s="405" t="str">
        <f t="shared" si="153"/>
        <v>第011107号</v>
      </c>
      <c r="D1234" s="405" t="str">
        <f t="shared" si="154"/>
        <v>（株）太一</v>
      </c>
      <c r="E1234" s="405" t="str">
        <f t="shared" si="155"/>
        <v>代表取締役</v>
      </c>
      <c r="F1234" s="405" t="str">
        <f t="shared" si="156"/>
        <v>佐藤　淳一</v>
      </c>
      <c r="G1234" s="405" t="str">
        <f t="shared" si="157"/>
        <v>主たる営業所</v>
      </c>
      <c r="H1234" s="405" t="str">
        <f t="shared" si="158"/>
        <v>大分市大字高崎１１７６－２</v>
      </c>
      <c r="L1234" s="403" t="s">
        <v>10314</v>
      </c>
      <c r="M1234" s="403" t="s">
        <v>10315</v>
      </c>
      <c r="N1234" s="403" t="s">
        <v>3697</v>
      </c>
      <c r="O1234" s="403" t="s">
        <v>7084</v>
      </c>
      <c r="P1234" s="403" t="s">
        <v>3698</v>
      </c>
      <c r="Q1234" s="403" t="s">
        <v>10316</v>
      </c>
      <c r="R1234" s="403" t="s">
        <v>19621</v>
      </c>
      <c r="S1234" s="403" t="s">
        <v>16232</v>
      </c>
      <c r="T1234" s="403" t="s">
        <v>16233</v>
      </c>
      <c r="U1234" s="403"/>
      <c r="V1234" s="403" t="s">
        <v>23024</v>
      </c>
      <c r="W1234" s="403" t="s">
        <v>23024</v>
      </c>
      <c r="X1234" s="403" t="s">
        <v>23024</v>
      </c>
      <c r="Y1234" s="403" t="s">
        <v>23024</v>
      </c>
    </row>
    <row r="1235" spans="1:25">
      <c r="A1235" s="363">
        <f t="shared" si="159"/>
        <v>1234</v>
      </c>
      <c r="B1235" s="363" t="str">
        <f t="shared" si="152"/>
        <v>44</v>
      </c>
      <c r="C1235" s="405" t="str">
        <f t="shared" si="153"/>
        <v>第011108号</v>
      </c>
      <c r="D1235" s="405" t="str">
        <f t="shared" si="154"/>
        <v>日清建設（株）</v>
      </c>
      <c r="E1235" s="405" t="str">
        <f t="shared" si="155"/>
        <v>代表取締役</v>
      </c>
      <c r="F1235" s="405" t="str">
        <f t="shared" si="156"/>
        <v>阿部　義明</v>
      </c>
      <c r="G1235" s="405" t="str">
        <f t="shared" si="157"/>
        <v>主たる営業所</v>
      </c>
      <c r="H1235" s="405" t="str">
        <f t="shared" si="158"/>
        <v>玖珠郡玖珠町大字塚脇３６９－２</v>
      </c>
      <c r="L1235" s="403" t="s">
        <v>10317</v>
      </c>
      <c r="M1235" s="403" t="s">
        <v>8747</v>
      </c>
      <c r="N1235" s="403" t="s">
        <v>3699</v>
      </c>
      <c r="O1235" s="403" t="s">
        <v>7084</v>
      </c>
      <c r="P1235" s="403" t="s">
        <v>19622</v>
      </c>
      <c r="Q1235" s="403" t="s">
        <v>8595</v>
      </c>
      <c r="R1235" s="403" t="s">
        <v>19623</v>
      </c>
      <c r="S1235" s="403" t="s">
        <v>16234</v>
      </c>
      <c r="T1235" s="403" t="s">
        <v>16235</v>
      </c>
      <c r="U1235" s="403"/>
      <c r="V1235" s="403" t="s">
        <v>23024</v>
      </c>
      <c r="W1235" s="403" t="s">
        <v>23024</v>
      </c>
      <c r="X1235" s="403" t="s">
        <v>23024</v>
      </c>
      <c r="Y1235" s="403" t="s">
        <v>23024</v>
      </c>
    </row>
    <row r="1236" spans="1:25">
      <c r="A1236" s="363">
        <f t="shared" si="159"/>
        <v>1235</v>
      </c>
      <c r="B1236" s="363" t="str">
        <f t="shared" si="152"/>
        <v>44</v>
      </c>
      <c r="C1236" s="405" t="str">
        <f t="shared" si="153"/>
        <v>第011109号</v>
      </c>
      <c r="D1236" s="405" t="str">
        <f t="shared" si="154"/>
        <v>大聖工業（株）</v>
      </c>
      <c r="E1236" s="405" t="str">
        <f t="shared" si="155"/>
        <v>代表取締役</v>
      </c>
      <c r="F1236" s="405" t="str">
        <f t="shared" si="156"/>
        <v>田上　豊勝</v>
      </c>
      <c r="G1236" s="405" t="str">
        <f t="shared" si="157"/>
        <v>主たる営業所</v>
      </c>
      <c r="H1236" s="405" t="str">
        <f t="shared" si="158"/>
        <v>宇佐市大字長洲１０４９－１</v>
      </c>
      <c r="L1236" s="403" t="s">
        <v>10318</v>
      </c>
      <c r="M1236" s="403" t="s">
        <v>10319</v>
      </c>
      <c r="N1236" s="403" t="s">
        <v>3700</v>
      </c>
      <c r="O1236" s="403" t="s">
        <v>7084</v>
      </c>
      <c r="P1236" s="403" t="s">
        <v>3701</v>
      </c>
      <c r="Q1236" s="403" t="s">
        <v>7333</v>
      </c>
      <c r="R1236" s="403" t="s">
        <v>19624</v>
      </c>
      <c r="S1236" s="403" t="s">
        <v>16236</v>
      </c>
      <c r="T1236" s="403" t="s">
        <v>16237</v>
      </c>
      <c r="U1236" s="403"/>
      <c r="V1236" s="403" t="s">
        <v>23024</v>
      </c>
      <c r="W1236" s="403" t="s">
        <v>23024</v>
      </c>
      <c r="X1236" s="403" t="s">
        <v>23024</v>
      </c>
      <c r="Y1236" s="403" t="s">
        <v>23024</v>
      </c>
    </row>
    <row r="1237" spans="1:25">
      <c r="A1237" s="363">
        <f t="shared" si="159"/>
        <v>1236</v>
      </c>
      <c r="B1237" s="363" t="str">
        <f t="shared" si="152"/>
        <v>44</v>
      </c>
      <c r="C1237" s="405" t="str">
        <f t="shared" si="153"/>
        <v>第011122号</v>
      </c>
      <c r="D1237" s="405" t="str">
        <f t="shared" si="154"/>
        <v>ティ・エイ設備（有）</v>
      </c>
      <c r="E1237" s="405" t="str">
        <f t="shared" si="155"/>
        <v>代表取締役</v>
      </c>
      <c r="F1237" s="405" t="str">
        <f t="shared" si="156"/>
        <v>荒金　寅己</v>
      </c>
      <c r="G1237" s="405" t="str">
        <f t="shared" si="157"/>
        <v>主たる営業所</v>
      </c>
      <c r="H1237" s="405" t="str">
        <f t="shared" si="158"/>
        <v>大分市三佐６－３－１６</v>
      </c>
      <c r="L1237" s="403" t="s">
        <v>10320</v>
      </c>
      <c r="M1237" s="403" t="s">
        <v>10321</v>
      </c>
      <c r="N1237" s="403" t="s">
        <v>3702</v>
      </c>
      <c r="O1237" s="403" t="s">
        <v>7084</v>
      </c>
      <c r="P1237" s="403" t="s">
        <v>3703</v>
      </c>
      <c r="Q1237" s="403" t="s">
        <v>7413</v>
      </c>
      <c r="R1237" s="403" t="s">
        <v>19625</v>
      </c>
      <c r="S1237" s="403" t="s">
        <v>16238</v>
      </c>
      <c r="T1237" s="403" t="s">
        <v>16239</v>
      </c>
      <c r="U1237" s="403"/>
      <c r="V1237" s="403" t="s">
        <v>23024</v>
      </c>
      <c r="W1237" s="403" t="s">
        <v>23024</v>
      </c>
      <c r="X1237" s="403" t="s">
        <v>23024</v>
      </c>
      <c r="Y1237" s="403" t="s">
        <v>23024</v>
      </c>
    </row>
    <row r="1238" spans="1:25">
      <c r="A1238" s="363">
        <f t="shared" si="159"/>
        <v>1237</v>
      </c>
      <c r="B1238" s="363" t="str">
        <f t="shared" si="152"/>
        <v>44</v>
      </c>
      <c r="C1238" s="405" t="str">
        <f t="shared" si="153"/>
        <v>第011129号</v>
      </c>
      <c r="D1238" s="405" t="str">
        <f t="shared" si="154"/>
        <v>（有）豊肥シャッターメンテナンス</v>
      </c>
      <c r="E1238" s="405" t="str">
        <f t="shared" si="155"/>
        <v>取締役</v>
      </c>
      <c r="F1238" s="405" t="str">
        <f t="shared" si="156"/>
        <v>佐保　文彦</v>
      </c>
      <c r="G1238" s="405" t="str">
        <f t="shared" si="157"/>
        <v>主たる営業所</v>
      </c>
      <c r="H1238" s="405" t="str">
        <f t="shared" si="158"/>
        <v>豊後大野市三重町百枝３２５８－３５</v>
      </c>
      <c r="L1238" s="403" t="s">
        <v>10322</v>
      </c>
      <c r="M1238" s="403" t="s">
        <v>10323</v>
      </c>
      <c r="N1238" s="403" t="s">
        <v>3704</v>
      </c>
      <c r="O1238" s="403" t="s">
        <v>7085</v>
      </c>
      <c r="P1238" s="403" t="s">
        <v>3705</v>
      </c>
      <c r="Q1238" s="403" t="s">
        <v>10324</v>
      </c>
      <c r="R1238" s="403" t="s">
        <v>19626</v>
      </c>
      <c r="S1238" s="403" t="s">
        <v>16240</v>
      </c>
      <c r="T1238" s="403" t="s">
        <v>16241</v>
      </c>
      <c r="U1238" s="403"/>
      <c r="V1238" s="403" t="s">
        <v>23024</v>
      </c>
      <c r="W1238" s="403" t="s">
        <v>23024</v>
      </c>
      <c r="X1238" s="403" t="s">
        <v>23024</v>
      </c>
      <c r="Y1238" s="403" t="s">
        <v>23024</v>
      </c>
    </row>
    <row r="1239" spans="1:25">
      <c r="A1239" s="363">
        <f t="shared" si="159"/>
        <v>1238</v>
      </c>
      <c r="B1239" s="363" t="str">
        <f t="shared" si="152"/>
        <v>44</v>
      </c>
      <c r="C1239" s="405" t="str">
        <f t="shared" si="153"/>
        <v>第011136号</v>
      </c>
      <c r="D1239" s="405" t="str">
        <f t="shared" si="154"/>
        <v>（有）木野開発</v>
      </c>
      <c r="E1239" s="405" t="str">
        <f t="shared" si="155"/>
        <v>代表取締役</v>
      </c>
      <c r="F1239" s="405" t="str">
        <f t="shared" si="156"/>
        <v>木野　安治</v>
      </c>
      <c r="G1239" s="405" t="str">
        <f t="shared" si="157"/>
        <v>主たる営業所</v>
      </c>
      <c r="H1239" s="405" t="str">
        <f t="shared" si="158"/>
        <v>大分市大字小池原５２４－３</v>
      </c>
      <c r="L1239" s="403" t="s">
        <v>10325</v>
      </c>
      <c r="M1239" s="403" t="s">
        <v>10326</v>
      </c>
      <c r="N1239" s="403" t="s">
        <v>3706</v>
      </c>
      <c r="O1239" s="403" t="s">
        <v>7084</v>
      </c>
      <c r="P1239" s="403" t="s">
        <v>3707</v>
      </c>
      <c r="Q1239" s="403" t="s">
        <v>8694</v>
      </c>
      <c r="R1239" s="403" t="s">
        <v>19627</v>
      </c>
      <c r="S1239" s="403" t="s">
        <v>16242</v>
      </c>
      <c r="T1239" s="403" t="s">
        <v>16243</v>
      </c>
      <c r="U1239" s="403"/>
      <c r="V1239" s="403" t="s">
        <v>23024</v>
      </c>
      <c r="W1239" s="403" t="s">
        <v>23024</v>
      </c>
      <c r="X1239" s="403" t="s">
        <v>23024</v>
      </c>
      <c r="Y1239" s="403" t="s">
        <v>23024</v>
      </c>
    </row>
    <row r="1240" spans="1:25">
      <c r="A1240" s="363">
        <f t="shared" si="159"/>
        <v>1239</v>
      </c>
      <c r="B1240" s="363" t="str">
        <f t="shared" si="152"/>
        <v>44</v>
      </c>
      <c r="C1240" s="405" t="str">
        <f t="shared" si="153"/>
        <v>第011138号</v>
      </c>
      <c r="D1240" s="405" t="str">
        <f t="shared" si="154"/>
        <v>（有）藤井工務店</v>
      </c>
      <c r="E1240" s="405" t="str">
        <f t="shared" si="155"/>
        <v>代表取締役</v>
      </c>
      <c r="F1240" s="405" t="str">
        <f t="shared" si="156"/>
        <v>藤井　裕之</v>
      </c>
      <c r="G1240" s="405" t="str">
        <f t="shared" si="157"/>
        <v>主たる営業所</v>
      </c>
      <c r="H1240" s="405" t="str">
        <f t="shared" si="158"/>
        <v>中津市大字高瀬３３６</v>
      </c>
      <c r="L1240" s="403" t="s">
        <v>10327</v>
      </c>
      <c r="M1240" s="403" t="s">
        <v>10328</v>
      </c>
      <c r="N1240" s="403" t="s">
        <v>3708</v>
      </c>
      <c r="O1240" s="403" t="s">
        <v>7084</v>
      </c>
      <c r="P1240" s="403" t="s">
        <v>3709</v>
      </c>
      <c r="Q1240" s="403" t="s">
        <v>8102</v>
      </c>
      <c r="R1240" s="403" t="s">
        <v>5599</v>
      </c>
      <c r="S1240" s="403" t="s">
        <v>16244</v>
      </c>
      <c r="T1240" s="403" t="s">
        <v>16245</v>
      </c>
      <c r="U1240" s="403"/>
      <c r="V1240" s="403" t="s">
        <v>23024</v>
      </c>
      <c r="W1240" s="403" t="s">
        <v>23024</v>
      </c>
      <c r="X1240" s="403" t="s">
        <v>23024</v>
      </c>
      <c r="Y1240" s="403" t="s">
        <v>23024</v>
      </c>
    </row>
    <row r="1241" spans="1:25">
      <c r="A1241" s="363">
        <f t="shared" si="159"/>
        <v>1240</v>
      </c>
      <c r="B1241" s="363" t="str">
        <f t="shared" si="152"/>
        <v>44</v>
      </c>
      <c r="C1241" s="405" t="str">
        <f t="shared" si="153"/>
        <v>第011142号</v>
      </c>
      <c r="D1241" s="405" t="str">
        <f t="shared" si="154"/>
        <v>（株）大洋</v>
      </c>
      <c r="E1241" s="405" t="str">
        <f t="shared" si="155"/>
        <v>代表取締役</v>
      </c>
      <c r="F1241" s="405" t="str">
        <f t="shared" si="156"/>
        <v>堺　崇</v>
      </c>
      <c r="G1241" s="405" t="str">
        <f t="shared" si="157"/>
        <v>主たる営業所</v>
      </c>
      <c r="H1241" s="405" t="str">
        <f t="shared" si="158"/>
        <v>大分市大在北３－１３－９</v>
      </c>
      <c r="L1241" s="403" t="s">
        <v>10329</v>
      </c>
      <c r="M1241" s="403" t="s">
        <v>10330</v>
      </c>
      <c r="N1241" s="403" t="s">
        <v>3710</v>
      </c>
      <c r="O1241" s="403" t="s">
        <v>7084</v>
      </c>
      <c r="P1241" s="403" t="s">
        <v>3711</v>
      </c>
      <c r="Q1241" s="403" t="s">
        <v>10181</v>
      </c>
      <c r="R1241" s="403" t="s">
        <v>19628</v>
      </c>
      <c r="S1241" s="403" t="s">
        <v>16246</v>
      </c>
      <c r="T1241" s="403" t="s">
        <v>16247</v>
      </c>
      <c r="U1241" s="403"/>
      <c r="V1241" s="403" t="s">
        <v>23024</v>
      </c>
      <c r="W1241" s="403" t="s">
        <v>23024</v>
      </c>
      <c r="X1241" s="403" t="s">
        <v>23024</v>
      </c>
      <c r="Y1241" s="403" t="s">
        <v>23024</v>
      </c>
    </row>
    <row r="1242" spans="1:25">
      <c r="A1242" s="363">
        <f t="shared" si="159"/>
        <v>1241</v>
      </c>
      <c r="B1242" s="363" t="str">
        <f t="shared" si="152"/>
        <v>44</v>
      </c>
      <c r="C1242" s="405" t="str">
        <f t="shared" si="153"/>
        <v>第011145号</v>
      </c>
      <c r="D1242" s="405" t="str">
        <f t="shared" si="154"/>
        <v>（有）三浦電業社</v>
      </c>
      <c r="E1242" s="405" t="str">
        <f t="shared" si="155"/>
        <v>代表取締役</v>
      </c>
      <c r="F1242" s="405" t="str">
        <f t="shared" si="156"/>
        <v>三浦　孝</v>
      </c>
      <c r="G1242" s="405" t="str">
        <f t="shared" si="157"/>
        <v>主たる営業所</v>
      </c>
      <c r="H1242" s="405" t="str">
        <f t="shared" si="158"/>
        <v>大分市三佐２－１３－５</v>
      </c>
      <c r="L1242" s="403" t="s">
        <v>10331</v>
      </c>
      <c r="M1242" s="403" t="s">
        <v>10332</v>
      </c>
      <c r="N1242" s="403" t="s">
        <v>3712</v>
      </c>
      <c r="O1242" s="403" t="s">
        <v>7084</v>
      </c>
      <c r="P1242" s="403" t="s">
        <v>3713</v>
      </c>
      <c r="Q1242" s="403" t="s">
        <v>7413</v>
      </c>
      <c r="R1242" s="403" t="s">
        <v>19629</v>
      </c>
      <c r="S1242" s="403" t="s">
        <v>16248</v>
      </c>
      <c r="T1242" s="403" t="s">
        <v>16249</v>
      </c>
      <c r="U1242" s="403"/>
      <c r="V1242" s="403" t="s">
        <v>23024</v>
      </c>
      <c r="W1242" s="403" t="s">
        <v>23024</v>
      </c>
      <c r="X1242" s="403" t="s">
        <v>23024</v>
      </c>
      <c r="Y1242" s="403" t="s">
        <v>23024</v>
      </c>
    </row>
    <row r="1243" spans="1:25">
      <c r="A1243" s="363">
        <f t="shared" si="159"/>
        <v>1242</v>
      </c>
      <c r="B1243" s="363" t="str">
        <f t="shared" si="152"/>
        <v>44</v>
      </c>
      <c r="C1243" s="405" t="str">
        <f t="shared" si="153"/>
        <v>第011148号</v>
      </c>
      <c r="D1243" s="405" t="str">
        <f t="shared" si="154"/>
        <v>（有）跡田建設</v>
      </c>
      <c r="E1243" s="405" t="str">
        <f t="shared" si="155"/>
        <v>代表取締役</v>
      </c>
      <c r="F1243" s="405" t="str">
        <f t="shared" si="156"/>
        <v>久保　礼子</v>
      </c>
      <c r="G1243" s="405" t="str">
        <f t="shared" si="157"/>
        <v>主たる営業所</v>
      </c>
      <c r="H1243" s="405" t="str">
        <f t="shared" si="158"/>
        <v>中津市本耶馬渓町跡田９０－３</v>
      </c>
      <c r="L1243" s="403" t="s">
        <v>10333</v>
      </c>
      <c r="M1243" s="403" t="s">
        <v>10334</v>
      </c>
      <c r="N1243" s="403" t="s">
        <v>3714</v>
      </c>
      <c r="O1243" s="403" t="s">
        <v>7084</v>
      </c>
      <c r="P1243" s="403" t="s">
        <v>3715</v>
      </c>
      <c r="Q1243" s="403" t="s">
        <v>8900</v>
      </c>
      <c r="R1243" s="403" t="s">
        <v>19630</v>
      </c>
      <c r="S1243" s="403" t="s">
        <v>16250</v>
      </c>
      <c r="T1243" s="403" t="s">
        <v>16250</v>
      </c>
      <c r="U1243" s="403"/>
      <c r="V1243" s="403" t="s">
        <v>23024</v>
      </c>
      <c r="W1243" s="403" t="s">
        <v>23024</v>
      </c>
      <c r="X1243" s="403" t="s">
        <v>23024</v>
      </c>
      <c r="Y1243" s="403" t="s">
        <v>23024</v>
      </c>
    </row>
    <row r="1244" spans="1:25">
      <c r="A1244" s="363">
        <f t="shared" si="159"/>
        <v>1243</v>
      </c>
      <c r="B1244" s="363" t="str">
        <f t="shared" si="152"/>
        <v>44</v>
      </c>
      <c r="C1244" s="405" t="str">
        <f t="shared" si="153"/>
        <v>第011161号</v>
      </c>
      <c r="D1244" s="405" t="str">
        <f t="shared" si="154"/>
        <v>イトウ建設（有）</v>
      </c>
      <c r="E1244" s="405" t="str">
        <f t="shared" si="155"/>
        <v>代表取締役</v>
      </c>
      <c r="F1244" s="405" t="str">
        <f t="shared" si="156"/>
        <v>井東　千恵美</v>
      </c>
      <c r="G1244" s="405" t="str">
        <f t="shared" si="157"/>
        <v>主たる営業所</v>
      </c>
      <c r="H1244" s="405" t="str">
        <f t="shared" si="158"/>
        <v>津久見市大字千怒３５８３</v>
      </c>
      <c r="L1244" s="403" t="s">
        <v>10335</v>
      </c>
      <c r="M1244" s="403" t="s">
        <v>9230</v>
      </c>
      <c r="N1244" s="403" t="s">
        <v>3716</v>
      </c>
      <c r="O1244" s="403" t="s">
        <v>7084</v>
      </c>
      <c r="P1244" s="403" t="s">
        <v>3717</v>
      </c>
      <c r="Q1244" s="403" t="s">
        <v>7814</v>
      </c>
      <c r="R1244" s="403" t="s">
        <v>5600</v>
      </c>
      <c r="S1244" s="403" t="s">
        <v>16251</v>
      </c>
      <c r="T1244" s="403" t="s">
        <v>14258</v>
      </c>
      <c r="U1244" s="403"/>
      <c r="V1244" s="403" t="s">
        <v>23024</v>
      </c>
      <c r="W1244" s="403" t="s">
        <v>23024</v>
      </c>
      <c r="X1244" s="403" t="s">
        <v>23024</v>
      </c>
      <c r="Y1244" s="403" t="s">
        <v>23024</v>
      </c>
    </row>
    <row r="1245" spans="1:25">
      <c r="A1245" s="363">
        <f t="shared" si="159"/>
        <v>1244</v>
      </c>
      <c r="B1245" s="363" t="str">
        <f t="shared" si="152"/>
        <v>44</v>
      </c>
      <c r="C1245" s="405" t="str">
        <f t="shared" si="153"/>
        <v>第011165号</v>
      </c>
      <c r="D1245" s="405" t="str">
        <f t="shared" si="154"/>
        <v>（株）三共農園材</v>
      </c>
      <c r="E1245" s="405" t="str">
        <f t="shared" si="155"/>
        <v>代表取締役</v>
      </c>
      <c r="F1245" s="405" t="str">
        <f t="shared" si="156"/>
        <v>原田　伸介</v>
      </c>
      <c r="G1245" s="405" t="str">
        <f t="shared" si="157"/>
        <v>主たる営業所</v>
      </c>
      <c r="H1245" s="405" t="str">
        <f t="shared" si="158"/>
        <v>宇佐市大字和気９７６</v>
      </c>
      <c r="L1245" s="403" t="s">
        <v>10336</v>
      </c>
      <c r="M1245" s="403" t="s">
        <v>10337</v>
      </c>
      <c r="N1245" s="403" t="s">
        <v>3718</v>
      </c>
      <c r="O1245" s="403" t="s">
        <v>7084</v>
      </c>
      <c r="P1245" s="403" t="s">
        <v>3719</v>
      </c>
      <c r="Q1245" s="403" t="s">
        <v>8145</v>
      </c>
      <c r="R1245" s="403" t="s">
        <v>5601</v>
      </c>
      <c r="S1245" s="403" t="s">
        <v>16252</v>
      </c>
      <c r="T1245" s="403" t="s">
        <v>16253</v>
      </c>
      <c r="U1245" s="403"/>
      <c r="V1245" s="403" t="s">
        <v>23024</v>
      </c>
      <c r="W1245" s="403" t="s">
        <v>23024</v>
      </c>
      <c r="X1245" s="403" t="s">
        <v>23024</v>
      </c>
      <c r="Y1245" s="403" t="s">
        <v>23024</v>
      </c>
    </row>
    <row r="1246" spans="1:25">
      <c r="A1246" s="363">
        <f t="shared" si="159"/>
        <v>1245</v>
      </c>
      <c r="B1246" s="363" t="str">
        <f t="shared" si="152"/>
        <v>44</v>
      </c>
      <c r="C1246" s="405" t="str">
        <f t="shared" si="153"/>
        <v>第011171号</v>
      </c>
      <c r="D1246" s="405" t="str">
        <f t="shared" si="154"/>
        <v>（有）川中建設</v>
      </c>
      <c r="E1246" s="405" t="str">
        <f t="shared" si="155"/>
        <v>代表取締役</v>
      </c>
      <c r="F1246" s="405" t="str">
        <f t="shared" si="156"/>
        <v>川中　涼子</v>
      </c>
      <c r="G1246" s="405" t="str">
        <f t="shared" si="157"/>
        <v>主たる営業所</v>
      </c>
      <c r="H1246" s="405" t="str">
        <f t="shared" si="158"/>
        <v>大分市久原中央３－３－１３</v>
      </c>
      <c r="L1246" s="403" t="s">
        <v>10338</v>
      </c>
      <c r="M1246" s="403" t="s">
        <v>10339</v>
      </c>
      <c r="N1246" s="403" t="s">
        <v>3720</v>
      </c>
      <c r="O1246" s="403" t="s">
        <v>7084</v>
      </c>
      <c r="P1246" s="403" t="s">
        <v>3721</v>
      </c>
      <c r="Q1246" s="403" t="s">
        <v>10274</v>
      </c>
      <c r="R1246" s="403" t="s">
        <v>19631</v>
      </c>
      <c r="S1246" s="403" t="s">
        <v>16254</v>
      </c>
      <c r="T1246" s="403" t="s">
        <v>16255</v>
      </c>
      <c r="U1246" s="403"/>
      <c r="V1246" s="403" t="s">
        <v>23024</v>
      </c>
      <c r="W1246" s="403" t="s">
        <v>23024</v>
      </c>
      <c r="X1246" s="403" t="s">
        <v>23024</v>
      </c>
      <c r="Y1246" s="403" t="s">
        <v>23024</v>
      </c>
    </row>
    <row r="1247" spans="1:25">
      <c r="A1247" s="363">
        <f t="shared" si="159"/>
        <v>1246</v>
      </c>
      <c r="B1247" s="363" t="str">
        <f t="shared" si="152"/>
        <v>44</v>
      </c>
      <c r="C1247" s="405" t="str">
        <f t="shared" si="153"/>
        <v>第011186号</v>
      </c>
      <c r="D1247" s="405" t="str">
        <f t="shared" si="154"/>
        <v>（有）富士設備工業</v>
      </c>
      <c r="E1247" s="405" t="str">
        <f t="shared" si="155"/>
        <v>代表取締役社長</v>
      </c>
      <c r="F1247" s="405" t="str">
        <f t="shared" si="156"/>
        <v>安部　茂</v>
      </c>
      <c r="G1247" s="405" t="str">
        <f t="shared" si="157"/>
        <v>主たる営業所</v>
      </c>
      <c r="H1247" s="405" t="str">
        <f t="shared" si="158"/>
        <v>大分市竹の上１２－５１</v>
      </c>
      <c r="L1247" s="403" t="s">
        <v>10340</v>
      </c>
      <c r="M1247" s="403" t="s">
        <v>9401</v>
      </c>
      <c r="N1247" s="403" t="s">
        <v>3722</v>
      </c>
      <c r="O1247" s="403" t="s">
        <v>7083</v>
      </c>
      <c r="P1247" s="403" t="s">
        <v>4355</v>
      </c>
      <c r="Q1247" s="403" t="s">
        <v>8839</v>
      </c>
      <c r="R1247" s="403" t="s">
        <v>19632</v>
      </c>
      <c r="S1247" s="403" t="s">
        <v>16256</v>
      </c>
      <c r="T1247" s="403" t="s">
        <v>16257</v>
      </c>
      <c r="U1247" s="403"/>
      <c r="V1247" s="403" t="s">
        <v>23024</v>
      </c>
      <c r="W1247" s="403" t="s">
        <v>23024</v>
      </c>
      <c r="X1247" s="403" t="s">
        <v>23024</v>
      </c>
      <c r="Y1247" s="403" t="s">
        <v>23024</v>
      </c>
    </row>
    <row r="1248" spans="1:25">
      <c r="A1248" s="363">
        <f t="shared" si="159"/>
        <v>1247</v>
      </c>
      <c r="B1248" s="363" t="str">
        <f t="shared" si="152"/>
        <v>44</v>
      </c>
      <c r="C1248" s="405" t="str">
        <f t="shared" si="153"/>
        <v>第011188号</v>
      </c>
      <c r="D1248" s="405" t="str">
        <f t="shared" si="154"/>
        <v>（有）藤元工業</v>
      </c>
      <c r="E1248" s="405" t="str">
        <f t="shared" si="155"/>
        <v>代表取締役</v>
      </c>
      <c r="F1248" s="405" t="str">
        <f t="shared" si="156"/>
        <v>丸井　正詮</v>
      </c>
      <c r="G1248" s="405" t="str">
        <f t="shared" si="157"/>
        <v>主たる営業所</v>
      </c>
      <c r="H1248" s="405" t="str">
        <f t="shared" si="158"/>
        <v>豊後大野市大野町屋原５８７－１</v>
      </c>
      <c r="L1248" s="403" t="s">
        <v>10341</v>
      </c>
      <c r="M1248" s="403" t="s">
        <v>7474</v>
      </c>
      <c r="N1248" s="403" t="s">
        <v>3723</v>
      </c>
      <c r="O1248" s="403" t="s">
        <v>7084</v>
      </c>
      <c r="P1248" s="403" t="s">
        <v>3724</v>
      </c>
      <c r="Q1248" s="403" t="s">
        <v>9091</v>
      </c>
      <c r="R1248" s="403" t="s">
        <v>19633</v>
      </c>
      <c r="S1248" s="403" t="s">
        <v>16258</v>
      </c>
      <c r="T1248" s="403" t="s">
        <v>16259</v>
      </c>
      <c r="U1248" s="403"/>
      <c r="V1248" s="403" t="s">
        <v>23024</v>
      </c>
      <c r="W1248" s="403" t="s">
        <v>23024</v>
      </c>
      <c r="X1248" s="403" t="s">
        <v>23024</v>
      </c>
      <c r="Y1248" s="403" t="s">
        <v>23024</v>
      </c>
    </row>
    <row r="1249" spans="1:25">
      <c r="A1249" s="363">
        <f t="shared" si="159"/>
        <v>1248</v>
      </c>
      <c r="B1249" s="363" t="str">
        <f t="shared" si="152"/>
        <v>44</v>
      </c>
      <c r="C1249" s="405" t="str">
        <f t="shared" si="153"/>
        <v>第011190号</v>
      </c>
      <c r="D1249" s="405" t="str">
        <f t="shared" si="154"/>
        <v>中西建設工業（株）</v>
      </c>
      <c r="E1249" s="405" t="str">
        <f t="shared" si="155"/>
        <v>代表取締役</v>
      </c>
      <c r="F1249" s="405" t="str">
        <f t="shared" si="156"/>
        <v>中西　正一</v>
      </c>
      <c r="G1249" s="405" t="str">
        <f t="shared" si="157"/>
        <v>主たる営業所</v>
      </c>
      <c r="H1249" s="405" t="str">
        <f t="shared" si="158"/>
        <v>津久見市大字網代５６６４－７</v>
      </c>
      <c r="L1249" s="403" t="s">
        <v>10342</v>
      </c>
      <c r="M1249" s="403" t="s">
        <v>10343</v>
      </c>
      <c r="N1249" s="403" t="s">
        <v>3725</v>
      </c>
      <c r="O1249" s="403" t="s">
        <v>7084</v>
      </c>
      <c r="P1249" s="403" t="s">
        <v>3726</v>
      </c>
      <c r="Q1249" s="403" t="s">
        <v>10344</v>
      </c>
      <c r="R1249" s="403" t="s">
        <v>19634</v>
      </c>
      <c r="S1249" s="403" t="s">
        <v>16260</v>
      </c>
      <c r="T1249" s="403" t="s">
        <v>16260</v>
      </c>
      <c r="U1249" s="403"/>
      <c r="V1249" s="403" t="s">
        <v>23024</v>
      </c>
      <c r="W1249" s="403" t="s">
        <v>23024</v>
      </c>
      <c r="X1249" s="403" t="s">
        <v>23024</v>
      </c>
      <c r="Y1249" s="403" t="s">
        <v>23024</v>
      </c>
    </row>
    <row r="1250" spans="1:25">
      <c r="A1250" s="363">
        <f t="shared" si="159"/>
        <v>1249</v>
      </c>
      <c r="B1250" s="363" t="str">
        <f t="shared" si="152"/>
        <v>44</v>
      </c>
      <c r="C1250" s="405" t="str">
        <f t="shared" si="153"/>
        <v>第011199号</v>
      </c>
      <c r="D1250" s="405" t="str">
        <f t="shared" si="154"/>
        <v>（有）河向工業</v>
      </c>
      <c r="E1250" s="405" t="str">
        <f t="shared" si="155"/>
        <v>代表取締役</v>
      </c>
      <c r="F1250" s="405" t="str">
        <f t="shared" si="156"/>
        <v>河向　一彦</v>
      </c>
      <c r="G1250" s="405" t="str">
        <f t="shared" si="157"/>
        <v>主たる営業所</v>
      </c>
      <c r="H1250" s="405" t="str">
        <f t="shared" si="158"/>
        <v>佐伯市大字鶴望４４８４－１</v>
      </c>
      <c r="L1250" s="403" t="s">
        <v>10345</v>
      </c>
      <c r="M1250" s="403" t="s">
        <v>10346</v>
      </c>
      <c r="N1250" s="403" t="s">
        <v>3727</v>
      </c>
      <c r="O1250" s="403" t="s">
        <v>7084</v>
      </c>
      <c r="P1250" s="403" t="s">
        <v>3728</v>
      </c>
      <c r="Q1250" s="403" t="s">
        <v>8463</v>
      </c>
      <c r="R1250" s="403" t="s">
        <v>19635</v>
      </c>
      <c r="S1250" s="403" t="s">
        <v>16261</v>
      </c>
      <c r="T1250" s="403" t="s">
        <v>16262</v>
      </c>
      <c r="U1250" s="403"/>
      <c r="V1250" s="403" t="s">
        <v>23024</v>
      </c>
      <c r="W1250" s="403" t="s">
        <v>23024</v>
      </c>
      <c r="X1250" s="403" t="s">
        <v>23024</v>
      </c>
      <c r="Y1250" s="403" t="s">
        <v>23024</v>
      </c>
    </row>
    <row r="1251" spans="1:25">
      <c r="A1251" s="363">
        <f t="shared" si="159"/>
        <v>1250</v>
      </c>
      <c r="B1251" s="363" t="str">
        <f t="shared" si="152"/>
        <v>44</v>
      </c>
      <c r="C1251" s="405" t="str">
        <f t="shared" si="153"/>
        <v>第011213号</v>
      </c>
      <c r="D1251" s="405" t="str">
        <f t="shared" si="154"/>
        <v>ルーテツク（株）</v>
      </c>
      <c r="E1251" s="405" t="str">
        <f t="shared" si="155"/>
        <v>代表取締役</v>
      </c>
      <c r="F1251" s="405" t="str">
        <f t="shared" si="156"/>
        <v>阿南　哲成</v>
      </c>
      <c r="G1251" s="405" t="str">
        <f t="shared" si="157"/>
        <v>主たる営業所</v>
      </c>
      <c r="H1251" s="405" t="str">
        <f t="shared" si="158"/>
        <v>大分市寺崎町２－４－２４</v>
      </c>
      <c r="L1251" s="403" t="s">
        <v>10347</v>
      </c>
      <c r="M1251" s="403" t="s">
        <v>10348</v>
      </c>
      <c r="N1251" s="403" t="s">
        <v>3729</v>
      </c>
      <c r="O1251" s="403" t="s">
        <v>7084</v>
      </c>
      <c r="P1251" s="403" t="s">
        <v>3730</v>
      </c>
      <c r="Q1251" s="403" t="s">
        <v>7316</v>
      </c>
      <c r="R1251" s="403" t="s">
        <v>19636</v>
      </c>
      <c r="S1251" s="403" t="s">
        <v>16263</v>
      </c>
      <c r="T1251" s="403" t="s">
        <v>16264</v>
      </c>
      <c r="U1251" s="403"/>
      <c r="V1251" s="403" t="s">
        <v>23024</v>
      </c>
      <c r="W1251" s="403" t="s">
        <v>23024</v>
      </c>
      <c r="X1251" s="403" t="s">
        <v>23024</v>
      </c>
      <c r="Y1251" s="403" t="s">
        <v>23024</v>
      </c>
    </row>
    <row r="1252" spans="1:25">
      <c r="A1252" s="363">
        <f t="shared" si="159"/>
        <v>1251</v>
      </c>
      <c r="B1252" s="363" t="str">
        <f t="shared" si="152"/>
        <v>44</v>
      </c>
      <c r="C1252" s="405" t="str">
        <f t="shared" si="153"/>
        <v>第011214号</v>
      </c>
      <c r="D1252" s="405" t="str">
        <f t="shared" si="154"/>
        <v>（株）九建</v>
      </c>
      <c r="E1252" s="405" t="str">
        <f t="shared" si="155"/>
        <v>代表取締役</v>
      </c>
      <c r="F1252" s="405" t="str">
        <f t="shared" si="156"/>
        <v>藤原　嗣毅</v>
      </c>
      <c r="G1252" s="405" t="str">
        <f t="shared" si="157"/>
        <v>主たる営業所</v>
      </c>
      <c r="H1252" s="405" t="str">
        <f t="shared" si="158"/>
        <v>大分市大字片島２４５６－１７</v>
      </c>
      <c r="L1252" s="403" t="s">
        <v>10349</v>
      </c>
      <c r="M1252" s="403" t="s">
        <v>10350</v>
      </c>
      <c r="N1252" s="403" t="s">
        <v>3731</v>
      </c>
      <c r="O1252" s="403" t="s">
        <v>7084</v>
      </c>
      <c r="P1252" s="403" t="s">
        <v>3732</v>
      </c>
      <c r="Q1252" s="403" t="s">
        <v>8687</v>
      </c>
      <c r="R1252" s="403" t="s">
        <v>19637</v>
      </c>
      <c r="S1252" s="403" t="s">
        <v>16265</v>
      </c>
      <c r="T1252" s="403" t="s">
        <v>16266</v>
      </c>
      <c r="U1252" s="403"/>
      <c r="V1252" s="403" t="s">
        <v>23024</v>
      </c>
      <c r="W1252" s="403" t="s">
        <v>23024</v>
      </c>
      <c r="X1252" s="403" t="s">
        <v>23024</v>
      </c>
      <c r="Y1252" s="403" t="s">
        <v>23024</v>
      </c>
    </row>
    <row r="1253" spans="1:25">
      <c r="A1253" s="363">
        <f t="shared" si="159"/>
        <v>1252</v>
      </c>
      <c r="B1253" s="363" t="str">
        <f t="shared" si="152"/>
        <v>44</v>
      </c>
      <c r="C1253" s="405" t="str">
        <f t="shared" si="153"/>
        <v>第011227号</v>
      </c>
      <c r="D1253" s="405" t="str">
        <f t="shared" si="154"/>
        <v>（有）安藤設備</v>
      </c>
      <c r="E1253" s="405" t="str">
        <f t="shared" si="155"/>
        <v>代表取締役</v>
      </c>
      <c r="F1253" s="405" t="str">
        <f t="shared" si="156"/>
        <v>安藤　幸子</v>
      </c>
      <c r="G1253" s="405" t="str">
        <f t="shared" si="157"/>
        <v>主たる営業所</v>
      </c>
      <c r="H1253" s="405" t="str">
        <f t="shared" si="158"/>
        <v>豊後高田市草地１７９１－１</v>
      </c>
      <c r="L1253" s="403" t="s">
        <v>10351</v>
      </c>
      <c r="M1253" s="403" t="s">
        <v>10352</v>
      </c>
      <c r="N1253" s="403" t="s">
        <v>3733</v>
      </c>
      <c r="O1253" s="403" t="s">
        <v>7084</v>
      </c>
      <c r="P1253" s="403" t="s">
        <v>3734</v>
      </c>
      <c r="Q1253" s="403" t="s">
        <v>10353</v>
      </c>
      <c r="R1253" s="403" t="s">
        <v>19638</v>
      </c>
      <c r="S1253" s="403" t="s">
        <v>16267</v>
      </c>
      <c r="T1253" s="403" t="s">
        <v>16268</v>
      </c>
      <c r="U1253" s="403"/>
      <c r="V1253" s="403" t="s">
        <v>23024</v>
      </c>
      <c r="W1253" s="403" t="s">
        <v>23024</v>
      </c>
      <c r="X1253" s="403" t="s">
        <v>23024</v>
      </c>
      <c r="Y1253" s="403" t="s">
        <v>23024</v>
      </c>
    </row>
    <row r="1254" spans="1:25">
      <c r="A1254" s="363">
        <f t="shared" si="159"/>
        <v>1253</v>
      </c>
      <c r="B1254" s="363" t="str">
        <f t="shared" si="152"/>
        <v>44</v>
      </c>
      <c r="C1254" s="405" t="str">
        <f t="shared" si="153"/>
        <v>第011232号</v>
      </c>
      <c r="D1254" s="405" t="str">
        <f t="shared" si="154"/>
        <v>（株）三浦造船所</v>
      </c>
      <c r="E1254" s="405" t="str">
        <f t="shared" si="155"/>
        <v>代表取締役</v>
      </c>
      <c r="F1254" s="405" t="str">
        <f t="shared" si="156"/>
        <v>三浦　唯秀</v>
      </c>
      <c r="G1254" s="405" t="str">
        <f t="shared" si="157"/>
        <v>主たる営業所</v>
      </c>
      <c r="H1254" s="405" t="str">
        <f t="shared" si="158"/>
        <v>佐伯市大字鶴望４９００</v>
      </c>
      <c r="L1254" s="403" t="s">
        <v>10354</v>
      </c>
      <c r="M1254" s="403" t="s">
        <v>10355</v>
      </c>
      <c r="N1254" s="403" t="s">
        <v>3735</v>
      </c>
      <c r="O1254" s="403" t="s">
        <v>7084</v>
      </c>
      <c r="P1254" s="403" t="s">
        <v>3736</v>
      </c>
      <c r="Q1254" s="403" t="s">
        <v>10356</v>
      </c>
      <c r="R1254" s="403" t="s">
        <v>5602</v>
      </c>
      <c r="S1254" s="403" t="s">
        <v>16269</v>
      </c>
      <c r="T1254" s="403" t="s">
        <v>16270</v>
      </c>
      <c r="U1254" s="403"/>
      <c r="V1254" s="403" t="s">
        <v>23024</v>
      </c>
      <c r="W1254" s="403" t="s">
        <v>23024</v>
      </c>
      <c r="X1254" s="403" t="s">
        <v>23024</v>
      </c>
      <c r="Y1254" s="403" t="s">
        <v>23024</v>
      </c>
    </row>
    <row r="1255" spans="1:25">
      <c r="A1255" s="363">
        <f t="shared" si="159"/>
        <v>1254</v>
      </c>
      <c r="B1255" s="363" t="str">
        <f t="shared" si="152"/>
        <v>44</v>
      </c>
      <c r="C1255" s="405" t="str">
        <f t="shared" si="153"/>
        <v>第011252号</v>
      </c>
      <c r="D1255" s="405" t="str">
        <f t="shared" si="154"/>
        <v>（有）東建設</v>
      </c>
      <c r="E1255" s="405" t="str">
        <f t="shared" si="155"/>
        <v>代表取締役</v>
      </c>
      <c r="F1255" s="405" t="str">
        <f t="shared" si="156"/>
        <v>石藤　基弘</v>
      </c>
      <c r="G1255" s="405" t="str">
        <f t="shared" si="157"/>
        <v>主たる営業所</v>
      </c>
      <c r="H1255" s="405" t="str">
        <f t="shared" si="158"/>
        <v>竹田市大字吉田３３１－１</v>
      </c>
      <c r="L1255" s="403" t="s">
        <v>10357</v>
      </c>
      <c r="M1255" s="403" t="s">
        <v>10358</v>
      </c>
      <c r="N1255" s="403" t="s">
        <v>3737</v>
      </c>
      <c r="O1255" s="403" t="s">
        <v>7084</v>
      </c>
      <c r="P1255" s="403" t="s">
        <v>3738</v>
      </c>
      <c r="Q1255" s="403" t="s">
        <v>10359</v>
      </c>
      <c r="R1255" s="403" t="s">
        <v>19639</v>
      </c>
      <c r="S1255" s="403" t="s">
        <v>16271</v>
      </c>
      <c r="T1255" s="403" t="s">
        <v>16272</v>
      </c>
      <c r="U1255" s="403"/>
      <c r="V1255" s="403" t="s">
        <v>23024</v>
      </c>
      <c r="W1255" s="403" t="s">
        <v>23024</v>
      </c>
      <c r="X1255" s="403" t="s">
        <v>23024</v>
      </c>
      <c r="Y1255" s="403" t="s">
        <v>23024</v>
      </c>
    </row>
    <row r="1256" spans="1:25">
      <c r="A1256" s="363">
        <f t="shared" si="159"/>
        <v>1255</v>
      </c>
      <c r="B1256" s="363" t="str">
        <f t="shared" si="152"/>
        <v>44</v>
      </c>
      <c r="C1256" s="405" t="str">
        <f t="shared" si="153"/>
        <v>第011256号</v>
      </c>
      <c r="D1256" s="405" t="str">
        <f t="shared" si="154"/>
        <v>（有）イワシタ総合建設</v>
      </c>
      <c r="E1256" s="405" t="str">
        <f t="shared" si="155"/>
        <v>代表取締役</v>
      </c>
      <c r="F1256" s="405" t="str">
        <f t="shared" si="156"/>
        <v>岩下　竜二</v>
      </c>
      <c r="G1256" s="405" t="str">
        <f t="shared" si="157"/>
        <v>主たる営業所</v>
      </c>
      <c r="H1256" s="405" t="str">
        <f t="shared" si="158"/>
        <v>日田市天瀬町馬原１６５７</v>
      </c>
      <c r="L1256" s="403" t="s">
        <v>10360</v>
      </c>
      <c r="M1256" s="403" t="s">
        <v>10361</v>
      </c>
      <c r="N1256" s="403" t="s">
        <v>3739</v>
      </c>
      <c r="O1256" s="403" t="s">
        <v>7084</v>
      </c>
      <c r="P1256" s="403" t="s">
        <v>3740</v>
      </c>
      <c r="Q1256" s="403" t="s">
        <v>10362</v>
      </c>
      <c r="R1256" s="403" t="s">
        <v>5603</v>
      </c>
      <c r="S1256" s="403" t="s">
        <v>16273</v>
      </c>
      <c r="T1256" s="403" t="s">
        <v>16274</v>
      </c>
      <c r="U1256" s="403"/>
      <c r="V1256" s="403" t="s">
        <v>23024</v>
      </c>
      <c r="W1256" s="403" t="s">
        <v>23024</v>
      </c>
      <c r="X1256" s="403" t="s">
        <v>23024</v>
      </c>
      <c r="Y1256" s="403" t="s">
        <v>23024</v>
      </c>
    </row>
    <row r="1257" spans="1:25">
      <c r="A1257" s="363">
        <f t="shared" si="159"/>
        <v>1256</v>
      </c>
      <c r="B1257" s="363" t="str">
        <f t="shared" si="152"/>
        <v>44</v>
      </c>
      <c r="C1257" s="405" t="str">
        <f t="shared" si="153"/>
        <v>第011257号</v>
      </c>
      <c r="D1257" s="405" t="str">
        <f t="shared" si="154"/>
        <v>（有）小野屋</v>
      </c>
      <c r="E1257" s="405" t="str">
        <f t="shared" si="155"/>
        <v>代表取締役</v>
      </c>
      <c r="F1257" s="405" t="str">
        <f t="shared" si="156"/>
        <v>渡邉　賢一</v>
      </c>
      <c r="G1257" s="405" t="str">
        <f t="shared" si="157"/>
        <v>主たる営業所</v>
      </c>
      <c r="H1257" s="405" t="str">
        <f t="shared" si="158"/>
        <v>宇佐市大字辛島２９５－１</v>
      </c>
      <c r="L1257" s="403" t="s">
        <v>10363</v>
      </c>
      <c r="M1257" s="403" t="s">
        <v>10364</v>
      </c>
      <c r="N1257" s="403" t="s">
        <v>3741</v>
      </c>
      <c r="O1257" s="403" t="s">
        <v>7084</v>
      </c>
      <c r="P1257" s="403" t="s">
        <v>3742</v>
      </c>
      <c r="Q1257" s="403" t="s">
        <v>7596</v>
      </c>
      <c r="R1257" s="403" t="s">
        <v>19640</v>
      </c>
      <c r="S1257" s="403" t="s">
        <v>16275</v>
      </c>
      <c r="T1257" s="403" t="s">
        <v>16276</v>
      </c>
      <c r="U1257" s="403"/>
      <c r="V1257" s="403" t="s">
        <v>23024</v>
      </c>
      <c r="W1257" s="403" t="s">
        <v>23024</v>
      </c>
      <c r="X1257" s="403" t="s">
        <v>23024</v>
      </c>
      <c r="Y1257" s="403" t="s">
        <v>23024</v>
      </c>
    </row>
    <row r="1258" spans="1:25">
      <c r="A1258" s="363">
        <f t="shared" si="159"/>
        <v>1257</v>
      </c>
      <c r="B1258" s="363" t="str">
        <f t="shared" si="152"/>
        <v>44</v>
      </c>
      <c r="C1258" s="405" t="str">
        <f t="shared" si="153"/>
        <v>第011258号</v>
      </c>
      <c r="D1258" s="405" t="str">
        <f t="shared" si="154"/>
        <v>ＡＴ機工</v>
      </c>
      <c r="E1258" s="405" t="str">
        <f t="shared" si="155"/>
        <v>代表者</v>
      </c>
      <c r="F1258" s="405" t="str">
        <f t="shared" si="156"/>
        <v>青柳　潤治</v>
      </c>
      <c r="G1258" s="405" t="str">
        <f t="shared" si="157"/>
        <v>主たる営業所</v>
      </c>
      <c r="H1258" s="405" t="str">
        <f t="shared" si="158"/>
        <v>速見郡日出町３０５２</v>
      </c>
      <c r="L1258" s="403" t="s">
        <v>10365</v>
      </c>
      <c r="M1258" s="403" t="s">
        <v>10366</v>
      </c>
      <c r="N1258" s="403" t="s">
        <v>3743</v>
      </c>
      <c r="O1258" s="403" t="s">
        <v>7086</v>
      </c>
      <c r="P1258" s="403" t="s">
        <v>3744</v>
      </c>
      <c r="Q1258" s="403" t="s">
        <v>7628</v>
      </c>
      <c r="R1258" s="403" t="s">
        <v>5604</v>
      </c>
      <c r="S1258" s="403" t="s">
        <v>16277</v>
      </c>
      <c r="T1258" s="403" t="s">
        <v>16278</v>
      </c>
      <c r="U1258" s="403"/>
      <c r="V1258" s="403" t="s">
        <v>23024</v>
      </c>
      <c r="W1258" s="403" t="s">
        <v>23024</v>
      </c>
      <c r="X1258" s="403" t="s">
        <v>23024</v>
      </c>
      <c r="Y1258" s="403" t="s">
        <v>23024</v>
      </c>
    </row>
    <row r="1259" spans="1:25">
      <c r="A1259" s="363">
        <f t="shared" si="159"/>
        <v>1258</v>
      </c>
      <c r="B1259" s="363" t="str">
        <f t="shared" si="152"/>
        <v>44</v>
      </c>
      <c r="C1259" s="405" t="str">
        <f t="shared" si="153"/>
        <v>第011263号</v>
      </c>
      <c r="D1259" s="405" t="str">
        <f t="shared" si="154"/>
        <v>新電業</v>
      </c>
      <c r="E1259" s="405" t="str">
        <f t="shared" si="155"/>
        <v>事業主</v>
      </c>
      <c r="F1259" s="405" t="str">
        <f t="shared" si="156"/>
        <v>津田　新吾</v>
      </c>
      <c r="G1259" s="405" t="str">
        <f t="shared" si="157"/>
        <v>主たる営業所</v>
      </c>
      <c r="H1259" s="405" t="str">
        <f t="shared" si="158"/>
        <v>佐伯市蒲江大字森崎浦２７５</v>
      </c>
      <c r="L1259" s="403" t="s">
        <v>10367</v>
      </c>
      <c r="M1259" s="403" t="s">
        <v>10368</v>
      </c>
      <c r="N1259" s="403" t="s">
        <v>3745</v>
      </c>
      <c r="O1259" s="403" t="s">
        <v>7088</v>
      </c>
      <c r="P1259" s="403" t="s">
        <v>3746</v>
      </c>
      <c r="Q1259" s="403" t="s">
        <v>10369</v>
      </c>
      <c r="R1259" s="403" t="s">
        <v>5605</v>
      </c>
      <c r="S1259" s="403" t="s">
        <v>16279</v>
      </c>
      <c r="T1259" s="403" t="s">
        <v>16279</v>
      </c>
      <c r="U1259" s="403"/>
      <c r="V1259" s="403" t="s">
        <v>23024</v>
      </c>
      <c r="W1259" s="403" t="s">
        <v>23024</v>
      </c>
      <c r="X1259" s="403" t="s">
        <v>23024</v>
      </c>
      <c r="Y1259" s="403" t="s">
        <v>23024</v>
      </c>
    </row>
    <row r="1260" spans="1:25">
      <c r="A1260" s="363">
        <f t="shared" si="159"/>
        <v>1259</v>
      </c>
      <c r="B1260" s="363" t="str">
        <f t="shared" si="152"/>
        <v>44</v>
      </c>
      <c r="C1260" s="405" t="str">
        <f t="shared" si="153"/>
        <v>第011266号</v>
      </c>
      <c r="D1260" s="405" t="str">
        <f t="shared" si="154"/>
        <v>（有）上田工業</v>
      </c>
      <c r="E1260" s="405" t="str">
        <f t="shared" si="155"/>
        <v>代表取締役</v>
      </c>
      <c r="F1260" s="405" t="str">
        <f t="shared" si="156"/>
        <v>上田　茂</v>
      </c>
      <c r="G1260" s="405" t="str">
        <f t="shared" si="157"/>
        <v>主たる営業所</v>
      </c>
      <c r="H1260" s="405" t="str">
        <f t="shared" si="158"/>
        <v>佐伯市大字上岡３４５</v>
      </c>
      <c r="L1260" s="403" t="s">
        <v>10370</v>
      </c>
      <c r="M1260" s="403" t="s">
        <v>10371</v>
      </c>
      <c r="N1260" s="403" t="s">
        <v>3747</v>
      </c>
      <c r="O1260" s="403" t="s">
        <v>7084</v>
      </c>
      <c r="P1260" s="403" t="s">
        <v>3748</v>
      </c>
      <c r="Q1260" s="403" t="s">
        <v>8530</v>
      </c>
      <c r="R1260" s="403" t="s">
        <v>5606</v>
      </c>
      <c r="S1260" s="403" t="s">
        <v>16280</v>
      </c>
      <c r="T1260" s="403" t="s">
        <v>16281</v>
      </c>
      <c r="U1260" s="403"/>
      <c r="V1260" s="403" t="s">
        <v>23024</v>
      </c>
      <c r="W1260" s="403" t="s">
        <v>23024</v>
      </c>
      <c r="X1260" s="403" t="s">
        <v>23024</v>
      </c>
      <c r="Y1260" s="403" t="s">
        <v>23024</v>
      </c>
    </row>
    <row r="1261" spans="1:25">
      <c r="A1261" s="363">
        <f t="shared" si="159"/>
        <v>1260</v>
      </c>
      <c r="B1261" s="363" t="str">
        <f t="shared" si="152"/>
        <v>44</v>
      </c>
      <c r="C1261" s="405" t="str">
        <f t="shared" si="153"/>
        <v>第011274号</v>
      </c>
      <c r="D1261" s="405" t="str">
        <f t="shared" si="154"/>
        <v>（有）東九サービス</v>
      </c>
      <c r="E1261" s="405" t="str">
        <f t="shared" si="155"/>
        <v>代表取締役</v>
      </c>
      <c r="F1261" s="405" t="str">
        <f t="shared" si="156"/>
        <v>小野　敏則</v>
      </c>
      <c r="G1261" s="405" t="str">
        <f t="shared" si="157"/>
        <v>主たる営業所</v>
      </c>
      <c r="H1261" s="405" t="str">
        <f t="shared" si="158"/>
        <v>大分市大字津留１９７０－９</v>
      </c>
      <c r="L1261" s="404" t="s">
        <v>10372</v>
      </c>
      <c r="M1261" s="404" t="s">
        <v>10373</v>
      </c>
      <c r="N1261" s="404" t="s">
        <v>3749</v>
      </c>
      <c r="O1261" s="404" t="s">
        <v>7084</v>
      </c>
      <c r="P1261" s="404" t="s">
        <v>3750</v>
      </c>
      <c r="Q1261" s="404" t="s">
        <v>7294</v>
      </c>
      <c r="R1261" s="404" t="s">
        <v>19641</v>
      </c>
      <c r="S1261" s="404" t="s">
        <v>16282</v>
      </c>
      <c r="T1261" s="404" t="s">
        <v>16283</v>
      </c>
      <c r="U1261" s="404"/>
      <c r="V1261" s="404" t="s">
        <v>23024</v>
      </c>
      <c r="W1261" s="404" t="s">
        <v>23024</v>
      </c>
      <c r="X1261" s="404" t="s">
        <v>23024</v>
      </c>
      <c r="Y1261" s="404" t="s">
        <v>23024</v>
      </c>
    </row>
    <row r="1262" spans="1:25">
      <c r="A1262" s="363">
        <f t="shared" si="159"/>
        <v>1261</v>
      </c>
      <c r="B1262" s="363" t="str">
        <f t="shared" si="152"/>
        <v>44</v>
      </c>
      <c r="C1262" s="405" t="str">
        <f t="shared" si="153"/>
        <v>第011279号</v>
      </c>
      <c r="D1262" s="405" t="str">
        <f t="shared" si="154"/>
        <v>（有）風元土木</v>
      </c>
      <c r="E1262" s="405" t="str">
        <f t="shared" si="155"/>
        <v>代表取締役</v>
      </c>
      <c r="F1262" s="405" t="str">
        <f t="shared" si="156"/>
        <v>高羽　健治</v>
      </c>
      <c r="G1262" s="405" t="str">
        <f t="shared" si="157"/>
        <v>主たる営業所</v>
      </c>
      <c r="H1262" s="405" t="str">
        <f t="shared" si="158"/>
        <v>佐伯市蒲江大字森崎浦１１４９－１</v>
      </c>
      <c r="L1262" s="402" t="s">
        <v>10374</v>
      </c>
      <c r="M1262" s="402" t="s">
        <v>10375</v>
      </c>
      <c r="N1262" s="402" t="s">
        <v>3751</v>
      </c>
      <c r="O1262" s="402" t="s">
        <v>7084</v>
      </c>
      <c r="P1262" s="402" t="s">
        <v>3752</v>
      </c>
      <c r="Q1262" s="402" t="s">
        <v>10369</v>
      </c>
      <c r="R1262" s="402" t="s">
        <v>19642</v>
      </c>
      <c r="S1262" s="402" t="s">
        <v>16284</v>
      </c>
      <c r="T1262" s="402" t="s">
        <v>16285</v>
      </c>
      <c r="U1262" s="402"/>
      <c r="V1262" s="402" t="s">
        <v>23024</v>
      </c>
      <c r="W1262" s="402" t="s">
        <v>23024</v>
      </c>
      <c r="X1262" s="402" t="s">
        <v>23024</v>
      </c>
      <c r="Y1262" s="402" t="s">
        <v>23024</v>
      </c>
    </row>
    <row r="1263" spans="1:25">
      <c r="A1263" s="363">
        <f t="shared" si="159"/>
        <v>1262</v>
      </c>
      <c r="B1263" s="363" t="str">
        <f t="shared" si="152"/>
        <v>44</v>
      </c>
      <c r="C1263" s="405" t="str">
        <f t="shared" si="153"/>
        <v>第011281号</v>
      </c>
      <c r="D1263" s="405" t="str">
        <f t="shared" si="154"/>
        <v>（株）内藤組</v>
      </c>
      <c r="E1263" s="405" t="str">
        <f t="shared" si="155"/>
        <v>代表取締役</v>
      </c>
      <c r="F1263" s="405" t="str">
        <f t="shared" si="156"/>
        <v>内藤　鉄也</v>
      </c>
      <c r="G1263" s="405" t="str">
        <f t="shared" si="157"/>
        <v>主たる営業所</v>
      </c>
      <c r="H1263" s="405" t="str">
        <f t="shared" si="158"/>
        <v>臼杵市野津町大字千塚６３２－２</v>
      </c>
      <c r="L1263" s="403" t="s">
        <v>10376</v>
      </c>
      <c r="M1263" s="403" t="s">
        <v>10377</v>
      </c>
      <c r="N1263" s="403" t="s">
        <v>3753</v>
      </c>
      <c r="O1263" s="403" t="s">
        <v>7084</v>
      </c>
      <c r="P1263" s="403" t="s">
        <v>3754</v>
      </c>
      <c r="Q1263" s="403" t="s">
        <v>10378</v>
      </c>
      <c r="R1263" s="403" t="s">
        <v>19643</v>
      </c>
      <c r="S1263" s="403" t="s">
        <v>16286</v>
      </c>
      <c r="T1263" s="403" t="s">
        <v>16287</v>
      </c>
      <c r="U1263" s="403"/>
      <c r="V1263" s="403" t="s">
        <v>23024</v>
      </c>
      <c r="W1263" s="403" t="s">
        <v>23024</v>
      </c>
      <c r="X1263" s="403" t="s">
        <v>23024</v>
      </c>
      <c r="Y1263" s="403" t="s">
        <v>23024</v>
      </c>
    </row>
    <row r="1264" spans="1:25">
      <c r="A1264" s="363">
        <f t="shared" si="159"/>
        <v>1263</v>
      </c>
      <c r="B1264" s="363" t="str">
        <f t="shared" si="152"/>
        <v>44</v>
      </c>
      <c r="C1264" s="405" t="str">
        <f t="shared" si="153"/>
        <v>第011282号</v>
      </c>
      <c r="D1264" s="405" t="str">
        <f t="shared" si="154"/>
        <v>藤本組</v>
      </c>
      <c r="E1264" s="405" t="str">
        <f t="shared" si="155"/>
        <v>代表者</v>
      </c>
      <c r="F1264" s="405" t="str">
        <f t="shared" si="156"/>
        <v>藤本　政喜</v>
      </c>
      <c r="G1264" s="405" t="str">
        <f t="shared" si="157"/>
        <v>主たる営業所</v>
      </c>
      <c r="H1264" s="405" t="str">
        <f t="shared" si="158"/>
        <v>日田市大字小山２３１－１</v>
      </c>
      <c r="L1264" s="403" t="s">
        <v>10379</v>
      </c>
      <c r="M1264" s="403" t="s">
        <v>10380</v>
      </c>
      <c r="N1264" s="403" t="s">
        <v>3755</v>
      </c>
      <c r="O1264" s="403" t="s">
        <v>7086</v>
      </c>
      <c r="P1264" s="403" t="s">
        <v>3756</v>
      </c>
      <c r="Q1264" s="403" t="s">
        <v>8573</v>
      </c>
      <c r="R1264" s="403" t="s">
        <v>19644</v>
      </c>
      <c r="S1264" s="403" t="s">
        <v>16288</v>
      </c>
      <c r="T1264" s="403" t="s">
        <v>16289</v>
      </c>
      <c r="U1264" s="403"/>
      <c r="V1264" s="403" t="s">
        <v>23024</v>
      </c>
      <c r="W1264" s="403" t="s">
        <v>23024</v>
      </c>
      <c r="X1264" s="403" t="s">
        <v>23024</v>
      </c>
      <c r="Y1264" s="403" t="s">
        <v>23024</v>
      </c>
    </row>
    <row r="1265" spans="1:25">
      <c r="A1265" s="363">
        <f t="shared" si="159"/>
        <v>1264</v>
      </c>
      <c r="B1265" s="363" t="str">
        <f t="shared" si="152"/>
        <v>44</v>
      </c>
      <c r="C1265" s="405" t="str">
        <f t="shared" si="153"/>
        <v>第011285号</v>
      </c>
      <c r="D1265" s="405" t="str">
        <f t="shared" si="154"/>
        <v>（株）九管通</v>
      </c>
      <c r="E1265" s="405" t="str">
        <f t="shared" si="155"/>
        <v>代表取締役</v>
      </c>
      <c r="F1265" s="405" t="str">
        <f t="shared" si="156"/>
        <v>田染　健志</v>
      </c>
      <c r="G1265" s="405" t="str">
        <f t="shared" si="157"/>
        <v>主たる営業所</v>
      </c>
      <c r="H1265" s="405" t="str">
        <f t="shared" si="158"/>
        <v>宇佐市大字富山１８７</v>
      </c>
      <c r="L1265" s="403" t="s">
        <v>10381</v>
      </c>
      <c r="M1265" s="403" t="s">
        <v>10382</v>
      </c>
      <c r="N1265" s="403" t="s">
        <v>3757</v>
      </c>
      <c r="O1265" s="403" t="s">
        <v>7084</v>
      </c>
      <c r="P1265" s="403" t="s">
        <v>3758</v>
      </c>
      <c r="Q1265" s="403" t="s">
        <v>8084</v>
      </c>
      <c r="R1265" s="403" t="s">
        <v>5607</v>
      </c>
      <c r="S1265" s="403" t="s">
        <v>16290</v>
      </c>
      <c r="T1265" s="403" t="s">
        <v>16291</v>
      </c>
      <c r="U1265" s="403"/>
      <c r="V1265" s="403" t="s">
        <v>23024</v>
      </c>
      <c r="W1265" s="403" t="s">
        <v>23024</v>
      </c>
      <c r="X1265" s="403" t="s">
        <v>23024</v>
      </c>
      <c r="Y1265" s="403" t="s">
        <v>23024</v>
      </c>
    </row>
    <row r="1266" spans="1:25">
      <c r="A1266" s="363">
        <f t="shared" si="159"/>
        <v>1265</v>
      </c>
      <c r="B1266" s="363" t="str">
        <f t="shared" si="152"/>
        <v>44</v>
      </c>
      <c r="C1266" s="405" t="str">
        <f t="shared" si="153"/>
        <v>第011287号</v>
      </c>
      <c r="D1266" s="405" t="str">
        <f t="shared" si="154"/>
        <v>（有）拡大興産</v>
      </c>
      <c r="E1266" s="405" t="str">
        <f t="shared" si="155"/>
        <v>代表取締役</v>
      </c>
      <c r="F1266" s="405" t="str">
        <f t="shared" si="156"/>
        <v>東　達広</v>
      </c>
      <c r="G1266" s="405" t="str">
        <f t="shared" si="157"/>
        <v>主たる営業所</v>
      </c>
      <c r="H1266" s="405" t="str">
        <f t="shared" si="158"/>
        <v>臼杵市大字諏訪１６１６－９</v>
      </c>
      <c r="L1266" s="403" t="s">
        <v>10383</v>
      </c>
      <c r="M1266" s="403" t="s">
        <v>10384</v>
      </c>
      <c r="N1266" s="403" t="s">
        <v>3759</v>
      </c>
      <c r="O1266" s="403" t="s">
        <v>7084</v>
      </c>
      <c r="P1266" s="403" t="s">
        <v>3760</v>
      </c>
      <c r="Q1266" s="403" t="s">
        <v>7788</v>
      </c>
      <c r="R1266" s="403" t="s">
        <v>19645</v>
      </c>
      <c r="S1266" s="403" t="s">
        <v>16292</v>
      </c>
      <c r="T1266" s="403" t="s">
        <v>16292</v>
      </c>
      <c r="U1266" s="403"/>
      <c r="V1266" s="403" t="s">
        <v>23024</v>
      </c>
      <c r="W1266" s="403" t="s">
        <v>23024</v>
      </c>
      <c r="X1266" s="403" t="s">
        <v>23024</v>
      </c>
      <c r="Y1266" s="403" t="s">
        <v>23024</v>
      </c>
    </row>
    <row r="1267" spans="1:25">
      <c r="A1267" s="363">
        <f t="shared" si="159"/>
        <v>1266</v>
      </c>
      <c r="B1267" s="363" t="str">
        <f t="shared" si="152"/>
        <v>44</v>
      </c>
      <c r="C1267" s="405" t="str">
        <f t="shared" si="153"/>
        <v>第011289号</v>
      </c>
      <c r="D1267" s="405" t="str">
        <f t="shared" si="154"/>
        <v>共立興業（有）</v>
      </c>
      <c r="E1267" s="405" t="str">
        <f t="shared" si="155"/>
        <v>代表取締役</v>
      </c>
      <c r="F1267" s="405" t="str">
        <f t="shared" si="156"/>
        <v>高橋　剛</v>
      </c>
      <c r="G1267" s="405" t="str">
        <f t="shared" si="157"/>
        <v>主たる営業所</v>
      </c>
      <c r="H1267" s="405" t="str">
        <f t="shared" si="158"/>
        <v>大分市三川上２－１－１</v>
      </c>
      <c r="L1267" s="403" t="s">
        <v>10385</v>
      </c>
      <c r="M1267" s="403" t="s">
        <v>10386</v>
      </c>
      <c r="N1267" s="403" t="s">
        <v>3761</v>
      </c>
      <c r="O1267" s="403" t="s">
        <v>7084</v>
      </c>
      <c r="P1267" s="403" t="s">
        <v>3762</v>
      </c>
      <c r="Q1267" s="403" t="s">
        <v>8753</v>
      </c>
      <c r="R1267" s="403" t="s">
        <v>19646</v>
      </c>
      <c r="S1267" s="403" t="s">
        <v>16293</v>
      </c>
      <c r="T1267" s="403" t="s">
        <v>16294</v>
      </c>
      <c r="U1267" s="403"/>
      <c r="V1267" s="403" t="s">
        <v>23024</v>
      </c>
      <c r="W1267" s="403" t="s">
        <v>23024</v>
      </c>
      <c r="X1267" s="403" t="s">
        <v>23024</v>
      </c>
      <c r="Y1267" s="403" t="s">
        <v>23024</v>
      </c>
    </row>
    <row r="1268" spans="1:25">
      <c r="A1268" s="363">
        <f t="shared" si="159"/>
        <v>1267</v>
      </c>
      <c r="B1268" s="363" t="str">
        <f t="shared" si="152"/>
        <v>44</v>
      </c>
      <c r="C1268" s="405" t="str">
        <f t="shared" si="153"/>
        <v>第011298号</v>
      </c>
      <c r="D1268" s="405" t="str">
        <f t="shared" si="154"/>
        <v>中野建設（有）</v>
      </c>
      <c r="E1268" s="405" t="str">
        <f t="shared" si="155"/>
        <v>代表取締役</v>
      </c>
      <c r="F1268" s="405" t="str">
        <f t="shared" si="156"/>
        <v>中野　博</v>
      </c>
      <c r="G1268" s="405" t="str">
        <f t="shared" si="157"/>
        <v>主たる営業所</v>
      </c>
      <c r="H1268" s="405" t="str">
        <f t="shared" si="158"/>
        <v>宇佐市大字住江３９９</v>
      </c>
      <c r="L1268" s="403" t="s">
        <v>10387</v>
      </c>
      <c r="M1268" s="403" t="s">
        <v>10388</v>
      </c>
      <c r="N1268" s="403" t="s">
        <v>3763</v>
      </c>
      <c r="O1268" s="403" t="s">
        <v>7084</v>
      </c>
      <c r="P1268" s="403" t="s">
        <v>3764</v>
      </c>
      <c r="Q1268" s="403" t="s">
        <v>10389</v>
      </c>
      <c r="R1268" s="403" t="s">
        <v>5608</v>
      </c>
      <c r="S1268" s="403" t="s">
        <v>16295</v>
      </c>
      <c r="T1268" s="403" t="s">
        <v>16296</v>
      </c>
      <c r="U1268" s="403"/>
      <c r="V1268" s="403" t="s">
        <v>23024</v>
      </c>
      <c r="W1268" s="403" t="s">
        <v>23024</v>
      </c>
      <c r="X1268" s="403" t="s">
        <v>23024</v>
      </c>
      <c r="Y1268" s="403" t="s">
        <v>23024</v>
      </c>
    </row>
    <row r="1269" spans="1:25">
      <c r="A1269" s="363">
        <f t="shared" si="159"/>
        <v>1268</v>
      </c>
      <c r="B1269" s="363" t="str">
        <f t="shared" si="152"/>
        <v>44</v>
      </c>
      <c r="C1269" s="405" t="str">
        <f t="shared" si="153"/>
        <v>第011311号</v>
      </c>
      <c r="D1269" s="405" t="str">
        <f t="shared" si="154"/>
        <v>（株）九建クラフト</v>
      </c>
      <c r="E1269" s="405" t="str">
        <f t="shared" si="155"/>
        <v>代表取締役</v>
      </c>
      <c r="F1269" s="405" t="str">
        <f t="shared" si="156"/>
        <v>羽田野　智裕</v>
      </c>
      <c r="G1269" s="405" t="str">
        <f t="shared" si="157"/>
        <v>主たる営業所</v>
      </c>
      <c r="H1269" s="405" t="str">
        <f t="shared" si="158"/>
        <v>竹田市大字玉来５４３－３７</v>
      </c>
      <c r="L1269" s="403" t="s">
        <v>10390</v>
      </c>
      <c r="M1269" s="403" t="s">
        <v>10391</v>
      </c>
      <c r="N1269" s="403" t="s">
        <v>3765</v>
      </c>
      <c r="O1269" s="403" t="s">
        <v>7084</v>
      </c>
      <c r="P1269" s="403" t="s">
        <v>3766</v>
      </c>
      <c r="Q1269" s="403" t="s">
        <v>7965</v>
      </c>
      <c r="R1269" s="403" t="s">
        <v>19647</v>
      </c>
      <c r="S1269" s="403" t="s">
        <v>16297</v>
      </c>
      <c r="T1269" s="403" t="s">
        <v>16298</v>
      </c>
      <c r="U1269" s="403"/>
      <c r="V1269" s="403" t="s">
        <v>23024</v>
      </c>
      <c r="W1269" s="403" t="s">
        <v>23024</v>
      </c>
      <c r="X1269" s="403" t="s">
        <v>23024</v>
      </c>
      <c r="Y1269" s="403" t="s">
        <v>23024</v>
      </c>
    </row>
    <row r="1270" spans="1:25">
      <c r="A1270" s="363">
        <f t="shared" si="159"/>
        <v>1269</v>
      </c>
      <c r="B1270" s="363" t="str">
        <f t="shared" si="152"/>
        <v>44</v>
      </c>
      <c r="C1270" s="405" t="str">
        <f t="shared" si="153"/>
        <v>第011312号</v>
      </c>
      <c r="D1270" s="405" t="str">
        <f t="shared" si="154"/>
        <v>（有）大一工業</v>
      </c>
      <c r="E1270" s="405" t="str">
        <f t="shared" si="155"/>
        <v>代表取締役</v>
      </c>
      <c r="F1270" s="405" t="str">
        <f t="shared" si="156"/>
        <v>大塚　勇司</v>
      </c>
      <c r="G1270" s="405" t="str">
        <f t="shared" si="157"/>
        <v>主たる営業所</v>
      </c>
      <c r="H1270" s="405" t="str">
        <f t="shared" si="158"/>
        <v>大分市大字寒田１４９０－１９</v>
      </c>
      <c r="L1270" s="403" t="s">
        <v>10392</v>
      </c>
      <c r="M1270" s="403" t="s">
        <v>10393</v>
      </c>
      <c r="N1270" s="403" t="s">
        <v>3767</v>
      </c>
      <c r="O1270" s="403" t="s">
        <v>7084</v>
      </c>
      <c r="P1270" s="403" t="s">
        <v>3768</v>
      </c>
      <c r="Q1270" s="403" t="s">
        <v>8820</v>
      </c>
      <c r="R1270" s="403" t="s">
        <v>19648</v>
      </c>
      <c r="S1270" s="403" t="s">
        <v>16299</v>
      </c>
      <c r="T1270" s="403" t="s">
        <v>16300</v>
      </c>
      <c r="U1270" s="403"/>
      <c r="V1270" s="403" t="s">
        <v>23024</v>
      </c>
      <c r="W1270" s="403" t="s">
        <v>23024</v>
      </c>
      <c r="X1270" s="403" t="s">
        <v>23024</v>
      </c>
      <c r="Y1270" s="403" t="s">
        <v>23024</v>
      </c>
    </row>
    <row r="1271" spans="1:25">
      <c r="A1271" s="363">
        <f t="shared" si="159"/>
        <v>1270</v>
      </c>
      <c r="B1271" s="363" t="str">
        <f t="shared" si="152"/>
        <v>44</v>
      </c>
      <c r="C1271" s="405" t="str">
        <f t="shared" si="153"/>
        <v>第011328号</v>
      </c>
      <c r="D1271" s="405" t="str">
        <f t="shared" si="154"/>
        <v>（有）河野電気工事</v>
      </c>
      <c r="E1271" s="405" t="str">
        <f t="shared" si="155"/>
        <v>代表取締役</v>
      </c>
      <c r="F1271" s="405" t="str">
        <f t="shared" si="156"/>
        <v>河野　英生</v>
      </c>
      <c r="G1271" s="405" t="str">
        <f t="shared" si="157"/>
        <v>主たる営業所</v>
      </c>
      <c r="H1271" s="405" t="str">
        <f t="shared" si="158"/>
        <v>別府市大字内竈字上別府１２２３－５</v>
      </c>
      <c r="L1271" s="403" t="s">
        <v>10394</v>
      </c>
      <c r="M1271" s="403" t="s">
        <v>10395</v>
      </c>
      <c r="N1271" s="403" t="s">
        <v>3769</v>
      </c>
      <c r="O1271" s="403" t="s">
        <v>7084</v>
      </c>
      <c r="P1271" s="403" t="s">
        <v>3770</v>
      </c>
      <c r="Q1271" s="403" t="s">
        <v>9888</v>
      </c>
      <c r="R1271" s="403" t="s">
        <v>19649</v>
      </c>
      <c r="S1271" s="403" t="s">
        <v>16301</v>
      </c>
      <c r="T1271" s="403" t="s">
        <v>16302</v>
      </c>
      <c r="U1271" s="403"/>
      <c r="V1271" s="403" t="s">
        <v>23024</v>
      </c>
      <c r="W1271" s="403" t="s">
        <v>23024</v>
      </c>
      <c r="X1271" s="403" t="s">
        <v>23024</v>
      </c>
      <c r="Y1271" s="403" t="s">
        <v>23024</v>
      </c>
    </row>
    <row r="1272" spans="1:25">
      <c r="A1272" s="363">
        <f t="shared" si="159"/>
        <v>1271</v>
      </c>
      <c r="B1272" s="363" t="str">
        <f t="shared" si="152"/>
        <v>44</v>
      </c>
      <c r="C1272" s="405" t="str">
        <f t="shared" si="153"/>
        <v>第011333号</v>
      </c>
      <c r="D1272" s="405" t="str">
        <f t="shared" si="154"/>
        <v>（有）クスダ開発工業</v>
      </c>
      <c r="E1272" s="405" t="str">
        <f t="shared" si="155"/>
        <v>取締役</v>
      </c>
      <c r="F1272" s="405" t="str">
        <f t="shared" si="156"/>
        <v>楠田　好男</v>
      </c>
      <c r="G1272" s="405" t="str">
        <f t="shared" si="157"/>
        <v>主たる営業所</v>
      </c>
      <c r="H1272" s="405" t="str">
        <f t="shared" si="158"/>
        <v>速見郡日出町大字川崎４３３９－３</v>
      </c>
      <c r="L1272" s="403" t="s">
        <v>10396</v>
      </c>
      <c r="M1272" s="403" t="s">
        <v>10397</v>
      </c>
      <c r="N1272" s="403" t="s">
        <v>3771</v>
      </c>
      <c r="O1272" s="403" t="s">
        <v>7085</v>
      </c>
      <c r="P1272" s="403" t="s">
        <v>3772</v>
      </c>
      <c r="Q1272" s="403" t="s">
        <v>7590</v>
      </c>
      <c r="R1272" s="403" t="s">
        <v>19650</v>
      </c>
      <c r="S1272" s="403" t="s">
        <v>16303</v>
      </c>
      <c r="T1272" s="403" t="s">
        <v>16304</v>
      </c>
      <c r="U1272" s="403"/>
      <c r="V1272" s="403" t="s">
        <v>23024</v>
      </c>
      <c r="W1272" s="403" t="s">
        <v>23024</v>
      </c>
      <c r="X1272" s="403" t="s">
        <v>23024</v>
      </c>
      <c r="Y1272" s="403" t="s">
        <v>23024</v>
      </c>
    </row>
    <row r="1273" spans="1:25">
      <c r="A1273" s="363">
        <f t="shared" si="159"/>
        <v>1272</v>
      </c>
      <c r="B1273" s="363" t="str">
        <f t="shared" si="152"/>
        <v>44</v>
      </c>
      <c r="C1273" s="405" t="str">
        <f t="shared" si="153"/>
        <v>第011343号</v>
      </c>
      <c r="D1273" s="405" t="str">
        <f t="shared" si="154"/>
        <v>（有）森山建設</v>
      </c>
      <c r="E1273" s="405" t="str">
        <f t="shared" si="155"/>
        <v>代表取締役</v>
      </c>
      <c r="F1273" s="405" t="str">
        <f t="shared" si="156"/>
        <v>森山　剛行</v>
      </c>
      <c r="G1273" s="405" t="str">
        <f t="shared" si="157"/>
        <v>主たる営業所</v>
      </c>
      <c r="H1273" s="405" t="str">
        <f t="shared" si="158"/>
        <v>日田市大字夜明１７４</v>
      </c>
      <c r="L1273" s="403" t="s">
        <v>10398</v>
      </c>
      <c r="M1273" s="403" t="s">
        <v>10399</v>
      </c>
      <c r="N1273" s="403" t="s">
        <v>3773</v>
      </c>
      <c r="O1273" s="403" t="s">
        <v>7084</v>
      </c>
      <c r="P1273" s="403" t="s">
        <v>3774</v>
      </c>
      <c r="Q1273" s="403" t="s">
        <v>10400</v>
      </c>
      <c r="R1273" s="403" t="s">
        <v>5609</v>
      </c>
      <c r="S1273" s="403" t="s">
        <v>16305</v>
      </c>
      <c r="T1273" s="403" t="s">
        <v>16306</v>
      </c>
      <c r="U1273" s="403"/>
      <c r="V1273" s="403" t="s">
        <v>23024</v>
      </c>
      <c r="W1273" s="403" t="s">
        <v>23024</v>
      </c>
      <c r="X1273" s="403" t="s">
        <v>23024</v>
      </c>
      <c r="Y1273" s="403" t="s">
        <v>23024</v>
      </c>
    </row>
    <row r="1274" spans="1:25">
      <c r="A1274" s="363">
        <f t="shared" si="159"/>
        <v>1273</v>
      </c>
      <c r="B1274" s="363" t="str">
        <f t="shared" si="152"/>
        <v>44</v>
      </c>
      <c r="C1274" s="405" t="str">
        <f t="shared" si="153"/>
        <v>第011344号</v>
      </c>
      <c r="D1274" s="405" t="str">
        <f t="shared" si="154"/>
        <v>（株）中村建材店</v>
      </c>
      <c r="E1274" s="405" t="str">
        <f t="shared" si="155"/>
        <v>代表取締役</v>
      </c>
      <c r="F1274" s="405" t="str">
        <f t="shared" si="156"/>
        <v>中村　慎一郎</v>
      </c>
      <c r="G1274" s="405" t="str">
        <f t="shared" si="157"/>
        <v>主たる営業所</v>
      </c>
      <c r="H1274" s="405" t="str">
        <f t="shared" si="158"/>
        <v>豊後高田市高田２１４５－１</v>
      </c>
      <c r="L1274" s="403" t="s">
        <v>10401</v>
      </c>
      <c r="M1274" s="403" t="s">
        <v>10402</v>
      </c>
      <c r="N1274" s="403" t="s">
        <v>3775</v>
      </c>
      <c r="O1274" s="403" t="s">
        <v>7084</v>
      </c>
      <c r="P1274" s="403" t="s">
        <v>3776</v>
      </c>
      <c r="Q1274" s="403" t="s">
        <v>7669</v>
      </c>
      <c r="R1274" s="403" t="s">
        <v>19651</v>
      </c>
      <c r="S1274" s="403" t="s">
        <v>16307</v>
      </c>
      <c r="T1274" s="403" t="s">
        <v>16308</v>
      </c>
      <c r="U1274" s="403"/>
      <c r="V1274" s="403" t="s">
        <v>23024</v>
      </c>
      <c r="W1274" s="403" t="s">
        <v>23024</v>
      </c>
      <c r="X1274" s="403" t="s">
        <v>23024</v>
      </c>
      <c r="Y1274" s="403" t="s">
        <v>23024</v>
      </c>
    </row>
    <row r="1275" spans="1:25">
      <c r="A1275" s="363">
        <f t="shared" si="159"/>
        <v>1274</v>
      </c>
      <c r="B1275" s="363" t="str">
        <f t="shared" si="152"/>
        <v>44</v>
      </c>
      <c r="C1275" s="405" t="str">
        <f t="shared" si="153"/>
        <v>第011351号</v>
      </c>
      <c r="D1275" s="405" t="str">
        <f t="shared" si="154"/>
        <v>（有）浜路電機</v>
      </c>
      <c r="E1275" s="405" t="str">
        <f t="shared" si="155"/>
        <v>代表取締役</v>
      </c>
      <c r="F1275" s="405" t="str">
        <f t="shared" si="156"/>
        <v>浜路　喜佐雄</v>
      </c>
      <c r="G1275" s="405" t="str">
        <f t="shared" si="157"/>
        <v>主たる営業所</v>
      </c>
      <c r="H1275" s="405" t="str">
        <f t="shared" si="158"/>
        <v>佐伯市鶴見大字地松浦５５０－１９</v>
      </c>
      <c r="L1275" s="403" t="s">
        <v>10403</v>
      </c>
      <c r="M1275" s="403" t="s">
        <v>10404</v>
      </c>
      <c r="N1275" s="403" t="s">
        <v>3777</v>
      </c>
      <c r="O1275" s="403" t="s">
        <v>7084</v>
      </c>
      <c r="P1275" s="403" t="s">
        <v>5319</v>
      </c>
      <c r="Q1275" s="403" t="s">
        <v>8492</v>
      </c>
      <c r="R1275" s="403" t="s">
        <v>19652</v>
      </c>
      <c r="S1275" s="403" t="s">
        <v>16309</v>
      </c>
      <c r="T1275" s="403" t="s">
        <v>16310</v>
      </c>
      <c r="U1275" s="403"/>
      <c r="V1275" s="403" t="s">
        <v>23024</v>
      </c>
      <c r="W1275" s="403" t="s">
        <v>23024</v>
      </c>
      <c r="X1275" s="403" t="s">
        <v>23024</v>
      </c>
      <c r="Y1275" s="403" t="s">
        <v>23024</v>
      </c>
    </row>
    <row r="1276" spans="1:25">
      <c r="A1276" s="363">
        <f t="shared" si="159"/>
        <v>1275</v>
      </c>
      <c r="B1276" s="363" t="str">
        <f t="shared" si="152"/>
        <v>44</v>
      </c>
      <c r="C1276" s="405" t="str">
        <f t="shared" si="153"/>
        <v>第011358号</v>
      </c>
      <c r="D1276" s="405" t="str">
        <f t="shared" si="154"/>
        <v>（有）エムアールエー</v>
      </c>
      <c r="E1276" s="405" t="str">
        <f t="shared" si="155"/>
        <v>代表取締役</v>
      </c>
      <c r="F1276" s="405" t="str">
        <f t="shared" si="156"/>
        <v>宮園　美加</v>
      </c>
      <c r="G1276" s="405" t="str">
        <f t="shared" si="157"/>
        <v>主たる営業所</v>
      </c>
      <c r="H1276" s="405" t="str">
        <f t="shared" si="158"/>
        <v>国東市武蔵町古市２３７－１</v>
      </c>
      <c r="L1276" s="403" t="s">
        <v>10405</v>
      </c>
      <c r="M1276" s="403" t="s">
        <v>10406</v>
      </c>
      <c r="N1276" s="403" t="s">
        <v>3778</v>
      </c>
      <c r="O1276" s="403" t="s">
        <v>7084</v>
      </c>
      <c r="P1276" s="403" t="s">
        <v>3779</v>
      </c>
      <c r="Q1276" s="403" t="s">
        <v>7715</v>
      </c>
      <c r="R1276" s="403" t="s">
        <v>19653</v>
      </c>
      <c r="S1276" s="403" t="s">
        <v>19654</v>
      </c>
      <c r="T1276" s="403" t="s">
        <v>19654</v>
      </c>
      <c r="U1276" s="403"/>
      <c r="V1276" s="403" t="s">
        <v>23024</v>
      </c>
      <c r="W1276" s="403" t="s">
        <v>23024</v>
      </c>
      <c r="X1276" s="403" t="s">
        <v>23024</v>
      </c>
      <c r="Y1276" s="403" t="s">
        <v>23024</v>
      </c>
    </row>
    <row r="1277" spans="1:25">
      <c r="A1277" s="363">
        <f t="shared" si="159"/>
        <v>1276</v>
      </c>
      <c r="B1277" s="363" t="str">
        <f t="shared" si="152"/>
        <v>44</v>
      </c>
      <c r="C1277" s="405" t="str">
        <f t="shared" si="153"/>
        <v>第011362号</v>
      </c>
      <c r="D1277" s="405" t="str">
        <f t="shared" si="154"/>
        <v>（有）伸栄電設</v>
      </c>
      <c r="E1277" s="405" t="str">
        <f t="shared" si="155"/>
        <v>代表取締役</v>
      </c>
      <c r="F1277" s="405" t="str">
        <f t="shared" si="156"/>
        <v>吉田　龍司</v>
      </c>
      <c r="G1277" s="405" t="str">
        <f t="shared" si="157"/>
        <v>主たる営業所</v>
      </c>
      <c r="H1277" s="405" t="str">
        <f t="shared" si="158"/>
        <v>臼杵市野津町大字西寒田２０４３－１</v>
      </c>
      <c r="L1277" s="403" t="s">
        <v>10407</v>
      </c>
      <c r="M1277" s="403" t="s">
        <v>10408</v>
      </c>
      <c r="N1277" s="403" t="s">
        <v>3780</v>
      </c>
      <c r="O1277" s="403" t="s">
        <v>7084</v>
      </c>
      <c r="P1277" s="403" t="s">
        <v>3781</v>
      </c>
      <c r="Q1277" s="403" t="s">
        <v>10409</v>
      </c>
      <c r="R1277" s="403" t="s">
        <v>19655</v>
      </c>
      <c r="S1277" s="403" t="s">
        <v>16311</v>
      </c>
      <c r="T1277" s="403" t="s">
        <v>16312</v>
      </c>
      <c r="U1277" s="403"/>
      <c r="V1277" s="403" t="s">
        <v>23024</v>
      </c>
      <c r="W1277" s="403" t="s">
        <v>23024</v>
      </c>
      <c r="X1277" s="403" t="s">
        <v>23024</v>
      </c>
      <c r="Y1277" s="403" t="s">
        <v>23024</v>
      </c>
    </row>
    <row r="1278" spans="1:25">
      <c r="A1278" s="363">
        <f t="shared" si="159"/>
        <v>1277</v>
      </c>
      <c r="B1278" s="363" t="str">
        <f t="shared" si="152"/>
        <v>44</v>
      </c>
      <c r="C1278" s="405" t="str">
        <f t="shared" si="153"/>
        <v>第011369号</v>
      </c>
      <c r="D1278" s="405" t="str">
        <f t="shared" si="154"/>
        <v>（有）稲生建設</v>
      </c>
      <c r="E1278" s="405" t="str">
        <f t="shared" si="155"/>
        <v>代表取締役</v>
      </c>
      <c r="F1278" s="405" t="str">
        <f t="shared" si="156"/>
        <v>稲生　誠吾</v>
      </c>
      <c r="G1278" s="405" t="str">
        <f t="shared" si="157"/>
        <v>主たる営業所</v>
      </c>
      <c r="H1278" s="405" t="str">
        <f t="shared" si="158"/>
        <v>大分市大字本神崎８４３－３</v>
      </c>
      <c r="L1278" s="403" t="s">
        <v>10410</v>
      </c>
      <c r="M1278" s="403" t="s">
        <v>10411</v>
      </c>
      <c r="N1278" s="403" t="s">
        <v>3782</v>
      </c>
      <c r="O1278" s="403" t="s">
        <v>7084</v>
      </c>
      <c r="P1278" s="403" t="s">
        <v>3783</v>
      </c>
      <c r="Q1278" s="403" t="s">
        <v>10412</v>
      </c>
      <c r="R1278" s="403" t="s">
        <v>19656</v>
      </c>
      <c r="S1278" s="403" t="s">
        <v>16313</v>
      </c>
      <c r="T1278" s="403" t="s">
        <v>16314</v>
      </c>
      <c r="U1278" s="403"/>
      <c r="V1278" s="403" t="s">
        <v>23024</v>
      </c>
      <c r="W1278" s="403" t="s">
        <v>23024</v>
      </c>
      <c r="X1278" s="403" t="s">
        <v>23024</v>
      </c>
      <c r="Y1278" s="403" t="s">
        <v>23024</v>
      </c>
    </row>
    <row r="1279" spans="1:25">
      <c r="A1279" s="363">
        <f t="shared" si="159"/>
        <v>1278</v>
      </c>
      <c r="B1279" s="363" t="str">
        <f t="shared" si="152"/>
        <v>44</v>
      </c>
      <c r="C1279" s="405" t="str">
        <f t="shared" si="153"/>
        <v>第011370号</v>
      </c>
      <c r="D1279" s="405" t="str">
        <f t="shared" si="154"/>
        <v>アイエヌシー・ワース（有）</v>
      </c>
      <c r="E1279" s="405" t="str">
        <f t="shared" si="155"/>
        <v>取締役</v>
      </c>
      <c r="F1279" s="405" t="str">
        <f t="shared" si="156"/>
        <v>永松　重美</v>
      </c>
      <c r="G1279" s="405" t="str">
        <f t="shared" si="157"/>
        <v>主たる営業所</v>
      </c>
      <c r="H1279" s="405" t="str">
        <f t="shared" si="158"/>
        <v>中津市大字大塚８３２－５</v>
      </c>
      <c r="L1279" s="403" t="s">
        <v>10413</v>
      </c>
      <c r="M1279" s="403" t="s">
        <v>10414</v>
      </c>
      <c r="N1279" s="403" t="s">
        <v>3784</v>
      </c>
      <c r="O1279" s="403" t="s">
        <v>7085</v>
      </c>
      <c r="P1279" s="403" t="s">
        <v>3785</v>
      </c>
      <c r="Q1279" s="403" t="s">
        <v>8078</v>
      </c>
      <c r="R1279" s="403" t="s">
        <v>19657</v>
      </c>
      <c r="S1279" s="403" t="s">
        <v>16315</v>
      </c>
      <c r="T1279" s="403" t="s">
        <v>16316</v>
      </c>
      <c r="U1279" s="403"/>
      <c r="V1279" s="403" t="s">
        <v>23024</v>
      </c>
      <c r="W1279" s="403" t="s">
        <v>23024</v>
      </c>
      <c r="X1279" s="403" t="s">
        <v>23024</v>
      </c>
      <c r="Y1279" s="403" t="s">
        <v>23024</v>
      </c>
    </row>
    <row r="1280" spans="1:25">
      <c r="A1280" s="363">
        <f t="shared" si="159"/>
        <v>1279</v>
      </c>
      <c r="B1280" s="363" t="str">
        <f t="shared" si="152"/>
        <v>44</v>
      </c>
      <c r="C1280" s="405" t="str">
        <f t="shared" si="153"/>
        <v>第011374号</v>
      </c>
      <c r="D1280" s="405" t="str">
        <f t="shared" si="154"/>
        <v>（有）亀井電気工事</v>
      </c>
      <c r="E1280" s="405" t="str">
        <f t="shared" si="155"/>
        <v>代表取締役</v>
      </c>
      <c r="F1280" s="405" t="str">
        <f t="shared" si="156"/>
        <v>瀧口　進</v>
      </c>
      <c r="G1280" s="405" t="str">
        <f t="shared" si="157"/>
        <v>主たる営業所</v>
      </c>
      <c r="H1280" s="405" t="str">
        <f t="shared" si="158"/>
        <v>杵築市大字狩宿１２８０－１</v>
      </c>
      <c r="L1280" s="403" t="s">
        <v>10415</v>
      </c>
      <c r="M1280" s="403" t="s">
        <v>10416</v>
      </c>
      <c r="N1280" s="403" t="s">
        <v>3786</v>
      </c>
      <c r="O1280" s="403" t="s">
        <v>7084</v>
      </c>
      <c r="P1280" s="403" t="s">
        <v>5254</v>
      </c>
      <c r="Q1280" s="403" t="s">
        <v>10417</v>
      </c>
      <c r="R1280" s="403" t="s">
        <v>19658</v>
      </c>
      <c r="S1280" s="403" t="s">
        <v>16317</v>
      </c>
      <c r="T1280" s="403" t="s">
        <v>16318</v>
      </c>
      <c r="U1280" s="403"/>
      <c r="V1280" s="403" t="s">
        <v>23024</v>
      </c>
      <c r="W1280" s="403" t="s">
        <v>23024</v>
      </c>
      <c r="X1280" s="403" t="s">
        <v>23024</v>
      </c>
      <c r="Y1280" s="403" t="s">
        <v>23024</v>
      </c>
    </row>
    <row r="1281" spans="1:25">
      <c r="A1281" s="363">
        <f t="shared" si="159"/>
        <v>1280</v>
      </c>
      <c r="B1281" s="363" t="str">
        <f t="shared" si="152"/>
        <v>44</v>
      </c>
      <c r="C1281" s="405" t="str">
        <f t="shared" si="153"/>
        <v>第011403号</v>
      </c>
      <c r="D1281" s="405" t="str">
        <f t="shared" si="154"/>
        <v>（有）武内建築</v>
      </c>
      <c r="E1281" s="405" t="str">
        <f t="shared" si="155"/>
        <v>取締役</v>
      </c>
      <c r="F1281" s="405" t="str">
        <f t="shared" si="156"/>
        <v>武内　秀人</v>
      </c>
      <c r="G1281" s="405" t="str">
        <f t="shared" si="157"/>
        <v>主たる営業所</v>
      </c>
      <c r="H1281" s="405" t="str">
        <f t="shared" si="158"/>
        <v>日田市天瀬町馬原５３０－２</v>
      </c>
      <c r="L1281" s="403" t="s">
        <v>10418</v>
      </c>
      <c r="M1281" s="403" t="s">
        <v>10419</v>
      </c>
      <c r="N1281" s="403" t="s">
        <v>3787</v>
      </c>
      <c r="O1281" s="403" t="s">
        <v>7085</v>
      </c>
      <c r="P1281" s="403" t="s">
        <v>3788</v>
      </c>
      <c r="Q1281" s="403" t="s">
        <v>10362</v>
      </c>
      <c r="R1281" s="403" t="s">
        <v>19659</v>
      </c>
      <c r="S1281" s="403" t="s">
        <v>16319</v>
      </c>
      <c r="T1281" s="403" t="s">
        <v>16320</v>
      </c>
      <c r="U1281" s="403"/>
      <c r="V1281" s="403" t="s">
        <v>23024</v>
      </c>
      <c r="W1281" s="403" t="s">
        <v>23024</v>
      </c>
      <c r="X1281" s="403" t="s">
        <v>23024</v>
      </c>
      <c r="Y1281" s="403" t="s">
        <v>23024</v>
      </c>
    </row>
    <row r="1282" spans="1:25">
      <c r="A1282" s="363">
        <f t="shared" si="159"/>
        <v>1281</v>
      </c>
      <c r="B1282" s="363" t="str">
        <f t="shared" ref="B1282:B1345" si="160">LEFT(L1282,2)</f>
        <v>44</v>
      </c>
      <c r="C1282" s="405" t="str">
        <f t="shared" ref="C1282:C1345" si="161">IF(B1282="","","第"&amp;RIGHT(L1282,6)&amp;"号")</f>
        <v>第011405号</v>
      </c>
      <c r="D1282" s="405" t="str">
        <f t="shared" ref="D1282:D1345" si="162">N1282</f>
        <v>九重フジ技建</v>
      </c>
      <c r="E1282" s="405" t="str">
        <f t="shared" ref="E1282:E1345" si="163">IF(V1282="　",O1282,"")</f>
        <v>代表者</v>
      </c>
      <c r="F1282" s="405" t="str">
        <f t="shared" ref="F1282:F1345" si="164">IF(V1282="　",P1282,W1282)</f>
        <v>藤原　孝</v>
      </c>
      <c r="G1282" s="405" t="str">
        <f t="shared" ref="G1282:G1345" si="165">IF(V1282="　","主たる営業所",V1282)</f>
        <v>主たる営業所</v>
      </c>
      <c r="H1282" s="405" t="str">
        <f t="shared" ref="H1282:H1345" si="166">IF(V1282="　",R1282,Y1282)</f>
        <v>玖珠郡九重町大字松木１１３０－８</v>
      </c>
      <c r="L1282" s="403" t="s">
        <v>10420</v>
      </c>
      <c r="M1282" s="403" t="s">
        <v>10421</v>
      </c>
      <c r="N1282" s="403" t="s">
        <v>3789</v>
      </c>
      <c r="O1282" s="403" t="s">
        <v>7086</v>
      </c>
      <c r="P1282" s="403" t="s">
        <v>3790</v>
      </c>
      <c r="Q1282" s="403" t="s">
        <v>8605</v>
      </c>
      <c r="R1282" s="403" t="s">
        <v>19660</v>
      </c>
      <c r="S1282" s="403" t="s">
        <v>16321</v>
      </c>
      <c r="T1282" s="403" t="s">
        <v>16321</v>
      </c>
      <c r="U1282" s="403"/>
      <c r="V1282" s="403" t="s">
        <v>23024</v>
      </c>
      <c r="W1282" s="403" t="s">
        <v>23024</v>
      </c>
      <c r="X1282" s="403" t="s">
        <v>23024</v>
      </c>
      <c r="Y1282" s="403" t="s">
        <v>23024</v>
      </c>
    </row>
    <row r="1283" spans="1:25">
      <c r="A1283" s="363">
        <f t="shared" ref="A1283:A1346" si="167">IF(B1283="","",A1282+1)</f>
        <v>1282</v>
      </c>
      <c r="B1283" s="363" t="str">
        <f t="shared" si="160"/>
        <v>44</v>
      </c>
      <c r="C1283" s="405" t="str">
        <f t="shared" si="161"/>
        <v>第011406号</v>
      </c>
      <c r="D1283" s="405" t="str">
        <f t="shared" si="162"/>
        <v>（有）川添電工</v>
      </c>
      <c r="E1283" s="405" t="str">
        <f t="shared" si="163"/>
        <v>取締役</v>
      </c>
      <c r="F1283" s="405" t="str">
        <f t="shared" si="164"/>
        <v>川添　堅</v>
      </c>
      <c r="G1283" s="405" t="str">
        <f t="shared" si="165"/>
        <v>主たる営業所</v>
      </c>
      <c r="H1283" s="405" t="str">
        <f t="shared" si="166"/>
        <v>臼杵市大字前田１９８６－９</v>
      </c>
      <c r="L1283" s="403" t="s">
        <v>10422</v>
      </c>
      <c r="M1283" s="403" t="s">
        <v>10423</v>
      </c>
      <c r="N1283" s="403" t="s">
        <v>3791</v>
      </c>
      <c r="O1283" s="403" t="s">
        <v>7085</v>
      </c>
      <c r="P1283" s="403" t="s">
        <v>3792</v>
      </c>
      <c r="Q1283" s="403" t="s">
        <v>7574</v>
      </c>
      <c r="R1283" s="403" t="s">
        <v>19661</v>
      </c>
      <c r="S1283" s="403" t="s">
        <v>16322</v>
      </c>
      <c r="T1283" s="403" t="s">
        <v>16322</v>
      </c>
      <c r="U1283" s="403"/>
      <c r="V1283" s="403" t="s">
        <v>23024</v>
      </c>
      <c r="W1283" s="403" t="s">
        <v>23024</v>
      </c>
      <c r="X1283" s="403" t="s">
        <v>23024</v>
      </c>
      <c r="Y1283" s="403" t="s">
        <v>23024</v>
      </c>
    </row>
    <row r="1284" spans="1:25">
      <c r="A1284" s="363">
        <f t="shared" si="167"/>
        <v>1283</v>
      </c>
      <c r="B1284" s="363" t="str">
        <f t="shared" si="160"/>
        <v>44</v>
      </c>
      <c r="C1284" s="405" t="str">
        <f t="shared" si="161"/>
        <v>第011414号</v>
      </c>
      <c r="D1284" s="405" t="str">
        <f t="shared" si="162"/>
        <v>（有）エムエーディ</v>
      </c>
      <c r="E1284" s="405" t="str">
        <f t="shared" si="163"/>
        <v>代表取締役</v>
      </c>
      <c r="F1284" s="405" t="str">
        <f t="shared" si="164"/>
        <v>松尾　清治</v>
      </c>
      <c r="G1284" s="405" t="str">
        <f t="shared" si="165"/>
        <v>主たる営業所</v>
      </c>
      <c r="H1284" s="405" t="str">
        <f t="shared" si="166"/>
        <v>大分市大字松岡５４９６－１</v>
      </c>
      <c r="L1284" s="403" t="s">
        <v>10424</v>
      </c>
      <c r="M1284" s="403" t="s">
        <v>10425</v>
      </c>
      <c r="N1284" s="403" t="s">
        <v>3793</v>
      </c>
      <c r="O1284" s="403" t="s">
        <v>7084</v>
      </c>
      <c r="P1284" s="403" t="s">
        <v>3794</v>
      </c>
      <c r="Q1284" s="403" t="s">
        <v>7498</v>
      </c>
      <c r="R1284" s="403" t="s">
        <v>19662</v>
      </c>
      <c r="S1284" s="403" t="s">
        <v>16323</v>
      </c>
      <c r="T1284" s="403" t="s">
        <v>16323</v>
      </c>
      <c r="U1284" s="403"/>
      <c r="V1284" s="403" t="s">
        <v>23024</v>
      </c>
      <c r="W1284" s="403" t="s">
        <v>23024</v>
      </c>
      <c r="X1284" s="403" t="s">
        <v>23024</v>
      </c>
      <c r="Y1284" s="403" t="s">
        <v>23024</v>
      </c>
    </row>
    <row r="1285" spans="1:25">
      <c r="A1285" s="363">
        <f t="shared" si="167"/>
        <v>1284</v>
      </c>
      <c r="B1285" s="363" t="str">
        <f t="shared" si="160"/>
        <v>44</v>
      </c>
      <c r="C1285" s="405" t="str">
        <f t="shared" si="161"/>
        <v>第011415号</v>
      </c>
      <c r="D1285" s="405" t="str">
        <f t="shared" si="162"/>
        <v>（有）佐藤重機建設</v>
      </c>
      <c r="E1285" s="405" t="str">
        <f t="shared" si="163"/>
        <v>代表取締役</v>
      </c>
      <c r="F1285" s="405" t="str">
        <f t="shared" si="164"/>
        <v>佐藤　英昭</v>
      </c>
      <c r="G1285" s="405" t="str">
        <f t="shared" si="165"/>
        <v>主たる営業所</v>
      </c>
      <c r="H1285" s="405" t="str">
        <f t="shared" si="166"/>
        <v>別府市石垣東７－５－１２</v>
      </c>
      <c r="L1285" s="403" t="s">
        <v>10426</v>
      </c>
      <c r="M1285" s="403" t="s">
        <v>10427</v>
      </c>
      <c r="N1285" s="403" t="s">
        <v>3795</v>
      </c>
      <c r="O1285" s="403" t="s">
        <v>7084</v>
      </c>
      <c r="P1285" s="403" t="s">
        <v>3796</v>
      </c>
      <c r="Q1285" s="403" t="s">
        <v>7363</v>
      </c>
      <c r="R1285" s="403" t="s">
        <v>19663</v>
      </c>
      <c r="S1285" s="403" t="s">
        <v>16324</v>
      </c>
      <c r="T1285" s="403" t="s">
        <v>16324</v>
      </c>
      <c r="U1285" s="403"/>
      <c r="V1285" s="403" t="s">
        <v>23024</v>
      </c>
      <c r="W1285" s="403" t="s">
        <v>23024</v>
      </c>
      <c r="X1285" s="403" t="s">
        <v>23024</v>
      </c>
      <c r="Y1285" s="403" t="s">
        <v>23024</v>
      </c>
    </row>
    <row r="1286" spans="1:25">
      <c r="A1286" s="363">
        <f t="shared" si="167"/>
        <v>1285</v>
      </c>
      <c r="B1286" s="363" t="str">
        <f t="shared" si="160"/>
        <v>44</v>
      </c>
      <c r="C1286" s="405" t="str">
        <f t="shared" si="161"/>
        <v>第011426号</v>
      </c>
      <c r="D1286" s="405" t="str">
        <f t="shared" si="162"/>
        <v>達工務店</v>
      </c>
      <c r="E1286" s="405" t="str">
        <f t="shared" si="163"/>
        <v>事業主</v>
      </c>
      <c r="F1286" s="405" t="str">
        <f t="shared" si="164"/>
        <v>渡邉　達昭</v>
      </c>
      <c r="G1286" s="405" t="str">
        <f t="shared" si="165"/>
        <v>主たる営業所</v>
      </c>
      <c r="H1286" s="405" t="str">
        <f t="shared" si="166"/>
        <v>佐伯市蒲江大字楠本浦３２５</v>
      </c>
      <c r="L1286" s="403" t="s">
        <v>10428</v>
      </c>
      <c r="M1286" s="403" t="s">
        <v>10429</v>
      </c>
      <c r="N1286" s="403" t="s">
        <v>3797</v>
      </c>
      <c r="O1286" s="403" t="s">
        <v>7088</v>
      </c>
      <c r="P1286" s="403" t="s">
        <v>3798</v>
      </c>
      <c r="Q1286" s="403" t="s">
        <v>10430</v>
      </c>
      <c r="R1286" s="403" t="s">
        <v>5610</v>
      </c>
      <c r="S1286" s="403" t="s">
        <v>16325</v>
      </c>
      <c r="T1286" s="403" t="s">
        <v>16325</v>
      </c>
      <c r="U1286" s="403"/>
      <c r="V1286" s="403" t="s">
        <v>23024</v>
      </c>
      <c r="W1286" s="403" t="s">
        <v>23024</v>
      </c>
      <c r="X1286" s="403" t="s">
        <v>23024</v>
      </c>
      <c r="Y1286" s="403" t="s">
        <v>23024</v>
      </c>
    </row>
    <row r="1287" spans="1:25">
      <c r="A1287" s="363">
        <f t="shared" si="167"/>
        <v>1286</v>
      </c>
      <c r="B1287" s="363" t="str">
        <f t="shared" si="160"/>
        <v>44</v>
      </c>
      <c r="C1287" s="405" t="str">
        <f t="shared" si="161"/>
        <v>第011436号</v>
      </c>
      <c r="D1287" s="405" t="str">
        <f t="shared" si="162"/>
        <v>（有）武宮塗装</v>
      </c>
      <c r="E1287" s="405" t="str">
        <f t="shared" si="163"/>
        <v>代表取締役</v>
      </c>
      <c r="F1287" s="405" t="str">
        <f t="shared" si="164"/>
        <v>小山　靖治</v>
      </c>
      <c r="G1287" s="405" t="str">
        <f t="shared" si="165"/>
        <v>主たる営業所</v>
      </c>
      <c r="H1287" s="405" t="str">
        <f t="shared" si="166"/>
        <v>大分市大字小池原１７５８－５</v>
      </c>
      <c r="L1287" s="403" t="s">
        <v>10431</v>
      </c>
      <c r="M1287" s="403" t="s">
        <v>10432</v>
      </c>
      <c r="N1287" s="403" t="s">
        <v>3799</v>
      </c>
      <c r="O1287" s="403" t="s">
        <v>7084</v>
      </c>
      <c r="P1287" s="403" t="s">
        <v>3800</v>
      </c>
      <c r="Q1287" s="403" t="s">
        <v>8694</v>
      </c>
      <c r="R1287" s="403" t="s">
        <v>19664</v>
      </c>
      <c r="S1287" s="403" t="s">
        <v>16326</v>
      </c>
      <c r="T1287" s="403" t="s">
        <v>16327</v>
      </c>
      <c r="U1287" s="403"/>
      <c r="V1287" s="403" t="s">
        <v>23024</v>
      </c>
      <c r="W1287" s="403" t="s">
        <v>23024</v>
      </c>
      <c r="X1287" s="403" t="s">
        <v>23024</v>
      </c>
      <c r="Y1287" s="403" t="s">
        <v>23024</v>
      </c>
    </row>
    <row r="1288" spans="1:25">
      <c r="A1288" s="363">
        <f t="shared" si="167"/>
        <v>1287</v>
      </c>
      <c r="B1288" s="363" t="str">
        <f t="shared" si="160"/>
        <v>44</v>
      </c>
      <c r="C1288" s="405" t="str">
        <f t="shared" si="161"/>
        <v>第011441号</v>
      </c>
      <c r="D1288" s="405" t="str">
        <f t="shared" si="162"/>
        <v>（株）ダイコー通信</v>
      </c>
      <c r="E1288" s="405" t="str">
        <f t="shared" si="163"/>
        <v>代表取締役</v>
      </c>
      <c r="F1288" s="405" t="str">
        <f t="shared" si="164"/>
        <v>岡田　誠</v>
      </c>
      <c r="G1288" s="405" t="str">
        <f t="shared" si="165"/>
        <v>主たる営業所</v>
      </c>
      <c r="H1288" s="405" t="str">
        <f t="shared" si="166"/>
        <v>佐伯市大字稲垣４９５－３</v>
      </c>
      <c r="L1288" s="403" t="s">
        <v>10433</v>
      </c>
      <c r="M1288" s="403" t="s">
        <v>10434</v>
      </c>
      <c r="N1288" s="403" t="s">
        <v>5288</v>
      </c>
      <c r="O1288" s="403" t="s">
        <v>7084</v>
      </c>
      <c r="P1288" s="403" t="s">
        <v>3801</v>
      </c>
      <c r="Q1288" s="403" t="s">
        <v>8473</v>
      </c>
      <c r="R1288" s="403" t="s">
        <v>19665</v>
      </c>
      <c r="S1288" s="403" t="s">
        <v>16328</v>
      </c>
      <c r="T1288" s="403" t="s">
        <v>16329</v>
      </c>
      <c r="U1288" s="403"/>
      <c r="V1288" s="403" t="s">
        <v>23024</v>
      </c>
      <c r="W1288" s="403" t="s">
        <v>23024</v>
      </c>
      <c r="X1288" s="403" t="s">
        <v>23024</v>
      </c>
      <c r="Y1288" s="403" t="s">
        <v>23024</v>
      </c>
    </row>
    <row r="1289" spans="1:25">
      <c r="A1289" s="363">
        <f t="shared" si="167"/>
        <v>1288</v>
      </c>
      <c r="B1289" s="363" t="str">
        <f t="shared" si="160"/>
        <v>44</v>
      </c>
      <c r="C1289" s="405" t="str">
        <f t="shared" si="161"/>
        <v>第011443号</v>
      </c>
      <c r="D1289" s="405" t="str">
        <f t="shared" si="162"/>
        <v>（有）泰信建設</v>
      </c>
      <c r="E1289" s="405" t="str">
        <f t="shared" si="163"/>
        <v>取締役</v>
      </c>
      <c r="F1289" s="405" t="str">
        <f t="shared" si="164"/>
        <v>江熊　利貞</v>
      </c>
      <c r="G1289" s="405" t="str">
        <f t="shared" si="165"/>
        <v>主たる営業所</v>
      </c>
      <c r="H1289" s="405" t="str">
        <f t="shared" si="166"/>
        <v>中津市大字宮夫２３９－１</v>
      </c>
      <c r="L1289" s="403" t="s">
        <v>10435</v>
      </c>
      <c r="M1289" s="403" t="s">
        <v>10436</v>
      </c>
      <c r="N1289" s="403" t="s">
        <v>3802</v>
      </c>
      <c r="O1289" s="403" t="s">
        <v>7085</v>
      </c>
      <c r="P1289" s="403" t="s">
        <v>3803</v>
      </c>
      <c r="Q1289" s="403" t="s">
        <v>8087</v>
      </c>
      <c r="R1289" s="403" t="s">
        <v>19666</v>
      </c>
      <c r="S1289" s="403" t="s">
        <v>16330</v>
      </c>
      <c r="T1289" s="403" t="s">
        <v>16331</v>
      </c>
      <c r="U1289" s="403"/>
      <c r="V1289" s="403" t="s">
        <v>23024</v>
      </c>
      <c r="W1289" s="403" t="s">
        <v>23024</v>
      </c>
      <c r="X1289" s="403" t="s">
        <v>23024</v>
      </c>
      <c r="Y1289" s="403" t="s">
        <v>23024</v>
      </c>
    </row>
    <row r="1290" spans="1:25">
      <c r="A1290" s="363">
        <f t="shared" si="167"/>
        <v>1289</v>
      </c>
      <c r="B1290" s="363" t="str">
        <f t="shared" si="160"/>
        <v>44</v>
      </c>
      <c r="C1290" s="405" t="str">
        <f t="shared" si="161"/>
        <v>第011450号</v>
      </c>
      <c r="D1290" s="405" t="str">
        <f t="shared" si="162"/>
        <v>（有）セーフティ</v>
      </c>
      <c r="E1290" s="405" t="str">
        <f t="shared" si="163"/>
        <v>取締役</v>
      </c>
      <c r="F1290" s="405" t="str">
        <f t="shared" si="164"/>
        <v>荻野　晃一</v>
      </c>
      <c r="G1290" s="405" t="str">
        <f t="shared" si="165"/>
        <v>主たる営業所</v>
      </c>
      <c r="H1290" s="405" t="str">
        <f t="shared" si="166"/>
        <v>大分市横尾東町３－１１－１４</v>
      </c>
      <c r="L1290" s="403" t="s">
        <v>10437</v>
      </c>
      <c r="M1290" s="403" t="s">
        <v>10438</v>
      </c>
      <c r="N1290" s="403" t="s">
        <v>3804</v>
      </c>
      <c r="O1290" s="403" t="s">
        <v>7085</v>
      </c>
      <c r="P1290" s="403" t="s">
        <v>3805</v>
      </c>
      <c r="Q1290" s="403" t="s">
        <v>8699</v>
      </c>
      <c r="R1290" s="403" t="s">
        <v>19667</v>
      </c>
      <c r="S1290" s="403" t="s">
        <v>16332</v>
      </c>
      <c r="T1290" s="403" t="s">
        <v>16333</v>
      </c>
      <c r="U1290" s="403"/>
      <c r="V1290" s="403" t="s">
        <v>23024</v>
      </c>
      <c r="W1290" s="403" t="s">
        <v>23024</v>
      </c>
      <c r="X1290" s="403" t="s">
        <v>23024</v>
      </c>
      <c r="Y1290" s="403" t="s">
        <v>23024</v>
      </c>
    </row>
    <row r="1291" spans="1:25">
      <c r="A1291" s="363">
        <f t="shared" si="167"/>
        <v>1290</v>
      </c>
      <c r="B1291" s="363" t="str">
        <f t="shared" si="160"/>
        <v>44</v>
      </c>
      <c r="C1291" s="405" t="str">
        <f t="shared" si="161"/>
        <v>第011455号</v>
      </c>
      <c r="D1291" s="405" t="str">
        <f t="shared" si="162"/>
        <v>（有）山田工業</v>
      </c>
      <c r="E1291" s="405" t="str">
        <f t="shared" si="163"/>
        <v>代表取締役</v>
      </c>
      <c r="F1291" s="405" t="str">
        <f t="shared" si="164"/>
        <v>毛利　和之</v>
      </c>
      <c r="G1291" s="405" t="str">
        <f t="shared" si="165"/>
        <v>主たる営業所</v>
      </c>
      <c r="H1291" s="405" t="str">
        <f t="shared" si="166"/>
        <v>佐伯市弥生大字井崎１０８１－２</v>
      </c>
      <c r="L1291" s="403" t="s">
        <v>10439</v>
      </c>
      <c r="M1291" s="403" t="s">
        <v>10440</v>
      </c>
      <c r="N1291" s="403" t="s">
        <v>3806</v>
      </c>
      <c r="O1291" s="403" t="s">
        <v>7084</v>
      </c>
      <c r="P1291" s="403" t="s">
        <v>3807</v>
      </c>
      <c r="Q1291" s="403" t="s">
        <v>8486</v>
      </c>
      <c r="R1291" s="403" t="s">
        <v>19668</v>
      </c>
      <c r="S1291" s="403" t="s">
        <v>16334</v>
      </c>
      <c r="T1291" s="403" t="s">
        <v>16334</v>
      </c>
      <c r="U1291" s="403"/>
      <c r="V1291" s="403" t="s">
        <v>23024</v>
      </c>
      <c r="W1291" s="403" t="s">
        <v>23024</v>
      </c>
      <c r="X1291" s="403" t="s">
        <v>23024</v>
      </c>
      <c r="Y1291" s="403" t="s">
        <v>23024</v>
      </c>
    </row>
    <row r="1292" spans="1:25">
      <c r="A1292" s="363">
        <f t="shared" si="167"/>
        <v>1291</v>
      </c>
      <c r="B1292" s="363" t="str">
        <f t="shared" si="160"/>
        <v>44</v>
      </c>
      <c r="C1292" s="405" t="str">
        <f t="shared" si="161"/>
        <v>第011466号</v>
      </c>
      <c r="D1292" s="405" t="str">
        <f t="shared" si="162"/>
        <v>（有）ティエム企画</v>
      </c>
      <c r="E1292" s="405" t="str">
        <f t="shared" si="163"/>
        <v>代表取締役</v>
      </c>
      <c r="F1292" s="405" t="str">
        <f t="shared" si="164"/>
        <v>徳丸　あつ子</v>
      </c>
      <c r="G1292" s="405" t="str">
        <f t="shared" si="165"/>
        <v>主たる営業所</v>
      </c>
      <c r="H1292" s="405" t="str">
        <f t="shared" si="166"/>
        <v>国東市安岐町成久５９０－１７</v>
      </c>
      <c r="L1292" s="403" t="s">
        <v>10441</v>
      </c>
      <c r="M1292" s="403" t="s">
        <v>10442</v>
      </c>
      <c r="N1292" s="403" t="s">
        <v>3808</v>
      </c>
      <c r="O1292" s="403" t="s">
        <v>7084</v>
      </c>
      <c r="P1292" s="403" t="s">
        <v>3809</v>
      </c>
      <c r="Q1292" s="403" t="s">
        <v>9588</v>
      </c>
      <c r="R1292" s="403" t="s">
        <v>19669</v>
      </c>
      <c r="S1292" s="403" t="s">
        <v>16335</v>
      </c>
      <c r="T1292" s="403" t="s">
        <v>15632</v>
      </c>
      <c r="U1292" s="403"/>
      <c r="V1292" s="403" t="s">
        <v>23024</v>
      </c>
      <c r="W1292" s="403" t="s">
        <v>23024</v>
      </c>
      <c r="X1292" s="403" t="s">
        <v>23024</v>
      </c>
      <c r="Y1292" s="403" t="s">
        <v>23024</v>
      </c>
    </row>
    <row r="1293" spans="1:25">
      <c r="A1293" s="363">
        <f t="shared" si="167"/>
        <v>1292</v>
      </c>
      <c r="B1293" s="363" t="str">
        <f t="shared" si="160"/>
        <v>44</v>
      </c>
      <c r="C1293" s="405" t="str">
        <f t="shared" si="161"/>
        <v>第011481号</v>
      </c>
      <c r="D1293" s="405" t="str">
        <f t="shared" si="162"/>
        <v>谷口産業（株）</v>
      </c>
      <c r="E1293" s="405" t="str">
        <f t="shared" si="163"/>
        <v>代表取締役</v>
      </c>
      <c r="F1293" s="405" t="str">
        <f t="shared" si="164"/>
        <v>谷口　俊介</v>
      </c>
      <c r="G1293" s="405" t="str">
        <f t="shared" si="165"/>
        <v>主たる営業所</v>
      </c>
      <c r="H1293" s="405" t="str">
        <f t="shared" si="166"/>
        <v>臼杵市大字板知屋字大寺浦１２５７－１１</v>
      </c>
      <c r="L1293" s="403" t="s">
        <v>10443</v>
      </c>
      <c r="M1293" s="403" t="s">
        <v>10444</v>
      </c>
      <c r="N1293" s="403" t="s">
        <v>3811</v>
      </c>
      <c r="O1293" s="403" t="s">
        <v>7084</v>
      </c>
      <c r="P1293" s="403" t="s">
        <v>3812</v>
      </c>
      <c r="Q1293" s="403" t="s">
        <v>7744</v>
      </c>
      <c r="R1293" s="403" t="s">
        <v>19670</v>
      </c>
      <c r="S1293" s="403" t="s">
        <v>16336</v>
      </c>
      <c r="T1293" s="403" t="s">
        <v>19671</v>
      </c>
      <c r="U1293" s="403"/>
      <c r="V1293" s="403" t="s">
        <v>23024</v>
      </c>
      <c r="W1293" s="403" t="s">
        <v>23024</v>
      </c>
      <c r="X1293" s="403" t="s">
        <v>23024</v>
      </c>
      <c r="Y1293" s="403" t="s">
        <v>23024</v>
      </c>
    </row>
    <row r="1294" spans="1:25">
      <c r="A1294" s="363">
        <f t="shared" si="167"/>
        <v>1293</v>
      </c>
      <c r="B1294" s="363" t="str">
        <f t="shared" si="160"/>
        <v>44</v>
      </c>
      <c r="C1294" s="405" t="str">
        <f t="shared" si="161"/>
        <v>第011494号</v>
      </c>
      <c r="D1294" s="405" t="str">
        <f t="shared" si="162"/>
        <v>（株）大川技研</v>
      </c>
      <c r="E1294" s="405" t="str">
        <f t="shared" si="163"/>
        <v>代表取締役</v>
      </c>
      <c r="F1294" s="405" t="str">
        <f t="shared" si="164"/>
        <v>北川　大滋</v>
      </c>
      <c r="G1294" s="405" t="str">
        <f t="shared" si="165"/>
        <v>主たる営業所</v>
      </c>
      <c r="H1294" s="405" t="str">
        <f t="shared" si="166"/>
        <v>大分市大字鶴崎１８０５－１</v>
      </c>
      <c r="L1294" s="403" t="s">
        <v>10445</v>
      </c>
      <c r="M1294" s="403" t="s">
        <v>10446</v>
      </c>
      <c r="N1294" s="403" t="s">
        <v>3813</v>
      </c>
      <c r="O1294" s="403" t="s">
        <v>7084</v>
      </c>
      <c r="P1294" s="403" t="s">
        <v>3814</v>
      </c>
      <c r="Q1294" s="403" t="s">
        <v>7484</v>
      </c>
      <c r="R1294" s="403" t="s">
        <v>19672</v>
      </c>
      <c r="S1294" s="403" t="s">
        <v>16337</v>
      </c>
      <c r="T1294" s="403" t="s">
        <v>16338</v>
      </c>
      <c r="U1294" s="403"/>
      <c r="V1294" s="403" t="s">
        <v>23024</v>
      </c>
      <c r="W1294" s="403" t="s">
        <v>23024</v>
      </c>
      <c r="X1294" s="403" t="s">
        <v>23024</v>
      </c>
      <c r="Y1294" s="403" t="s">
        <v>23024</v>
      </c>
    </row>
    <row r="1295" spans="1:25">
      <c r="A1295" s="363">
        <f t="shared" si="167"/>
        <v>1294</v>
      </c>
      <c r="B1295" s="363" t="str">
        <f t="shared" si="160"/>
        <v>44</v>
      </c>
      <c r="C1295" s="405" t="str">
        <f t="shared" si="161"/>
        <v>第011520号</v>
      </c>
      <c r="D1295" s="405" t="str">
        <f t="shared" si="162"/>
        <v>（有）コウシン土木</v>
      </c>
      <c r="E1295" s="405" t="str">
        <f t="shared" si="163"/>
        <v>代表取締役</v>
      </c>
      <c r="F1295" s="405" t="str">
        <f t="shared" si="164"/>
        <v>広瀬　秀樹</v>
      </c>
      <c r="G1295" s="405" t="str">
        <f t="shared" si="165"/>
        <v>主たる営業所</v>
      </c>
      <c r="H1295" s="405" t="str">
        <f t="shared" si="166"/>
        <v>竹田市大字門田９７６</v>
      </c>
      <c r="L1295" s="403" t="s">
        <v>10448</v>
      </c>
      <c r="M1295" s="403" t="s">
        <v>10449</v>
      </c>
      <c r="N1295" s="403" t="s">
        <v>3815</v>
      </c>
      <c r="O1295" s="403" t="s">
        <v>7084</v>
      </c>
      <c r="P1295" s="403" t="s">
        <v>3816</v>
      </c>
      <c r="Q1295" s="403" t="s">
        <v>7968</v>
      </c>
      <c r="R1295" s="403" t="s">
        <v>5611</v>
      </c>
      <c r="S1295" s="403" t="s">
        <v>16339</v>
      </c>
      <c r="T1295" s="403" t="s">
        <v>16339</v>
      </c>
      <c r="U1295" s="403"/>
      <c r="V1295" s="403" t="s">
        <v>23024</v>
      </c>
      <c r="W1295" s="403" t="s">
        <v>23024</v>
      </c>
      <c r="X1295" s="403" t="s">
        <v>23024</v>
      </c>
      <c r="Y1295" s="403" t="s">
        <v>23024</v>
      </c>
    </row>
    <row r="1296" spans="1:25">
      <c r="A1296" s="363">
        <f t="shared" si="167"/>
        <v>1295</v>
      </c>
      <c r="B1296" s="363" t="str">
        <f t="shared" si="160"/>
        <v>44</v>
      </c>
      <c r="C1296" s="405" t="str">
        <f t="shared" si="161"/>
        <v>第011525号</v>
      </c>
      <c r="D1296" s="405" t="str">
        <f t="shared" si="162"/>
        <v>（有）西豊産業</v>
      </c>
      <c r="E1296" s="405" t="str">
        <f t="shared" si="163"/>
        <v>取締役</v>
      </c>
      <c r="F1296" s="405" t="str">
        <f t="shared" si="164"/>
        <v>田邉　愛子</v>
      </c>
      <c r="G1296" s="405" t="str">
        <f t="shared" si="165"/>
        <v>主たる営業所</v>
      </c>
      <c r="H1296" s="405" t="str">
        <f t="shared" si="166"/>
        <v>杵築市大田石丸４２６－１</v>
      </c>
      <c r="L1296" s="403" t="s">
        <v>10450</v>
      </c>
      <c r="M1296" s="403" t="s">
        <v>10451</v>
      </c>
      <c r="N1296" s="403" t="s">
        <v>3817</v>
      </c>
      <c r="O1296" s="403" t="s">
        <v>7085</v>
      </c>
      <c r="P1296" s="403" t="s">
        <v>3818</v>
      </c>
      <c r="Q1296" s="403" t="s">
        <v>9119</v>
      </c>
      <c r="R1296" s="403" t="s">
        <v>19136</v>
      </c>
      <c r="S1296" s="403" t="s">
        <v>16340</v>
      </c>
      <c r="T1296" s="403" t="s">
        <v>16340</v>
      </c>
      <c r="U1296" s="403"/>
      <c r="V1296" s="403" t="s">
        <v>23024</v>
      </c>
      <c r="W1296" s="403" t="s">
        <v>23024</v>
      </c>
      <c r="X1296" s="403" t="s">
        <v>23024</v>
      </c>
      <c r="Y1296" s="403" t="s">
        <v>23024</v>
      </c>
    </row>
    <row r="1297" spans="1:25">
      <c r="A1297" s="363">
        <f t="shared" si="167"/>
        <v>1296</v>
      </c>
      <c r="B1297" s="363" t="str">
        <f t="shared" si="160"/>
        <v>44</v>
      </c>
      <c r="C1297" s="405" t="str">
        <f t="shared" si="161"/>
        <v>第011528号</v>
      </c>
      <c r="D1297" s="405" t="str">
        <f t="shared" si="162"/>
        <v>（有）ハヤミハウジング</v>
      </c>
      <c r="E1297" s="405" t="str">
        <f t="shared" si="163"/>
        <v>代表取締役</v>
      </c>
      <c r="F1297" s="405" t="str">
        <f t="shared" si="164"/>
        <v>築山　傳</v>
      </c>
      <c r="G1297" s="405" t="str">
        <f t="shared" si="165"/>
        <v>主たる営業所</v>
      </c>
      <c r="H1297" s="405" t="str">
        <f t="shared" si="166"/>
        <v>速見郡日出町大字大神２６７２－１</v>
      </c>
      <c r="L1297" s="403" t="s">
        <v>10452</v>
      </c>
      <c r="M1297" s="403" t="s">
        <v>10453</v>
      </c>
      <c r="N1297" s="403" t="s">
        <v>3819</v>
      </c>
      <c r="O1297" s="403" t="s">
        <v>7084</v>
      </c>
      <c r="P1297" s="403" t="s">
        <v>3820</v>
      </c>
      <c r="Q1297" s="403" t="s">
        <v>8382</v>
      </c>
      <c r="R1297" s="403" t="s">
        <v>19673</v>
      </c>
      <c r="S1297" s="403" t="s">
        <v>16341</v>
      </c>
      <c r="T1297" s="403" t="s">
        <v>16342</v>
      </c>
      <c r="U1297" s="403"/>
      <c r="V1297" s="403" t="s">
        <v>23024</v>
      </c>
      <c r="W1297" s="403" t="s">
        <v>23024</v>
      </c>
      <c r="X1297" s="403" t="s">
        <v>23024</v>
      </c>
      <c r="Y1297" s="403" t="s">
        <v>23024</v>
      </c>
    </row>
    <row r="1298" spans="1:25">
      <c r="A1298" s="363">
        <f t="shared" si="167"/>
        <v>1297</v>
      </c>
      <c r="B1298" s="363" t="str">
        <f t="shared" si="160"/>
        <v>44</v>
      </c>
      <c r="C1298" s="405" t="str">
        <f t="shared" si="161"/>
        <v>第011539号</v>
      </c>
      <c r="D1298" s="405" t="str">
        <f t="shared" si="162"/>
        <v>（有）若林水道工業所</v>
      </c>
      <c r="E1298" s="405" t="str">
        <f t="shared" si="163"/>
        <v>代表取締役</v>
      </c>
      <c r="F1298" s="405" t="str">
        <f t="shared" si="164"/>
        <v>若林　豊廣</v>
      </c>
      <c r="G1298" s="405" t="str">
        <f t="shared" si="165"/>
        <v>主たる営業所</v>
      </c>
      <c r="H1298" s="405" t="str">
        <f t="shared" si="166"/>
        <v>大分市大字本神崎７９－８</v>
      </c>
      <c r="L1298" s="403" t="s">
        <v>10454</v>
      </c>
      <c r="M1298" s="403" t="s">
        <v>10455</v>
      </c>
      <c r="N1298" s="403" t="s">
        <v>3821</v>
      </c>
      <c r="O1298" s="403" t="s">
        <v>7084</v>
      </c>
      <c r="P1298" s="403" t="s">
        <v>3822</v>
      </c>
      <c r="Q1298" s="403" t="s">
        <v>10412</v>
      </c>
      <c r="R1298" s="403" t="s">
        <v>19674</v>
      </c>
      <c r="S1298" s="403" t="s">
        <v>16343</v>
      </c>
      <c r="T1298" s="403" t="s">
        <v>16344</v>
      </c>
      <c r="U1298" s="403"/>
      <c r="V1298" s="403" t="s">
        <v>23024</v>
      </c>
      <c r="W1298" s="403" t="s">
        <v>23024</v>
      </c>
      <c r="X1298" s="403" t="s">
        <v>23024</v>
      </c>
      <c r="Y1298" s="403" t="s">
        <v>23024</v>
      </c>
    </row>
    <row r="1299" spans="1:25">
      <c r="A1299" s="363">
        <f t="shared" si="167"/>
        <v>1298</v>
      </c>
      <c r="B1299" s="363" t="str">
        <f t="shared" si="160"/>
        <v>44</v>
      </c>
      <c r="C1299" s="405" t="str">
        <f t="shared" si="161"/>
        <v>第011553号</v>
      </c>
      <c r="D1299" s="405" t="str">
        <f t="shared" si="162"/>
        <v>平山産業（株）</v>
      </c>
      <c r="E1299" s="405" t="str">
        <f t="shared" si="163"/>
        <v>代表取締役</v>
      </c>
      <c r="F1299" s="405" t="str">
        <f t="shared" si="164"/>
        <v>崔　起成</v>
      </c>
      <c r="G1299" s="405" t="str">
        <f t="shared" si="165"/>
        <v>主たる営業所</v>
      </c>
      <c r="H1299" s="405" t="str">
        <f t="shared" si="166"/>
        <v>中津市三光下秣字大源寺平３１０－１</v>
      </c>
      <c r="L1299" s="403" t="s">
        <v>10456</v>
      </c>
      <c r="M1299" s="403" t="s">
        <v>10457</v>
      </c>
      <c r="N1299" s="403" t="s">
        <v>3823</v>
      </c>
      <c r="O1299" s="403" t="s">
        <v>7084</v>
      </c>
      <c r="P1299" s="403" t="s">
        <v>3824</v>
      </c>
      <c r="Q1299" s="403" t="s">
        <v>10458</v>
      </c>
      <c r="R1299" s="403" t="s">
        <v>19675</v>
      </c>
      <c r="S1299" s="403" t="s">
        <v>16345</v>
      </c>
      <c r="T1299" s="403" t="s">
        <v>16346</v>
      </c>
      <c r="U1299" s="403"/>
      <c r="V1299" s="403" t="s">
        <v>23024</v>
      </c>
      <c r="W1299" s="403" t="s">
        <v>23024</v>
      </c>
      <c r="X1299" s="403" t="s">
        <v>23024</v>
      </c>
      <c r="Y1299" s="403" t="s">
        <v>23024</v>
      </c>
    </row>
    <row r="1300" spans="1:25">
      <c r="A1300" s="363">
        <f t="shared" si="167"/>
        <v>1299</v>
      </c>
      <c r="B1300" s="363" t="str">
        <f t="shared" si="160"/>
        <v>44</v>
      </c>
      <c r="C1300" s="405" t="str">
        <f t="shared" si="161"/>
        <v>第011571号</v>
      </c>
      <c r="D1300" s="405" t="str">
        <f t="shared" si="162"/>
        <v>（有）秋好電気工事</v>
      </c>
      <c r="E1300" s="405" t="str">
        <f t="shared" si="163"/>
        <v>代表取締役</v>
      </c>
      <c r="F1300" s="405" t="str">
        <f t="shared" si="164"/>
        <v>秋好　裕一</v>
      </c>
      <c r="G1300" s="405" t="str">
        <f t="shared" si="165"/>
        <v>主たる営業所</v>
      </c>
      <c r="H1300" s="405" t="str">
        <f t="shared" si="166"/>
        <v>玖珠郡玖珠町大字綾垣１８２７</v>
      </c>
      <c r="L1300" s="403" t="s">
        <v>10459</v>
      </c>
      <c r="M1300" s="403" t="s">
        <v>10460</v>
      </c>
      <c r="N1300" s="403" t="s">
        <v>3825</v>
      </c>
      <c r="O1300" s="403" t="s">
        <v>7084</v>
      </c>
      <c r="P1300" s="403" t="s">
        <v>3826</v>
      </c>
      <c r="Q1300" s="403" t="s">
        <v>7996</v>
      </c>
      <c r="R1300" s="403" t="s">
        <v>5612</v>
      </c>
      <c r="S1300" s="403" t="s">
        <v>16347</v>
      </c>
      <c r="T1300" s="403" t="s">
        <v>16348</v>
      </c>
      <c r="U1300" s="403"/>
      <c r="V1300" s="403" t="s">
        <v>23024</v>
      </c>
      <c r="W1300" s="403" t="s">
        <v>23024</v>
      </c>
      <c r="X1300" s="403" t="s">
        <v>23024</v>
      </c>
      <c r="Y1300" s="403" t="s">
        <v>23024</v>
      </c>
    </row>
    <row r="1301" spans="1:25">
      <c r="A1301" s="363">
        <f t="shared" si="167"/>
        <v>1300</v>
      </c>
      <c r="B1301" s="363" t="str">
        <f t="shared" si="160"/>
        <v>44</v>
      </c>
      <c r="C1301" s="405" t="str">
        <f t="shared" si="161"/>
        <v>第011581号</v>
      </c>
      <c r="D1301" s="405" t="str">
        <f t="shared" si="162"/>
        <v>（有）塩出木工</v>
      </c>
      <c r="E1301" s="405" t="str">
        <f t="shared" si="163"/>
        <v>取締役</v>
      </c>
      <c r="F1301" s="405" t="str">
        <f t="shared" si="164"/>
        <v>塩出　清治</v>
      </c>
      <c r="G1301" s="405" t="str">
        <f t="shared" si="165"/>
        <v>主たる営業所</v>
      </c>
      <c r="H1301" s="405" t="str">
        <f t="shared" si="166"/>
        <v>別府市富士見町８－２０</v>
      </c>
      <c r="L1301" s="403" t="s">
        <v>10461</v>
      </c>
      <c r="M1301" s="403" t="s">
        <v>10462</v>
      </c>
      <c r="N1301" s="403" t="s">
        <v>3827</v>
      </c>
      <c r="O1301" s="403" t="s">
        <v>7085</v>
      </c>
      <c r="P1301" s="403" t="s">
        <v>3828</v>
      </c>
      <c r="Q1301" s="403" t="s">
        <v>7643</v>
      </c>
      <c r="R1301" s="403" t="s">
        <v>19676</v>
      </c>
      <c r="S1301" s="403" t="s">
        <v>16349</v>
      </c>
      <c r="T1301" s="403" t="s">
        <v>16349</v>
      </c>
      <c r="U1301" s="403"/>
      <c r="V1301" s="403" t="s">
        <v>23024</v>
      </c>
      <c r="W1301" s="403" t="s">
        <v>23024</v>
      </c>
      <c r="X1301" s="403" t="s">
        <v>23024</v>
      </c>
      <c r="Y1301" s="403" t="s">
        <v>23024</v>
      </c>
    </row>
    <row r="1302" spans="1:25">
      <c r="A1302" s="363">
        <f t="shared" si="167"/>
        <v>1301</v>
      </c>
      <c r="B1302" s="363" t="str">
        <f t="shared" si="160"/>
        <v>44</v>
      </c>
      <c r="C1302" s="405" t="str">
        <f t="shared" si="161"/>
        <v>第011588号</v>
      </c>
      <c r="D1302" s="405" t="str">
        <f t="shared" si="162"/>
        <v>（有）高本工業</v>
      </c>
      <c r="E1302" s="405" t="str">
        <f t="shared" si="163"/>
        <v>代表取締役</v>
      </c>
      <c r="F1302" s="405" t="str">
        <f t="shared" si="164"/>
        <v>山本　基代志</v>
      </c>
      <c r="G1302" s="405" t="str">
        <f t="shared" si="165"/>
        <v>主たる営業所</v>
      </c>
      <c r="H1302" s="405" t="str">
        <f t="shared" si="166"/>
        <v>日田市大字西有田１２４０－３</v>
      </c>
      <c r="L1302" s="403" t="s">
        <v>10463</v>
      </c>
      <c r="M1302" s="403" t="s">
        <v>10464</v>
      </c>
      <c r="N1302" s="403" t="s">
        <v>3829</v>
      </c>
      <c r="O1302" s="403" t="s">
        <v>7084</v>
      </c>
      <c r="P1302" s="403" t="s">
        <v>19677</v>
      </c>
      <c r="Q1302" s="403" t="s">
        <v>9283</v>
      </c>
      <c r="R1302" s="403" t="s">
        <v>19678</v>
      </c>
      <c r="S1302" s="403" t="s">
        <v>16350</v>
      </c>
      <c r="T1302" s="403" t="s">
        <v>16351</v>
      </c>
      <c r="U1302" s="403"/>
      <c r="V1302" s="403" t="s">
        <v>23024</v>
      </c>
      <c r="W1302" s="403" t="s">
        <v>23024</v>
      </c>
      <c r="X1302" s="403" t="s">
        <v>23024</v>
      </c>
      <c r="Y1302" s="403" t="s">
        <v>23024</v>
      </c>
    </row>
    <row r="1303" spans="1:25">
      <c r="A1303" s="363">
        <f t="shared" si="167"/>
        <v>1302</v>
      </c>
      <c r="B1303" s="363" t="str">
        <f t="shared" si="160"/>
        <v>44</v>
      </c>
      <c r="C1303" s="405" t="str">
        <f t="shared" si="161"/>
        <v>第011597号</v>
      </c>
      <c r="D1303" s="405" t="str">
        <f t="shared" si="162"/>
        <v>九州美環産業（株）</v>
      </c>
      <c r="E1303" s="405" t="str">
        <f t="shared" si="163"/>
        <v>代表取締役</v>
      </c>
      <c r="F1303" s="405" t="str">
        <f t="shared" si="164"/>
        <v>野中　英治</v>
      </c>
      <c r="G1303" s="405" t="str">
        <f t="shared" si="165"/>
        <v>主たる営業所</v>
      </c>
      <c r="H1303" s="405" t="str">
        <f t="shared" si="166"/>
        <v>臼杵市大字武山２２２７</v>
      </c>
      <c r="L1303" s="403" t="s">
        <v>10465</v>
      </c>
      <c r="M1303" s="403" t="s">
        <v>10466</v>
      </c>
      <c r="N1303" s="403" t="s">
        <v>3830</v>
      </c>
      <c r="O1303" s="403" t="s">
        <v>7084</v>
      </c>
      <c r="P1303" s="403" t="s">
        <v>3831</v>
      </c>
      <c r="Q1303" s="403" t="s">
        <v>10467</v>
      </c>
      <c r="R1303" s="403" t="s">
        <v>5613</v>
      </c>
      <c r="S1303" s="403" t="s">
        <v>16352</v>
      </c>
      <c r="T1303" s="403" t="s">
        <v>16353</v>
      </c>
      <c r="U1303" s="403"/>
      <c r="V1303" s="403" t="s">
        <v>23024</v>
      </c>
      <c r="W1303" s="403" t="s">
        <v>23024</v>
      </c>
      <c r="X1303" s="403" t="s">
        <v>23024</v>
      </c>
      <c r="Y1303" s="403" t="s">
        <v>23024</v>
      </c>
    </row>
    <row r="1304" spans="1:25">
      <c r="A1304" s="363">
        <f t="shared" si="167"/>
        <v>1303</v>
      </c>
      <c r="B1304" s="363" t="str">
        <f t="shared" si="160"/>
        <v>44</v>
      </c>
      <c r="C1304" s="405" t="str">
        <f t="shared" si="161"/>
        <v>第011605号</v>
      </c>
      <c r="D1304" s="405" t="str">
        <f t="shared" si="162"/>
        <v>（有）Ａｓａｎｏ</v>
      </c>
      <c r="E1304" s="405" t="str">
        <f t="shared" si="163"/>
        <v>代表取締役</v>
      </c>
      <c r="F1304" s="405" t="str">
        <f t="shared" si="164"/>
        <v>浅野　千浪</v>
      </c>
      <c r="G1304" s="405" t="str">
        <f t="shared" si="165"/>
        <v>主たる営業所</v>
      </c>
      <c r="H1304" s="405" t="str">
        <f t="shared" si="166"/>
        <v>杵築市大字杵築６８－１</v>
      </c>
      <c r="L1304" s="403" t="s">
        <v>10468</v>
      </c>
      <c r="M1304" s="403" t="s">
        <v>10469</v>
      </c>
      <c r="N1304" s="403" t="s">
        <v>3832</v>
      </c>
      <c r="O1304" s="403" t="s">
        <v>7084</v>
      </c>
      <c r="P1304" s="403" t="s">
        <v>5255</v>
      </c>
      <c r="Q1304" s="403" t="s">
        <v>7637</v>
      </c>
      <c r="R1304" s="403" t="s">
        <v>18662</v>
      </c>
      <c r="S1304" s="403" t="s">
        <v>16354</v>
      </c>
      <c r="T1304" s="403" t="s">
        <v>16354</v>
      </c>
      <c r="U1304" s="403"/>
      <c r="V1304" s="403" t="s">
        <v>23024</v>
      </c>
      <c r="W1304" s="403" t="s">
        <v>23024</v>
      </c>
      <c r="X1304" s="403" t="s">
        <v>23024</v>
      </c>
      <c r="Y1304" s="403" t="s">
        <v>23024</v>
      </c>
    </row>
    <row r="1305" spans="1:25">
      <c r="A1305" s="363">
        <f t="shared" si="167"/>
        <v>1304</v>
      </c>
      <c r="B1305" s="363" t="str">
        <f t="shared" si="160"/>
        <v>44</v>
      </c>
      <c r="C1305" s="405" t="str">
        <f t="shared" si="161"/>
        <v>第011635号</v>
      </c>
      <c r="D1305" s="405" t="str">
        <f t="shared" si="162"/>
        <v>（有）ユニオン興業</v>
      </c>
      <c r="E1305" s="405" t="str">
        <f t="shared" si="163"/>
        <v>代表取締役</v>
      </c>
      <c r="F1305" s="405" t="str">
        <f t="shared" si="164"/>
        <v>小島　リミ</v>
      </c>
      <c r="G1305" s="405" t="str">
        <f t="shared" si="165"/>
        <v>主たる営業所</v>
      </c>
      <c r="H1305" s="405" t="str">
        <f t="shared" si="166"/>
        <v>大分市大字横尾４０５９－２</v>
      </c>
      <c r="L1305" s="403" t="s">
        <v>10470</v>
      </c>
      <c r="M1305" s="403" t="s">
        <v>10471</v>
      </c>
      <c r="N1305" s="403" t="s">
        <v>3833</v>
      </c>
      <c r="O1305" s="403" t="s">
        <v>7084</v>
      </c>
      <c r="P1305" s="403" t="s">
        <v>3834</v>
      </c>
      <c r="Q1305" s="403" t="s">
        <v>7357</v>
      </c>
      <c r="R1305" s="403" t="s">
        <v>19679</v>
      </c>
      <c r="S1305" s="403" t="s">
        <v>16355</v>
      </c>
      <c r="T1305" s="403" t="s">
        <v>16356</v>
      </c>
      <c r="U1305" s="403"/>
      <c r="V1305" s="403" t="s">
        <v>23024</v>
      </c>
      <c r="W1305" s="403" t="s">
        <v>23024</v>
      </c>
      <c r="X1305" s="403" t="s">
        <v>23024</v>
      </c>
      <c r="Y1305" s="403" t="s">
        <v>23024</v>
      </c>
    </row>
    <row r="1306" spans="1:25">
      <c r="A1306" s="363">
        <f t="shared" si="167"/>
        <v>1305</v>
      </c>
      <c r="B1306" s="363" t="str">
        <f t="shared" si="160"/>
        <v>44</v>
      </c>
      <c r="C1306" s="405" t="str">
        <f t="shared" si="161"/>
        <v>第011647号</v>
      </c>
      <c r="D1306" s="405" t="str">
        <f t="shared" si="162"/>
        <v>（有）秋吉建設</v>
      </c>
      <c r="E1306" s="405" t="str">
        <f t="shared" si="163"/>
        <v>代表取締役</v>
      </c>
      <c r="F1306" s="405" t="str">
        <f t="shared" si="164"/>
        <v>秋吉　孝三</v>
      </c>
      <c r="G1306" s="405" t="str">
        <f t="shared" si="165"/>
        <v>主たる営業所</v>
      </c>
      <c r="H1306" s="405" t="str">
        <f t="shared" si="166"/>
        <v>大分市大字今市６５３－２</v>
      </c>
      <c r="L1306" s="403" t="s">
        <v>10472</v>
      </c>
      <c r="M1306" s="403" t="s">
        <v>10473</v>
      </c>
      <c r="N1306" s="403" t="s">
        <v>3835</v>
      </c>
      <c r="O1306" s="403" t="s">
        <v>7084</v>
      </c>
      <c r="P1306" s="403" t="s">
        <v>3836</v>
      </c>
      <c r="Q1306" s="403" t="s">
        <v>10474</v>
      </c>
      <c r="R1306" s="403" t="s">
        <v>19680</v>
      </c>
      <c r="S1306" s="403" t="s">
        <v>16357</v>
      </c>
      <c r="T1306" s="403" t="s">
        <v>16357</v>
      </c>
      <c r="U1306" s="403"/>
      <c r="V1306" s="403" t="s">
        <v>23024</v>
      </c>
      <c r="W1306" s="403" t="s">
        <v>23024</v>
      </c>
      <c r="X1306" s="403" t="s">
        <v>23024</v>
      </c>
      <c r="Y1306" s="403" t="s">
        <v>23024</v>
      </c>
    </row>
    <row r="1307" spans="1:25">
      <c r="A1307" s="363">
        <f t="shared" si="167"/>
        <v>1306</v>
      </c>
      <c r="B1307" s="363" t="str">
        <f t="shared" si="160"/>
        <v>44</v>
      </c>
      <c r="C1307" s="405" t="str">
        <f t="shared" si="161"/>
        <v>第011650号</v>
      </c>
      <c r="D1307" s="405" t="str">
        <f t="shared" si="162"/>
        <v>（株）高橋工業</v>
      </c>
      <c r="E1307" s="405" t="str">
        <f t="shared" si="163"/>
        <v>代表取締役</v>
      </c>
      <c r="F1307" s="405" t="str">
        <f t="shared" si="164"/>
        <v>高橋　秀則</v>
      </c>
      <c r="G1307" s="405" t="str">
        <f t="shared" si="165"/>
        <v>主たる営業所</v>
      </c>
      <c r="H1307" s="405" t="str">
        <f t="shared" si="166"/>
        <v>大分市三川新町１－１－１５</v>
      </c>
      <c r="L1307" s="403" t="s">
        <v>10475</v>
      </c>
      <c r="M1307" s="403" t="s">
        <v>8220</v>
      </c>
      <c r="N1307" s="403" t="s">
        <v>3837</v>
      </c>
      <c r="O1307" s="403" t="s">
        <v>7084</v>
      </c>
      <c r="P1307" s="403" t="s">
        <v>3838</v>
      </c>
      <c r="Q1307" s="403" t="s">
        <v>8286</v>
      </c>
      <c r="R1307" s="403" t="s">
        <v>19681</v>
      </c>
      <c r="S1307" s="403" t="s">
        <v>16358</v>
      </c>
      <c r="T1307" s="403" t="s">
        <v>16359</v>
      </c>
      <c r="U1307" s="403"/>
      <c r="V1307" s="403" t="s">
        <v>23024</v>
      </c>
      <c r="W1307" s="403" t="s">
        <v>23024</v>
      </c>
      <c r="X1307" s="403" t="s">
        <v>23024</v>
      </c>
      <c r="Y1307" s="403" t="s">
        <v>23024</v>
      </c>
    </row>
    <row r="1308" spans="1:25">
      <c r="A1308" s="363">
        <f t="shared" si="167"/>
        <v>1307</v>
      </c>
      <c r="B1308" s="363" t="str">
        <f t="shared" si="160"/>
        <v>44</v>
      </c>
      <c r="C1308" s="405" t="str">
        <f t="shared" si="161"/>
        <v>第011653号</v>
      </c>
      <c r="D1308" s="405" t="str">
        <f t="shared" si="162"/>
        <v>（有）寺山土木</v>
      </c>
      <c r="E1308" s="405" t="str">
        <f t="shared" si="163"/>
        <v>代表取締役</v>
      </c>
      <c r="F1308" s="405" t="str">
        <f t="shared" si="164"/>
        <v>寺山　元幸</v>
      </c>
      <c r="G1308" s="405" t="str">
        <f t="shared" si="165"/>
        <v>主たる営業所</v>
      </c>
      <c r="H1308" s="405" t="str">
        <f t="shared" si="166"/>
        <v>別府市大字野田５７－３　松田ビル３０１号</v>
      </c>
      <c r="L1308" s="403" t="s">
        <v>10476</v>
      </c>
      <c r="M1308" s="403" t="s">
        <v>10477</v>
      </c>
      <c r="N1308" s="403" t="s">
        <v>3839</v>
      </c>
      <c r="O1308" s="403" t="s">
        <v>7084</v>
      </c>
      <c r="P1308" s="403" t="s">
        <v>3840</v>
      </c>
      <c r="Q1308" s="403" t="s">
        <v>8366</v>
      </c>
      <c r="R1308" s="403" t="s">
        <v>19682</v>
      </c>
      <c r="S1308" s="403" t="s">
        <v>16360</v>
      </c>
      <c r="T1308" s="403" t="s">
        <v>16360</v>
      </c>
      <c r="U1308" s="403"/>
      <c r="V1308" s="403" t="s">
        <v>23024</v>
      </c>
      <c r="W1308" s="403" t="s">
        <v>23024</v>
      </c>
      <c r="X1308" s="403" t="s">
        <v>23024</v>
      </c>
      <c r="Y1308" s="403" t="s">
        <v>23024</v>
      </c>
    </row>
    <row r="1309" spans="1:25">
      <c r="A1309" s="363">
        <f t="shared" si="167"/>
        <v>1308</v>
      </c>
      <c r="B1309" s="363" t="str">
        <f t="shared" si="160"/>
        <v>44</v>
      </c>
      <c r="C1309" s="405" t="str">
        <f t="shared" si="161"/>
        <v>第011655号</v>
      </c>
      <c r="D1309" s="405" t="str">
        <f t="shared" si="162"/>
        <v>（有）はやし工庵</v>
      </c>
      <c r="E1309" s="405" t="str">
        <f t="shared" si="163"/>
        <v>代表取締役</v>
      </c>
      <c r="F1309" s="405" t="str">
        <f t="shared" si="164"/>
        <v>林　清太郎</v>
      </c>
      <c r="G1309" s="405" t="str">
        <f t="shared" si="165"/>
        <v>主たる営業所</v>
      </c>
      <c r="H1309" s="405" t="str">
        <f t="shared" si="166"/>
        <v>大分市大字鴛野１０８８－２</v>
      </c>
      <c r="L1309" s="403" t="s">
        <v>10478</v>
      </c>
      <c r="M1309" s="403" t="s">
        <v>10479</v>
      </c>
      <c r="N1309" s="403" t="s">
        <v>3841</v>
      </c>
      <c r="O1309" s="403" t="s">
        <v>7084</v>
      </c>
      <c r="P1309" s="403" t="s">
        <v>3842</v>
      </c>
      <c r="Q1309" s="403" t="s">
        <v>8710</v>
      </c>
      <c r="R1309" s="403" t="s">
        <v>19683</v>
      </c>
      <c r="S1309" s="403" t="s">
        <v>16361</v>
      </c>
      <c r="T1309" s="403" t="s">
        <v>16362</v>
      </c>
      <c r="U1309" s="403"/>
      <c r="V1309" s="403" t="s">
        <v>23024</v>
      </c>
      <c r="W1309" s="403" t="s">
        <v>23024</v>
      </c>
      <c r="X1309" s="403" t="s">
        <v>23024</v>
      </c>
      <c r="Y1309" s="403" t="s">
        <v>23024</v>
      </c>
    </row>
    <row r="1310" spans="1:25">
      <c r="A1310" s="363">
        <f t="shared" si="167"/>
        <v>1309</v>
      </c>
      <c r="B1310" s="363" t="str">
        <f t="shared" si="160"/>
        <v>44</v>
      </c>
      <c r="C1310" s="405" t="str">
        <f t="shared" si="161"/>
        <v>第011658号</v>
      </c>
      <c r="D1310" s="405" t="str">
        <f t="shared" si="162"/>
        <v>富士電気設備</v>
      </c>
      <c r="E1310" s="405" t="str">
        <f t="shared" si="163"/>
        <v>代表者</v>
      </c>
      <c r="F1310" s="405" t="str">
        <f t="shared" si="164"/>
        <v>野々下　博</v>
      </c>
      <c r="G1310" s="405" t="str">
        <f t="shared" si="165"/>
        <v>主たる営業所</v>
      </c>
      <c r="H1310" s="405" t="str">
        <f t="shared" si="166"/>
        <v>佐伯市直川大字仁田原４０５９－１</v>
      </c>
      <c r="L1310" s="403" t="s">
        <v>10480</v>
      </c>
      <c r="M1310" s="403" t="s">
        <v>10481</v>
      </c>
      <c r="N1310" s="403" t="s">
        <v>3843</v>
      </c>
      <c r="O1310" s="403" t="s">
        <v>7086</v>
      </c>
      <c r="P1310" s="403" t="s">
        <v>3844</v>
      </c>
      <c r="Q1310" s="403" t="s">
        <v>9825</v>
      </c>
      <c r="R1310" s="403" t="s">
        <v>19684</v>
      </c>
      <c r="S1310" s="403" t="s">
        <v>16363</v>
      </c>
      <c r="T1310" s="403" t="s">
        <v>16363</v>
      </c>
      <c r="U1310" s="403"/>
      <c r="V1310" s="403" t="s">
        <v>23024</v>
      </c>
      <c r="W1310" s="403" t="s">
        <v>23024</v>
      </c>
      <c r="X1310" s="403" t="s">
        <v>23024</v>
      </c>
      <c r="Y1310" s="403" t="s">
        <v>23024</v>
      </c>
    </row>
    <row r="1311" spans="1:25">
      <c r="A1311" s="363">
        <f t="shared" si="167"/>
        <v>1310</v>
      </c>
      <c r="B1311" s="363" t="str">
        <f t="shared" si="160"/>
        <v>44</v>
      </c>
      <c r="C1311" s="405" t="str">
        <f t="shared" si="161"/>
        <v>第011673号</v>
      </c>
      <c r="D1311" s="405" t="str">
        <f t="shared" si="162"/>
        <v>（有）祐成建設</v>
      </c>
      <c r="E1311" s="405" t="str">
        <f t="shared" si="163"/>
        <v>代表取締役</v>
      </c>
      <c r="F1311" s="405" t="str">
        <f t="shared" si="164"/>
        <v>叢　稔</v>
      </c>
      <c r="G1311" s="405" t="str">
        <f t="shared" si="165"/>
        <v>主たる営業所</v>
      </c>
      <c r="H1311" s="405" t="str">
        <f t="shared" si="166"/>
        <v>中津市大字大塚７９４－６</v>
      </c>
      <c r="L1311" s="403" t="s">
        <v>10482</v>
      </c>
      <c r="M1311" s="403" t="s">
        <v>10483</v>
      </c>
      <c r="N1311" s="403" t="s">
        <v>3845</v>
      </c>
      <c r="O1311" s="403" t="s">
        <v>7084</v>
      </c>
      <c r="P1311" s="403" t="s">
        <v>3846</v>
      </c>
      <c r="Q1311" s="403" t="s">
        <v>8078</v>
      </c>
      <c r="R1311" s="403" t="s">
        <v>19685</v>
      </c>
      <c r="S1311" s="403" t="s">
        <v>16364</v>
      </c>
      <c r="T1311" s="403" t="s">
        <v>16365</v>
      </c>
      <c r="U1311" s="403"/>
      <c r="V1311" s="403" t="s">
        <v>23024</v>
      </c>
      <c r="W1311" s="403" t="s">
        <v>23024</v>
      </c>
      <c r="X1311" s="403" t="s">
        <v>23024</v>
      </c>
      <c r="Y1311" s="403" t="s">
        <v>23024</v>
      </c>
    </row>
    <row r="1312" spans="1:25">
      <c r="A1312" s="363">
        <f t="shared" si="167"/>
        <v>1311</v>
      </c>
      <c r="B1312" s="363" t="str">
        <f t="shared" si="160"/>
        <v>44</v>
      </c>
      <c r="C1312" s="405" t="str">
        <f t="shared" si="161"/>
        <v>第011674号</v>
      </c>
      <c r="D1312" s="405" t="str">
        <f t="shared" si="162"/>
        <v>（有）土谷工業</v>
      </c>
      <c r="E1312" s="405" t="str">
        <f t="shared" si="163"/>
        <v>代表取締役</v>
      </c>
      <c r="F1312" s="405" t="str">
        <f t="shared" si="164"/>
        <v>土谷　健二</v>
      </c>
      <c r="G1312" s="405" t="str">
        <f t="shared" si="165"/>
        <v>主たる営業所</v>
      </c>
      <c r="H1312" s="405" t="str">
        <f t="shared" si="166"/>
        <v>大分市松原町２－５－４</v>
      </c>
      <c r="L1312" s="403" t="s">
        <v>19686</v>
      </c>
      <c r="M1312" s="403" t="s">
        <v>19687</v>
      </c>
      <c r="N1312" s="403" t="s">
        <v>19688</v>
      </c>
      <c r="O1312" s="403" t="s">
        <v>7084</v>
      </c>
      <c r="P1312" s="403" t="s">
        <v>19689</v>
      </c>
      <c r="Q1312" s="403" t="s">
        <v>8789</v>
      </c>
      <c r="R1312" s="403" t="s">
        <v>19690</v>
      </c>
      <c r="S1312" s="403" t="s">
        <v>19691</v>
      </c>
      <c r="T1312" s="403" t="s">
        <v>19692</v>
      </c>
      <c r="U1312" s="403"/>
      <c r="V1312" s="403" t="s">
        <v>23024</v>
      </c>
      <c r="W1312" s="403" t="s">
        <v>23024</v>
      </c>
      <c r="X1312" s="403" t="s">
        <v>23024</v>
      </c>
      <c r="Y1312" s="403" t="s">
        <v>23024</v>
      </c>
    </row>
    <row r="1313" spans="1:25">
      <c r="A1313" s="363">
        <f t="shared" si="167"/>
        <v>1312</v>
      </c>
      <c r="B1313" s="363" t="str">
        <f t="shared" si="160"/>
        <v>44</v>
      </c>
      <c r="C1313" s="405" t="str">
        <f t="shared" si="161"/>
        <v>第011695号</v>
      </c>
      <c r="D1313" s="405" t="str">
        <f t="shared" si="162"/>
        <v>安田電機（株）</v>
      </c>
      <c r="E1313" s="405" t="str">
        <f t="shared" si="163"/>
        <v>代表取締役</v>
      </c>
      <c r="F1313" s="405" t="str">
        <f t="shared" si="164"/>
        <v>安田　雅豊</v>
      </c>
      <c r="G1313" s="405" t="str">
        <f t="shared" si="165"/>
        <v>主たる営業所</v>
      </c>
      <c r="H1313" s="405" t="str">
        <f t="shared" si="166"/>
        <v>中津市大字島田４２３－８</v>
      </c>
      <c r="L1313" s="403" t="s">
        <v>10484</v>
      </c>
      <c r="M1313" s="403" t="s">
        <v>10485</v>
      </c>
      <c r="N1313" s="403" t="s">
        <v>3847</v>
      </c>
      <c r="O1313" s="403" t="s">
        <v>7084</v>
      </c>
      <c r="P1313" s="403" t="s">
        <v>3848</v>
      </c>
      <c r="Q1313" s="403" t="s">
        <v>10486</v>
      </c>
      <c r="R1313" s="403" t="s">
        <v>19693</v>
      </c>
      <c r="S1313" s="403" t="s">
        <v>16366</v>
      </c>
      <c r="T1313" s="403" t="s">
        <v>16367</v>
      </c>
      <c r="U1313" s="403"/>
      <c r="V1313" s="403" t="s">
        <v>23024</v>
      </c>
      <c r="W1313" s="403" t="s">
        <v>23024</v>
      </c>
      <c r="X1313" s="403" t="s">
        <v>23024</v>
      </c>
      <c r="Y1313" s="403" t="s">
        <v>23024</v>
      </c>
    </row>
    <row r="1314" spans="1:25">
      <c r="A1314" s="363">
        <f t="shared" si="167"/>
        <v>1313</v>
      </c>
      <c r="B1314" s="363" t="str">
        <f t="shared" si="160"/>
        <v>44</v>
      </c>
      <c r="C1314" s="405" t="str">
        <f t="shared" si="161"/>
        <v>第011696号</v>
      </c>
      <c r="D1314" s="405" t="str">
        <f t="shared" si="162"/>
        <v>（有）フレンド・クサバ</v>
      </c>
      <c r="E1314" s="405" t="str">
        <f t="shared" si="163"/>
        <v>代表取締役</v>
      </c>
      <c r="F1314" s="405" t="str">
        <f t="shared" si="164"/>
        <v>草場　大介</v>
      </c>
      <c r="G1314" s="405" t="str">
        <f t="shared" si="165"/>
        <v>主たる営業所</v>
      </c>
      <c r="H1314" s="405" t="str">
        <f t="shared" si="166"/>
        <v>中津市中央町１－６－７３</v>
      </c>
      <c r="L1314" s="403" t="s">
        <v>10487</v>
      </c>
      <c r="M1314" s="403" t="s">
        <v>10488</v>
      </c>
      <c r="N1314" s="403" t="s">
        <v>3849</v>
      </c>
      <c r="O1314" s="403" t="s">
        <v>7084</v>
      </c>
      <c r="P1314" s="403" t="s">
        <v>3850</v>
      </c>
      <c r="Q1314" s="403" t="s">
        <v>7306</v>
      </c>
      <c r="R1314" s="403" t="s">
        <v>19694</v>
      </c>
      <c r="S1314" s="403" t="s">
        <v>16368</v>
      </c>
      <c r="T1314" s="403" t="s">
        <v>16369</v>
      </c>
      <c r="U1314" s="403"/>
      <c r="V1314" s="403" t="s">
        <v>23024</v>
      </c>
      <c r="W1314" s="403" t="s">
        <v>23024</v>
      </c>
      <c r="X1314" s="403" t="s">
        <v>23024</v>
      </c>
      <c r="Y1314" s="403" t="s">
        <v>23024</v>
      </c>
    </row>
    <row r="1315" spans="1:25">
      <c r="A1315" s="363">
        <f t="shared" si="167"/>
        <v>1314</v>
      </c>
      <c r="B1315" s="363" t="str">
        <f t="shared" si="160"/>
        <v>44</v>
      </c>
      <c r="C1315" s="405" t="str">
        <f t="shared" si="161"/>
        <v>第011703号</v>
      </c>
      <c r="D1315" s="405" t="str">
        <f t="shared" si="162"/>
        <v>（有）吉武建設工業</v>
      </c>
      <c r="E1315" s="405" t="str">
        <f t="shared" si="163"/>
        <v>代表取締役</v>
      </c>
      <c r="F1315" s="405" t="str">
        <f t="shared" si="164"/>
        <v>吉武　政義</v>
      </c>
      <c r="G1315" s="405" t="str">
        <f t="shared" si="165"/>
        <v>主たる営業所</v>
      </c>
      <c r="H1315" s="405" t="str">
        <f t="shared" si="166"/>
        <v>大分市大字下郡１６１７－１</v>
      </c>
      <c r="L1315" s="403" t="s">
        <v>10489</v>
      </c>
      <c r="M1315" s="403" t="s">
        <v>10490</v>
      </c>
      <c r="N1315" s="403" t="s">
        <v>3851</v>
      </c>
      <c r="O1315" s="403" t="s">
        <v>7084</v>
      </c>
      <c r="P1315" s="403" t="s">
        <v>3852</v>
      </c>
      <c r="Q1315" s="403" t="s">
        <v>10080</v>
      </c>
      <c r="R1315" s="403" t="s">
        <v>19695</v>
      </c>
      <c r="S1315" s="403" t="s">
        <v>16370</v>
      </c>
      <c r="T1315" s="403" t="s">
        <v>16371</v>
      </c>
      <c r="U1315" s="403"/>
      <c r="V1315" s="403" t="s">
        <v>23024</v>
      </c>
      <c r="W1315" s="403" t="s">
        <v>23024</v>
      </c>
      <c r="X1315" s="403" t="s">
        <v>23024</v>
      </c>
      <c r="Y1315" s="403" t="s">
        <v>23024</v>
      </c>
    </row>
    <row r="1316" spans="1:25">
      <c r="A1316" s="363">
        <f t="shared" si="167"/>
        <v>1315</v>
      </c>
      <c r="B1316" s="363" t="str">
        <f t="shared" si="160"/>
        <v>44</v>
      </c>
      <c r="C1316" s="405" t="str">
        <f t="shared" si="161"/>
        <v>第011706号</v>
      </c>
      <c r="D1316" s="405" t="str">
        <f t="shared" si="162"/>
        <v>（有）幸運</v>
      </c>
      <c r="E1316" s="405" t="str">
        <f t="shared" si="163"/>
        <v>代表取締役</v>
      </c>
      <c r="F1316" s="405" t="str">
        <f t="shared" si="164"/>
        <v>小川　英樹</v>
      </c>
      <c r="G1316" s="405" t="str">
        <f t="shared" si="165"/>
        <v>主たる営業所</v>
      </c>
      <c r="H1316" s="405" t="str">
        <f t="shared" si="166"/>
        <v>中津市大字植野６９－１</v>
      </c>
      <c r="L1316" s="403" t="s">
        <v>10491</v>
      </c>
      <c r="M1316" s="403" t="s">
        <v>10492</v>
      </c>
      <c r="N1316" s="403" t="s">
        <v>3853</v>
      </c>
      <c r="O1316" s="403" t="s">
        <v>7084</v>
      </c>
      <c r="P1316" s="403" t="s">
        <v>3854</v>
      </c>
      <c r="Q1316" s="403" t="s">
        <v>8911</v>
      </c>
      <c r="R1316" s="403" t="s">
        <v>19696</v>
      </c>
      <c r="S1316" s="403" t="s">
        <v>16372</v>
      </c>
      <c r="T1316" s="403" t="s">
        <v>16373</v>
      </c>
      <c r="U1316" s="403"/>
      <c r="V1316" s="403" t="s">
        <v>23024</v>
      </c>
      <c r="W1316" s="403" t="s">
        <v>23024</v>
      </c>
      <c r="X1316" s="403" t="s">
        <v>23024</v>
      </c>
      <c r="Y1316" s="403" t="s">
        <v>23024</v>
      </c>
    </row>
    <row r="1317" spans="1:25">
      <c r="A1317" s="363">
        <f t="shared" si="167"/>
        <v>1316</v>
      </c>
      <c r="B1317" s="363" t="str">
        <f t="shared" si="160"/>
        <v>44</v>
      </c>
      <c r="C1317" s="405" t="str">
        <f t="shared" si="161"/>
        <v>第011730号</v>
      </c>
      <c r="D1317" s="405" t="str">
        <f t="shared" si="162"/>
        <v>（有）峰建設</v>
      </c>
      <c r="E1317" s="405" t="str">
        <f t="shared" si="163"/>
        <v>代表取締役</v>
      </c>
      <c r="F1317" s="405" t="str">
        <f t="shared" si="164"/>
        <v>長峯　俊二</v>
      </c>
      <c r="G1317" s="405" t="str">
        <f t="shared" si="165"/>
        <v>主たる営業所</v>
      </c>
      <c r="H1317" s="405" t="str">
        <f t="shared" si="166"/>
        <v>大分市新栄町１２－３０</v>
      </c>
      <c r="L1317" s="403" t="s">
        <v>10493</v>
      </c>
      <c r="M1317" s="403" t="s">
        <v>10494</v>
      </c>
      <c r="N1317" s="403" t="s">
        <v>3855</v>
      </c>
      <c r="O1317" s="403" t="s">
        <v>7084</v>
      </c>
      <c r="P1317" s="403" t="s">
        <v>3856</v>
      </c>
      <c r="Q1317" s="403" t="s">
        <v>8817</v>
      </c>
      <c r="R1317" s="403" t="s">
        <v>19697</v>
      </c>
      <c r="S1317" s="403" t="s">
        <v>16374</v>
      </c>
      <c r="T1317" s="403" t="s">
        <v>16375</v>
      </c>
      <c r="U1317" s="403"/>
      <c r="V1317" s="403" t="s">
        <v>23024</v>
      </c>
      <c r="W1317" s="403" t="s">
        <v>23024</v>
      </c>
      <c r="X1317" s="403" t="s">
        <v>23024</v>
      </c>
      <c r="Y1317" s="403" t="s">
        <v>23024</v>
      </c>
    </row>
    <row r="1318" spans="1:25">
      <c r="A1318" s="363">
        <f t="shared" si="167"/>
        <v>1317</v>
      </c>
      <c r="B1318" s="363" t="str">
        <f t="shared" si="160"/>
        <v>44</v>
      </c>
      <c r="C1318" s="405" t="str">
        <f t="shared" si="161"/>
        <v>第011731号</v>
      </c>
      <c r="D1318" s="405" t="str">
        <f t="shared" si="162"/>
        <v>（有）優大建設</v>
      </c>
      <c r="E1318" s="405" t="str">
        <f t="shared" si="163"/>
        <v>代表取締役</v>
      </c>
      <c r="F1318" s="405" t="str">
        <f t="shared" si="164"/>
        <v>佐藤　学</v>
      </c>
      <c r="G1318" s="405" t="str">
        <f t="shared" si="165"/>
        <v>主たる営業所</v>
      </c>
      <c r="H1318" s="405" t="str">
        <f t="shared" si="166"/>
        <v>大分市大字森町１１０９－５７</v>
      </c>
      <c r="L1318" s="403" t="s">
        <v>10495</v>
      </c>
      <c r="M1318" s="403" t="s">
        <v>10496</v>
      </c>
      <c r="N1318" s="403" t="s">
        <v>3857</v>
      </c>
      <c r="O1318" s="403" t="s">
        <v>7084</v>
      </c>
      <c r="P1318" s="403" t="s">
        <v>4954</v>
      </c>
      <c r="Q1318" s="403" t="s">
        <v>9677</v>
      </c>
      <c r="R1318" s="403" t="s">
        <v>19698</v>
      </c>
      <c r="S1318" s="403" t="s">
        <v>16376</v>
      </c>
      <c r="T1318" s="403" t="s">
        <v>16377</v>
      </c>
      <c r="U1318" s="403"/>
      <c r="V1318" s="403" t="s">
        <v>23024</v>
      </c>
      <c r="W1318" s="403" t="s">
        <v>23024</v>
      </c>
      <c r="X1318" s="403" t="s">
        <v>23024</v>
      </c>
      <c r="Y1318" s="403" t="s">
        <v>23024</v>
      </c>
    </row>
    <row r="1319" spans="1:25">
      <c r="A1319" s="363">
        <f t="shared" si="167"/>
        <v>1318</v>
      </c>
      <c r="B1319" s="363" t="str">
        <f t="shared" si="160"/>
        <v>44</v>
      </c>
      <c r="C1319" s="405" t="str">
        <f t="shared" si="161"/>
        <v>第011736号</v>
      </c>
      <c r="D1319" s="405" t="str">
        <f t="shared" si="162"/>
        <v>（有）鶴田建設</v>
      </c>
      <c r="E1319" s="405" t="str">
        <f t="shared" si="163"/>
        <v>代表取締役</v>
      </c>
      <c r="F1319" s="405" t="str">
        <f t="shared" si="164"/>
        <v>鶴田　節生</v>
      </c>
      <c r="G1319" s="405" t="str">
        <f t="shared" si="165"/>
        <v>主たる営業所</v>
      </c>
      <c r="H1319" s="405" t="str">
        <f t="shared" si="166"/>
        <v>宇佐市大字南宇佐１８９８－１</v>
      </c>
      <c r="L1319" s="403" t="s">
        <v>10497</v>
      </c>
      <c r="M1319" s="403" t="s">
        <v>10498</v>
      </c>
      <c r="N1319" s="403" t="s">
        <v>5289</v>
      </c>
      <c r="O1319" s="403" t="s">
        <v>7084</v>
      </c>
      <c r="P1319" s="403" t="s">
        <v>5320</v>
      </c>
      <c r="Q1319" s="403" t="s">
        <v>10037</v>
      </c>
      <c r="R1319" s="403" t="s">
        <v>19699</v>
      </c>
      <c r="S1319" s="403" t="s">
        <v>16378</v>
      </c>
      <c r="T1319" s="403" t="s">
        <v>16379</v>
      </c>
      <c r="U1319" s="403"/>
      <c r="V1319" s="403" t="s">
        <v>23024</v>
      </c>
      <c r="W1319" s="403" t="s">
        <v>23024</v>
      </c>
      <c r="X1319" s="403" t="s">
        <v>23024</v>
      </c>
      <c r="Y1319" s="403" t="s">
        <v>23024</v>
      </c>
    </row>
    <row r="1320" spans="1:25">
      <c r="A1320" s="363">
        <f t="shared" si="167"/>
        <v>1319</v>
      </c>
      <c r="B1320" s="363" t="str">
        <f t="shared" si="160"/>
        <v>44</v>
      </c>
      <c r="C1320" s="405" t="str">
        <f t="shared" si="161"/>
        <v>第011737号</v>
      </c>
      <c r="D1320" s="405" t="str">
        <f t="shared" si="162"/>
        <v>利光建設工業（株）</v>
      </c>
      <c r="E1320" s="405" t="str">
        <f t="shared" si="163"/>
        <v>代表取締役</v>
      </c>
      <c r="F1320" s="405" t="str">
        <f t="shared" si="164"/>
        <v>利光　正臣</v>
      </c>
      <c r="G1320" s="405" t="str">
        <f t="shared" si="165"/>
        <v>主たる営業所</v>
      </c>
      <c r="H1320" s="405" t="str">
        <f t="shared" si="166"/>
        <v>大分市新栄町８－１１</v>
      </c>
      <c r="L1320" s="403" t="s">
        <v>10499</v>
      </c>
      <c r="M1320" s="403" t="s">
        <v>10500</v>
      </c>
      <c r="N1320" s="403" t="s">
        <v>3858</v>
      </c>
      <c r="O1320" s="403" t="s">
        <v>7084</v>
      </c>
      <c r="P1320" s="403" t="s">
        <v>3859</v>
      </c>
      <c r="Q1320" s="403" t="s">
        <v>8817</v>
      </c>
      <c r="R1320" s="403" t="s">
        <v>19700</v>
      </c>
      <c r="S1320" s="403" t="s">
        <v>16380</v>
      </c>
      <c r="T1320" s="403" t="s">
        <v>16381</v>
      </c>
      <c r="U1320" s="403"/>
      <c r="V1320" s="403" t="s">
        <v>23024</v>
      </c>
      <c r="W1320" s="403" t="s">
        <v>23024</v>
      </c>
      <c r="X1320" s="403" t="s">
        <v>23024</v>
      </c>
      <c r="Y1320" s="403" t="s">
        <v>23024</v>
      </c>
    </row>
    <row r="1321" spans="1:25">
      <c r="A1321" s="363">
        <f t="shared" si="167"/>
        <v>1320</v>
      </c>
      <c r="B1321" s="363" t="str">
        <f t="shared" si="160"/>
        <v>44</v>
      </c>
      <c r="C1321" s="405" t="str">
        <f t="shared" si="161"/>
        <v>第011738号</v>
      </c>
      <c r="D1321" s="405" t="str">
        <f t="shared" si="162"/>
        <v>未来総合建設（有）</v>
      </c>
      <c r="E1321" s="405" t="str">
        <f t="shared" si="163"/>
        <v>代表取締役</v>
      </c>
      <c r="F1321" s="405" t="str">
        <f t="shared" si="164"/>
        <v>上野　真二</v>
      </c>
      <c r="G1321" s="405" t="str">
        <f t="shared" si="165"/>
        <v>主たる営業所</v>
      </c>
      <c r="H1321" s="405" t="str">
        <f t="shared" si="166"/>
        <v>由布市挾間町来鉢１８２６－１</v>
      </c>
      <c r="L1321" s="403" t="s">
        <v>10501</v>
      </c>
      <c r="M1321" s="403" t="s">
        <v>10502</v>
      </c>
      <c r="N1321" s="403" t="s">
        <v>3860</v>
      </c>
      <c r="O1321" s="403" t="s">
        <v>7084</v>
      </c>
      <c r="P1321" s="403" t="s">
        <v>3861</v>
      </c>
      <c r="Q1321" s="403" t="s">
        <v>11539</v>
      </c>
      <c r="R1321" s="403" t="s">
        <v>19701</v>
      </c>
      <c r="S1321" s="403" t="s">
        <v>19702</v>
      </c>
      <c r="T1321" s="403" t="s">
        <v>15822</v>
      </c>
      <c r="U1321" s="403"/>
      <c r="V1321" s="403" t="s">
        <v>23024</v>
      </c>
      <c r="W1321" s="403" t="s">
        <v>23024</v>
      </c>
      <c r="X1321" s="403" t="s">
        <v>23024</v>
      </c>
      <c r="Y1321" s="403" t="s">
        <v>23024</v>
      </c>
    </row>
    <row r="1322" spans="1:25">
      <c r="A1322" s="363">
        <f t="shared" si="167"/>
        <v>1321</v>
      </c>
      <c r="B1322" s="363" t="str">
        <f t="shared" si="160"/>
        <v>44</v>
      </c>
      <c r="C1322" s="405" t="str">
        <f t="shared" si="161"/>
        <v>第011757号</v>
      </c>
      <c r="D1322" s="405" t="str">
        <f t="shared" si="162"/>
        <v>（有）別府表具センター</v>
      </c>
      <c r="E1322" s="405" t="str">
        <f t="shared" si="163"/>
        <v>代表取締役</v>
      </c>
      <c r="F1322" s="405" t="str">
        <f t="shared" si="164"/>
        <v>安部　貴士</v>
      </c>
      <c r="G1322" s="405" t="str">
        <f t="shared" si="165"/>
        <v>主たる営業所</v>
      </c>
      <c r="H1322" s="405" t="str">
        <f t="shared" si="166"/>
        <v>別府市大字鶴見３２３－１</v>
      </c>
      <c r="L1322" s="403" t="s">
        <v>10503</v>
      </c>
      <c r="M1322" s="403" t="s">
        <v>10504</v>
      </c>
      <c r="N1322" s="403" t="s">
        <v>3862</v>
      </c>
      <c r="O1322" s="403" t="s">
        <v>7084</v>
      </c>
      <c r="P1322" s="403" t="s">
        <v>3863</v>
      </c>
      <c r="Q1322" s="403" t="s">
        <v>9177</v>
      </c>
      <c r="R1322" s="403" t="s">
        <v>19703</v>
      </c>
      <c r="S1322" s="403" t="s">
        <v>16382</v>
      </c>
      <c r="T1322" s="403" t="s">
        <v>16383</v>
      </c>
      <c r="U1322" s="403"/>
      <c r="V1322" s="403" t="s">
        <v>23024</v>
      </c>
      <c r="W1322" s="403" t="s">
        <v>23024</v>
      </c>
      <c r="X1322" s="403" t="s">
        <v>23024</v>
      </c>
      <c r="Y1322" s="403" t="s">
        <v>23024</v>
      </c>
    </row>
    <row r="1323" spans="1:25">
      <c r="A1323" s="363">
        <f t="shared" si="167"/>
        <v>1322</v>
      </c>
      <c r="B1323" s="363" t="str">
        <f t="shared" si="160"/>
        <v>44</v>
      </c>
      <c r="C1323" s="405" t="str">
        <f t="shared" si="161"/>
        <v>第011759号</v>
      </c>
      <c r="D1323" s="405" t="str">
        <f t="shared" si="162"/>
        <v>（有）常幸工業</v>
      </c>
      <c r="E1323" s="405" t="str">
        <f t="shared" si="163"/>
        <v>代表取締役</v>
      </c>
      <c r="F1323" s="405" t="str">
        <f t="shared" si="164"/>
        <v>狹間　将五</v>
      </c>
      <c r="G1323" s="405" t="str">
        <f t="shared" si="165"/>
        <v>主たる営業所</v>
      </c>
      <c r="H1323" s="405" t="str">
        <f t="shared" si="166"/>
        <v>大分市大字南２９７</v>
      </c>
      <c r="L1323" s="403" t="s">
        <v>10505</v>
      </c>
      <c r="M1323" s="403" t="s">
        <v>10506</v>
      </c>
      <c r="N1323" s="403" t="s">
        <v>3864</v>
      </c>
      <c r="O1323" s="403" t="s">
        <v>7084</v>
      </c>
      <c r="P1323" s="403" t="s">
        <v>3865</v>
      </c>
      <c r="Q1323" s="403" t="s">
        <v>7568</v>
      </c>
      <c r="R1323" s="403" t="s">
        <v>5352</v>
      </c>
      <c r="S1323" s="403" t="s">
        <v>16384</v>
      </c>
      <c r="T1323" s="403" t="s">
        <v>16385</v>
      </c>
      <c r="U1323" s="403"/>
      <c r="V1323" s="403" t="s">
        <v>23024</v>
      </c>
      <c r="W1323" s="403" t="s">
        <v>23024</v>
      </c>
      <c r="X1323" s="403" t="s">
        <v>23024</v>
      </c>
      <c r="Y1323" s="403" t="s">
        <v>23024</v>
      </c>
    </row>
    <row r="1324" spans="1:25">
      <c r="A1324" s="363">
        <f t="shared" si="167"/>
        <v>1323</v>
      </c>
      <c r="B1324" s="363" t="str">
        <f t="shared" si="160"/>
        <v>44</v>
      </c>
      <c r="C1324" s="405" t="str">
        <f t="shared" si="161"/>
        <v>第011760号</v>
      </c>
      <c r="D1324" s="405" t="str">
        <f t="shared" si="162"/>
        <v>（株）スポーツテックノア</v>
      </c>
      <c r="E1324" s="405" t="str">
        <f t="shared" si="163"/>
        <v>代表取締役</v>
      </c>
      <c r="F1324" s="405" t="str">
        <f t="shared" si="164"/>
        <v>長尾　秀雄</v>
      </c>
      <c r="G1324" s="405" t="str">
        <f t="shared" si="165"/>
        <v>主たる営業所</v>
      </c>
      <c r="H1324" s="405" t="str">
        <f t="shared" si="166"/>
        <v>日田市大字三和２７１９－６</v>
      </c>
      <c r="L1324" s="404" t="s">
        <v>10507</v>
      </c>
      <c r="M1324" s="404" t="s">
        <v>10508</v>
      </c>
      <c r="N1324" s="404" t="s">
        <v>3866</v>
      </c>
      <c r="O1324" s="404" t="s">
        <v>7084</v>
      </c>
      <c r="P1324" s="404" t="s">
        <v>3867</v>
      </c>
      <c r="Q1324" s="404" t="s">
        <v>10509</v>
      </c>
      <c r="R1324" s="404" t="s">
        <v>19704</v>
      </c>
      <c r="S1324" s="404" t="s">
        <v>16386</v>
      </c>
      <c r="T1324" s="404" t="s">
        <v>16387</v>
      </c>
      <c r="U1324" s="404"/>
      <c r="V1324" s="404" t="s">
        <v>23024</v>
      </c>
      <c r="W1324" s="404" t="s">
        <v>23024</v>
      </c>
      <c r="X1324" s="404" t="s">
        <v>23024</v>
      </c>
      <c r="Y1324" s="404" t="s">
        <v>23024</v>
      </c>
    </row>
    <row r="1325" spans="1:25">
      <c r="A1325" s="363">
        <f t="shared" si="167"/>
        <v>1324</v>
      </c>
      <c r="B1325" s="363" t="str">
        <f t="shared" si="160"/>
        <v>44</v>
      </c>
      <c r="C1325" s="405" t="str">
        <f t="shared" si="161"/>
        <v>第011765号</v>
      </c>
      <c r="D1325" s="405" t="str">
        <f t="shared" si="162"/>
        <v>（有）森建築</v>
      </c>
      <c r="E1325" s="405" t="str">
        <f t="shared" si="163"/>
        <v>代表取締役</v>
      </c>
      <c r="F1325" s="405" t="str">
        <f t="shared" si="164"/>
        <v>森　日出海</v>
      </c>
      <c r="G1325" s="405" t="str">
        <f t="shared" si="165"/>
        <v>主たる営業所</v>
      </c>
      <c r="H1325" s="405" t="str">
        <f t="shared" si="166"/>
        <v>玖珠郡九重町大字菅原４１２－１</v>
      </c>
      <c r="L1325" s="402" t="s">
        <v>10510</v>
      </c>
      <c r="M1325" s="402" t="s">
        <v>10511</v>
      </c>
      <c r="N1325" s="402" t="s">
        <v>3868</v>
      </c>
      <c r="O1325" s="402" t="s">
        <v>7084</v>
      </c>
      <c r="P1325" s="402" t="s">
        <v>3869</v>
      </c>
      <c r="Q1325" s="402" t="s">
        <v>10512</v>
      </c>
      <c r="R1325" s="402" t="s">
        <v>19705</v>
      </c>
      <c r="S1325" s="402" t="s">
        <v>16388</v>
      </c>
      <c r="T1325" s="402" t="s">
        <v>16389</v>
      </c>
      <c r="U1325" s="402"/>
      <c r="V1325" s="402" t="s">
        <v>23024</v>
      </c>
      <c r="W1325" s="402" t="s">
        <v>23024</v>
      </c>
      <c r="X1325" s="402" t="s">
        <v>23024</v>
      </c>
      <c r="Y1325" s="402" t="s">
        <v>23024</v>
      </c>
    </row>
    <row r="1326" spans="1:25">
      <c r="A1326" s="363">
        <f t="shared" si="167"/>
        <v>1325</v>
      </c>
      <c r="B1326" s="363" t="str">
        <f t="shared" si="160"/>
        <v>44</v>
      </c>
      <c r="C1326" s="405" t="str">
        <f t="shared" si="161"/>
        <v>第011768号</v>
      </c>
      <c r="D1326" s="405" t="str">
        <f t="shared" si="162"/>
        <v>豊後安全（有）</v>
      </c>
      <c r="E1326" s="405" t="str">
        <f t="shared" si="163"/>
        <v>代表取締役</v>
      </c>
      <c r="F1326" s="405" t="str">
        <f t="shared" si="164"/>
        <v>濱田　直樹</v>
      </c>
      <c r="G1326" s="405" t="str">
        <f t="shared" si="165"/>
        <v>主たる営業所</v>
      </c>
      <c r="H1326" s="405" t="str">
        <f t="shared" si="166"/>
        <v>中津市大字大貞１６５－１</v>
      </c>
      <c r="L1326" s="403" t="s">
        <v>10513</v>
      </c>
      <c r="M1326" s="403" t="s">
        <v>10514</v>
      </c>
      <c r="N1326" s="403" t="s">
        <v>3870</v>
      </c>
      <c r="O1326" s="403" t="s">
        <v>7084</v>
      </c>
      <c r="P1326" s="403" t="s">
        <v>3871</v>
      </c>
      <c r="Q1326" s="403" t="s">
        <v>9475</v>
      </c>
      <c r="R1326" s="403" t="s">
        <v>19706</v>
      </c>
      <c r="S1326" s="403" t="s">
        <v>16390</v>
      </c>
      <c r="T1326" s="403" t="s">
        <v>16391</v>
      </c>
      <c r="U1326" s="403"/>
      <c r="V1326" s="403" t="s">
        <v>23024</v>
      </c>
      <c r="W1326" s="403" t="s">
        <v>23024</v>
      </c>
      <c r="X1326" s="403" t="s">
        <v>23024</v>
      </c>
      <c r="Y1326" s="403" t="s">
        <v>23024</v>
      </c>
    </row>
    <row r="1327" spans="1:25">
      <c r="A1327" s="363">
        <f t="shared" si="167"/>
        <v>1326</v>
      </c>
      <c r="B1327" s="363" t="str">
        <f t="shared" si="160"/>
        <v>44</v>
      </c>
      <c r="C1327" s="405" t="str">
        <f t="shared" si="161"/>
        <v>第011774号</v>
      </c>
      <c r="D1327" s="405" t="str">
        <f t="shared" si="162"/>
        <v>（株）ホームプランニング大分</v>
      </c>
      <c r="E1327" s="405" t="str">
        <f t="shared" si="163"/>
        <v>代表取締役</v>
      </c>
      <c r="F1327" s="405" t="str">
        <f t="shared" si="164"/>
        <v>溝部　孝明</v>
      </c>
      <c r="G1327" s="405" t="str">
        <f t="shared" si="165"/>
        <v>主たる営業所</v>
      </c>
      <c r="H1327" s="405" t="str">
        <f t="shared" si="166"/>
        <v>別府市荘園町６６－２５－１サンハイツ荘苑</v>
      </c>
      <c r="L1327" s="403" t="s">
        <v>10515</v>
      </c>
      <c r="M1327" s="403" t="s">
        <v>10516</v>
      </c>
      <c r="N1327" s="403" t="s">
        <v>3872</v>
      </c>
      <c r="O1327" s="403" t="s">
        <v>7084</v>
      </c>
      <c r="P1327" s="403" t="s">
        <v>3873</v>
      </c>
      <c r="Q1327" s="403" t="s">
        <v>9433</v>
      </c>
      <c r="R1327" s="403" t="s">
        <v>19707</v>
      </c>
      <c r="S1327" s="403" t="s">
        <v>16392</v>
      </c>
      <c r="T1327" s="403" t="s">
        <v>16393</v>
      </c>
      <c r="U1327" s="403"/>
      <c r="V1327" s="403" t="s">
        <v>23024</v>
      </c>
      <c r="W1327" s="403" t="s">
        <v>23024</v>
      </c>
      <c r="X1327" s="403" t="s">
        <v>23024</v>
      </c>
      <c r="Y1327" s="403" t="s">
        <v>23024</v>
      </c>
    </row>
    <row r="1328" spans="1:25">
      <c r="A1328" s="363">
        <f t="shared" si="167"/>
        <v>1327</v>
      </c>
      <c r="B1328" s="363" t="str">
        <f t="shared" si="160"/>
        <v>44</v>
      </c>
      <c r="C1328" s="405" t="str">
        <f t="shared" si="161"/>
        <v>第011775号</v>
      </c>
      <c r="D1328" s="405" t="str">
        <f t="shared" si="162"/>
        <v>（有）穐吉工業</v>
      </c>
      <c r="E1328" s="405" t="str">
        <f t="shared" si="163"/>
        <v>代表取締役</v>
      </c>
      <c r="F1328" s="405" t="str">
        <f t="shared" si="164"/>
        <v>穐吉　勝己</v>
      </c>
      <c r="G1328" s="405" t="str">
        <f t="shared" si="165"/>
        <v>主たる営業所</v>
      </c>
      <c r="H1328" s="405" t="str">
        <f t="shared" si="166"/>
        <v>中津市大字全徳３５６－５</v>
      </c>
      <c r="L1328" s="403" t="s">
        <v>10517</v>
      </c>
      <c r="M1328" s="403" t="s">
        <v>10518</v>
      </c>
      <c r="N1328" s="403" t="s">
        <v>3874</v>
      </c>
      <c r="O1328" s="403" t="s">
        <v>7084</v>
      </c>
      <c r="P1328" s="403" t="s">
        <v>3875</v>
      </c>
      <c r="Q1328" s="403" t="s">
        <v>10519</v>
      </c>
      <c r="R1328" s="403" t="s">
        <v>19708</v>
      </c>
      <c r="S1328" s="403" t="s">
        <v>16394</v>
      </c>
      <c r="T1328" s="403" t="s">
        <v>16395</v>
      </c>
      <c r="U1328" s="403"/>
      <c r="V1328" s="403" t="s">
        <v>23024</v>
      </c>
      <c r="W1328" s="403" t="s">
        <v>23024</v>
      </c>
      <c r="X1328" s="403" t="s">
        <v>23024</v>
      </c>
      <c r="Y1328" s="403" t="s">
        <v>23024</v>
      </c>
    </row>
    <row r="1329" spans="1:25">
      <c r="A1329" s="363">
        <f t="shared" si="167"/>
        <v>1328</v>
      </c>
      <c r="B1329" s="363" t="str">
        <f t="shared" si="160"/>
        <v>44</v>
      </c>
      <c r="C1329" s="405" t="str">
        <f t="shared" si="161"/>
        <v>第011776号</v>
      </c>
      <c r="D1329" s="405" t="str">
        <f t="shared" si="162"/>
        <v>（株）緑環境技術</v>
      </c>
      <c r="E1329" s="405" t="str">
        <f t="shared" si="163"/>
        <v>代表取締役</v>
      </c>
      <c r="F1329" s="405" t="str">
        <f t="shared" si="164"/>
        <v>畑中　勝利</v>
      </c>
      <c r="G1329" s="405" t="str">
        <f t="shared" si="165"/>
        <v>主たる営業所</v>
      </c>
      <c r="H1329" s="405" t="str">
        <f t="shared" si="166"/>
        <v>日田市田島本町１－５（イエロービル３階３０１号室）</v>
      </c>
      <c r="L1329" s="403" t="s">
        <v>10520</v>
      </c>
      <c r="M1329" s="403" t="s">
        <v>10521</v>
      </c>
      <c r="N1329" s="403" t="s">
        <v>3876</v>
      </c>
      <c r="O1329" s="403" t="s">
        <v>7084</v>
      </c>
      <c r="P1329" s="403" t="s">
        <v>3877</v>
      </c>
      <c r="Q1329" s="403" t="s">
        <v>10283</v>
      </c>
      <c r="R1329" s="403" t="s">
        <v>19709</v>
      </c>
      <c r="S1329" s="403" t="s">
        <v>16396</v>
      </c>
      <c r="T1329" s="403" t="s">
        <v>16397</v>
      </c>
      <c r="U1329" s="403"/>
      <c r="V1329" s="403" t="s">
        <v>23024</v>
      </c>
      <c r="W1329" s="403" t="s">
        <v>23024</v>
      </c>
      <c r="X1329" s="403" t="s">
        <v>23024</v>
      </c>
      <c r="Y1329" s="403" t="s">
        <v>23024</v>
      </c>
    </row>
    <row r="1330" spans="1:25">
      <c r="A1330" s="363">
        <f t="shared" si="167"/>
        <v>1329</v>
      </c>
      <c r="B1330" s="363" t="str">
        <f t="shared" si="160"/>
        <v>44</v>
      </c>
      <c r="C1330" s="405" t="str">
        <f t="shared" si="161"/>
        <v>第011783号</v>
      </c>
      <c r="D1330" s="405" t="str">
        <f t="shared" si="162"/>
        <v>（株）ＳＡＫＡＥ</v>
      </c>
      <c r="E1330" s="405" t="str">
        <f t="shared" si="163"/>
        <v>代表取締役</v>
      </c>
      <c r="F1330" s="405" t="str">
        <f t="shared" si="164"/>
        <v>麻生　勝己</v>
      </c>
      <c r="G1330" s="405" t="str">
        <f t="shared" si="165"/>
        <v>主たる営業所</v>
      </c>
      <c r="H1330" s="405" t="str">
        <f t="shared" si="166"/>
        <v>大分市花高松２－１０－１１</v>
      </c>
      <c r="L1330" s="403" t="s">
        <v>10522</v>
      </c>
      <c r="M1330" s="403" t="s">
        <v>10523</v>
      </c>
      <c r="N1330" s="403" t="s">
        <v>3878</v>
      </c>
      <c r="O1330" s="403" t="s">
        <v>7084</v>
      </c>
      <c r="P1330" s="403" t="s">
        <v>3879</v>
      </c>
      <c r="Q1330" s="403" t="s">
        <v>8650</v>
      </c>
      <c r="R1330" s="403" t="s">
        <v>19710</v>
      </c>
      <c r="S1330" s="403" t="s">
        <v>16398</v>
      </c>
      <c r="T1330" s="403" t="s">
        <v>16399</v>
      </c>
      <c r="U1330" s="403"/>
      <c r="V1330" s="403" t="s">
        <v>23024</v>
      </c>
      <c r="W1330" s="403" t="s">
        <v>23024</v>
      </c>
      <c r="X1330" s="403" t="s">
        <v>23024</v>
      </c>
      <c r="Y1330" s="403" t="s">
        <v>23024</v>
      </c>
    </row>
    <row r="1331" spans="1:25">
      <c r="A1331" s="363">
        <f t="shared" si="167"/>
        <v>1330</v>
      </c>
      <c r="B1331" s="363" t="str">
        <f t="shared" si="160"/>
        <v>44</v>
      </c>
      <c r="C1331" s="405" t="str">
        <f t="shared" si="161"/>
        <v>第011792号</v>
      </c>
      <c r="D1331" s="405" t="str">
        <f t="shared" si="162"/>
        <v>（有）相良建築</v>
      </c>
      <c r="E1331" s="405" t="str">
        <f t="shared" si="163"/>
        <v>代表取締役</v>
      </c>
      <c r="F1331" s="405" t="str">
        <f t="shared" si="164"/>
        <v>相良　和博</v>
      </c>
      <c r="G1331" s="405" t="str">
        <f t="shared" si="165"/>
        <v>主たる営業所</v>
      </c>
      <c r="H1331" s="405" t="str">
        <f t="shared" si="166"/>
        <v>玖珠郡玖珠町大字四日市２４７２</v>
      </c>
      <c r="L1331" s="403" t="s">
        <v>10524</v>
      </c>
      <c r="M1331" s="403" t="s">
        <v>10525</v>
      </c>
      <c r="N1331" s="403" t="s">
        <v>3880</v>
      </c>
      <c r="O1331" s="403" t="s">
        <v>7084</v>
      </c>
      <c r="P1331" s="403" t="s">
        <v>3881</v>
      </c>
      <c r="Q1331" s="403" t="s">
        <v>10526</v>
      </c>
      <c r="R1331" s="403" t="s">
        <v>5614</v>
      </c>
      <c r="S1331" s="403" t="s">
        <v>16400</v>
      </c>
      <c r="T1331" s="403" t="s">
        <v>16401</v>
      </c>
      <c r="U1331" s="403"/>
      <c r="V1331" s="403" t="s">
        <v>23024</v>
      </c>
      <c r="W1331" s="403" t="s">
        <v>23024</v>
      </c>
      <c r="X1331" s="403" t="s">
        <v>23024</v>
      </c>
      <c r="Y1331" s="403" t="s">
        <v>23024</v>
      </c>
    </row>
    <row r="1332" spans="1:25">
      <c r="A1332" s="363">
        <f t="shared" si="167"/>
        <v>1331</v>
      </c>
      <c r="B1332" s="363" t="str">
        <f t="shared" si="160"/>
        <v>44</v>
      </c>
      <c r="C1332" s="405" t="str">
        <f t="shared" si="161"/>
        <v>第011794号</v>
      </c>
      <c r="D1332" s="405" t="str">
        <f t="shared" si="162"/>
        <v>三幸建設（株）</v>
      </c>
      <c r="E1332" s="405" t="str">
        <f t="shared" si="163"/>
        <v>代表取締役</v>
      </c>
      <c r="F1332" s="405" t="str">
        <f t="shared" si="164"/>
        <v>土居　幸二</v>
      </c>
      <c r="G1332" s="405" t="str">
        <f t="shared" si="165"/>
        <v>主たる営業所</v>
      </c>
      <c r="H1332" s="405" t="str">
        <f t="shared" si="166"/>
        <v>宇佐市大字荒木２８７</v>
      </c>
      <c r="L1332" s="403" t="s">
        <v>10527</v>
      </c>
      <c r="M1332" s="403" t="s">
        <v>9313</v>
      </c>
      <c r="N1332" s="403" t="s">
        <v>3882</v>
      </c>
      <c r="O1332" s="403" t="s">
        <v>7084</v>
      </c>
      <c r="P1332" s="403" t="s">
        <v>3883</v>
      </c>
      <c r="Q1332" s="403" t="s">
        <v>10528</v>
      </c>
      <c r="R1332" s="403" t="s">
        <v>5615</v>
      </c>
      <c r="S1332" s="403" t="s">
        <v>16402</v>
      </c>
      <c r="T1332" s="403" t="s">
        <v>16403</v>
      </c>
      <c r="U1332" s="403"/>
      <c r="V1332" s="403" t="s">
        <v>23024</v>
      </c>
      <c r="W1332" s="403" t="s">
        <v>23024</v>
      </c>
      <c r="X1332" s="403" t="s">
        <v>23024</v>
      </c>
      <c r="Y1332" s="403" t="s">
        <v>23024</v>
      </c>
    </row>
    <row r="1333" spans="1:25">
      <c r="A1333" s="363">
        <f t="shared" si="167"/>
        <v>1332</v>
      </c>
      <c r="B1333" s="363" t="str">
        <f t="shared" si="160"/>
        <v>44</v>
      </c>
      <c r="C1333" s="405" t="str">
        <f t="shared" si="161"/>
        <v>第011795号</v>
      </c>
      <c r="D1333" s="405" t="str">
        <f t="shared" si="162"/>
        <v>（有）ベネッツ</v>
      </c>
      <c r="E1333" s="405" t="str">
        <f t="shared" si="163"/>
        <v>代表取締役</v>
      </c>
      <c r="F1333" s="405" t="str">
        <f t="shared" si="164"/>
        <v>伊東　哲也</v>
      </c>
      <c r="G1333" s="405" t="str">
        <f t="shared" si="165"/>
        <v>主たる営業所</v>
      </c>
      <c r="H1333" s="405" t="str">
        <f t="shared" si="166"/>
        <v>竹田市大字会々字平２７９３－１７</v>
      </c>
      <c r="L1333" s="403" t="s">
        <v>10529</v>
      </c>
      <c r="M1333" s="403" t="s">
        <v>10530</v>
      </c>
      <c r="N1333" s="403" t="s">
        <v>3884</v>
      </c>
      <c r="O1333" s="403" t="s">
        <v>7084</v>
      </c>
      <c r="P1333" s="403" t="s">
        <v>3885</v>
      </c>
      <c r="Q1333" s="403" t="s">
        <v>7940</v>
      </c>
      <c r="R1333" s="403" t="s">
        <v>19711</v>
      </c>
      <c r="S1333" s="403" t="s">
        <v>16404</v>
      </c>
      <c r="T1333" s="403" t="s">
        <v>16405</v>
      </c>
      <c r="U1333" s="403"/>
      <c r="V1333" s="403" t="s">
        <v>23024</v>
      </c>
      <c r="W1333" s="403" t="s">
        <v>23024</v>
      </c>
      <c r="X1333" s="403" t="s">
        <v>23024</v>
      </c>
      <c r="Y1333" s="403" t="s">
        <v>23024</v>
      </c>
    </row>
    <row r="1334" spans="1:25">
      <c r="A1334" s="363">
        <f t="shared" si="167"/>
        <v>1333</v>
      </c>
      <c r="B1334" s="363" t="str">
        <f t="shared" si="160"/>
        <v>44</v>
      </c>
      <c r="C1334" s="405" t="str">
        <f t="shared" si="161"/>
        <v>第011798号</v>
      </c>
      <c r="D1334" s="405" t="str">
        <f t="shared" si="162"/>
        <v>隆テック（株）</v>
      </c>
      <c r="E1334" s="405" t="str">
        <f t="shared" si="163"/>
        <v>代表取締役</v>
      </c>
      <c r="F1334" s="405" t="str">
        <f t="shared" si="164"/>
        <v>蒲原　浩隆</v>
      </c>
      <c r="G1334" s="405" t="str">
        <f t="shared" si="165"/>
        <v>主たる営業所</v>
      </c>
      <c r="H1334" s="405" t="str">
        <f t="shared" si="166"/>
        <v>別府市富士見町１３－５</v>
      </c>
      <c r="L1334" s="403" t="s">
        <v>10531</v>
      </c>
      <c r="M1334" s="403" t="s">
        <v>10532</v>
      </c>
      <c r="N1334" s="403" t="s">
        <v>3886</v>
      </c>
      <c r="O1334" s="403" t="s">
        <v>7084</v>
      </c>
      <c r="P1334" s="403" t="s">
        <v>3887</v>
      </c>
      <c r="Q1334" s="403" t="s">
        <v>7643</v>
      </c>
      <c r="R1334" s="403" t="s">
        <v>19712</v>
      </c>
      <c r="S1334" s="403" t="s">
        <v>16406</v>
      </c>
      <c r="T1334" s="403" t="s">
        <v>16407</v>
      </c>
      <c r="U1334" s="403"/>
      <c r="V1334" s="403" t="s">
        <v>23024</v>
      </c>
      <c r="W1334" s="403" t="s">
        <v>23024</v>
      </c>
      <c r="X1334" s="403" t="s">
        <v>23024</v>
      </c>
      <c r="Y1334" s="403" t="s">
        <v>23024</v>
      </c>
    </row>
    <row r="1335" spans="1:25">
      <c r="A1335" s="363">
        <f t="shared" si="167"/>
        <v>1334</v>
      </c>
      <c r="B1335" s="363" t="str">
        <f t="shared" si="160"/>
        <v>44</v>
      </c>
      <c r="C1335" s="405" t="str">
        <f t="shared" si="161"/>
        <v>第011800号</v>
      </c>
      <c r="D1335" s="405" t="str">
        <f t="shared" si="162"/>
        <v>（有）原田工務店</v>
      </c>
      <c r="E1335" s="405" t="str">
        <f t="shared" si="163"/>
        <v>取締役</v>
      </c>
      <c r="F1335" s="405" t="str">
        <f t="shared" si="164"/>
        <v>原田　敬史</v>
      </c>
      <c r="G1335" s="405" t="str">
        <f t="shared" si="165"/>
        <v>主たる営業所</v>
      </c>
      <c r="H1335" s="405" t="str">
        <f t="shared" si="166"/>
        <v>宇佐市大字清水２４０－１</v>
      </c>
      <c r="L1335" s="403" t="s">
        <v>10533</v>
      </c>
      <c r="M1335" s="403" t="s">
        <v>10534</v>
      </c>
      <c r="N1335" s="403" t="s">
        <v>3888</v>
      </c>
      <c r="O1335" s="403" t="s">
        <v>7085</v>
      </c>
      <c r="P1335" s="403" t="s">
        <v>3889</v>
      </c>
      <c r="Q1335" s="403" t="s">
        <v>10535</v>
      </c>
      <c r="R1335" s="403" t="s">
        <v>19713</v>
      </c>
      <c r="S1335" s="403" t="s">
        <v>16408</v>
      </c>
      <c r="T1335" s="403" t="s">
        <v>16409</v>
      </c>
      <c r="U1335" s="403"/>
      <c r="V1335" s="403" t="s">
        <v>23024</v>
      </c>
      <c r="W1335" s="403" t="s">
        <v>23024</v>
      </c>
      <c r="X1335" s="403" t="s">
        <v>23024</v>
      </c>
      <c r="Y1335" s="403" t="s">
        <v>23024</v>
      </c>
    </row>
    <row r="1336" spans="1:25">
      <c r="A1336" s="363">
        <f t="shared" si="167"/>
        <v>1335</v>
      </c>
      <c r="B1336" s="363" t="str">
        <f t="shared" si="160"/>
        <v>44</v>
      </c>
      <c r="C1336" s="405" t="str">
        <f t="shared" si="161"/>
        <v>第011802号</v>
      </c>
      <c r="D1336" s="405" t="str">
        <f t="shared" si="162"/>
        <v>（有）ニッセイトップ</v>
      </c>
      <c r="E1336" s="405" t="str">
        <f t="shared" si="163"/>
        <v>代表取締役</v>
      </c>
      <c r="F1336" s="405" t="str">
        <f t="shared" si="164"/>
        <v>藤田　成人</v>
      </c>
      <c r="G1336" s="405" t="str">
        <f t="shared" si="165"/>
        <v>主たる営業所</v>
      </c>
      <c r="H1336" s="405" t="str">
        <f t="shared" si="166"/>
        <v>大分市大字中尾１０３６－７</v>
      </c>
      <c r="L1336" s="403" t="s">
        <v>10536</v>
      </c>
      <c r="M1336" s="403" t="s">
        <v>10537</v>
      </c>
      <c r="N1336" s="403" t="s">
        <v>3890</v>
      </c>
      <c r="O1336" s="403" t="s">
        <v>7084</v>
      </c>
      <c r="P1336" s="403" t="s">
        <v>3891</v>
      </c>
      <c r="Q1336" s="403" t="s">
        <v>8329</v>
      </c>
      <c r="R1336" s="403" t="s">
        <v>19714</v>
      </c>
      <c r="S1336" s="403" t="s">
        <v>16410</v>
      </c>
      <c r="T1336" s="403" t="s">
        <v>16411</v>
      </c>
      <c r="U1336" s="403"/>
      <c r="V1336" s="403" t="s">
        <v>23024</v>
      </c>
      <c r="W1336" s="403" t="s">
        <v>23024</v>
      </c>
      <c r="X1336" s="403" t="s">
        <v>23024</v>
      </c>
      <c r="Y1336" s="403" t="s">
        <v>23024</v>
      </c>
    </row>
    <row r="1337" spans="1:25">
      <c r="A1337" s="363">
        <f t="shared" si="167"/>
        <v>1336</v>
      </c>
      <c r="B1337" s="363" t="str">
        <f t="shared" si="160"/>
        <v>44</v>
      </c>
      <c r="C1337" s="405" t="str">
        <f t="shared" si="161"/>
        <v>第011804号</v>
      </c>
      <c r="D1337" s="405" t="str">
        <f t="shared" si="162"/>
        <v>（株）渡辺企画</v>
      </c>
      <c r="E1337" s="405" t="str">
        <f t="shared" si="163"/>
        <v>代表取締役</v>
      </c>
      <c r="F1337" s="405" t="str">
        <f t="shared" si="164"/>
        <v>佐伯　賢一</v>
      </c>
      <c r="G1337" s="405" t="str">
        <f t="shared" si="165"/>
        <v>主たる営業所</v>
      </c>
      <c r="H1337" s="405" t="str">
        <f t="shared" si="166"/>
        <v>大分市大字中判田１２４－１</v>
      </c>
      <c r="L1337" s="403" t="s">
        <v>10538</v>
      </c>
      <c r="M1337" s="403" t="s">
        <v>10539</v>
      </c>
      <c r="N1337" s="403" t="s">
        <v>3892</v>
      </c>
      <c r="O1337" s="403" t="s">
        <v>7084</v>
      </c>
      <c r="P1337" s="403" t="s">
        <v>19715</v>
      </c>
      <c r="Q1337" s="403" t="s">
        <v>7542</v>
      </c>
      <c r="R1337" s="403" t="s">
        <v>19716</v>
      </c>
      <c r="S1337" s="403" t="s">
        <v>16412</v>
      </c>
      <c r="T1337" s="403" t="s">
        <v>16413</v>
      </c>
      <c r="U1337" s="403"/>
      <c r="V1337" s="403" t="s">
        <v>23024</v>
      </c>
      <c r="W1337" s="403" t="s">
        <v>23024</v>
      </c>
      <c r="X1337" s="403" t="s">
        <v>23024</v>
      </c>
      <c r="Y1337" s="403" t="s">
        <v>23024</v>
      </c>
    </row>
    <row r="1338" spans="1:25">
      <c r="A1338" s="363">
        <f t="shared" si="167"/>
        <v>1337</v>
      </c>
      <c r="B1338" s="363" t="str">
        <f t="shared" si="160"/>
        <v>44</v>
      </c>
      <c r="C1338" s="405" t="str">
        <f t="shared" si="161"/>
        <v>第011806号</v>
      </c>
      <c r="D1338" s="405" t="str">
        <f t="shared" si="162"/>
        <v>アイテク（株）</v>
      </c>
      <c r="E1338" s="405" t="str">
        <f t="shared" si="163"/>
        <v>代表取締役</v>
      </c>
      <c r="F1338" s="405" t="str">
        <f t="shared" si="164"/>
        <v>佐藤　賢司</v>
      </c>
      <c r="G1338" s="405" t="str">
        <f t="shared" si="165"/>
        <v>主たる営業所</v>
      </c>
      <c r="H1338" s="405" t="str">
        <f t="shared" si="166"/>
        <v>大分市大字羽田１９３－１</v>
      </c>
      <c r="L1338" s="403" t="s">
        <v>10540</v>
      </c>
      <c r="M1338" s="403" t="s">
        <v>10541</v>
      </c>
      <c r="N1338" s="403" t="s">
        <v>3893</v>
      </c>
      <c r="O1338" s="403" t="s">
        <v>7084</v>
      </c>
      <c r="P1338" s="403" t="s">
        <v>19717</v>
      </c>
      <c r="Q1338" s="403" t="s">
        <v>8289</v>
      </c>
      <c r="R1338" s="403" t="s">
        <v>19718</v>
      </c>
      <c r="S1338" s="403" t="s">
        <v>16414</v>
      </c>
      <c r="T1338" s="403" t="s">
        <v>16415</v>
      </c>
      <c r="U1338" s="403"/>
      <c r="V1338" s="403" t="s">
        <v>23024</v>
      </c>
      <c r="W1338" s="403" t="s">
        <v>23024</v>
      </c>
      <c r="X1338" s="403" t="s">
        <v>23024</v>
      </c>
      <c r="Y1338" s="403" t="s">
        <v>23024</v>
      </c>
    </row>
    <row r="1339" spans="1:25">
      <c r="A1339" s="363">
        <f t="shared" si="167"/>
        <v>1338</v>
      </c>
      <c r="B1339" s="363" t="str">
        <f t="shared" si="160"/>
        <v>44</v>
      </c>
      <c r="C1339" s="405" t="str">
        <f t="shared" si="161"/>
        <v>第011808号</v>
      </c>
      <c r="D1339" s="405" t="str">
        <f t="shared" si="162"/>
        <v>（有）弘栄工業</v>
      </c>
      <c r="E1339" s="405" t="str">
        <f t="shared" si="163"/>
        <v>代表取締役</v>
      </c>
      <c r="F1339" s="405" t="str">
        <f t="shared" si="164"/>
        <v>佐藤　弘</v>
      </c>
      <c r="G1339" s="405" t="str">
        <f t="shared" si="165"/>
        <v>主たる営業所</v>
      </c>
      <c r="H1339" s="405" t="str">
        <f t="shared" si="166"/>
        <v>大分市大字津守５０１－３</v>
      </c>
      <c r="L1339" s="403" t="s">
        <v>10542</v>
      </c>
      <c r="M1339" s="403" t="s">
        <v>10543</v>
      </c>
      <c r="N1339" s="403" t="s">
        <v>3894</v>
      </c>
      <c r="O1339" s="403" t="s">
        <v>7084</v>
      </c>
      <c r="P1339" s="403" t="s">
        <v>3895</v>
      </c>
      <c r="Q1339" s="403" t="s">
        <v>7756</v>
      </c>
      <c r="R1339" s="403" t="s">
        <v>19719</v>
      </c>
      <c r="S1339" s="403" t="s">
        <v>16416</v>
      </c>
      <c r="T1339" s="403" t="s">
        <v>16417</v>
      </c>
      <c r="U1339" s="403"/>
      <c r="V1339" s="403" t="s">
        <v>23024</v>
      </c>
      <c r="W1339" s="403" t="s">
        <v>23024</v>
      </c>
      <c r="X1339" s="403" t="s">
        <v>23024</v>
      </c>
      <c r="Y1339" s="403" t="s">
        <v>23024</v>
      </c>
    </row>
    <row r="1340" spans="1:25">
      <c r="A1340" s="363">
        <f t="shared" si="167"/>
        <v>1339</v>
      </c>
      <c r="B1340" s="363" t="str">
        <f t="shared" si="160"/>
        <v>44</v>
      </c>
      <c r="C1340" s="405" t="str">
        <f t="shared" si="161"/>
        <v>第011810号</v>
      </c>
      <c r="D1340" s="405" t="str">
        <f t="shared" si="162"/>
        <v>良美建設（有）</v>
      </c>
      <c r="E1340" s="405" t="str">
        <f t="shared" si="163"/>
        <v>代表取締役</v>
      </c>
      <c r="F1340" s="405" t="str">
        <f t="shared" si="164"/>
        <v>梶原　良美</v>
      </c>
      <c r="G1340" s="405" t="str">
        <f t="shared" si="165"/>
        <v>主たる営業所</v>
      </c>
      <c r="H1340" s="405" t="str">
        <f t="shared" si="166"/>
        <v>日田市大山町西大山６９３６－１</v>
      </c>
      <c r="L1340" s="403" t="s">
        <v>10544</v>
      </c>
      <c r="M1340" s="403" t="s">
        <v>10545</v>
      </c>
      <c r="N1340" s="403" t="s">
        <v>3896</v>
      </c>
      <c r="O1340" s="403" t="s">
        <v>7084</v>
      </c>
      <c r="P1340" s="403" t="s">
        <v>3897</v>
      </c>
      <c r="Q1340" s="403" t="s">
        <v>8983</v>
      </c>
      <c r="R1340" s="403" t="s">
        <v>19720</v>
      </c>
      <c r="S1340" s="403" t="s">
        <v>16418</v>
      </c>
      <c r="T1340" s="403" t="s">
        <v>16418</v>
      </c>
      <c r="U1340" s="403"/>
      <c r="V1340" s="403" t="s">
        <v>23024</v>
      </c>
      <c r="W1340" s="403" t="s">
        <v>23024</v>
      </c>
      <c r="X1340" s="403" t="s">
        <v>23024</v>
      </c>
      <c r="Y1340" s="403" t="s">
        <v>23024</v>
      </c>
    </row>
    <row r="1341" spans="1:25">
      <c r="A1341" s="363">
        <f t="shared" si="167"/>
        <v>1340</v>
      </c>
      <c r="B1341" s="363" t="str">
        <f t="shared" si="160"/>
        <v>44</v>
      </c>
      <c r="C1341" s="405" t="str">
        <f t="shared" si="161"/>
        <v>第011816号</v>
      </c>
      <c r="D1341" s="405" t="str">
        <f t="shared" si="162"/>
        <v>（株）タマダ</v>
      </c>
      <c r="E1341" s="405" t="str">
        <f t="shared" si="163"/>
        <v>代表取締役</v>
      </c>
      <c r="F1341" s="405" t="str">
        <f t="shared" si="164"/>
        <v>玉田　哲士</v>
      </c>
      <c r="G1341" s="405" t="str">
        <f t="shared" si="165"/>
        <v>主たる営業所</v>
      </c>
      <c r="H1341" s="405" t="str">
        <f t="shared" si="166"/>
        <v>豊後大野市三重町市場１２７６－１</v>
      </c>
      <c r="L1341" s="403" t="s">
        <v>10546</v>
      </c>
      <c r="M1341" s="403" t="s">
        <v>10547</v>
      </c>
      <c r="N1341" s="403" t="s">
        <v>3898</v>
      </c>
      <c r="O1341" s="403" t="s">
        <v>7084</v>
      </c>
      <c r="P1341" s="403" t="s">
        <v>3899</v>
      </c>
      <c r="Q1341" s="403" t="s">
        <v>10255</v>
      </c>
      <c r="R1341" s="403" t="s">
        <v>19721</v>
      </c>
      <c r="S1341" s="403" t="s">
        <v>16419</v>
      </c>
      <c r="T1341" s="403" t="s">
        <v>16420</v>
      </c>
      <c r="U1341" s="403"/>
      <c r="V1341" s="403" t="s">
        <v>23024</v>
      </c>
      <c r="W1341" s="403" t="s">
        <v>23024</v>
      </c>
      <c r="X1341" s="403" t="s">
        <v>23024</v>
      </c>
      <c r="Y1341" s="403" t="s">
        <v>23024</v>
      </c>
    </row>
    <row r="1342" spans="1:25">
      <c r="A1342" s="363">
        <f t="shared" si="167"/>
        <v>1341</v>
      </c>
      <c r="B1342" s="363" t="str">
        <f t="shared" si="160"/>
        <v>44</v>
      </c>
      <c r="C1342" s="405" t="str">
        <f t="shared" si="161"/>
        <v>第011823号</v>
      </c>
      <c r="D1342" s="405" t="str">
        <f t="shared" si="162"/>
        <v>（株）三慶建設</v>
      </c>
      <c r="E1342" s="405" t="str">
        <f t="shared" si="163"/>
        <v>代表取締役</v>
      </c>
      <c r="F1342" s="405" t="str">
        <f t="shared" si="164"/>
        <v>加藤　三幸</v>
      </c>
      <c r="G1342" s="405" t="str">
        <f t="shared" si="165"/>
        <v>主たる営業所</v>
      </c>
      <c r="H1342" s="405" t="str">
        <f t="shared" si="166"/>
        <v>別府市亀川東町３－２１</v>
      </c>
      <c r="L1342" s="403" t="s">
        <v>19722</v>
      </c>
      <c r="M1342" s="403" t="s">
        <v>19723</v>
      </c>
      <c r="N1342" s="403" t="s">
        <v>19724</v>
      </c>
      <c r="O1342" s="403" t="s">
        <v>7084</v>
      </c>
      <c r="P1342" s="403" t="s">
        <v>19725</v>
      </c>
      <c r="Q1342" s="403" t="s">
        <v>7640</v>
      </c>
      <c r="R1342" s="403" t="s">
        <v>19726</v>
      </c>
      <c r="S1342" s="403" t="s">
        <v>19727</v>
      </c>
      <c r="T1342" s="403" t="s">
        <v>19728</v>
      </c>
      <c r="U1342" s="403"/>
      <c r="V1342" s="403" t="s">
        <v>23024</v>
      </c>
      <c r="W1342" s="403" t="s">
        <v>23024</v>
      </c>
      <c r="X1342" s="403" t="s">
        <v>23024</v>
      </c>
      <c r="Y1342" s="403" t="s">
        <v>23024</v>
      </c>
    </row>
    <row r="1343" spans="1:25">
      <c r="A1343" s="363">
        <f t="shared" si="167"/>
        <v>1342</v>
      </c>
      <c r="B1343" s="363" t="str">
        <f t="shared" si="160"/>
        <v>44</v>
      </c>
      <c r="C1343" s="405" t="str">
        <f t="shared" si="161"/>
        <v>第011825号</v>
      </c>
      <c r="D1343" s="405" t="str">
        <f t="shared" si="162"/>
        <v>（有）アサヒ電機</v>
      </c>
      <c r="E1343" s="405" t="str">
        <f t="shared" si="163"/>
        <v>代表取締役</v>
      </c>
      <c r="F1343" s="405" t="str">
        <f t="shared" si="164"/>
        <v>山田　教明</v>
      </c>
      <c r="G1343" s="405" t="str">
        <f t="shared" si="165"/>
        <v>主たる営業所</v>
      </c>
      <c r="H1343" s="405" t="str">
        <f t="shared" si="166"/>
        <v>日田市大字求来里１７４９－１</v>
      </c>
      <c r="L1343" s="403" t="s">
        <v>10548</v>
      </c>
      <c r="M1343" s="403" t="s">
        <v>10549</v>
      </c>
      <c r="N1343" s="403" t="s">
        <v>3900</v>
      </c>
      <c r="O1343" s="403" t="s">
        <v>7084</v>
      </c>
      <c r="P1343" s="403" t="s">
        <v>3901</v>
      </c>
      <c r="Q1343" s="403" t="s">
        <v>8547</v>
      </c>
      <c r="R1343" s="403" t="s">
        <v>19729</v>
      </c>
      <c r="S1343" s="403" t="s">
        <v>16421</v>
      </c>
      <c r="T1343" s="403" t="s">
        <v>16422</v>
      </c>
      <c r="U1343" s="403"/>
      <c r="V1343" s="403" t="s">
        <v>23024</v>
      </c>
      <c r="W1343" s="403" t="s">
        <v>23024</v>
      </c>
      <c r="X1343" s="403" t="s">
        <v>23024</v>
      </c>
      <c r="Y1343" s="403" t="s">
        <v>23024</v>
      </c>
    </row>
    <row r="1344" spans="1:25">
      <c r="A1344" s="363">
        <f t="shared" si="167"/>
        <v>1343</v>
      </c>
      <c r="B1344" s="363" t="str">
        <f t="shared" si="160"/>
        <v>44</v>
      </c>
      <c r="C1344" s="405" t="str">
        <f t="shared" si="161"/>
        <v>第011839号</v>
      </c>
      <c r="D1344" s="405" t="str">
        <f t="shared" si="162"/>
        <v>（株）坂本砿業所</v>
      </c>
      <c r="E1344" s="405" t="str">
        <f t="shared" si="163"/>
        <v>代表取締役</v>
      </c>
      <c r="F1344" s="405" t="str">
        <f t="shared" si="164"/>
        <v>高橋　幸治</v>
      </c>
      <c r="G1344" s="405" t="str">
        <f t="shared" si="165"/>
        <v>主たる営業所</v>
      </c>
      <c r="H1344" s="405" t="str">
        <f t="shared" si="166"/>
        <v>由布市庄内町直野内山３３８</v>
      </c>
      <c r="L1344" s="403" t="s">
        <v>10550</v>
      </c>
      <c r="M1344" s="403" t="s">
        <v>10551</v>
      </c>
      <c r="N1344" s="403" t="s">
        <v>3902</v>
      </c>
      <c r="O1344" s="403" t="s">
        <v>7084</v>
      </c>
      <c r="P1344" s="403" t="s">
        <v>3903</v>
      </c>
      <c r="Q1344" s="403" t="s">
        <v>10552</v>
      </c>
      <c r="R1344" s="403" t="s">
        <v>5616</v>
      </c>
      <c r="S1344" s="403" t="s">
        <v>16423</v>
      </c>
      <c r="T1344" s="403" t="s">
        <v>16424</v>
      </c>
      <c r="U1344" s="403"/>
      <c r="V1344" s="403" t="s">
        <v>23024</v>
      </c>
      <c r="W1344" s="403" t="s">
        <v>23024</v>
      </c>
      <c r="X1344" s="403" t="s">
        <v>23024</v>
      </c>
      <c r="Y1344" s="403" t="s">
        <v>23024</v>
      </c>
    </row>
    <row r="1345" spans="1:25">
      <c r="A1345" s="363">
        <f t="shared" si="167"/>
        <v>1344</v>
      </c>
      <c r="B1345" s="363" t="str">
        <f t="shared" si="160"/>
        <v>44</v>
      </c>
      <c r="C1345" s="405" t="str">
        <f t="shared" si="161"/>
        <v>第011840号</v>
      </c>
      <c r="D1345" s="405" t="str">
        <f t="shared" si="162"/>
        <v>（株）クリアス</v>
      </c>
      <c r="E1345" s="405" t="str">
        <f t="shared" si="163"/>
        <v>代表取締役</v>
      </c>
      <c r="F1345" s="405" t="str">
        <f t="shared" si="164"/>
        <v>大塚　茂</v>
      </c>
      <c r="G1345" s="405" t="str">
        <f t="shared" si="165"/>
        <v>主たる営業所</v>
      </c>
      <c r="H1345" s="405" t="str">
        <f t="shared" si="166"/>
        <v>大分市明野北５－１３－１３</v>
      </c>
      <c r="L1345" s="403" t="s">
        <v>10553</v>
      </c>
      <c r="M1345" s="403" t="s">
        <v>10554</v>
      </c>
      <c r="N1345" s="403" t="s">
        <v>3904</v>
      </c>
      <c r="O1345" s="403" t="s">
        <v>7084</v>
      </c>
      <c r="P1345" s="403" t="s">
        <v>3905</v>
      </c>
      <c r="Q1345" s="403" t="s">
        <v>10555</v>
      </c>
      <c r="R1345" s="403" t="s">
        <v>19730</v>
      </c>
      <c r="S1345" s="403" t="s">
        <v>16425</v>
      </c>
      <c r="T1345" s="403" t="s">
        <v>16426</v>
      </c>
      <c r="U1345" s="403"/>
      <c r="V1345" s="403" t="s">
        <v>23024</v>
      </c>
      <c r="W1345" s="403" t="s">
        <v>23024</v>
      </c>
      <c r="X1345" s="403" t="s">
        <v>23024</v>
      </c>
      <c r="Y1345" s="403" t="s">
        <v>23024</v>
      </c>
    </row>
    <row r="1346" spans="1:25">
      <c r="A1346" s="363">
        <f t="shared" si="167"/>
        <v>1345</v>
      </c>
      <c r="B1346" s="363" t="str">
        <f t="shared" ref="B1346:B1409" si="168">LEFT(L1346,2)</f>
        <v>44</v>
      </c>
      <c r="C1346" s="405" t="str">
        <f t="shared" ref="C1346:C1409" si="169">IF(B1346="","","第"&amp;RIGHT(L1346,6)&amp;"号")</f>
        <v>第011842号</v>
      </c>
      <c r="D1346" s="405" t="str">
        <f t="shared" ref="D1346:D1409" si="170">N1346</f>
        <v>（有）明豊建設</v>
      </c>
      <c r="E1346" s="405" t="str">
        <f t="shared" ref="E1346:E1409" si="171">IF(V1346="　",O1346,"")</f>
        <v>取締役</v>
      </c>
      <c r="F1346" s="405" t="str">
        <f t="shared" ref="F1346:F1409" si="172">IF(V1346="　",P1346,W1346)</f>
        <v>木村　歩</v>
      </c>
      <c r="G1346" s="405" t="str">
        <f t="shared" ref="G1346:G1409" si="173">IF(V1346="　","主たる営業所",V1346)</f>
        <v>主たる営業所</v>
      </c>
      <c r="H1346" s="405" t="str">
        <f t="shared" ref="H1346:H1409" si="174">IF(V1346="　",R1346,Y1346)</f>
        <v>竹田市久住町大字栢木５８０２－７</v>
      </c>
      <c r="L1346" s="403" t="s">
        <v>10556</v>
      </c>
      <c r="M1346" s="403" t="s">
        <v>10557</v>
      </c>
      <c r="N1346" s="403" t="s">
        <v>3906</v>
      </c>
      <c r="O1346" s="403" t="s">
        <v>7085</v>
      </c>
      <c r="P1346" s="403" t="s">
        <v>3907</v>
      </c>
      <c r="Q1346" s="403" t="s">
        <v>9138</v>
      </c>
      <c r="R1346" s="403" t="s">
        <v>19731</v>
      </c>
      <c r="S1346" s="403" t="s">
        <v>16427</v>
      </c>
      <c r="T1346" s="403" t="s">
        <v>16427</v>
      </c>
      <c r="U1346" s="403"/>
      <c r="V1346" s="403" t="s">
        <v>23024</v>
      </c>
      <c r="W1346" s="403" t="s">
        <v>23024</v>
      </c>
      <c r="X1346" s="403" t="s">
        <v>23024</v>
      </c>
      <c r="Y1346" s="403" t="s">
        <v>23024</v>
      </c>
    </row>
    <row r="1347" spans="1:25">
      <c r="A1347" s="363">
        <f t="shared" ref="A1347:A1410" si="175">IF(B1347="","",A1346+1)</f>
        <v>1346</v>
      </c>
      <c r="B1347" s="363" t="str">
        <f t="shared" si="168"/>
        <v>44</v>
      </c>
      <c r="C1347" s="405" t="str">
        <f t="shared" si="169"/>
        <v>第011845号</v>
      </c>
      <c r="D1347" s="405" t="str">
        <f t="shared" si="170"/>
        <v>（株）芦刈建築</v>
      </c>
      <c r="E1347" s="405" t="str">
        <f t="shared" si="171"/>
        <v>代表取締役</v>
      </c>
      <c r="F1347" s="405" t="str">
        <f t="shared" si="172"/>
        <v>芦刈　重子</v>
      </c>
      <c r="G1347" s="405" t="str">
        <f t="shared" si="173"/>
        <v>主たる営業所</v>
      </c>
      <c r="H1347" s="405" t="str">
        <f t="shared" si="174"/>
        <v>豊後大野市三重町芦刈４８１－４８</v>
      </c>
      <c r="L1347" s="403" t="s">
        <v>10558</v>
      </c>
      <c r="M1347" s="403" t="s">
        <v>10559</v>
      </c>
      <c r="N1347" s="403" t="s">
        <v>3908</v>
      </c>
      <c r="O1347" s="403" t="s">
        <v>7084</v>
      </c>
      <c r="P1347" s="403" t="s">
        <v>3909</v>
      </c>
      <c r="Q1347" s="403" t="s">
        <v>10560</v>
      </c>
      <c r="R1347" s="403" t="s">
        <v>19732</v>
      </c>
      <c r="S1347" s="403" t="s">
        <v>16428</v>
      </c>
      <c r="T1347" s="403" t="s">
        <v>16428</v>
      </c>
      <c r="U1347" s="403"/>
      <c r="V1347" s="403" t="s">
        <v>23024</v>
      </c>
      <c r="W1347" s="403" t="s">
        <v>23024</v>
      </c>
      <c r="X1347" s="403" t="s">
        <v>23024</v>
      </c>
      <c r="Y1347" s="403" t="s">
        <v>23024</v>
      </c>
    </row>
    <row r="1348" spans="1:25">
      <c r="A1348" s="363">
        <f t="shared" si="175"/>
        <v>1347</v>
      </c>
      <c r="B1348" s="363" t="str">
        <f t="shared" si="168"/>
        <v>44</v>
      </c>
      <c r="C1348" s="405" t="str">
        <f t="shared" si="169"/>
        <v>第011854号</v>
      </c>
      <c r="D1348" s="405" t="str">
        <f t="shared" si="170"/>
        <v>（有）原はつり工業</v>
      </c>
      <c r="E1348" s="405" t="str">
        <f t="shared" si="171"/>
        <v>代表取締役</v>
      </c>
      <c r="F1348" s="405" t="str">
        <f t="shared" si="172"/>
        <v>原　次人</v>
      </c>
      <c r="G1348" s="405" t="str">
        <f t="shared" si="173"/>
        <v>主たる営業所</v>
      </c>
      <c r="H1348" s="405" t="str">
        <f t="shared" si="174"/>
        <v>大分市大字横尾１６５９－８</v>
      </c>
      <c r="L1348" s="403" t="s">
        <v>10561</v>
      </c>
      <c r="M1348" s="403" t="s">
        <v>10562</v>
      </c>
      <c r="N1348" s="403" t="s">
        <v>3910</v>
      </c>
      <c r="O1348" s="403" t="s">
        <v>7084</v>
      </c>
      <c r="P1348" s="403" t="s">
        <v>3911</v>
      </c>
      <c r="Q1348" s="403" t="s">
        <v>7357</v>
      </c>
      <c r="R1348" s="403" t="s">
        <v>19733</v>
      </c>
      <c r="S1348" s="403" t="s">
        <v>16430</v>
      </c>
      <c r="T1348" s="403" t="s">
        <v>16431</v>
      </c>
      <c r="U1348" s="403"/>
      <c r="V1348" s="403" t="s">
        <v>23024</v>
      </c>
      <c r="W1348" s="403" t="s">
        <v>23024</v>
      </c>
      <c r="X1348" s="403" t="s">
        <v>23024</v>
      </c>
      <c r="Y1348" s="403" t="s">
        <v>23024</v>
      </c>
    </row>
    <row r="1349" spans="1:25">
      <c r="A1349" s="363">
        <f t="shared" si="175"/>
        <v>1348</v>
      </c>
      <c r="B1349" s="363" t="str">
        <f t="shared" si="168"/>
        <v>44</v>
      </c>
      <c r="C1349" s="405" t="str">
        <f t="shared" si="169"/>
        <v>第011862号</v>
      </c>
      <c r="D1349" s="405" t="str">
        <f t="shared" si="170"/>
        <v>（株）大建設</v>
      </c>
      <c r="E1349" s="405" t="str">
        <f t="shared" si="171"/>
        <v>代表取締役</v>
      </c>
      <c r="F1349" s="405" t="str">
        <f t="shared" si="172"/>
        <v>渡邊　廣明</v>
      </c>
      <c r="G1349" s="405" t="str">
        <f t="shared" si="173"/>
        <v>主たる営業所</v>
      </c>
      <c r="H1349" s="405" t="str">
        <f t="shared" si="174"/>
        <v>豊後大野市犬飼町大寒２２１５</v>
      </c>
      <c r="L1349" s="403" t="s">
        <v>10563</v>
      </c>
      <c r="M1349" s="403" t="s">
        <v>10564</v>
      </c>
      <c r="N1349" s="403" t="s">
        <v>3912</v>
      </c>
      <c r="O1349" s="403" t="s">
        <v>7084</v>
      </c>
      <c r="P1349" s="403" t="s">
        <v>3913</v>
      </c>
      <c r="Q1349" s="403" t="s">
        <v>10565</v>
      </c>
      <c r="R1349" s="403" t="s">
        <v>5617</v>
      </c>
      <c r="S1349" s="403" t="s">
        <v>16432</v>
      </c>
      <c r="T1349" s="403" t="s">
        <v>16433</v>
      </c>
      <c r="U1349" s="403"/>
      <c r="V1349" s="403" t="s">
        <v>23024</v>
      </c>
      <c r="W1349" s="403" t="s">
        <v>23024</v>
      </c>
      <c r="X1349" s="403" t="s">
        <v>23024</v>
      </c>
      <c r="Y1349" s="403" t="s">
        <v>23024</v>
      </c>
    </row>
    <row r="1350" spans="1:25">
      <c r="A1350" s="363">
        <f t="shared" si="175"/>
        <v>1349</v>
      </c>
      <c r="B1350" s="363" t="str">
        <f t="shared" si="168"/>
        <v>44</v>
      </c>
      <c r="C1350" s="405" t="str">
        <f t="shared" si="169"/>
        <v>第011868号</v>
      </c>
      <c r="D1350" s="405" t="str">
        <f t="shared" si="170"/>
        <v>（有）井村電設</v>
      </c>
      <c r="E1350" s="405" t="str">
        <f t="shared" si="171"/>
        <v>代表取締役</v>
      </c>
      <c r="F1350" s="405" t="str">
        <f t="shared" si="172"/>
        <v>井村　正孝</v>
      </c>
      <c r="G1350" s="405" t="str">
        <f t="shared" si="173"/>
        <v>主たる営業所</v>
      </c>
      <c r="H1350" s="405" t="str">
        <f t="shared" si="174"/>
        <v>別府市大字北石垣８２６－３</v>
      </c>
      <c r="L1350" s="403" t="s">
        <v>10566</v>
      </c>
      <c r="M1350" s="403" t="s">
        <v>10567</v>
      </c>
      <c r="N1350" s="403" t="s">
        <v>3914</v>
      </c>
      <c r="O1350" s="403" t="s">
        <v>7084</v>
      </c>
      <c r="P1350" s="403" t="s">
        <v>3915</v>
      </c>
      <c r="Q1350" s="403" t="s">
        <v>7616</v>
      </c>
      <c r="R1350" s="403" t="s">
        <v>19734</v>
      </c>
      <c r="S1350" s="403" t="s">
        <v>16434</v>
      </c>
      <c r="T1350" s="403" t="s">
        <v>16435</v>
      </c>
      <c r="U1350" s="403"/>
      <c r="V1350" s="403" t="s">
        <v>23024</v>
      </c>
      <c r="W1350" s="403" t="s">
        <v>23024</v>
      </c>
      <c r="X1350" s="403" t="s">
        <v>23024</v>
      </c>
      <c r="Y1350" s="403" t="s">
        <v>23024</v>
      </c>
    </row>
    <row r="1351" spans="1:25">
      <c r="A1351" s="363">
        <f t="shared" si="175"/>
        <v>1350</v>
      </c>
      <c r="B1351" s="363" t="str">
        <f t="shared" si="168"/>
        <v>44</v>
      </c>
      <c r="C1351" s="405" t="str">
        <f t="shared" si="169"/>
        <v>第011870号</v>
      </c>
      <c r="D1351" s="405" t="str">
        <f t="shared" si="170"/>
        <v>（有）大間パイプ</v>
      </c>
      <c r="E1351" s="405" t="str">
        <f t="shared" si="171"/>
        <v>代表取締役</v>
      </c>
      <c r="F1351" s="405" t="str">
        <f t="shared" si="172"/>
        <v>大間　一道</v>
      </c>
      <c r="G1351" s="405" t="str">
        <f t="shared" si="173"/>
        <v>主たる営業所</v>
      </c>
      <c r="H1351" s="405" t="str">
        <f t="shared" si="174"/>
        <v>佐伯市大字長良８６１－１</v>
      </c>
      <c r="L1351" s="403" t="s">
        <v>10568</v>
      </c>
      <c r="M1351" s="403" t="s">
        <v>10569</v>
      </c>
      <c r="N1351" s="403" t="s">
        <v>3916</v>
      </c>
      <c r="O1351" s="403" t="s">
        <v>7084</v>
      </c>
      <c r="P1351" s="403" t="s">
        <v>3917</v>
      </c>
      <c r="Q1351" s="403" t="s">
        <v>8518</v>
      </c>
      <c r="R1351" s="403" t="s">
        <v>19735</v>
      </c>
      <c r="S1351" s="403" t="s">
        <v>16436</v>
      </c>
      <c r="T1351" s="403" t="s">
        <v>16437</v>
      </c>
      <c r="U1351" s="403"/>
      <c r="V1351" s="403" t="s">
        <v>23024</v>
      </c>
      <c r="W1351" s="403" t="s">
        <v>23024</v>
      </c>
      <c r="X1351" s="403" t="s">
        <v>23024</v>
      </c>
      <c r="Y1351" s="403" t="s">
        <v>23024</v>
      </c>
    </row>
    <row r="1352" spans="1:25">
      <c r="A1352" s="363">
        <f t="shared" si="175"/>
        <v>1351</v>
      </c>
      <c r="B1352" s="363" t="str">
        <f t="shared" si="168"/>
        <v>44</v>
      </c>
      <c r="C1352" s="405" t="str">
        <f t="shared" si="169"/>
        <v>第011888号</v>
      </c>
      <c r="D1352" s="405" t="str">
        <f t="shared" si="170"/>
        <v>広瀬建設</v>
      </c>
      <c r="E1352" s="405" t="str">
        <f t="shared" si="171"/>
        <v>代表者</v>
      </c>
      <c r="F1352" s="405" t="str">
        <f t="shared" si="172"/>
        <v>広瀬　俊典</v>
      </c>
      <c r="G1352" s="405" t="str">
        <f t="shared" si="173"/>
        <v>主たる営業所</v>
      </c>
      <c r="H1352" s="405" t="str">
        <f t="shared" si="174"/>
        <v>豊後大野市千歳町高畑３－４</v>
      </c>
      <c r="L1352" s="403" t="s">
        <v>10570</v>
      </c>
      <c r="M1352" s="403" t="s">
        <v>7887</v>
      </c>
      <c r="N1352" s="403" t="s">
        <v>3918</v>
      </c>
      <c r="O1352" s="403" t="s">
        <v>7086</v>
      </c>
      <c r="P1352" s="403" t="s">
        <v>3919</v>
      </c>
      <c r="Q1352" s="403" t="s">
        <v>10571</v>
      </c>
      <c r="R1352" s="403" t="s">
        <v>19736</v>
      </c>
      <c r="S1352" s="403" t="s">
        <v>16438</v>
      </c>
      <c r="T1352" s="403" t="s">
        <v>16438</v>
      </c>
      <c r="U1352" s="403"/>
      <c r="V1352" s="403" t="s">
        <v>23024</v>
      </c>
      <c r="W1352" s="403" t="s">
        <v>23024</v>
      </c>
      <c r="X1352" s="403" t="s">
        <v>23024</v>
      </c>
      <c r="Y1352" s="403" t="s">
        <v>23024</v>
      </c>
    </row>
    <row r="1353" spans="1:25">
      <c r="A1353" s="363">
        <f t="shared" si="175"/>
        <v>1352</v>
      </c>
      <c r="B1353" s="363" t="str">
        <f t="shared" si="168"/>
        <v>44</v>
      </c>
      <c r="C1353" s="405" t="str">
        <f t="shared" si="169"/>
        <v>第011900号</v>
      </c>
      <c r="D1353" s="405" t="str">
        <f t="shared" si="170"/>
        <v>（有）臼杵総建</v>
      </c>
      <c r="E1353" s="405" t="str">
        <f t="shared" si="171"/>
        <v>代表取締役</v>
      </c>
      <c r="F1353" s="405" t="str">
        <f t="shared" si="172"/>
        <v>芦刈　第吉</v>
      </c>
      <c r="G1353" s="405" t="str">
        <f t="shared" si="173"/>
        <v>主たる営業所</v>
      </c>
      <c r="H1353" s="405" t="str">
        <f t="shared" si="174"/>
        <v>臼杵市大字臼杵５６－１</v>
      </c>
      <c r="L1353" s="403" t="s">
        <v>10572</v>
      </c>
      <c r="M1353" s="403" t="s">
        <v>10573</v>
      </c>
      <c r="N1353" s="403" t="s">
        <v>3920</v>
      </c>
      <c r="O1353" s="403" t="s">
        <v>7084</v>
      </c>
      <c r="P1353" s="403" t="s">
        <v>19737</v>
      </c>
      <c r="Q1353" s="403" t="s">
        <v>7757</v>
      </c>
      <c r="R1353" s="403" t="s">
        <v>19738</v>
      </c>
      <c r="S1353" s="403" t="s">
        <v>16439</v>
      </c>
      <c r="T1353" s="403" t="s">
        <v>16440</v>
      </c>
      <c r="U1353" s="403"/>
      <c r="V1353" s="403" t="s">
        <v>23024</v>
      </c>
      <c r="W1353" s="403" t="s">
        <v>23024</v>
      </c>
      <c r="X1353" s="403" t="s">
        <v>23024</v>
      </c>
      <c r="Y1353" s="403" t="s">
        <v>23024</v>
      </c>
    </row>
    <row r="1354" spans="1:25">
      <c r="A1354" s="363">
        <f t="shared" si="175"/>
        <v>1353</v>
      </c>
      <c r="B1354" s="363" t="str">
        <f t="shared" si="168"/>
        <v>44</v>
      </c>
      <c r="C1354" s="405" t="str">
        <f t="shared" si="169"/>
        <v>第011908号</v>
      </c>
      <c r="D1354" s="405" t="str">
        <f t="shared" si="170"/>
        <v>日本グリーンシステム（株）</v>
      </c>
      <c r="E1354" s="405" t="str">
        <f t="shared" si="171"/>
        <v>代表取締役</v>
      </c>
      <c r="F1354" s="405" t="str">
        <f t="shared" si="172"/>
        <v>伊藤　宗吾</v>
      </c>
      <c r="G1354" s="405" t="str">
        <f t="shared" si="173"/>
        <v>主たる営業所</v>
      </c>
      <c r="H1354" s="405" t="str">
        <f t="shared" si="174"/>
        <v>別府市大字鶴見４０４１－４１</v>
      </c>
      <c r="L1354" s="403" t="s">
        <v>10574</v>
      </c>
      <c r="M1354" s="403" t="s">
        <v>10575</v>
      </c>
      <c r="N1354" s="403" t="s">
        <v>3921</v>
      </c>
      <c r="O1354" s="403" t="s">
        <v>7084</v>
      </c>
      <c r="P1354" s="403" t="s">
        <v>3922</v>
      </c>
      <c r="Q1354" s="403" t="s">
        <v>9433</v>
      </c>
      <c r="R1354" s="403" t="s">
        <v>19739</v>
      </c>
      <c r="S1354" s="403" t="s">
        <v>16441</v>
      </c>
      <c r="T1354" s="403" t="s">
        <v>16442</v>
      </c>
      <c r="U1354" s="403"/>
      <c r="V1354" s="403" t="s">
        <v>23024</v>
      </c>
      <c r="W1354" s="403" t="s">
        <v>23024</v>
      </c>
      <c r="X1354" s="403" t="s">
        <v>23024</v>
      </c>
      <c r="Y1354" s="403" t="s">
        <v>23024</v>
      </c>
    </row>
    <row r="1355" spans="1:25">
      <c r="A1355" s="363">
        <f t="shared" si="175"/>
        <v>1354</v>
      </c>
      <c r="B1355" s="363" t="str">
        <f t="shared" si="168"/>
        <v>44</v>
      </c>
      <c r="C1355" s="405" t="str">
        <f t="shared" si="169"/>
        <v>第011909号</v>
      </c>
      <c r="D1355" s="405" t="str">
        <f t="shared" si="170"/>
        <v>（株）川原建設</v>
      </c>
      <c r="E1355" s="405" t="str">
        <f t="shared" si="171"/>
        <v>代表取締役</v>
      </c>
      <c r="F1355" s="405" t="str">
        <f t="shared" si="172"/>
        <v>川原　康幹</v>
      </c>
      <c r="G1355" s="405" t="str">
        <f t="shared" si="173"/>
        <v>主たる営業所</v>
      </c>
      <c r="H1355" s="405" t="str">
        <f t="shared" si="174"/>
        <v>中津市耶馬溪町大字樋山路３８</v>
      </c>
      <c r="L1355" s="403" t="s">
        <v>10576</v>
      </c>
      <c r="M1355" s="403" t="s">
        <v>10577</v>
      </c>
      <c r="N1355" s="403" t="s">
        <v>3923</v>
      </c>
      <c r="O1355" s="403" t="s">
        <v>7084</v>
      </c>
      <c r="P1355" s="403" t="s">
        <v>5256</v>
      </c>
      <c r="Q1355" s="403" t="s">
        <v>10578</v>
      </c>
      <c r="R1355" s="403" t="s">
        <v>5618</v>
      </c>
      <c r="S1355" s="403" t="s">
        <v>16443</v>
      </c>
      <c r="T1355" s="403" t="s">
        <v>16444</v>
      </c>
      <c r="U1355" s="403"/>
      <c r="V1355" s="403" t="s">
        <v>23024</v>
      </c>
      <c r="W1355" s="403" t="s">
        <v>23024</v>
      </c>
      <c r="X1355" s="403" t="s">
        <v>23024</v>
      </c>
      <c r="Y1355" s="403" t="s">
        <v>23024</v>
      </c>
    </row>
    <row r="1356" spans="1:25">
      <c r="A1356" s="363">
        <f t="shared" si="175"/>
        <v>1355</v>
      </c>
      <c r="B1356" s="363" t="str">
        <f t="shared" si="168"/>
        <v>44</v>
      </c>
      <c r="C1356" s="405" t="str">
        <f t="shared" si="169"/>
        <v>第011912号</v>
      </c>
      <c r="D1356" s="405" t="str">
        <f t="shared" si="170"/>
        <v>ワカサ（有）</v>
      </c>
      <c r="E1356" s="405" t="str">
        <f t="shared" si="171"/>
        <v>代表取締役</v>
      </c>
      <c r="F1356" s="405" t="str">
        <f t="shared" si="172"/>
        <v>南　公憲</v>
      </c>
      <c r="G1356" s="405" t="str">
        <f t="shared" si="173"/>
        <v>主たる営業所</v>
      </c>
      <c r="H1356" s="405" t="str">
        <f t="shared" si="174"/>
        <v>大分市大字小池原９６４－５</v>
      </c>
      <c r="L1356" s="403" t="s">
        <v>10579</v>
      </c>
      <c r="M1356" s="403" t="s">
        <v>10580</v>
      </c>
      <c r="N1356" s="403" t="s">
        <v>3924</v>
      </c>
      <c r="O1356" s="403" t="s">
        <v>7084</v>
      </c>
      <c r="P1356" s="403" t="s">
        <v>1530</v>
      </c>
      <c r="Q1356" s="403" t="s">
        <v>8694</v>
      </c>
      <c r="R1356" s="403" t="s">
        <v>19740</v>
      </c>
      <c r="S1356" s="403" t="s">
        <v>16445</v>
      </c>
      <c r="T1356" s="403" t="s">
        <v>16446</v>
      </c>
      <c r="U1356" s="403"/>
      <c r="V1356" s="403" t="s">
        <v>23024</v>
      </c>
      <c r="W1356" s="403" t="s">
        <v>23024</v>
      </c>
      <c r="X1356" s="403" t="s">
        <v>23024</v>
      </c>
      <c r="Y1356" s="403" t="s">
        <v>23024</v>
      </c>
    </row>
    <row r="1357" spans="1:25">
      <c r="A1357" s="363">
        <f t="shared" si="175"/>
        <v>1356</v>
      </c>
      <c r="B1357" s="363" t="str">
        <f t="shared" si="168"/>
        <v>44</v>
      </c>
      <c r="C1357" s="405" t="str">
        <f t="shared" si="169"/>
        <v>第011914号</v>
      </c>
      <c r="D1357" s="405" t="str">
        <f t="shared" si="170"/>
        <v>久枝住工（有）</v>
      </c>
      <c r="E1357" s="405" t="str">
        <f t="shared" si="171"/>
        <v>代表取締役</v>
      </c>
      <c r="F1357" s="405" t="str">
        <f t="shared" si="172"/>
        <v>久枝　昭一</v>
      </c>
      <c r="G1357" s="405" t="str">
        <f t="shared" si="173"/>
        <v>主たる営業所</v>
      </c>
      <c r="H1357" s="405" t="str">
        <f t="shared" si="174"/>
        <v>大分市久原中央２－１－２２</v>
      </c>
      <c r="L1357" s="403" t="s">
        <v>10581</v>
      </c>
      <c r="M1357" s="403" t="s">
        <v>10582</v>
      </c>
      <c r="N1357" s="403" t="s">
        <v>3925</v>
      </c>
      <c r="O1357" s="403" t="s">
        <v>7084</v>
      </c>
      <c r="P1357" s="403" t="s">
        <v>3926</v>
      </c>
      <c r="Q1357" s="403" t="s">
        <v>10274</v>
      </c>
      <c r="R1357" s="403" t="s">
        <v>19741</v>
      </c>
      <c r="S1357" s="403" t="s">
        <v>16447</v>
      </c>
      <c r="T1357" s="403" t="s">
        <v>16448</v>
      </c>
      <c r="U1357" s="403"/>
      <c r="V1357" s="403" t="s">
        <v>23024</v>
      </c>
      <c r="W1357" s="403" t="s">
        <v>23024</v>
      </c>
      <c r="X1357" s="403" t="s">
        <v>23024</v>
      </c>
      <c r="Y1357" s="403" t="s">
        <v>23024</v>
      </c>
    </row>
    <row r="1358" spans="1:25">
      <c r="A1358" s="363">
        <f t="shared" si="175"/>
        <v>1357</v>
      </c>
      <c r="B1358" s="363" t="str">
        <f t="shared" si="168"/>
        <v>44</v>
      </c>
      <c r="C1358" s="405" t="str">
        <f t="shared" si="169"/>
        <v>第011918号</v>
      </c>
      <c r="D1358" s="405" t="str">
        <f t="shared" si="170"/>
        <v>（有）信和重機</v>
      </c>
      <c r="E1358" s="405" t="str">
        <f t="shared" si="171"/>
        <v>代表取締役</v>
      </c>
      <c r="F1358" s="405" t="str">
        <f t="shared" si="172"/>
        <v>工藤　信行</v>
      </c>
      <c r="G1358" s="405" t="str">
        <f t="shared" si="173"/>
        <v>主たる営業所</v>
      </c>
      <c r="H1358" s="405" t="str">
        <f t="shared" si="174"/>
        <v>豊後大野市朝地町上尾塚１８２４</v>
      </c>
      <c r="L1358" s="403" t="s">
        <v>10583</v>
      </c>
      <c r="M1358" s="403" t="s">
        <v>10584</v>
      </c>
      <c r="N1358" s="403" t="s">
        <v>3927</v>
      </c>
      <c r="O1358" s="403" t="s">
        <v>7084</v>
      </c>
      <c r="P1358" s="403" t="s">
        <v>3928</v>
      </c>
      <c r="Q1358" s="403" t="s">
        <v>7909</v>
      </c>
      <c r="R1358" s="403" t="s">
        <v>5619</v>
      </c>
      <c r="S1358" s="403" t="s">
        <v>16449</v>
      </c>
      <c r="T1358" s="403" t="s">
        <v>16449</v>
      </c>
      <c r="U1358" s="403"/>
      <c r="V1358" s="403" t="s">
        <v>23024</v>
      </c>
      <c r="W1358" s="403" t="s">
        <v>23024</v>
      </c>
      <c r="X1358" s="403" t="s">
        <v>23024</v>
      </c>
      <c r="Y1358" s="403" t="s">
        <v>23024</v>
      </c>
    </row>
    <row r="1359" spans="1:25">
      <c r="A1359" s="363">
        <f t="shared" si="175"/>
        <v>1358</v>
      </c>
      <c r="B1359" s="363" t="str">
        <f t="shared" si="168"/>
        <v>44</v>
      </c>
      <c r="C1359" s="405" t="str">
        <f t="shared" si="169"/>
        <v>第011919号</v>
      </c>
      <c r="D1359" s="405" t="str">
        <f t="shared" si="170"/>
        <v>（有）梶原建築</v>
      </c>
      <c r="E1359" s="405" t="str">
        <f t="shared" si="171"/>
        <v>代表取締役</v>
      </c>
      <c r="F1359" s="405" t="str">
        <f t="shared" si="172"/>
        <v>梶原　琢</v>
      </c>
      <c r="G1359" s="405" t="str">
        <f t="shared" si="173"/>
        <v>主たる営業所</v>
      </c>
      <c r="H1359" s="405" t="str">
        <f t="shared" si="174"/>
        <v>玖珠郡玖珠町大字森９８２－１</v>
      </c>
      <c r="L1359" s="403" t="s">
        <v>10585</v>
      </c>
      <c r="M1359" s="403" t="s">
        <v>10586</v>
      </c>
      <c r="N1359" s="403" t="s">
        <v>3929</v>
      </c>
      <c r="O1359" s="403" t="s">
        <v>7084</v>
      </c>
      <c r="P1359" s="403" t="s">
        <v>19742</v>
      </c>
      <c r="Q1359" s="403" t="s">
        <v>10587</v>
      </c>
      <c r="R1359" s="403" t="s">
        <v>19743</v>
      </c>
      <c r="S1359" s="403" t="s">
        <v>16450</v>
      </c>
      <c r="T1359" s="403" t="s">
        <v>16450</v>
      </c>
      <c r="U1359" s="403"/>
      <c r="V1359" s="403" t="s">
        <v>23024</v>
      </c>
      <c r="W1359" s="403" t="s">
        <v>23024</v>
      </c>
      <c r="X1359" s="403" t="s">
        <v>23024</v>
      </c>
      <c r="Y1359" s="403" t="s">
        <v>23024</v>
      </c>
    </row>
    <row r="1360" spans="1:25">
      <c r="A1360" s="363">
        <f t="shared" si="175"/>
        <v>1359</v>
      </c>
      <c r="B1360" s="363" t="str">
        <f t="shared" si="168"/>
        <v>44</v>
      </c>
      <c r="C1360" s="405" t="str">
        <f t="shared" si="169"/>
        <v>第011922号</v>
      </c>
      <c r="D1360" s="405" t="str">
        <f t="shared" si="170"/>
        <v>旭環境管理（株）</v>
      </c>
      <c r="E1360" s="405" t="str">
        <f t="shared" si="171"/>
        <v>代表取締役</v>
      </c>
      <c r="F1360" s="405" t="str">
        <f t="shared" si="172"/>
        <v>梶原　泰雄</v>
      </c>
      <c r="G1360" s="405" t="str">
        <f t="shared" si="173"/>
        <v>主たる営業所</v>
      </c>
      <c r="H1360" s="405" t="str">
        <f t="shared" si="174"/>
        <v>別府市富士見町１０－２０</v>
      </c>
      <c r="L1360" s="403" t="s">
        <v>10588</v>
      </c>
      <c r="M1360" s="403" t="s">
        <v>10589</v>
      </c>
      <c r="N1360" s="403" t="s">
        <v>3930</v>
      </c>
      <c r="O1360" s="403" t="s">
        <v>7084</v>
      </c>
      <c r="P1360" s="403" t="s">
        <v>3931</v>
      </c>
      <c r="Q1360" s="403" t="s">
        <v>7643</v>
      </c>
      <c r="R1360" s="403" t="s">
        <v>19744</v>
      </c>
      <c r="S1360" s="403" t="s">
        <v>16451</v>
      </c>
      <c r="T1360" s="403" t="s">
        <v>16452</v>
      </c>
      <c r="U1360" s="403"/>
      <c r="V1360" s="403" t="s">
        <v>23024</v>
      </c>
      <c r="W1360" s="403" t="s">
        <v>23024</v>
      </c>
      <c r="X1360" s="403" t="s">
        <v>23024</v>
      </c>
      <c r="Y1360" s="403" t="s">
        <v>23024</v>
      </c>
    </row>
    <row r="1361" spans="1:25">
      <c r="A1361" s="363">
        <f t="shared" si="175"/>
        <v>1360</v>
      </c>
      <c r="B1361" s="363" t="str">
        <f t="shared" si="168"/>
        <v>44</v>
      </c>
      <c r="C1361" s="405" t="str">
        <f t="shared" si="169"/>
        <v>第011924号</v>
      </c>
      <c r="D1361" s="405" t="str">
        <f t="shared" si="170"/>
        <v>ＡＮＡＩ（株）</v>
      </c>
      <c r="E1361" s="405" t="str">
        <f t="shared" si="171"/>
        <v>代表取締役</v>
      </c>
      <c r="F1361" s="405" t="str">
        <f t="shared" si="172"/>
        <v>穴井　繁敏</v>
      </c>
      <c r="G1361" s="405" t="str">
        <f t="shared" si="173"/>
        <v>主たる営業所</v>
      </c>
      <c r="H1361" s="405" t="str">
        <f t="shared" si="174"/>
        <v>大分市大字中戸次４４６３－１</v>
      </c>
      <c r="L1361" s="403" t="s">
        <v>10590</v>
      </c>
      <c r="M1361" s="403" t="s">
        <v>10591</v>
      </c>
      <c r="N1361" s="403" t="s">
        <v>3932</v>
      </c>
      <c r="O1361" s="403" t="s">
        <v>7084</v>
      </c>
      <c r="P1361" s="403" t="s">
        <v>3933</v>
      </c>
      <c r="Q1361" s="403" t="s">
        <v>7531</v>
      </c>
      <c r="R1361" s="403" t="s">
        <v>19745</v>
      </c>
      <c r="S1361" s="403" t="s">
        <v>16453</v>
      </c>
      <c r="T1361" s="403" t="s">
        <v>16454</v>
      </c>
      <c r="U1361" s="403"/>
      <c r="V1361" s="403" t="s">
        <v>23024</v>
      </c>
      <c r="W1361" s="403" t="s">
        <v>23024</v>
      </c>
      <c r="X1361" s="403" t="s">
        <v>23024</v>
      </c>
      <c r="Y1361" s="403" t="s">
        <v>23024</v>
      </c>
    </row>
    <row r="1362" spans="1:25">
      <c r="A1362" s="363">
        <f t="shared" si="175"/>
        <v>1361</v>
      </c>
      <c r="B1362" s="363" t="str">
        <f t="shared" si="168"/>
        <v>44</v>
      </c>
      <c r="C1362" s="405" t="str">
        <f t="shared" si="169"/>
        <v>第011936号</v>
      </c>
      <c r="D1362" s="405" t="str">
        <f t="shared" si="170"/>
        <v>（有）創陽</v>
      </c>
      <c r="E1362" s="405" t="str">
        <f t="shared" si="171"/>
        <v>代表取締役</v>
      </c>
      <c r="F1362" s="405" t="str">
        <f t="shared" si="172"/>
        <v>菅　倭文江</v>
      </c>
      <c r="G1362" s="405" t="str">
        <f t="shared" si="173"/>
        <v>主たる営業所</v>
      </c>
      <c r="H1362" s="405" t="str">
        <f t="shared" si="174"/>
        <v>豊後高田市中真玉２１３０－８</v>
      </c>
      <c r="L1362" s="403" t="s">
        <v>10592</v>
      </c>
      <c r="M1362" s="403" t="s">
        <v>10593</v>
      </c>
      <c r="N1362" s="403" t="s">
        <v>3935</v>
      </c>
      <c r="O1362" s="403" t="s">
        <v>7084</v>
      </c>
      <c r="P1362" s="403" t="s">
        <v>3936</v>
      </c>
      <c r="Q1362" s="403" t="s">
        <v>7651</v>
      </c>
      <c r="R1362" s="403" t="s">
        <v>19746</v>
      </c>
      <c r="S1362" s="403" t="s">
        <v>16455</v>
      </c>
      <c r="T1362" s="403" t="s">
        <v>14152</v>
      </c>
      <c r="U1362" s="403"/>
      <c r="V1362" s="403" t="s">
        <v>23024</v>
      </c>
      <c r="W1362" s="403" t="s">
        <v>23024</v>
      </c>
      <c r="X1362" s="403" t="s">
        <v>23024</v>
      </c>
      <c r="Y1362" s="403" t="s">
        <v>23024</v>
      </c>
    </row>
    <row r="1363" spans="1:25">
      <c r="A1363" s="363">
        <f t="shared" si="175"/>
        <v>1362</v>
      </c>
      <c r="B1363" s="363" t="str">
        <f t="shared" si="168"/>
        <v>44</v>
      </c>
      <c r="C1363" s="405" t="str">
        <f t="shared" si="169"/>
        <v>第011937号</v>
      </c>
      <c r="D1363" s="405" t="str">
        <f t="shared" si="170"/>
        <v>（株）小野明組</v>
      </c>
      <c r="E1363" s="405" t="str">
        <f t="shared" si="171"/>
        <v>代表取締役</v>
      </c>
      <c r="F1363" s="405" t="str">
        <f t="shared" si="172"/>
        <v>三浦　章吾</v>
      </c>
      <c r="G1363" s="405" t="str">
        <f t="shared" si="173"/>
        <v>主たる営業所</v>
      </c>
      <c r="H1363" s="405" t="str">
        <f t="shared" si="174"/>
        <v>佐伯市本匠大字笠掛１５７９－１</v>
      </c>
      <c r="L1363" s="403" t="s">
        <v>10594</v>
      </c>
      <c r="M1363" s="403" t="s">
        <v>10595</v>
      </c>
      <c r="N1363" s="403" t="s">
        <v>3937</v>
      </c>
      <c r="O1363" s="403" t="s">
        <v>7084</v>
      </c>
      <c r="P1363" s="403" t="s">
        <v>5257</v>
      </c>
      <c r="Q1363" s="403" t="s">
        <v>10596</v>
      </c>
      <c r="R1363" s="403" t="s">
        <v>19747</v>
      </c>
      <c r="S1363" s="403" t="s">
        <v>16456</v>
      </c>
      <c r="T1363" s="403" t="s">
        <v>16457</v>
      </c>
      <c r="U1363" s="403"/>
      <c r="V1363" s="403" t="s">
        <v>23024</v>
      </c>
      <c r="W1363" s="403" t="s">
        <v>23024</v>
      </c>
      <c r="X1363" s="403" t="s">
        <v>23024</v>
      </c>
      <c r="Y1363" s="403" t="s">
        <v>23024</v>
      </c>
    </row>
    <row r="1364" spans="1:25">
      <c r="A1364" s="363">
        <f t="shared" si="175"/>
        <v>1363</v>
      </c>
      <c r="B1364" s="363" t="str">
        <f t="shared" si="168"/>
        <v>44</v>
      </c>
      <c r="C1364" s="405" t="str">
        <f t="shared" si="169"/>
        <v>第011944号</v>
      </c>
      <c r="D1364" s="405" t="str">
        <f t="shared" si="170"/>
        <v>（有）大内設備</v>
      </c>
      <c r="E1364" s="405" t="str">
        <f t="shared" si="171"/>
        <v>代表取締役</v>
      </c>
      <c r="F1364" s="405" t="str">
        <f t="shared" si="172"/>
        <v>前畑　清信</v>
      </c>
      <c r="G1364" s="405" t="str">
        <f t="shared" si="173"/>
        <v>主たる営業所</v>
      </c>
      <c r="H1364" s="405" t="str">
        <f t="shared" si="174"/>
        <v>国東市安岐町瀬戸田１２９７</v>
      </c>
      <c r="L1364" s="403" t="s">
        <v>10597</v>
      </c>
      <c r="M1364" s="403" t="s">
        <v>10598</v>
      </c>
      <c r="N1364" s="403" t="s">
        <v>3938</v>
      </c>
      <c r="O1364" s="403" t="s">
        <v>7084</v>
      </c>
      <c r="P1364" s="403" t="s">
        <v>3939</v>
      </c>
      <c r="Q1364" s="403" t="s">
        <v>8929</v>
      </c>
      <c r="R1364" s="403" t="s">
        <v>5620</v>
      </c>
      <c r="S1364" s="403" t="s">
        <v>16458</v>
      </c>
      <c r="T1364" s="403" t="s">
        <v>16458</v>
      </c>
      <c r="U1364" s="403"/>
      <c r="V1364" s="403" t="s">
        <v>23024</v>
      </c>
      <c r="W1364" s="403" t="s">
        <v>23024</v>
      </c>
      <c r="X1364" s="403" t="s">
        <v>23024</v>
      </c>
      <c r="Y1364" s="403" t="s">
        <v>23024</v>
      </c>
    </row>
    <row r="1365" spans="1:25">
      <c r="A1365" s="363">
        <f t="shared" si="175"/>
        <v>1364</v>
      </c>
      <c r="B1365" s="363" t="str">
        <f t="shared" si="168"/>
        <v>44</v>
      </c>
      <c r="C1365" s="405" t="str">
        <f t="shared" si="169"/>
        <v>第011956号</v>
      </c>
      <c r="D1365" s="405" t="str">
        <f t="shared" si="170"/>
        <v>（株）丸大産業</v>
      </c>
      <c r="E1365" s="405" t="str">
        <f t="shared" si="171"/>
        <v>代表取締役</v>
      </c>
      <c r="F1365" s="405" t="str">
        <f t="shared" si="172"/>
        <v>大下　進</v>
      </c>
      <c r="G1365" s="405" t="str">
        <f t="shared" si="173"/>
        <v>主たる営業所</v>
      </c>
      <c r="H1365" s="405" t="str">
        <f t="shared" si="174"/>
        <v>津久見市大字千怒３８７６－１</v>
      </c>
      <c r="L1365" s="403" t="s">
        <v>10599</v>
      </c>
      <c r="M1365" s="403" t="s">
        <v>10600</v>
      </c>
      <c r="N1365" s="403" t="s">
        <v>3940</v>
      </c>
      <c r="O1365" s="403" t="s">
        <v>7084</v>
      </c>
      <c r="P1365" s="403" t="s">
        <v>3941</v>
      </c>
      <c r="Q1365" s="403" t="s">
        <v>7814</v>
      </c>
      <c r="R1365" s="403" t="s">
        <v>19748</v>
      </c>
      <c r="S1365" s="403" t="s">
        <v>16459</v>
      </c>
      <c r="T1365" s="403" t="s">
        <v>16460</v>
      </c>
      <c r="U1365" s="403"/>
      <c r="V1365" s="403" t="s">
        <v>23024</v>
      </c>
      <c r="W1365" s="403" t="s">
        <v>23024</v>
      </c>
      <c r="X1365" s="403" t="s">
        <v>23024</v>
      </c>
      <c r="Y1365" s="403" t="s">
        <v>23024</v>
      </c>
    </row>
    <row r="1366" spans="1:25">
      <c r="A1366" s="363">
        <f t="shared" si="175"/>
        <v>1365</v>
      </c>
      <c r="B1366" s="363" t="str">
        <f t="shared" si="168"/>
        <v>44</v>
      </c>
      <c r="C1366" s="405" t="str">
        <f t="shared" si="169"/>
        <v>第011959号</v>
      </c>
      <c r="D1366" s="405" t="str">
        <f t="shared" si="170"/>
        <v>江田緑地建設（有）</v>
      </c>
      <c r="E1366" s="405" t="str">
        <f t="shared" si="171"/>
        <v>代表取締役</v>
      </c>
      <c r="F1366" s="405" t="str">
        <f t="shared" si="172"/>
        <v>江田　則行</v>
      </c>
      <c r="G1366" s="405" t="str">
        <f t="shared" si="173"/>
        <v>主たる営業所</v>
      </c>
      <c r="H1366" s="405" t="str">
        <f t="shared" si="174"/>
        <v>日田市大字堂尾１３１０</v>
      </c>
      <c r="L1366" s="403" t="s">
        <v>10601</v>
      </c>
      <c r="M1366" s="403" t="s">
        <v>10602</v>
      </c>
      <c r="N1366" s="403" t="s">
        <v>3942</v>
      </c>
      <c r="O1366" s="403" t="s">
        <v>7084</v>
      </c>
      <c r="P1366" s="403" t="s">
        <v>3943</v>
      </c>
      <c r="Q1366" s="403" t="s">
        <v>10603</v>
      </c>
      <c r="R1366" s="403" t="s">
        <v>5621</v>
      </c>
      <c r="S1366" s="403" t="s">
        <v>16461</v>
      </c>
      <c r="T1366" s="403" t="s">
        <v>16462</v>
      </c>
      <c r="U1366" s="403"/>
      <c r="V1366" s="403" t="s">
        <v>23024</v>
      </c>
      <c r="W1366" s="403" t="s">
        <v>23024</v>
      </c>
      <c r="X1366" s="403" t="s">
        <v>23024</v>
      </c>
      <c r="Y1366" s="403" t="s">
        <v>23024</v>
      </c>
    </row>
    <row r="1367" spans="1:25">
      <c r="A1367" s="363">
        <f t="shared" si="175"/>
        <v>1366</v>
      </c>
      <c r="B1367" s="363" t="str">
        <f t="shared" si="168"/>
        <v>44</v>
      </c>
      <c r="C1367" s="405" t="str">
        <f t="shared" si="169"/>
        <v>第011961号</v>
      </c>
      <c r="D1367" s="405" t="str">
        <f t="shared" si="170"/>
        <v>（有）黒川興業</v>
      </c>
      <c r="E1367" s="405" t="str">
        <f t="shared" si="171"/>
        <v>代表取締役</v>
      </c>
      <c r="F1367" s="405" t="str">
        <f t="shared" si="172"/>
        <v>黒川　実幸</v>
      </c>
      <c r="G1367" s="405" t="str">
        <f t="shared" si="173"/>
        <v>主たる営業所</v>
      </c>
      <c r="H1367" s="405" t="str">
        <f t="shared" si="174"/>
        <v>大分市大字下郡字松女ヶ迫１２９０－５</v>
      </c>
      <c r="L1367" s="403" t="s">
        <v>10604</v>
      </c>
      <c r="M1367" s="403" t="s">
        <v>10605</v>
      </c>
      <c r="N1367" s="403" t="s">
        <v>3944</v>
      </c>
      <c r="O1367" s="403" t="s">
        <v>7084</v>
      </c>
      <c r="P1367" s="403" t="s">
        <v>3945</v>
      </c>
      <c r="Q1367" s="403" t="s">
        <v>7419</v>
      </c>
      <c r="R1367" s="403" t="s">
        <v>19749</v>
      </c>
      <c r="S1367" s="403" t="s">
        <v>16463</v>
      </c>
      <c r="T1367" s="403" t="s">
        <v>16464</v>
      </c>
      <c r="U1367" s="403"/>
      <c r="V1367" s="403" t="s">
        <v>23024</v>
      </c>
      <c r="W1367" s="403" t="s">
        <v>23024</v>
      </c>
      <c r="X1367" s="403" t="s">
        <v>23024</v>
      </c>
      <c r="Y1367" s="403" t="s">
        <v>23024</v>
      </c>
    </row>
    <row r="1368" spans="1:25">
      <c r="A1368" s="363">
        <f t="shared" si="175"/>
        <v>1367</v>
      </c>
      <c r="B1368" s="363" t="str">
        <f t="shared" si="168"/>
        <v>44</v>
      </c>
      <c r="C1368" s="405" t="str">
        <f t="shared" si="169"/>
        <v>第011964号</v>
      </c>
      <c r="D1368" s="405" t="str">
        <f t="shared" si="170"/>
        <v>（有）大匠</v>
      </c>
      <c r="E1368" s="405" t="str">
        <f t="shared" si="171"/>
        <v>取締役</v>
      </c>
      <c r="F1368" s="405" t="str">
        <f t="shared" si="172"/>
        <v>直野　克明</v>
      </c>
      <c r="G1368" s="405" t="str">
        <f t="shared" si="173"/>
        <v>主たる営業所</v>
      </c>
      <c r="H1368" s="405" t="str">
        <f t="shared" si="174"/>
        <v>国東市国東町田深１２０８－１</v>
      </c>
      <c r="L1368" s="403" t="s">
        <v>10606</v>
      </c>
      <c r="M1368" s="403" t="s">
        <v>10607</v>
      </c>
      <c r="N1368" s="403" t="s">
        <v>3946</v>
      </c>
      <c r="O1368" s="403" t="s">
        <v>7085</v>
      </c>
      <c r="P1368" s="403" t="s">
        <v>3947</v>
      </c>
      <c r="Q1368" s="403" t="s">
        <v>7700</v>
      </c>
      <c r="R1368" s="403" t="s">
        <v>19750</v>
      </c>
      <c r="S1368" s="403" t="s">
        <v>16465</v>
      </c>
      <c r="T1368" s="403" t="s">
        <v>16466</v>
      </c>
      <c r="U1368" s="403"/>
      <c r="V1368" s="403" t="s">
        <v>23024</v>
      </c>
      <c r="W1368" s="403" t="s">
        <v>23024</v>
      </c>
      <c r="X1368" s="403" t="s">
        <v>23024</v>
      </c>
      <c r="Y1368" s="403" t="s">
        <v>23024</v>
      </c>
    </row>
    <row r="1369" spans="1:25">
      <c r="A1369" s="363">
        <f t="shared" si="175"/>
        <v>1368</v>
      </c>
      <c r="B1369" s="363" t="str">
        <f t="shared" si="168"/>
        <v>44</v>
      </c>
      <c r="C1369" s="405" t="str">
        <f t="shared" si="169"/>
        <v>第011966号</v>
      </c>
      <c r="D1369" s="405" t="str">
        <f t="shared" si="170"/>
        <v>（有）和優建設工業</v>
      </c>
      <c r="E1369" s="405" t="str">
        <f t="shared" si="171"/>
        <v>代表取締役</v>
      </c>
      <c r="F1369" s="405" t="str">
        <f t="shared" si="172"/>
        <v>川野　和久</v>
      </c>
      <c r="G1369" s="405" t="str">
        <f t="shared" si="173"/>
        <v>主たる営業所</v>
      </c>
      <c r="H1369" s="405" t="str">
        <f t="shared" si="174"/>
        <v>大分市大字寒田３８２－４５</v>
      </c>
      <c r="L1369" s="403" t="s">
        <v>10608</v>
      </c>
      <c r="M1369" s="403" t="s">
        <v>10609</v>
      </c>
      <c r="N1369" s="403" t="s">
        <v>3948</v>
      </c>
      <c r="O1369" s="403" t="s">
        <v>7084</v>
      </c>
      <c r="P1369" s="403" t="s">
        <v>3949</v>
      </c>
      <c r="Q1369" s="403" t="s">
        <v>8820</v>
      </c>
      <c r="R1369" s="403" t="s">
        <v>19751</v>
      </c>
      <c r="S1369" s="403" t="s">
        <v>16467</v>
      </c>
      <c r="T1369" s="403" t="s">
        <v>16468</v>
      </c>
      <c r="U1369" s="403"/>
      <c r="V1369" s="403" t="s">
        <v>23024</v>
      </c>
      <c r="W1369" s="403" t="s">
        <v>23024</v>
      </c>
      <c r="X1369" s="403" t="s">
        <v>23024</v>
      </c>
      <c r="Y1369" s="403" t="s">
        <v>23024</v>
      </c>
    </row>
    <row r="1370" spans="1:25">
      <c r="A1370" s="363">
        <f t="shared" si="175"/>
        <v>1369</v>
      </c>
      <c r="B1370" s="363" t="str">
        <f t="shared" si="168"/>
        <v>44</v>
      </c>
      <c r="C1370" s="405" t="str">
        <f t="shared" si="169"/>
        <v>第011969号</v>
      </c>
      <c r="D1370" s="405" t="str">
        <f t="shared" si="170"/>
        <v>（有）マコト工業</v>
      </c>
      <c r="E1370" s="405" t="str">
        <f t="shared" si="171"/>
        <v>取締役</v>
      </c>
      <c r="F1370" s="405" t="str">
        <f t="shared" si="172"/>
        <v>田中　浩明</v>
      </c>
      <c r="G1370" s="405" t="str">
        <f t="shared" si="173"/>
        <v>主たる営業所</v>
      </c>
      <c r="H1370" s="405" t="str">
        <f t="shared" si="174"/>
        <v>大分市大字中戸次１２６０－１</v>
      </c>
      <c r="L1370" s="403" t="s">
        <v>10610</v>
      </c>
      <c r="M1370" s="403" t="s">
        <v>10611</v>
      </c>
      <c r="N1370" s="403" t="s">
        <v>3950</v>
      </c>
      <c r="O1370" s="403" t="s">
        <v>7085</v>
      </c>
      <c r="P1370" s="403" t="s">
        <v>3951</v>
      </c>
      <c r="Q1370" s="403" t="s">
        <v>7531</v>
      </c>
      <c r="R1370" s="403" t="s">
        <v>19752</v>
      </c>
      <c r="S1370" s="403" t="s">
        <v>16469</v>
      </c>
      <c r="T1370" s="403" t="s">
        <v>16470</v>
      </c>
      <c r="U1370" s="403"/>
      <c r="V1370" s="403" t="s">
        <v>23024</v>
      </c>
      <c r="W1370" s="403" t="s">
        <v>23024</v>
      </c>
      <c r="X1370" s="403" t="s">
        <v>23024</v>
      </c>
      <c r="Y1370" s="403" t="s">
        <v>23024</v>
      </c>
    </row>
    <row r="1371" spans="1:25">
      <c r="A1371" s="363">
        <f t="shared" si="175"/>
        <v>1370</v>
      </c>
      <c r="B1371" s="363" t="str">
        <f t="shared" si="168"/>
        <v>44</v>
      </c>
      <c r="C1371" s="405" t="str">
        <f t="shared" si="169"/>
        <v>第011972号</v>
      </c>
      <c r="D1371" s="405" t="str">
        <f t="shared" si="170"/>
        <v>（有）大共工業</v>
      </c>
      <c r="E1371" s="405" t="str">
        <f t="shared" si="171"/>
        <v>代表取締役</v>
      </c>
      <c r="F1371" s="405" t="str">
        <f t="shared" si="172"/>
        <v>金谷　彰浩</v>
      </c>
      <c r="G1371" s="405" t="str">
        <f t="shared" si="173"/>
        <v>主たる営業所</v>
      </c>
      <c r="H1371" s="405" t="str">
        <f t="shared" si="174"/>
        <v>大分市大字城原２５－５</v>
      </c>
      <c r="L1371" s="403" t="s">
        <v>10612</v>
      </c>
      <c r="M1371" s="403" t="s">
        <v>10613</v>
      </c>
      <c r="N1371" s="403" t="s">
        <v>3952</v>
      </c>
      <c r="O1371" s="403" t="s">
        <v>7084</v>
      </c>
      <c r="P1371" s="403" t="s">
        <v>3953</v>
      </c>
      <c r="Q1371" s="403" t="s">
        <v>8292</v>
      </c>
      <c r="R1371" s="403" t="s">
        <v>19753</v>
      </c>
      <c r="S1371" s="403" t="s">
        <v>16471</v>
      </c>
      <c r="T1371" s="403" t="s">
        <v>14603</v>
      </c>
      <c r="U1371" s="403"/>
      <c r="V1371" s="403" t="s">
        <v>23024</v>
      </c>
      <c r="W1371" s="403" t="s">
        <v>23024</v>
      </c>
      <c r="X1371" s="403" t="s">
        <v>23024</v>
      </c>
      <c r="Y1371" s="403" t="s">
        <v>23024</v>
      </c>
    </row>
    <row r="1372" spans="1:25">
      <c r="A1372" s="363">
        <f t="shared" si="175"/>
        <v>1371</v>
      </c>
      <c r="B1372" s="363" t="str">
        <f t="shared" si="168"/>
        <v>44</v>
      </c>
      <c r="C1372" s="405" t="str">
        <f t="shared" si="169"/>
        <v>第011982号</v>
      </c>
      <c r="D1372" s="405" t="str">
        <f t="shared" si="170"/>
        <v>（株）西日本技建</v>
      </c>
      <c r="E1372" s="405" t="str">
        <f t="shared" si="171"/>
        <v>代表取締役</v>
      </c>
      <c r="F1372" s="405" t="str">
        <f t="shared" si="172"/>
        <v>仁田尾　淳</v>
      </c>
      <c r="G1372" s="405" t="str">
        <f t="shared" si="173"/>
        <v>主たる営業所</v>
      </c>
      <c r="H1372" s="405" t="str">
        <f t="shared" si="174"/>
        <v>大分市下郡北２－４－３０</v>
      </c>
      <c r="L1372" s="403" t="s">
        <v>10614</v>
      </c>
      <c r="M1372" s="403" t="s">
        <v>10615</v>
      </c>
      <c r="N1372" s="403" t="s">
        <v>3954</v>
      </c>
      <c r="O1372" s="403" t="s">
        <v>7084</v>
      </c>
      <c r="P1372" s="403" t="s">
        <v>3955</v>
      </c>
      <c r="Q1372" s="403" t="s">
        <v>9524</v>
      </c>
      <c r="R1372" s="403" t="s">
        <v>19754</v>
      </c>
      <c r="S1372" s="403" t="s">
        <v>16472</v>
      </c>
      <c r="T1372" s="403" t="s">
        <v>16473</v>
      </c>
      <c r="U1372" s="403"/>
      <c r="V1372" s="403" t="s">
        <v>23024</v>
      </c>
      <c r="W1372" s="403" t="s">
        <v>23024</v>
      </c>
      <c r="X1372" s="403" t="s">
        <v>23024</v>
      </c>
      <c r="Y1372" s="403" t="s">
        <v>23024</v>
      </c>
    </row>
    <row r="1373" spans="1:25">
      <c r="A1373" s="363">
        <f t="shared" si="175"/>
        <v>1372</v>
      </c>
      <c r="B1373" s="363" t="str">
        <f t="shared" si="168"/>
        <v>44</v>
      </c>
      <c r="C1373" s="405" t="str">
        <f t="shared" si="169"/>
        <v>第012018号</v>
      </c>
      <c r="D1373" s="405" t="str">
        <f t="shared" si="170"/>
        <v>（有）合谷住設</v>
      </c>
      <c r="E1373" s="405" t="str">
        <f t="shared" si="171"/>
        <v>取締役</v>
      </c>
      <c r="F1373" s="405" t="str">
        <f t="shared" si="172"/>
        <v>合谷　公児</v>
      </c>
      <c r="G1373" s="405" t="str">
        <f t="shared" si="173"/>
        <v>主たる営業所</v>
      </c>
      <c r="H1373" s="405" t="str">
        <f t="shared" si="174"/>
        <v>日田市中津江村栃野２９４１</v>
      </c>
      <c r="L1373" s="403" t="s">
        <v>10616</v>
      </c>
      <c r="M1373" s="403" t="s">
        <v>10617</v>
      </c>
      <c r="N1373" s="403" t="s">
        <v>3956</v>
      </c>
      <c r="O1373" s="403" t="s">
        <v>7085</v>
      </c>
      <c r="P1373" s="403" t="s">
        <v>3957</v>
      </c>
      <c r="Q1373" s="403" t="s">
        <v>7300</v>
      </c>
      <c r="R1373" s="403" t="s">
        <v>5622</v>
      </c>
      <c r="S1373" s="403" t="s">
        <v>16474</v>
      </c>
      <c r="T1373" s="403" t="s">
        <v>16475</v>
      </c>
      <c r="U1373" s="403"/>
      <c r="V1373" s="403" t="s">
        <v>23024</v>
      </c>
      <c r="W1373" s="403" t="s">
        <v>23024</v>
      </c>
      <c r="X1373" s="403" t="s">
        <v>23024</v>
      </c>
      <c r="Y1373" s="403" t="s">
        <v>23024</v>
      </c>
    </row>
    <row r="1374" spans="1:25">
      <c r="A1374" s="363">
        <f t="shared" si="175"/>
        <v>1373</v>
      </c>
      <c r="B1374" s="363" t="str">
        <f t="shared" si="168"/>
        <v>44</v>
      </c>
      <c r="C1374" s="405" t="str">
        <f t="shared" si="169"/>
        <v>第012022号</v>
      </c>
      <c r="D1374" s="405" t="str">
        <f t="shared" si="170"/>
        <v>加藤設備</v>
      </c>
      <c r="E1374" s="405" t="str">
        <f t="shared" si="171"/>
        <v>事業主</v>
      </c>
      <c r="F1374" s="405" t="str">
        <f t="shared" si="172"/>
        <v>加藤　英敏</v>
      </c>
      <c r="G1374" s="405" t="str">
        <f t="shared" si="173"/>
        <v>主たる営業所</v>
      </c>
      <c r="H1374" s="405" t="str">
        <f t="shared" si="174"/>
        <v>竹田市大字枝３１</v>
      </c>
      <c r="L1374" s="403" t="s">
        <v>10618</v>
      </c>
      <c r="M1374" s="403" t="s">
        <v>10619</v>
      </c>
      <c r="N1374" s="403" t="s">
        <v>3958</v>
      </c>
      <c r="O1374" s="403" t="s">
        <v>7088</v>
      </c>
      <c r="P1374" s="403" t="s">
        <v>3959</v>
      </c>
      <c r="Q1374" s="403" t="s">
        <v>9141</v>
      </c>
      <c r="R1374" s="403" t="s">
        <v>5623</v>
      </c>
      <c r="S1374" s="403" t="s">
        <v>16476</v>
      </c>
      <c r="T1374" s="403" t="s">
        <v>16477</v>
      </c>
      <c r="U1374" s="403"/>
      <c r="V1374" s="403" t="s">
        <v>23024</v>
      </c>
      <c r="W1374" s="403" t="s">
        <v>23024</v>
      </c>
      <c r="X1374" s="403" t="s">
        <v>23024</v>
      </c>
      <c r="Y1374" s="403" t="s">
        <v>23024</v>
      </c>
    </row>
    <row r="1375" spans="1:25">
      <c r="A1375" s="363">
        <f t="shared" si="175"/>
        <v>1374</v>
      </c>
      <c r="B1375" s="363" t="str">
        <f t="shared" si="168"/>
        <v>44</v>
      </c>
      <c r="C1375" s="405" t="str">
        <f t="shared" si="169"/>
        <v>第012024号</v>
      </c>
      <c r="D1375" s="405" t="str">
        <f t="shared" si="170"/>
        <v>フタバ産業（有）</v>
      </c>
      <c r="E1375" s="405" t="str">
        <f t="shared" si="171"/>
        <v>代表取締役</v>
      </c>
      <c r="F1375" s="405" t="str">
        <f t="shared" si="172"/>
        <v>戸高　元行</v>
      </c>
      <c r="G1375" s="405" t="str">
        <f t="shared" si="173"/>
        <v>主たる営業所</v>
      </c>
      <c r="H1375" s="405" t="str">
        <f t="shared" si="174"/>
        <v>佐伯市大字稲垣１０８９－１６</v>
      </c>
      <c r="L1375" s="403" t="s">
        <v>10620</v>
      </c>
      <c r="M1375" s="403" t="s">
        <v>10621</v>
      </c>
      <c r="N1375" s="403" t="s">
        <v>3960</v>
      </c>
      <c r="O1375" s="403" t="s">
        <v>7084</v>
      </c>
      <c r="P1375" s="403" t="s">
        <v>3961</v>
      </c>
      <c r="Q1375" s="403" t="s">
        <v>8473</v>
      </c>
      <c r="R1375" s="403" t="s">
        <v>19755</v>
      </c>
      <c r="S1375" s="403" t="s">
        <v>16478</v>
      </c>
      <c r="T1375" s="403" t="s">
        <v>16479</v>
      </c>
      <c r="U1375" s="403"/>
      <c r="V1375" s="403" t="s">
        <v>23024</v>
      </c>
      <c r="W1375" s="403" t="s">
        <v>23024</v>
      </c>
      <c r="X1375" s="403" t="s">
        <v>23024</v>
      </c>
      <c r="Y1375" s="403" t="s">
        <v>23024</v>
      </c>
    </row>
    <row r="1376" spans="1:25">
      <c r="A1376" s="363">
        <f t="shared" si="175"/>
        <v>1375</v>
      </c>
      <c r="B1376" s="363" t="str">
        <f t="shared" si="168"/>
        <v>44</v>
      </c>
      <c r="C1376" s="405" t="str">
        <f t="shared" si="169"/>
        <v>第012028号</v>
      </c>
      <c r="D1376" s="405" t="str">
        <f t="shared" si="170"/>
        <v>（有）イーベル</v>
      </c>
      <c r="E1376" s="405" t="str">
        <f t="shared" si="171"/>
        <v>代表取締役</v>
      </c>
      <c r="F1376" s="405" t="str">
        <f t="shared" si="172"/>
        <v>中村　綾人</v>
      </c>
      <c r="G1376" s="405" t="str">
        <f t="shared" si="173"/>
        <v>主たる営業所</v>
      </c>
      <c r="H1376" s="405" t="str">
        <f t="shared" si="174"/>
        <v>玖珠郡玖珠町大字大隈２７２－１３</v>
      </c>
      <c r="L1376" s="403" t="s">
        <v>10622</v>
      </c>
      <c r="M1376" s="403" t="s">
        <v>10623</v>
      </c>
      <c r="N1376" s="403" t="s">
        <v>3962</v>
      </c>
      <c r="O1376" s="403" t="s">
        <v>7084</v>
      </c>
      <c r="P1376" s="403" t="s">
        <v>3963</v>
      </c>
      <c r="Q1376" s="403" t="s">
        <v>7985</v>
      </c>
      <c r="R1376" s="403" t="s">
        <v>19756</v>
      </c>
      <c r="S1376" s="403" t="s">
        <v>16480</v>
      </c>
      <c r="T1376" s="403" t="s">
        <v>16481</v>
      </c>
      <c r="U1376" s="403"/>
      <c r="V1376" s="403" t="s">
        <v>23024</v>
      </c>
      <c r="W1376" s="403" t="s">
        <v>23024</v>
      </c>
      <c r="X1376" s="403" t="s">
        <v>23024</v>
      </c>
      <c r="Y1376" s="403" t="s">
        <v>23024</v>
      </c>
    </row>
    <row r="1377" spans="1:25">
      <c r="A1377" s="363">
        <f t="shared" si="175"/>
        <v>1376</v>
      </c>
      <c r="B1377" s="363" t="str">
        <f t="shared" si="168"/>
        <v>44</v>
      </c>
      <c r="C1377" s="405" t="str">
        <f t="shared" si="169"/>
        <v>第012034号</v>
      </c>
      <c r="D1377" s="405" t="str">
        <f t="shared" si="170"/>
        <v>（有）インプルーヴ</v>
      </c>
      <c r="E1377" s="405" t="str">
        <f t="shared" si="171"/>
        <v>代表取締役</v>
      </c>
      <c r="F1377" s="405" t="str">
        <f t="shared" si="172"/>
        <v>中野　潤</v>
      </c>
      <c r="G1377" s="405" t="str">
        <f t="shared" si="173"/>
        <v>主たる営業所</v>
      </c>
      <c r="H1377" s="405" t="str">
        <f t="shared" si="174"/>
        <v>大分市新栄町４－５</v>
      </c>
      <c r="L1377" s="403" t="s">
        <v>10624</v>
      </c>
      <c r="M1377" s="403" t="s">
        <v>10625</v>
      </c>
      <c r="N1377" s="403" t="s">
        <v>3964</v>
      </c>
      <c r="O1377" s="403" t="s">
        <v>7084</v>
      </c>
      <c r="P1377" s="403" t="s">
        <v>3965</v>
      </c>
      <c r="Q1377" s="403" t="s">
        <v>8817</v>
      </c>
      <c r="R1377" s="403" t="s">
        <v>19757</v>
      </c>
      <c r="S1377" s="403" t="s">
        <v>16482</v>
      </c>
      <c r="T1377" s="403" t="s">
        <v>16483</v>
      </c>
      <c r="U1377" s="403"/>
      <c r="V1377" s="403" t="s">
        <v>23024</v>
      </c>
      <c r="W1377" s="403" t="s">
        <v>23024</v>
      </c>
      <c r="X1377" s="403" t="s">
        <v>23024</v>
      </c>
      <c r="Y1377" s="403" t="s">
        <v>23024</v>
      </c>
    </row>
    <row r="1378" spans="1:25">
      <c r="A1378" s="363">
        <f t="shared" si="175"/>
        <v>1377</v>
      </c>
      <c r="B1378" s="363" t="str">
        <f t="shared" si="168"/>
        <v>44</v>
      </c>
      <c r="C1378" s="405" t="str">
        <f t="shared" si="169"/>
        <v>第012043号</v>
      </c>
      <c r="D1378" s="405" t="str">
        <f t="shared" si="170"/>
        <v>（有）シックアート</v>
      </c>
      <c r="E1378" s="405" t="str">
        <f t="shared" si="171"/>
        <v>代表取締役</v>
      </c>
      <c r="F1378" s="405" t="str">
        <f t="shared" si="172"/>
        <v>江川　俊二</v>
      </c>
      <c r="G1378" s="405" t="str">
        <f t="shared" si="173"/>
        <v>主たる営業所</v>
      </c>
      <c r="H1378" s="405" t="str">
        <f t="shared" si="174"/>
        <v>別府市扇山３－４－８</v>
      </c>
      <c r="L1378" s="403" t="s">
        <v>10626</v>
      </c>
      <c r="M1378" s="403" t="s">
        <v>10627</v>
      </c>
      <c r="N1378" s="403" t="s">
        <v>3966</v>
      </c>
      <c r="O1378" s="403" t="s">
        <v>7084</v>
      </c>
      <c r="P1378" s="403" t="s">
        <v>3967</v>
      </c>
      <c r="Q1378" s="403" t="s">
        <v>9203</v>
      </c>
      <c r="R1378" s="403" t="s">
        <v>19758</v>
      </c>
      <c r="S1378" s="403" t="s">
        <v>16484</v>
      </c>
      <c r="T1378" s="403" t="s">
        <v>16485</v>
      </c>
      <c r="U1378" s="403"/>
      <c r="V1378" s="403" t="s">
        <v>23024</v>
      </c>
      <c r="W1378" s="403" t="s">
        <v>23024</v>
      </c>
      <c r="X1378" s="403" t="s">
        <v>23024</v>
      </c>
      <c r="Y1378" s="403" t="s">
        <v>23024</v>
      </c>
    </row>
    <row r="1379" spans="1:25">
      <c r="A1379" s="363">
        <f t="shared" si="175"/>
        <v>1378</v>
      </c>
      <c r="B1379" s="363" t="str">
        <f t="shared" si="168"/>
        <v>44</v>
      </c>
      <c r="C1379" s="405" t="str">
        <f t="shared" si="169"/>
        <v>第012050号</v>
      </c>
      <c r="D1379" s="405" t="str">
        <f t="shared" si="170"/>
        <v>日本暖房鉄工（株）</v>
      </c>
      <c r="E1379" s="405" t="str">
        <f t="shared" si="171"/>
        <v>代表取締役</v>
      </c>
      <c r="F1379" s="405" t="str">
        <f t="shared" si="172"/>
        <v>但馬　建</v>
      </c>
      <c r="G1379" s="405" t="str">
        <f t="shared" si="173"/>
        <v>主たる営業所</v>
      </c>
      <c r="H1379" s="405" t="str">
        <f t="shared" si="174"/>
        <v>大分市萩原２－４－１</v>
      </c>
      <c r="L1379" s="403" t="s">
        <v>10628</v>
      </c>
      <c r="M1379" s="403" t="s">
        <v>10629</v>
      </c>
      <c r="N1379" s="403" t="s">
        <v>3968</v>
      </c>
      <c r="O1379" s="403" t="s">
        <v>7084</v>
      </c>
      <c r="P1379" s="403" t="s">
        <v>3969</v>
      </c>
      <c r="Q1379" s="403" t="s">
        <v>7394</v>
      </c>
      <c r="R1379" s="403" t="s">
        <v>19759</v>
      </c>
      <c r="S1379" s="403" t="s">
        <v>16486</v>
      </c>
      <c r="T1379" s="403" t="s">
        <v>16487</v>
      </c>
      <c r="U1379" s="403"/>
      <c r="V1379" s="403" t="s">
        <v>23024</v>
      </c>
      <c r="W1379" s="403" t="s">
        <v>23024</v>
      </c>
      <c r="X1379" s="403" t="s">
        <v>23024</v>
      </c>
      <c r="Y1379" s="403" t="s">
        <v>23024</v>
      </c>
    </row>
    <row r="1380" spans="1:25">
      <c r="A1380" s="363">
        <f t="shared" si="175"/>
        <v>1379</v>
      </c>
      <c r="B1380" s="363" t="str">
        <f t="shared" si="168"/>
        <v>44</v>
      </c>
      <c r="C1380" s="405" t="str">
        <f t="shared" si="169"/>
        <v>第012052号</v>
      </c>
      <c r="D1380" s="405" t="str">
        <f t="shared" si="170"/>
        <v>（有）雄翔</v>
      </c>
      <c r="E1380" s="405" t="str">
        <f t="shared" si="171"/>
        <v>代表取締役</v>
      </c>
      <c r="F1380" s="405" t="str">
        <f t="shared" si="172"/>
        <v>五十川　雄三</v>
      </c>
      <c r="G1380" s="405" t="str">
        <f t="shared" si="173"/>
        <v>主たる営業所</v>
      </c>
      <c r="H1380" s="405" t="str">
        <f t="shared" si="174"/>
        <v>豊後大野市三重町赤嶺１１５１－６</v>
      </c>
      <c r="L1380" s="403" t="s">
        <v>10630</v>
      </c>
      <c r="M1380" s="403" t="s">
        <v>10631</v>
      </c>
      <c r="N1380" s="403" t="s">
        <v>3970</v>
      </c>
      <c r="O1380" s="403" t="s">
        <v>7084</v>
      </c>
      <c r="P1380" s="403" t="s">
        <v>3971</v>
      </c>
      <c r="Q1380" s="403" t="s">
        <v>7879</v>
      </c>
      <c r="R1380" s="403" t="s">
        <v>19760</v>
      </c>
      <c r="S1380" s="403" t="s">
        <v>16488</v>
      </c>
      <c r="T1380" s="403" t="s">
        <v>16489</v>
      </c>
      <c r="U1380" s="403"/>
      <c r="V1380" s="403" t="s">
        <v>23024</v>
      </c>
      <c r="W1380" s="403" t="s">
        <v>23024</v>
      </c>
      <c r="X1380" s="403" t="s">
        <v>23024</v>
      </c>
      <c r="Y1380" s="403" t="s">
        <v>23024</v>
      </c>
    </row>
    <row r="1381" spans="1:25">
      <c r="A1381" s="363">
        <f t="shared" si="175"/>
        <v>1380</v>
      </c>
      <c r="B1381" s="363" t="str">
        <f t="shared" si="168"/>
        <v>44</v>
      </c>
      <c r="C1381" s="405" t="str">
        <f t="shared" si="169"/>
        <v>第012069号</v>
      </c>
      <c r="D1381" s="405" t="str">
        <f t="shared" si="170"/>
        <v>（有）ヤマトグリーンシステム</v>
      </c>
      <c r="E1381" s="405" t="str">
        <f t="shared" si="171"/>
        <v>代表取締役</v>
      </c>
      <c r="F1381" s="405" t="str">
        <f t="shared" si="172"/>
        <v>筒井　悦生</v>
      </c>
      <c r="G1381" s="405" t="str">
        <f t="shared" si="173"/>
        <v>主たる営業所</v>
      </c>
      <c r="H1381" s="405" t="str">
        <f t="shared" si="174"/>
        <v>大分市大字東上野２５０２－４</v>
      </c>
      <c r="L1381" s="403" t="s">
        <v>10632</v>
      </c>
      <c r="M1381" s="403" t="s">
        <v>10633</v>
      </c>
      <c r="N1381" s="403" t="s">
        <v>3972</v>
      </c>
      <c r="O1381" s="403" t="s">
        <v>7084</v>
      </c>
      <c r="P1381" s="403" t="s">
        <v>3973</v>
      </c>
      <c r="Q1381" s="403" t="s">
        <v>8309</v>
      </c>
      <c r="R1381" s="403" t="s">
        <v>19761</v>
      </c>
      <c r="S1381" s="403" t="s">
        <v>16490</v>
      </c>
      <c r="T1381" s="403" t="s">
        <v>16491</v>
      </c>
      <c r="U1381" s="403"/>
      <c r="V1381" s="403" t="s">
        <v>23024</v>
      </c>
      <c r="W1381" s="403" t="s">
        <v>23024</v>
      </c>
      <c r="X1381" s="403" t="s">
        <v>23024</v>
      </c>
      <c r="Y1381" s="403" t="s">
        <v>23024</v>
      </c>
    </row>
    <row r="1382" spans="1:25">
      <c r="A1382" s="363">
        <f t="shared" si="175"/>
        <v>1381</v>
      </c>
      <c r="B1382" s="363" t="str">
        <f t="shared" si="168"/>
        <v>44</v>
      </c>
      <c r="C1382" s="405" t="str">
        <f t="shared" si="169"/>
        <v>第012070号</v>
      </c>
      <c r="D1382" s="405" t="str">
        <f t="shared" si="170"/>
        <v>（株）ＴＫＩＭ</v>
      </c>
      <c r="E1382" s="405" t="str">
        <f t="shared" si="171"/>
        <v>代表取締役</v>
      </c>
      <c r="F1382" s="405" t="str">
        <f t="shared" si="172"/>
        <v>垣迫　武範</v>
      </c>
      <c r="G1382" s="405" t="str">
        <f t="shared" si="173"/>
        <v>主たる営業所</v>
      </c>
      <c r="H1382" s="405" t="str">
        <f t="shared" si="174"/>
        <v>速見郡日出町大字川崎２０３２－２</v>
      </c>
      <c r="L1382" s="403" t="s">
        <v>19762</v>
      </c>
      <c r="M1382" s="403" t="s">
        <v>19763</v>
      </c>
      <c r="N1382" s="403" t="s">
        <v>19764</v>
      </c>
      <c r="O1382" s="403" t="s">
        <v>7084</v>
      </c>
      <c r="P1382" s="403" t="s">
        <v>19765</v>
      </c>
      <c r="Q1382" s="403" t="s">
        <v>7590</v>
      </c>
      <c r="R1382" s="403" t="s">
        <v>19766</v>
      </c>
      <c r="S1382" s="403" t="s">
        <v>19767</v>
      </c>
      <c r="T1382" s="403" t="s">
        <v>19768</v>
      </c>
      <c r="U1382" s="403"/>
      <c r="V1382" s="403" t="s">
        <v>23024</v>
      </c>
      <c r="W1382" s="403" t="s">
        <v>23024</v>
      </c>
      <c r="X1382" s="403" t="s">
        <v>23024</v>
      </c>
      <c r="Y1382" s="403" t="s">
        <v>23024</v>
      </c>
    </row>
    <row r="1383" spans="1:25">
      <c r="A1383" s="363">
        <f t="shared" si="175"/>
        <v>1382</v>
      </c>
      <c r="B1383" s="363" t="str">
        <f t="shared" si="168"/>
        <v>44</v>
      </c>
      <c r="C1383" s="405" t="str">
        <f t="shared" si="169"/>
        <v>第012083号</v>
      </c>
      <c r="D1383" s="405" t="str">
        <f t="shared" si="170"/>
        <v>新和リファイン（株）</v>
      </c>
      <c r="E1383" s="405" t="str">
        <f t="shared" si="171"/>
        <v>代表取締役</v>
      </c>
      <c r="F1383" s="405" t="str">
        <f t="shared" si="172"/>
        <v>梶原　康輝</v>
      </c>
      <c r="G1383" s="405" t="str">
        <f t="shared" si="173"/>
        <v>主たる営業所</v>
      </c>
      <c r="H1383" s="405" t="str">
        <f t="shared" si="174"/>
        <v>日田市大字三和１７６０－１</v>
      </c>
      <c r="L1383" s="403" t="s">
        <v>10634</v>
      </c>
      <c r="M1383" s="403" t="s">
        <v>10635</v>
      </c>
      <c r="N1383" s="403" t="s">
        <v>3975</v>
      </c>
      <c r="O1383" s="403" t="s">
        <v>7084</v>
      </c>
      <c r="P1383" s="403" t="s">
        <v>3976</v>
      </c>
      <c r="Q1383" s="403" t="s">
        <v>10636</v>
      </c>
      <c r="R1383" s="403" t="s">
        <v>19769</v>
      </c>
      <c r="S1383" s="403" t="s">
        <v>16492</v>
      </c>
      <c r="T1383" s="403" t="s">
        <v>16493</v>
      </c>
      <c r="U1383" s="403"/>
      <c r="V1383" s="403" t="s">
        <v>23024</v>
      </c>
      <c r="W1383" s="403" t="s">
        <v>23024</v>
      </c>
      <c r="X1383" s="403" t="s">
        <v>23024</v>
      </c>
      <c r="Y1383" s="403" t="s">
        <v>23024</v>
      </c>
    </row>
    <row r="1384" spans="1:25">
      <c r="A1384" s="363">
        <f t="shared" si="175"/>
        <v>1383</v>
      </c>
      <c r="B1384" s="363" t="str">
        <f t="shared" si="168"/>
        <v>44</v>
      </c>
      <c r="C1384" s="405" t="str">
        <f t="shared" si="169"/>
        <v>第012091号</v>
      </c>
      <c r="D1384" s="405" t="str">
        <f t="shared" si="170"/>
        <v>（有）ケイジー彩工社</v>
      </c>
      <c r="E1384" s="405" t="str">
        <f t="shared" si="171"/>
        <v>代表取締役</v>
      </c>
      <c r="F1384" s="405" t="str">
        <f t="shared" si="172"/>
        <v>後藤　啓治</v>
      </c>
      <c r="G1384" s="405" t="str">
        <f t="shared" si="173"/>
        <v>主たる営業所</v>
      </c>
      <c r="H1384" s="405" t="str">
        <f t="shared" si="174"/>
        <v>大分市大字永興１４５９－２</v>
      </c>
      <c r="L1384" s="403" t="s">
        <v>10637</v>
      </c>
      <c r="M1384" s="403" t="s">
        <v>10638</v>
      </c>
      <c r="N1384" s="403" t="s">
        <v>3977</v>
      </c>
      <c r="O1384" s="403" t="s">
        <v>7084</v>
      </c>
      <c r="P1384" s="403" t="s">
        <v>3978</v>
      </c>
      <c r="Q1384" s="403" t="s">
        <v>7446</v>
      </c>
      <c r="R1384" s="403" t="s">
        <v>19770</v>
      </c>
      <c r="S1384" s="403" t="s">
        <v>16494</v>
      </c>
      <c r="T1384" s="403" t="s">
        <v>16495</v>
      </c>
      <c r="U1384" s="403"/>
      <c r="V1384" s="403" t="s">
        <v>23024</v>
      </c>
      <c r="W1384" s="403" t="s">
        <v>23024</v>
      </c>
      <c r="X1384" s="403" t="s">
        <v>23024</v>
      </c>
      <c r="Y1384" s="403" t="s">
        <v>23024</v>
      </c>
    </row>
    <row r="1385" spans="1:25">
      <c r="A1385" s="363">
        <f t="shared" si="175"/>
        <v>1384</v>
      </c>
      <c r="B1385" s="363" t="str">
        <f t="shared" si="168"/>
        <v>44</v>
      </c>
      <c r="C1385" s="405" t="str">
        <f t="shared" si="169"/>
        <v>第012094号</v>
      </c>
      <c r="D1385" s="405" t="str">
        <f t="shared" si="170"/>
        <v>（有）浜田建設工業</v>
      </c>
      <c r="E1385" s="405" t="str">
        <f t="shared" si="171"/>
        <v>代表取締役</v>
      </c>
      <c r="F1385" s="405" t="str">
        <f t="shared" si="172"/>
        <v>浜田　順子</v>
      </c>
      <c r="G1385" s="405" t="str">
        <f t="shared" si="173"/>
        <v>主たる営業所</v>
      </c>
      <c r="H1385" s="405" t="str">
        <f t="shared" si="174"/>
        <v>佐伯市船頭町１－１７</v>
      </c>
      <c r="L1385" s="403" t="s">
        <v>10639</v>
      </c>
      <c r="M1385" s="403" t="s">
        <v>10640</v>
      </c>
      <c r="N1385" s="403" t="s">
        <v>5290</v>
      </c>
      <c r="O1385" s="403" t="s">
        <v>7084</v>
      </c>
      <c r="P1385" s="403" t="s">
        <v>5321</v>
      </c>
      <c r="Q1385" s="403" t="s">
        <v>10641</v>
      </c>
      <c r="R1385" s="403" t="s">
        <v>19771</v>
      </c>
      <c r="S1385" s="403" t="s">
        <v>16496</v>
      </c>
      <c r="T1385" s="403" t="s">
        <v>16497</v>
      </c>
      <c r="U1385" s="403"/>
      <c r="V1385" s="403" t="s">
        <v>23024</v>
      </c>
      <c r="W1385" s="403" t="s">
        <v>23024</v>
      </c>
      <c r="X1385" s="403" t="s">
        <v>23024</v>
      </c>
      <c r="Y1385" s="403" t="s">
        <v>23024</v>
      </c>
    </row>
    <row r="1386" spans="1:25">
      <c r="A1386" s="363">
        <f t="shared" si="175"/>
        <v>1385</v>
      </c>
      <c r="B1386" s="363" t="str">
        <f t="shared" si="168"/>
        <v>44</v>
      </c>
      <c r="C1386" s="405" t="str">
        <f t="shared" si="169"/>
        <v>第012097号</v>
      </c>
      <c r="D1386" s="405" t="str">
        <f t="shared" si="170"/>
        <v>（有）すいおん</v>
      </c>
      <c r="E1386" s="405" t="str">
        <f t="shared" si="171"/>
        <v>代表取締役</v>
      </c>
      <c r="F1386" s="405" t="str">
        <f t="shared" si="172"/>
        <v>土居　丈直</v>
      </c>
      <c r="G1386" s="405" t="str">
        <f t="shared" si="173"/>
        <v>主たる営業所</v>
      </c>
      <c r="H1386" s="405" t="str">
        <f t="shared" si="174"/>
        <v>竹田市大字挟田６７０</v>
      </c>
      <c r="L1386" s="403" t="s">
        <v>10642</v>
      </c>
      <c r="M1386" s="403" t="s">
        <v>10643</v>
      </c>
      <c r="N1386" s="403" t="s">
        <v>3979</v>
      </c>
      <c r="O1386" s="403" t="s">
        <v>7084</v>
      </c>
      <c r="P1386" s="403" t="s">
        <v>3980</v>
      </c>
      <c r="Q1386" s="403" t="s">
        <v>10008</v>
      </c>
      <c r="R1386" s="403" t="s">
        <v>5624</v>
      </c>
      <c r="S1386" s="403" t="s">
        <v>16498</v>
      </c>
      <c r="T1386" s="403" t="s">
        <v>16499</v>
      </c>
      <c r="U1386" s="403"/>
      <c r="V1386" s="403" t="s">
        <v>23024</v>
      </c>
      <c r="W1386" s="403" t="s">
        <v>23024</v>
      </c>
      <c r="X1386" s="403" t="s">
        <v>23024</v>
      </c>
      <c r="Y1386" s="403" t="s">
        <v>23024</v>
      </c>
    </row>
    <row r="1387" spans="1:25">
      <c r="A1387" s="363">
        <f t="shared" si="175"/>
        <v>1386</v>
      </c>
      <c r="B1387" s="363" t="str">
        <f t="shared" si="168"/>
        <v>44</v>
      </c>
      <c r="C1387" s="405" t="str">
        <f t="shared" si="169"/>
        <v>第012104号</v>
      </c>
      <c r="D1387" s="405" t="str">
        <f t="shared" si="170"/>
        <v>（有）サンライズシステム</v>
      </c>
      <c r="E1387" s="405" t="str">
        <f t="shared" si="171"/>
        <v>代表取締役</v>
      </c>
      <c r="F1387" s="405" t="str">
        <f t="shared" si="172"/>
        <v>安藤　玲</v>
      </c>
      <c r="G1387" s="405" t="str">
        <f t="shared" si="173"/>
        <v>主たる営業所</v>
      </c>
      <c r="H1387" s="405" t="str">
        <f t="shared" si="174"/>
        <v>日田市大字西有田１２０７－１</v>
      </c>
      <c r="L1387" s="404" t="s">
        <v>10644</v>
      </c>
      <c r="M1387" s="404" t="s">
        <v>10645</v>
      </c>
      <c r="N1387" s="404" t="s">
        <v>3981</v>
      </c>
      <c r="O1387" s="404" t="s">
        <v>7084</v>
      </c>
      <c r="P1387" s="404" t="s">
        <v>3982</v>
      </c>
      <c r="Q1387" s="404" t="s">
        <v>9566</v>
      </c>
      <c r="R1387" s="404" t="s">
        <v>19772</v>
      </c>
      <c r="S1387" s="404" t="s">
        <v>16500</v>
      </c>
      <c r="T1387" s="404" t="s">
        <v>16501</v>
      </c>
      <c r="U1387" s="404"/>
      <c r="V1387" s="404" t="s">
        <v>23024</v>
      </c>
      <c r="W1387" s="404" t="s">
        <v>23024</v>
      </c>
      <c r="X1387" s="404" t="s">
        <v>23024</v>
      </c>
      <c r="Y1387" s="404" t="s">
        <v>23024</v>
      </c>
    </row>
    <row r="1388" spans="1:25">
      <c r="A1388" s="363">
        <f t="shared" si="175"/>
        <v>1387</v>
      </c>
      <c r="B1388" s="363" t="str">
        <f t="shared" si="168"/>
        <v>44</v>
      </c>
      <c r="C1388" s="405" t="str">
        <f t="shared" si="169"/>
        <v>第012105号</v>
      </c>
      <c r="D1388" s="405" t="str">
        <f t="shared" si="170"/>
        <v>（株）高江工業</v>
      </c>
      <c r="E1388" s="405" t="str">
        <f t="shared" si="171"/>
        <v>代表取締役</v>
      </c>
      <c r="F1388" s="405" t="str">
        <f t="shared" si="172"/>
        <v>中根　竜</v>
      </c>
      <c r="G1388" s="405" t="str">
        <f t="shared" si="173"/>
        <v>主たる営業所</v>
      </c>
      <c r="H1388" s="405" t="str">
        <f t="shared" si="174"/>
        <v>大分市羽屋４－３－２５</v>
      </c>
      <c r="L1388" s="402" t="s">
        <v>10646</v>
      </c>
      <c r="M1388" s="402" t="s">
        <v>10647</v>
      </c>
      <c r="N1388" s="402" t="s">
        <v>3983</v>
      </c>
      <c r="O1388" s="402" t="s">
        <v>7084</v>
      </c>
      <c r="P1388" s="402" t="s">
        <v>5258</v>
      </c>
      <c r="Q1388" s="402" t="s">
        <v>9505</v>
      </c>
      <c r="R1388" s="402" t="s">
        <v>19773</v>
      </c>
      <c r="S1388" s="402" t="s">
        <v>16502</v>
      </c>
      <c r="T1388" s="402" t="s">
        <v>16503</v>
      </c>
      <c r="U1388" s="402"/>
      <c r="V1388" s="402" t="s">
        <v>23024</v>
      </c>
      <c r="W1388" s="402" t="s">
        <v>23024</v>
      </c>
      <c r="X1388" s="402" t="s">
        <v>23024</v>
      </c>
      <c r="Y1388" s="402" t="s">
        <v>23024</v>
      </c>
    </row>
    <row r="1389" spans="1:25">
      <c r="A1389" s="363">
        <f t="shared" si="175"/>
        <v>1388</v>
      </c>
      <c r="B1389" s="363" t="str">
        <f t="shared" si="168"/>
        <v>44</v>
      </c>
      <c r="C1389" s="405" t="str">
        <f t="shared" si="169"/>
        <v>第012117号</v>
      </c>
      <c r="D1389" s="405" t="str">
        <f t="shared" si="170"/>
        <v>あんしん防災（株）</v>
      </c>
      <c r="E1389" s="405" t="str">
        <f t="shared" si="171"/>
        <v>代表取締役</v>
      </c>
      <c r="F1389" s="405" t="str">
        <f t="shared" si="172"/>
        <v>河野　敬幸</v>
      </c>
      <c r="G1389" s="405" t="str">
        <f t="shared" si="173"/>
        <v>主たる営業所</v>
      </c>
      <c r="H1389" s="405" t="str">
        <f t="shared" si="174"/>
        <v>大分市大字荏隈３１０－３</v>
      </c>
      <c r="L1389" s="403" t="s">
        <v>10648</v>
      </c>
      <c r="M1389" s="403" t="s">
        <v>10649</v>
      </c>
      <c r="N1389" s="403" t="s">
        <v>3984</v>
      </c>
      <c r="O1389" s="403" t="s">
        <v>7084</v>
      </c>
      <c r="P1389" s="403" t="s">
        <v>3985</v>
      </c>
      <c r="Q1389" s="403" t="s">
        <v>10447</v>
      </c>
      <c r="R1389" s="403" t="s">
        <v>19774</v>
      </c>
      <c r="S1389" s="403" t="s">
        <v>16504</v>
      </c>
      <c r="T1389" s="403" t="s">
        <v>16505</v>
      </c>
      <c r="U1389" s="403"/>
      <c r="V1389" s="403" t="s">
        <v>23024</v>
      </c>
      <c r="W1389" s="403" t="s">
        <v>23024</v>
      </c>
      <c r="X1389" s="403" t="s">
        <v>23024</v>
      </c>
      <c r="Y1389" s="403" t="s">
        <v>23024</v>
      </c>
    </row>
    <row r="1390" spans="1:25">
      <c r="A1390" s="363">
        <f t="shared" si="175"/>
        <v>1389</v>
      </c>
      <c r="B1390" s="363" t="str">
        <f t="shared" si="168"/>
        <v>44</v>
      </c>
      <c r="C1390" s="405" t="str">
        <f t="shared" si="169"/>
        <v>第012120号</v>
      </c>
      <c r="D1390" s="405" t="str">
        <f t="shared" si="170"/>
        <v>（有）岡村環境開発</v>
      </c>
      <c r="E1390" s="405" t="str">
        <f t="shared" si="171"/>
        <v>代表取締役</v>
      </c>
      <c r="F1390" s="405" t="str">
        <f t="shared" si="172"/>
        <v>岡村　申弥</v>
      </c>
      <c r="G1390" s="405" t="str">
        <f t="shared" si="173"/>
        <v>主たる営業所</v>
      </c>
      <c r="H1390" s="405" t="str">
        <f t="shared" si="174"/>
        <v>大分市坂ノ市中央３－３－５</v>
      </c>
      <c r="L1390" s="403" t="s">
        <v>10650</v>
      </c>
      <c r="M1390" s="403" t="s">
        <v>10651</v>
      </c>
      <c r="N1390" s="403" t="s">
        <v>3986</v>
      </c>
      <c r="O1390" s="403" t="s">
        <v>7084</v>
      </c>
      <c r="P1390" s="403" t="s">
        <v>3987</v>
      </c>
      <c r="Q1390" s="403" t="s">
        <v>10652</v>
      </c>
      <c r="R1390" s="403" t="s">
        <v>19775</v>
      </c>
      <c r="S1390" s="403" t="s">
        <v>16506</v>
      </c>
      <c r="T1390" s="403" t="s">
        <v>16507</v>
      </c>
      <c r="U1390" s="403"/>
      <c r="V1390" s="403" t="s">
        <v>23024</v>
      </c>
      <c r="W1390" s="403" t="s">
        <v>23024</v>
      </c>
      <c r="X1390" s="403" t="s">
        <v>23024</v>
      </c>
      <c r="Y1390" s="403" t="s">
        <v>23024</v>
      </c>
    </row>
    <row r="1391" spans="1:25">
      <c r="A1391" s="363">
        <f t="shared" si="175"/>
        <v>1390</v>
      </c>
      <c r="B1391" s="363" t="str">
        <f t="shared" si="168"/>
        <v>44</v>
      </c>
      <c r="C1391" s="405" t="str">
        <f t="shared" si="169"/>
        <v>第012121号</v>
      </c>
      <c r="D1391" s="405" t="str">
        <f t="shared" si="170"/>
        <v>（有）清末電化サービス</v>
      </c>
      <c r="E1391" s="405" t="str">
        <f t="shared" si="171"/>
        <v>代表取締役</v>
      </c>
      <c r="F1391" s="405" t="str">
        <f t="shared" si="172"/>
        <v>清末　保</v>
      </c>
      <c r="G1391" s="405" t="str">
        <f t="shared" si="173"/>
        <v>主たる営業所</v>
      </c>
      <c r="H1391" s="405" t="str">
        <f t="shared" si="174"/>
        <v>国東市安岐町馬場１２８８</v>
      </c>
      <c r="L1391" s="403" t="s">
        <v>10653</v>
      </c>
      <c r="M1391" s="403" t="s">
        <v>10654</v>
      </c>
      <c r="N1391" s="403" t="s">
        <v>3988</v>
      </c>
      <c r="O1391" s="403" t="s">
        <v>7084</v>
      </c>
      <c r="P1391" s="403" t="s">
        <v>3989</v>
      </c>
      <c r="Q1391" s="403" t="s">
        <v>10655</v>
      </c>
      <c r="R1391" s="403" t="s">
        <v>5625</v>
      </c>
      <c r="S1391" s="403" t="s">
        <v>16508</v>
      </c>
      <c r="T1391" s="403" t="s">
        <v>16509</v>
      </c>
      <c r="U1391" s="403"/>
      <c r="V1391" s="403" t="s">
        <v>23024</v>
      </c>
      <c r="W1391" s="403" t="s">
        <v>23024</v>
      </c>
      <c r="X1391" s="403" t="s">
        <v>23024</v>
      </c>
      <c r="Y1391" s="403" t="s">
        <v>23024</v>
      </c>
    </row>
    <row r="1392" spans="1:25">
      <c r="A1392" s="363">
        <f t="shared" si="175"/>
        <v>1391</v>
      </c>
      <c r="B1392" s="363" t="str">
        <f t="shared" si="168"/>
        <v>44</v>
      </c>
      <c r="C1392" s="405" t="str">
        <f t="shared" si="169"/>
        <v>第012123号</v>
      </c>
      <c r="D1392" s="405" t="str">
        <f t="shared" si="170"/>
        <v>（株）大分都市開発</v>
      </c>
      <c r="E1392" s="405" t="str">
        <f t="shared" si="171"/>
        <v>代表取締役</v>
      </c>
      <c r="F1392" s="405" t="str">
        <f t="shared" si="172"/>
        <v>山形　秀之</v>
      </c>
      <c r="G1392" s="405" t="str">
        <f t="shared" si="173"/>
        <v>主たる営業所</v>
      </c>
      <c r="H1392" s="405" t="str">
        <f t="shared" si="174"/>
        <v>別府市原町１１－２６</v>
      </c>
      <c r="L1392" s="403" t="s">
        <v>10656</v>
      </c>
      <c r="M1392" s="403" t="s">
        <v>10657</v>
      </c>
      <c r="N1392" s="403" t="s">
        <v>3562</v>
      </c>
      <c r="O1392" s="403" t="s">
        <v>7084</v>
      </c>
      <c r="P1392" s="403" t="s">
        <v>3990</v>
      </c>
      <c r="Q1392" s="403" t="s">
        <v>7585</v>
      </c>
      <c r="R1392" s="403" t="s">
        <v>19776</v>
      </c>
      <c r="S1392" s="403" t="s">
        <v>16510</v>
      </c>
      <c r="T1392" s="403" t="s">
        <v>16511</v>
      </c>
      <c r="U1392" s="403"/>
      <c r="V1392" s="403" t="s">
        <v>23024</v>
      </c>
      <c r="W1392" s="403" t="s">
        <v>23024</v>
      </c>
      <c r="X1392" s="403" t="s">
        <v>23024</v>
      </c>
      <c r="Y1392" s="403" t="s">
        <v>23024</v>
      </c>
    </row>
    <row r="1393" spans="1:25">
      <c r="A1393" s="363">
        <f t="shared" si="175"/>
        <v>1392</v>
      </c>
      <c r="B1393" s="363" t="str">
        <f t="shared" si="168"/>
        <v>44</v>
      </c>
      <c r="C1393" s="405" t="str">
        <f t="shared" si="169"/>
        <v>第012137号</v>
      </c>
      <c r="D1393" s="405" t="str">
        <f t="shared" si="170"/>
        <v>ウメサン（株）</v>
      </c>
      <c r="E1393" s="405" t="str">
        <f t="shared" si="171"/>
        <v>代表取締役社長</v>
      </c>
      <c r="F1393" s="405" t="str">
        <f t="shared" si="172"/>
        <v>相原　剛</v>
      </c>
      <c r="G1393" s="405" t="str">
        <f t="shared" si="173"/>
        <v>主たる営業所</v>
      </c>
      <c r="H1393" s="405" t="str">
        <f t="shared" si="174"/>
        <v>大分市舞鶴町１－３－１８（大分梅林三井ビル）</v>
      </c>
      <c r="L1393" s="403" t="s">
        <v>10658</v>
      </c>
      <c r="M1393" s="403" t="s">
        <v>10659</v>
      </c>
      <c r="N1393" s="403" t="s">
        <v>3991</v>
      </c>
      <c r="O1393" s="403" t="s">
        <v>7083</v>
      </c>
      <c r="P1393" s="403" t="s">
        <v>3992</v>
      </c>
      <c r="Q1393" s="403" t="s">
        <v>7282</v>
      </c>
      <c r="R1393" s="403" t="s">
        <v>19777</v>
      </c>
      <c r="S1393" s="403" t="s">
        <v>16512</v>
      </c>
      <c r="T1393" s="403" t="s">
        <v>16513</v>
      </c>
      <c r="U1393" s="403"/>
      <c r="V1393" s="403" t="s">
        <v>23024</v>
      </c>
      <c r="W1393" s="403" t="s">
        <v>23024</v>
      </c>
      <c r="X1393" s="403" t="s">
        <v>23024</v>
      </c>
      <c r="Y1393" s="403" t="s">
        <v>23024</v>
      </c>
    </row>
    <row r="1394" spans="1:25">
      <c r="A1394" s="363">
        <f t="shared" si="175"/>
        <v>1393</v>
      </c>
      <c r="B1394" s="363" t="str">
        <f t="shared" si="168"/>
        <v>44</v>
      </c>
      <c r="C1394" s="405" t="str">
        <f t="shared" si="169"/>
        <v>第012140号</v>
      </c>
      <c r="D1394" s="405" t="str">
        <f t="shared" si="170"/>
        <v>（有）つばさ</v>
      </c>
      <c r="E1394" s="405" t="str">
        <f t="shared" si="171"/>
        <v>代表取締役</v>
      </c>
      <c r="F1394" s="405" t="str">
        <f t="shared" si="172"/>
        <v>近藤　道子</v>
      </c>
      <c r="G1394" s="405" t="str">
        <f t="shared" si="173"/>
        <v>主たる営業所</v>
      </c>
      <c r="H1394" s="405" t="str">
        <f t="shared" si="174"/>
        <v>豊後高田市美和１９２</v>
      </c>
      <c r="L1394" s="403" t="s">
        <v>10660</v>
      </c>
      <c r="M1394" s="403" t="s">
        <v>10661</v>
      </c>
      <c r="N1394" s="403" t="s">
        <v>3993</v>
      </c>
      <c r="O1394" s="403" t="s">
        <v>7084</v>
      </c>
      <c r="P1394" s="403" t="s">
        <v>3994</v>
      </c>
      <c r="Q1394" s="403" t="s">
        <v>7657</v>
      </c>
      <c r="R1394" s="403" t="s">
        <v>5626</v>
      </c>
      <c r="S1394" s="403" t="s">
        <v>16514</v>
      </c>
      <c r="T1394" s="403" t="s">
        <v>15255</v>
      </c>
      <c r="U1394" s="403"/>
      <c r="V1394" s="403" t="s">
        <v>23024</v>
      </c>
      <c r="W1394" s="403" t="s">
        <v>23024</v>
      </c>
      <c r="X1394" s="403" t="s">
        <v>23024</v>
      </c>
      <c r="Y1394" s="403" t="s">
        <v>23024</v>
      </c>
    </row>
    <row r="1395" spans="1:25">
      <c r="A1395" s="363">
        <f t="shared" si="175"/>
        <v>1394</v>
      </c>
      <c r="B1395" s="363" t="str">
        <f t="shared" si="168"/>
        <v>44</v>
      </c>
      <c r="C1395" s="405" t="str">
        <f t="shared" si="169"/>
        <v>第012146号</v>
      </c>
      <c r="D1395" s="405" t="str">
        <f t="shared" si="170"/>
        <v>（株）東藤建設</v>
      </c>
      <c r="E1395" s="405" t="str">
        <f t="shared" si="171"/>
        <v>代表取締役</v>
      </c>
      <c r="F1395" s="405" t="str">
        <f t="shared" si="172"/>
        <v>東藤　雅廣</v>
      </c>
      <c r="G1395" s="405" t="str">
        <f t="shared" si="173"/>
        <v>主たる営業所</v>
      </c>
      <c r="H1395" s="405" t="str">
        <f t="shared" si="174"/>
        <v>豊後大野市朝地町下野１６４３－１</v>
      </c>
      <c r="L1395" s="403" t="s">
        <v>10662</v>
      </c>
      <c r="M1395" s="403" t="s">
        <v>10663</v>
      </c>
      <c r="N1395" s="403" t="s">
        <v>3995</v>
      </c>
      <c r="O1395" s="403" t="s">
        <v>7084</v>
      </c>
      <c r="P1395" s="403" t="s">
        <v>3996</v>
      </c>
      <c r="Q1395" s="403" t="s">
        <v>8062</v>
      </c>
      <c r="R1395" s="403" t="s">
        <v>19778</v>
      </c>
      <c r="S1395" s="403" t="s">
        <v>16515</v>
      </c>
      <c r="T1395" s="403" t="s">
        <v>16516</v>
      </c>
      <c r="U1395" s="403"/>
      <c r="V1395" s="403" t="s">
        <v>23024</v>
      </c>
      <c r="W1395" s="403" t="s">
        <v>23024</v>
      </c>
      <c r="X1395" s="403" t="s">
        <v>23024</v>
      </c>
      <c r="Y1395" s="403" t="s">
        <v>23024</v>
      </c>
    </row>
    <row r="1396" spans="1:25">
      <c r="A1396" s="363">
        <f t="shared" si="175"/>
        <v>1395</v>
      </c>
      <c r="B1396" s="363" t="str">
        <f t="shared" si="168"/>
        <v>44</v>
      </c>
      <c r="C1396" s="405" t="str">
        <f t="shared" si="169"/>
        <v>第012149号</v>
      </c>
      <c r="D1396" s="405" t="str">
        <f t="shared" si="170"/>
        <v>（有）阿南工業</v>
      </c>
      <c r="E1396" s="405" t="str">
        <f t="shared" si="171"/>
        <v>代表取締役</v>
      </c>
      <c r="F1396" s="405" t="str">
        <f t="shared" si="172"/>
        <v>阿南　昌義</v>
      </c>
      <c r="G1396" s="405" t="str">
        <f t="shared" si="173"/>
        <v>主たる営業所</v>
      </c>
      <c r="H1396" s="405" t="str">
        <f t="shared" si="174"/>
        <v>豊後大野市緒方町草深野１４５７</v>
      </c>
      <c r="L1396" s="403" t="s">
        <v>10664</v>
      </c>
      <c r="M1396" s="403" t="s">
        <v>10665</v>
      </c>
      <c r="N1396" s="403" t="s">
        <v>3997</v>
      </c>
      <c r="O1396" s="403" t="s">
        <v>7084</v>
      </c>
      <c r="P1396" s="403" t="s">
        <v>3998</v>
      </c>
      <c r="Q1396" s="403" t="s">
        <v>7912</v>
      </c>
      <c r="R1396" s="403" t="s">
        <v>5627</v>
      </c>
      <c r="S1396" s="403" t="s">
        <v>16517</v>
      </c>
      <c r="T1396" s="403" t="s">
        <v>16518</v>
      </c>
      <c r="U1396" s="403"/>
      <c r="V1396" s="403" t="s">
        <v>23024</v>
      </c>
      <c r="W1396" s="403" t="s">
        <v>23024</v>
      </c>
      <c r="X1396" s="403" t="s">
        <v>23024</v>
      </c>
      <c r="Y1396" s="403" t="s">
        <v>23024</v>
      </c>
    </row>
    <row r="1397" spans="1:25">
      <c r="A1397" s="363">
        <f t="shared" si="175"/>
        <v>1396</v>
      </c>
      <c r="B1397" s="363" t="str">
        <f t="shared" si="168"/>
        <v>44</v>
      </c>
      <c r="C1397" s="405" t="str">
        <f t="shared" si="169"/>
        <v>第012158号</v>
      </c>
      <c r="D1397" s="405" t="str">
        <f t="shared" si="170"/>
        <v>梶原塗装（有）</v>
      </c>
      <c r="E1397" s="405" t="str">
        <f t="shared" si="171"/>
        <v>代表取締役</v>
      </c>
      <c r="F1397" s="405" t="str">
        <f t="shared" si="172"/>
        <v>梶原　忠明</v>
      </c>
      <c r="G1397" s="405" t="str">
        <f t="shared" si="173"/>
        <v>主たる営業所</v>
      </c>
      <c r="H1397" s="405" t="str">
        <f t="shared" si="174"/>
        <v>玖珠郡玖珠町大字岩室１８９</v>
      </c>
      <c r="L1397" s="403" t="s">
        <v>10666</v>
      </c>
      <c r="M1397" s="403" t="s">
        <v>10667</v>
      </c>
      <c r="N1397" s="403" t="s">
        <v>3999</v>
      </c>
      <c r="O1397" s="403" t="s">
        <v>7084</v>
      </c>
      <c r="P1397" s="403" t="s">
        <v>4000</v>
      </c>
      <c r="Q1397" s="403" t="s">
        <v>10668</v>
      </c>
      <c r="R1397" s="403" t="s">
        <v>5628</v>
      </c>
      <c r="S1397" s="403" t="s">
        <v>16519</v>
      </c>
      <c r="T1397" s="403" t="s">
        <v>16520</v>
      </c>
      <c r="U1397" s="403"/>
      <c r="V1397" s="403" t="s">
        <v>23024</v>
      </c>
      <c r="W1397" s="403" t="s">
        <v>23024</v>
      </c>
      <c r="X1397" s="403" t="s">
        <v>23024</v>
      </c>
      <c r="Y1397" s="403" t="s">
        <v>23024</v>
      </c>
    </row>
    <row r="1398" spans="1:25">
      <c r="A1398" s="363">
        <f t="shared" si="175"/>
        <v>1397</v>
      </c>
      <c r="B1398" s="363" t="str">
        <f t="shared" si="168"/>
        <v>44</v>
      </c>
      <c r="C1398" s="405" t="str">
        <f t="shared" si="169"/>
        <v>第012164号</v>
      </c>
      <c r="D1398" s="405" t="str">
        <f t="shared" si="170"/>
        <v>（有）テッ建工業</v>
      </c>
      <c r="E1398" s="405" t="str">
        <f t="shared" si="171"/>
        <v>代表取締役</v>
      </c>
      <c r="F1398" s="405" t="str">
        <f t="shared" si="172"/>
        <v>管　哲昭</v>
      </c>
      <c r="G1398" s="405" t="str">
        <f t="shared" si="173"/>
        <v>主たる営業所</v>
      </c>
      <c r="H1398" s="405" t="str">
        <f t="shared" si="174"/>
        <v>佐伯市大字狩生３１６０</v>
      </c>
      <c r="L1398" s="403" t="s">
        <v>10669</v>
      </c>
      <c r="M1398" s="403" t="s">
        <v>10670</v>
      </c>
      <c r="N1398" s="403" t="s">
        <v>4001</v>
      </c>
      <c r="O1398" s="403" t="s">
        <v>7084</v>
      </c>
      <c r="P1398" s="403" t="s">
        <v>4002</v>
      </c>
      <c r="Q1398" s="403" t="s">
        <v>10671</v>
      </c>
      <c r="R1398" s="403" t="s">
        <v>5629</v>
      </c>
      <c r="S1398" s="403" t="s">
        <v>16521</v>
      </c>
      <c r="T1398" s="403" t="s">
        <v>16521</v>
      </c>
      <c r="U1398" s="403"/>
      <c r="V1398" s="403" t="s">
        <v>23024</v>
      </c>
      <c r="W1398" s="403" t="s">
        <v>23024</v>
      </c>
      <c r="X1398" s="403" t="s">
        <v>23024</v>
      </c>
      <c r="Y1398" s="403" t="s">
        <v>23024</v>
      </c>
    </row>
    <row r="1399" spans="1:25">
      <c r="A1399" s="363">
        <f t="shared" si="175"/>
        <v>1398</v>
      </c>
      <c r="B1399" s="363" t="str">
        <f t="shared" si="168"/>
        <v>44</v>
      </c>
      <c r="C1399" s="405" t="str">
        <f t="shared" si="169"/>
        <v>第012171号</v>
      </c>
      <c r="D1399" s="405" t="str">
        <f t="shared" si="170"/>
        <v>（有）八徳進業</v>
      </c>
      <c r="E1399" s="405" t="str">
        <f t="shared" si="171"/>
        <v>代表取締役</v>
      </c>
      <c r="F1399" s="405" t="str">
        <f t="shared" si="172"/>
        <v>羽迫　健一郎</v>
      </c>
      <c r="G1399" s="405" t="str">
        <f t="shared" si="173"/>
        <v>主たる営業所</v>
      </c>
      <c r="H1399" s="405" t="str">
        <f t="shared" si="174"/>
        <v>大分市西大道３－１－５３</v>
      </c>
      <c r="L1399" s="403" t="s">
        <v>10672</v>
      </c>
      <c r="M1399" s="403" t="s">
        <v>10673</v>
      </c>
      <c r="N1399" s="403" t="s">
        <v>4003</v>
      </c>
      <c r="O1399" s="403" t="s">
        <v>7084</v>
      </c>
      <c r="P1399" s="403" t="s">
        <v>4004</v>
      </c>
      <c r="Q1399" s="403" t="s">
        <v>7495</v>
      </c>
      <c r="R1399" s="403" t="s">
        <v>19368</v>
      </c>
      <c r="S1399" s="403" t="s">
        <v>16522</v>
      </c>
      <c r="T1399" s="403" t="s">
        <v>16523</v>
      </c>
      <c r="U1399" s="403"/>
      <c r="V1399" s="403" t="s">
        <v>23024</v>
      </c>
      <c r="W1399" s="403" t="s">
        <v>23024</v>
      </c>
      <c r="X1399" s="403" t="s">
        <v>23024</v>
      </c>
      <c r="Y1399" s="403" t="s">
        <v>23024</v>
      </c>
    </row>
    <row r="1400" spans="1:25">
      <c r="A1400" s="363">
        <f t="shared" si="175"/>
        <v>1399</v>
      </c>
      <c r="B1400" s="363" t="str">
        <f t="shared" si="168"/>
        <v>44</v>
      </c>
      <c r="C1400" s="405" t="str">
        <f t="shared" si="169"/>
        <v>第012172号</v>
      </c>
      <c r="D1400" s="405" t="str">
        <f t="shared" si="170"/>
        <v>（株）九州機工</v>
      </c>
      <c r="E1400" s="405" t="str">
        <f t="shared" si="171"/>
        <v>代表取締役</v>
      </c>
      <c r="F1400" s="405" t="str">
        <f t="shared" si="172"/>
        <v>佐藤　進</v>
      </c>
      <c r="G1400" s="405" t="str">
        <f t="shared" si="173"/>
        <v>主たる営業所</v>
      </c>
      <c r="H1400" s="405" t="str">
        <f t="shared" si="174"/>
        <v>大分市大字城原１７８５－１</v>
      </c>
      <c r="L1400" s="403" t="s">
        <v>10674</v>
      </c>
      <c r="M1400" s="403" t="s">
        <v>10675</v>
      </c>
      <c r="N1400" s="403" t="s">
        <v>4005</v>
      </c>
      <c r="O1400" s="403" t="s">
        <v>7084</v>
      </c>
      <c r="P1400" s="403" t="s">
        <v>4006</v>
      </c>
      <c r="Q1400" s="403" t="s">
        <v>8292</v>
      </c>
      <c r="R1400" s="403" t="s">
        <v>19779</v>
      </c>
      <c r="S1400" s="403" t="s">
        <v>16524</v>
      </c>
      <c r="T1400" s="403" t="s">
        <v>16525</v>
      </c>
      <c r="U1400" s="403"/>
      <c r="V1400" s="403" t="s">
        <v>23024</v>
      </c>
      <c r="W1400" s="403" t="s">
        <v>23024</v>
      </c>
      <c r="X1400" s="403" t="s">
        <v>23024</v>
      </c>
      <c r="Y1400" s="403" t="s">
        <v>23024</v>
      </c>
    </row>
    <row r="1401" spans="1:25">
      <c r="A1401" s="363">
        <f t="shared" si="175"/>
        <v>1400</v>
      </c>
      <c r="B1401" s="363" t="str">
        <f t="shared" si="168"/>
        <v>44</v>
      </c>
      <c r="C1401" s="405" t="str">
        <f t="shared" si="169"/>
        <v>第012180号</v>
      </c>
      <c r="D1401" s="405" t="str">
        <f t="shared" si="170"/>
        <v>（有）明聖電設工業</v>
      </c>
      <c r="E1401" s="405" t="str">
        <f t="shared" si="171"/>
        <v>代表取締役</v>
      </c>
      <c r="F1401" s="405" t="str">
        <f t="shared" si="172"/>
        <v>宮近　明也</v>
      </c>
      <c r="G1401" s="405" t="str">
        <f t="shared" si="173"/>
        <v>主たる営業所</v>
      </c>
      <c r="H1401" s="405" t="str">
        <f t="shared" si="174"/>
        <v>大分市原新町２－４</v>
      </c>
      <c r="L1401" s="403" t="s">
        <v>10676</v>
      </c>
      <c r="M1401" s="403" t="s">
        <v>10677</v>
      </c>
      <c r="N1401" s="403" t="s">
        <v>4007</v>
      </c>
      <c r="O1401" s="403" t="s">
        <v>7084</v>
      </c>
      <c r="P1401" s="403" t="s">
        <v>4008</v>
      </c>
      <c r="Q1401" s="403" t="s">
        <v>7582</v>
      </c>
      <c r="R1401" s="403" t="s">
        <v>19780</v>
      </c>
      <c r="S1401" s="403" t="s">
        <v>16526</v>
      </c>
      <c r="T1401" s="403" t="s">
        <v>16527</v>
      </c>
      <c r="U1401" s="403"/>
      <c r="V1401" s="403" t="s">
        <v>23024</v>
      </c>
      <c r="W1401" s="403" t="s">
        <v>23024</v>
      </c>
      <c r="X1401" s="403" t="s">
        <v>23024</v>
      </c>
      <c r="Y1401" s="403" t="s">
        <v>23024</v>
      </c>
    </row>
    <row r="1402" spans="1:25">
      <c r="A1402" s="363">
        <f t="shared" si="175"/>
        <v>1401</v>
      </c>
      <c r="B1402" s="363" t="str">
        <f t="shared" si="168"/>
        <v>44</v>
      </c>
      <c r="C1402" s="405" t="str">
        <f t="shared" si="169"/>
        <v>第012187号</v>
      </c>
      <c r="D1402" s="405" t="str">
        <f t="shared" si="170"/>
        <v>（株）ＩＳＨＩＤＡ</v>
      </c>
      <c r="E1402" s="405" t="str">
        <f t="shared" si="171"/>
        <v>代表取締役</v>
      </c>
      <c r="F1402" s="405" t="str">
        <f t="shared" si="172"/>
        <v>石田　博文</v>
      </c>
      <c r="G1402" s="405" t="str">
        <f t="shared" si="173"/>
        <v>主たる営業所</v>
      </c>
      <c r="H1402" s="405" t="str">
        <f t="shared" si="174"/>
        <v>佐伯市弥生大字床木１１３－１</v>
      </c>
      <c r="L1402" s="403" t="s">
        <v>10678</v>
      </c>
      <c r="M1402" s="403" t="s">
        <v>7633</v>
      </c>
      <c r="N1402" s="403" t="s">
        <v>4009</v>
      </c>
      <c r="O1402" s="403" t="s">
        <v>7084</v>
      </c>
      <c r="P1402" s="403" t="s">
        <v>4010</v>
      </c>
      <c r="Q1402" s="403" t="s">
        <v>10679</v>
      </c>
      <c r="R1402" s="403" t="s">
        <v>19781</v>
      </c>
      <c r="S1402" s="403" t="s">
        <v>16528</v>
      </c>
      <c r="T1402" s="403" t="s">
        <v>16528</v>
      </c>
      <c r="U1402" s="403"/>
      <c r="V1402" s="403" t="s">
        <v>23024</v>
      </c>
      <c r="W1402" s="403" t="s">
        <v>23024</v>
      </c>
      <c r="X1402" s="403" t="s">
        <v>23024</v>
      </c>
      <c r="Y1402" s="403" t="s">
        <v>23024</v>
      </c>
    </row>
    <row r="1403" spans="1:25">
      <c r="A1403" s="363">
        <f t="shared" si="175"/>
        <v>1402</v>
      </c>
      <c r="B1403" s="363" t="str">
        <f t="shared" si="168"/>
        <v>44</v>
      </c>
      <c r="C1403" s="405" t="str">
        <f t="shared" si="169"/>
        <v>第012192号</v>
      </c>
      <c r="D1403" s="405" t="str">
        <f t="shared" si="170"/>
        <v>（有）立花建設</v>
      </c>
      <c r="E1403" s="405" t="str">
        <f t="shared" si="171"/>
        <v>代表取締役</v>
      </c>
      <c r="F1403" s="405" t="str">
        <f t="shared" si="172"/>
        <v>立花　正喜</v>
      </c>
      <c r="G1403" s="405" t="str">
        <f t="shared" si="173"/>
        <v>主たる営業所</v>
      </c>
      <c r="H1403" s="405" t="str">
        <f t="shared" si="174"/>
        <v>日田市大字三和６４３－４</v>
      </c>
      <c r="L1403" s="403" t="s">
        <v>10680</v>
      </c>
      <c r="M1403" s="403" t="s">
        <v>10681</v>
      </c>
      <c r="N1403" s="403" t="s">
        <v>4011</v>
      </c>
      <c r="O1403" s="403" t="s">
        <v>7084</v>
      </c>
      <c r="P1403" s="403" t="s">
        <v>4012</v>
      </c>
      <c r="Q1403" s="403" t="s">
        <v>10252</v>
      </c>
      <c r="R1403" s="403" t="s">
        <v>19782</v>
      </c>
      <c r="S1403" s="403" t="s">
        <v>16529</v>
      </c>
      <c r="T1403" s="403" t="s">
        <v>16529</v>
      </c>
      <c r="U1403" s="403"/>
      <c r="V1403" s="403" t="s">
        <v>23024</v>
      </c>
      <c r="W1403" s="403" t="s">
        <v>23024</v>
      </c>
      <c r="X1403" s="403" t="s">
        <v>23024</v>
      </c>
      <c r="Y1403" s="403" t="s">
        <v>23024</v>
      </c>
    </row>
    <row r="1404" spans="1:25">
      <c r="A1404" s="363">
        <f t="shared" si="175"/>
        <v>1403</v>
      </c>
      <c r="B1404" s="363" t="str">
        <f t="shared" si="168"/>
        <v>44</v>
      </c>
      <c r="C1404" s="405" t="str">
        <f t="shared" si="169"/>
        <v>第012198号</v>
      </c>
      <c r="D1404" s="405" t="str">
        <f t="shared" si="170"/>
        <v>（有）吉川産業</v>
      </c>
      <c r="E1404" s="405" t="str">
        <f t="shared" si="171"/>
        <v>代表取締役</v>
      </c>
      <c r="F1404" s="405" t="str">
        <f t="shared" si="172"/>
        <v>吉川　大貴</v>
      </c>
      <c r="G1404" s="405" t="str">
        <f t="shared" si="173"/>
        <v>主たる営業所</v>
      </c>
      <c r="H1404" s="405" t="str">
        <f t="shared" si="174"/>
        <v>竹田市大字入田３５０９－１</v>
      </c>
      <c r="L1404" s="403" t="s">
        <v>10682</v>
      </c>
      <c r="M1404" s="403" t="s">
        <v>10683</v>
      </c>
      <c r="N1404" s="403" t="s">
        <v>4013</v>
      </c>
      <c r="O1404" s="403" t="s">
        <v>7084</v>
      </c>
      <c r="P1404" s="403" t="s">
        <v>4014</v>
      </c>
      <c r="Q1404" s="403" t="s">
        <v>10684</v>
      </c>
      <c r="R1404" s="403" t="s">
        <v>19783</v>
      </c>
      <c r="S1404" s="403" t="s">
        <v>16530</v>
      </c>
      <c r="T1404" s="403" t="s">
        <v>16530</v>
      </c>
      <c r="U1404" s="403"/>
      <c r="V1404" s="403" t="s">
        <v>23024</v>
      </c>
      <c r="W1404" s="403" t="s">
        <v>23024</v>
      </c>
      <c r="X1404" s="403" t="s">
        <v>23024</v>
      </c>
      <c r="Y1404" s="403" t="s">
        <v>23024</v>
      </c>
    </row>
    <row r="1405" spans="1:25">
      <c r="A1405" s="363">
        <f t="shared" si="175"/>
        <v>1404</v>
      </c>
      <c r="B1405" s="363" t="str">
        <f t="shared" si="168"/>
        <v>44</v>
      </c>
      <c r="C1405" s="405" t="str">
        <f t="shared" si="169"/>
        <v>第012201号</v>
      </c>
      <c r="D1405" s="405" t="str">
        <f t="shared" si="170"/>
        <v>大開工業（株）</v>
      </c>
      <c r="E1405" s="405" t="str">
        <f t="shared" si="171"/>
        <v>代表取締役</v>
      </c>
      <c r="F1405" s="405" t="str">
        <f t="shared" si="172"/>
        <v>穴井　博敏</v>
      </c>
      <c r="G1405" s="405" t="str">
        <f t="shared" si="173"/>
        <v>主たる営業所</v>
      </c>
      <c r="H1405" s="405" t="str">
        <f t="shared" si="174"/>
        <v>由布市庄内町大龍１６５２－１</v>
      </c>
      <c r="L1405" s="403" t="s">
        <v>10685</v>
      </c>
      <c r="M1405" s="403" t="s">
        <v>10686</v>
      </c>
      <c r="N1405" s="403" t="s">
        <v>4015</v>
      </c>
      <c r="O1405" s="403" t="s">
        <v>7084</v>
      </c>
      <c r="P1405" s="403" t="s">
        <v>2325</v>
      </c>
      <c r="Q1405" s="403" t="s">
        <v>10687</v>
      </c>
      <c r="R1405" s="403" t="s">
        <v>19784</v>
      </c>
      <c r="S1405" s="403" t="s">
        <v>16531</v>
      </c>
      <c r="T1405" s="403" t="s">
        <v>16532</v>
      </c>
      <c r="U1405" s="403"/>
      <c r="V1405" s="403" t="s">
        <v>23024</v>
      </c>
      <c r="W1405" s="403" t="s">
        <v>23024</v>
      </c>
      <c r="X1405" s="403" t="s">
        <v>23024</v>
      </c>
      <c r="Y1405" s="403" t="s">
        <v>23024</v>
      </c>
    </row>
    <row r="1406" spans="1:25">
      <c r="A1406" s="363">
        <f t="shared" si="175"/>
        <v>1405</v>
      </c>
      <c r="B1406" s="363" t="str">
        <f t="shared" si="168"/>
        <v>44</v>
      </c>
      <c r="C1406" s="405" t="str">
        <f t="shared" si="169"/>
        <v>第012210号</v>
      </c>
      <c r="D1406" s="405" t="str">
        <f t="shared" si="170"/>
        <v>（株）センコー企画</v>
      </c>
      <c r="E1406" s="405" t="str">
        <f t="shared" si="171"/>
        <v>代表取締役</v>
      </c>
      <c r="F1406" s="405" t="str">
        <f t="shared" si="172"/>
        <v>阿南　宣弘</v>
      </c>
      <c r="G1406" s="405" t="str">
        <f t="shared" si="173"/>
        <v>主たる営業所</v>
      </c>
      <c r="H1406" s="405" t="str">
        <f t="shared" si="174"/>
        <v>大分市大字丹生１９３－６</v>
      </c>
      <c r="L1406" s="403" t="s">
        <v>10688</v>
      </c>
      <c r="M1406" s="403" t="s">
        <v>10689</v>
      </c>
      <c r="N1406" s="403" t="s">
        <v>4016</v>
      </c>
      <c r="O1406" s="403" t="s">
        <v>7084</v>
      </c>
      <c r="P1406" s="403" t="s">
        <v>4017</v>
      </c>
      <c r="Q1406" s="403" t="s">
        <v>7472</v>
      </c>
      <c r="R1406" s="403" t="s">
        <v>19785</v>
      </c>
      <c r="S1406" s="403" t="s">
        <v>16533</v>
      </c>
      <c r="T1406" s="403" t="s">
        <v>16534</v>
      </c>
      <c r="U1406" s="403"/>
      <c r="V1406" s="403" t="s">
        <v>23024</v>
      </c>
      <c r="W1406" s="403" t="s">
        <v>23024</v>
      </c>
      <c r="X1406" s="403" t="s">
        <v>23024</v>
      </c>
      <c r="Y1406" s="403" t="s">
        <v>23024</v>
      </c>
    </row>
    <row r="1407" spans="1:25">
      <c r="A1407" s="363">
        <f t="shared" si="175"/>
        <v>1406</v>
      </c>
      <c r="B1407" s="363" t="str">
        <f t="shared" si="168"/>
        <v>44</v>
      </c>
      <c r="C1407" s="405" t="str">
        <f t="shared" si="169"/>
        <v>第012222号</v>
      </c>
      <c r="D1407" s="405" t="str">
        <f t="shared" si="170"/>
        <v>（株）日建総合建設</v>
      </c>
      <c r="E1407" s="405" t="str">
        <f t="shared" si="171"/>
        <v>代表取締役</v>
      </c>
      <c r="F1407" s="405" t="str">
        <f t="shared" si="172"/>
        <v>藤田　英樹</v>
      </c>
      <c r="G1407" s="405" t="str">
        <f t="shared" si="173"/>
        <v>主たる営業所</v>
      </c>
      <c r="H1407" s="405" t="str">
        <f t="shared" si="174"/>
        <v>大分市賀来北２－１６－１０</v>
      </c>
      <c r="L1407" s="403" t="s">
        <v>10690</v>
      </c>
      <c r="M1407" s="403" t="s">
        <v>10691</v>
      </c>
      <c r="N1407" s="403" t="s">
        <v>4018</v>
      </c>
      <c r="O1407" s="403" t="s">
        <v>7084</v>
      </c>
      <c r="P1407" s="403" t="s">
        <v>4019</v>
      </c>
      <c r="Q1407" s="403" t="s">
        <v>8303</v>
      </c>
      <c r="R1407" s="403" t="s">
        <v>19786</v>
      </c>
      <c r="S1407" s="403" t="s">
        <v>16535</v>
      </c>
      <c r="T1407" s="403" t="s">
        <v>16536</v>
      </c>
      <c r="U1407" s="403"/>
      <c r="V1407" s="403" t="s">
        <v>23024</v>
      </c>
      <c r="W1407" s="403" t="s">
        <v>23024</v>
      </c>
      <c r="X1407" s="403" t="s">
        <v>23024</v>
      </c>
      <c r="Y1407" s="403" t="s">
        <v>23024</v>
      </c>
    </row>
    <row r="1408" spans="1:25">
      <c r="A1408" s="363">
        <f t="shared" si="175"/>
        <v>1407</v>
      </c>
      <c r="B1408" s="363" t="str">
        <f t="shared" si="168"/>
        <v>44</v>
      </c>
      <c r="C1408" s="405" t="str">
        <f t="shared" si="169"/>
        <v>第012223号</v>
      </c>
      <c r="D1408" s="405" t="str">
        <f t="shared" si="170"/>
        <v>新日本緑地（株）</v>
      </c>
      <c r="E1408" s="405" t="str">
        <f t="shared" si="171"/>
        <v>代表取締役</v>
      </c>
      <c r="F1408" s="405" t="str">
        <f t="shared" si="172"/>
        <v>鳥井　金光</v>
      </c>
      <c r="G1408" s="405" t="str">
        <f t="shared" si="173"/>
        <v>主たる営業所</v>
      </c>
      <c r="H1408" s="405" t="str">
        <f t="shared" si="174"/>
        <v>日田市大字日高２７５７</v>
      </c>
      <c r="L1408" s="403" t="s">
        <v>10692</v>
      </c>
      <c r="M1408" s="403" t="s">
        <v>10693</v>
      </c>
      <c r="N1408" s="403" t="s">
        <v>4020</v>
      </c>
      <c r="O1408" s="403" t="s">
        <v>7084</v>
      </c>
      <c r="P1408" s="403" t="s">
        <v>4021</v>
      </c>
      <c r="Q1408" s="403" t="s">
        <v>8013</v>
      </c>
      <c r="R1408" s="403" t="s">
        <v>5630</v>
      </c>
      <c r="S1408" s="403" t="s">
        <v>16537</v>
      </c>
      <c r="T1408" s="403" t="s">
        <v>16538</v>
      </c>
      <c r="U1408" s="403"/>
      <c r="V1408" s="403" t="s">
        <v>23024</v>
      </c>
      <c r="W1408" s="403" t="s">
        <v>23024</v>
      </c>
      <c r="X1408" s="403" t="s">
        <v>23024</v>
      </c>
      <c r="Y1408" s="403" t="s">
        <v>23024</v>
      </c>
    </row>
    <row r="1409" spans="1:25">
      <c r="A1409" s="363">
        <f t="shared" si="175"/>
        <v>1408</v>
      </c>
      <c r="B1409" s="363" t="str">
        <f t="shared" si="168"/>
        <v>44</v>
      </c>
      <c r="C1409" s="405" t="str">
        <f t="shared" si="169"/>
        <v>第012225号</v>
      </c>
      <c r="D1409" s="405" t="str">
        <f t="shared" si="170"/>
        <v>（有）グランテック</v>
      </c>
      <c r="E1409" s="405" t="str">
        <f t="shared" si="171"/>
        <v>代表取締役</v>
      </c>
      <c r="F1409" s="405" t="str">
        <f t="shared" si="172"/>
        <v>後藤　高見</v>
      </c>
      <c r="G1409" s="405" t="str">
        <f t="shared" si="173"/>
        <v>主たる営業所</v>
      </c>
      <c r="H1409" s="405" t="str">
        <f t="shared" si="174"/>
        <v>竹田市大字飛田川２２３９－８</v>
      </c>
      <c r="L1409" s="403" t="s">
        <v>10694</v>
      </c>
      <c r="M1409" s="403" t="s">
        <v>10695</v>
      </c>
      <c r="N1409" s="403" t="s">
        <v>4022</v>
      </c>
      <c r="O1409" s="403" t="s">
        <v>7084</v>
      </c>
      <c r="P1409" s="403" t="s">
        <v>4023</v>
      </c>
      <c r="Q1409" s="403" t="s">
        <v>7937</v>
      </c>
      <c r="R1409" s="403" t="s">
        <v>19787</v>
      </c>
      <c r="S1409" s="403" t="s">
        <v>16539</v>
      </c>
      <c r="T1409" s="403" t="s">
        <v>16540</v>
      </c>
      <c r="U1409" s="403"/>
      <c r="V1409" s="403" t="s">
        <v>23024</v>
      </c>
      <c r="W1409" s="403" t="s">
        <v>23024</v>
      </c>
      <c r="X1409" s="403" t="s">
        <v>23024</v>
      </c>
      <c r="Y1409" s="403" t="s">
        <v>23024</v>
      </c>
    </row>
    <row r="1410" spans="1:25">
      <c r="A1410" s="363">
        <f t="shared" si="175"/>
        <v>1409</v>
      </c>
      <c r="B1410" s="363" t="str">
        <f t="shared" ref="B1410:B1473" si="176">LEFT(L1410,2)</f>
        <v>44</v>
      </c>
      <c r="C1410" s="405" t="str">
        <f t="shared" ref="C1410:C1473" si="177">IF(B1410="","","第"&amp;RIGHT(L1410,6)&amp;"号")</f>
        <v>第012229号</v>
      </c>
      <c r="D1410" s="405" t="str">
        <f t="shared" ref="D1410:D1473" si="178">N1410</f>
        <v>三共エンジニアリング</v>
      </c>
      <c r="E1410" s="405" t="str">
        <f t="shared" ref="E1410:E1473" si="179">IF(V1410="　",O1410,"")</f>
        <v>代表者</v>
      </c>
      <c r="F1410" s="405" t="str">
        <f t="shared" ref="F1410:F1473" si="180">IF(V1410="　",P1410,W1410)</f>
        <v>永井　源一郎</v>
      </c>
      <c r="G1410" s="405" t="str">
        <f t="shared" ref="G1410:G1473" si="181">IF(V1410="　","主たる営業所",V1410)</f>
        <v>主たる営業所</v>
      </c>
      <c r="H1410" s="405" t="str">
        <f t="shared" ref="H1410:H1473" si="182">IF(V1410="　",R1410,Y1410)</f>
        <v>大分市富士見が丘西４－２９－１</v>
      </c>
      <c r="L1410" s="403" t="s">
        <v>10696</v>
      </c>
      <c r="M1410" s="403" t="s">
        <v>10697</v>
      </c>
      <c r="N1410" s="403" t="s">
        <v>4024</v>
      </c>
      <c r="O1410" s="403" t="s">
        <v>7086</v>
      </c>
      <c r="P1410" s="403" t="s">
        <v>4025</v>
      </c>
      <c r="Q1410" s="403" t="s">
        <v>10698</v>
      </c>
      <c r="R1410" s="403" t="s">
        <v>19788</v>
      </c>
      <c r="S1410" s="403" t="s">
        <v>16541</v>
      </c>
      <c r="T1410" s="403" t="s">
        <v>16541</v>
      </c>
      <c r="U1410" s="403"/>
      <c r="V1410" s="403" t="s">
        <v>23024</v>
      </c>
      <c r="W1410" s="403" t="s">
        <v>23024</v>
      </c>
      <c r="X1410" s="403" t="s">
        <v>23024</v>
      </c>
      <c r="Y1410" s="403" t="s">
        <v>23024</v>
      </c>
    </row>
    <row r="1411" spans="1:25">
      <c r="A1411" s="363">
        <f t="shared" ref="A1411:A1474" si="183">IF(B1411="","",A1410+1)</f>
        <v>1410</v>
      </c>
      <c r="B1411" s="363" t="str">
        <f t="shared" si="176"/>
        <v>44</v>
      </c>
      <c r="C1411" s="405" t="str">
        <f t="shared" si="177"/>
        <v>第012231号</v>
      </c>
      <c r="D1411" s="405" t="str">
        <f t="shared" si="178"/>
        <v>（有）ひまわり</v>
      </c>
      <c r="E1411" s="405" t="str">
        <f t="shared" si="179"/>
        <v>代表取締役</v>
      </c>
      <c r="F1411" s="405" t="str">
        <f t="shared" si="180"/>
        <v>園　義仁</v>
      </c>
      <c r="G1411" s="405" t="str">
        <f t="shared" si="181"/>
        <v>主たる営業所</v>
      </c>
      <c r="H1411" s="405" t="str">
        <f t="shared" si="182"/>
        <v>中津市牛神町１－１１－１</v>
      </c>
      <c r="L1411" s="403" t="s">
        <v>10699</v>
      </c>
      <c r="M1411" s="403" t="s">
        <v>10700</v>
      </c>
      <c r="N1411" s="403" t="s">
        <v>4026</v>
      </c>
      <c r="O1411" s="403" t="s">
        <v>7084</v>
      </c>
      <c r="P1411" s="403" t="s">
        <v>4027</v>
      </c>
      <c r="Q1411" s="403" t="s">
        <v>10701</v>
      </c>
      <c r="R1411" s="403" t="s">
        <v>19789</v>
      </c>
      <c r="S1411" s="403" t="s">
        <v>16542</v>
      </c>
      <c r="T1411" s="403" t="s">
        <v>16543</v>
      </c>
      <c r="U1411" s="403"/>
      <c r="V1411" s="403" t="s">
        <v>23024</v>
      </c>
      <c r="W1411" s="403" t="s">
        <v>23024</v>
      </c>
      <c r="X1411" s="403" t="s">
        <v>23024</v>
      </c>
      <c r="Y1411" s="403" t="s">
        <v>23024</v>
      </c>
    </row>
    <row r="1412" spans="1:25">
      <c r="A1412" s="363">
        <f t="shared" si="183"/>
        <v>1411</v>
      </c>
      <c r="B1412" s="363" t="str">
        <f t="shared" si="176"/>
        <v>44</v>
      </c>
      <c r="C1412" s="405" t="str">
        <f t="shared" si="177"/>
        <v>第012239号</v>
      </c>
      <c r="D1412" s="405" t="str">
        <f t="shared" si="178"/>
        <v>後藤建設工業</v>
      </c>
      <c r="E1412" s="405" t="str">
        <f t="shared" si="179"/>
        <v>代表者</v>
      </c>
      <c r="F1412" s="405" t="str">
        <f t="shared" si="180"/>
        <v>後藤　一宏</v>
      </c>
      <c r="G1412" s="405" t="str">
        <f t="shared" si="181"/>
        <v>主たる営業所</v>
      </c>
      <c r="H1412" s="405" t="str">
        <f t="shared" si="182"/>
        <v>別府市野田３１０－１０</v>
      </c>
      <c r="L1412" s="403" t="s">
        <v>10702</v>
      </c>
      <c r="M1412" s="403" t="s">
        <v>9060</v>
      </c>
      <c r="N1412" s="403" t="s">
        <v>4028</v>
      </c>
      <c r="O1412" s="403" t="s">
        <v>7086</v>
      </c>
      <c r="P1412" s="403" t="s">
        <v>4029</v>
      </c>
      <c r="Q1412" s="403" t="s">
        <v>8366</v>
      </c>
      <c r="R1412" s="403" t="s">
        <v>19790</v>
      </c>
      <c r="S1412" s="403" t="s">
        <v>16544</v>
      </c>
      <c r="T1412" s="403" t="s">
        <v>16544</v>
      </c>
      <c r="U1412" s="403"/>
      <c r="V1412" s="403" t="s">
        <v>23024</v>
      </c>
      <c r="W1412" s="403" t="s">
        <v>23024</v>
      </c>
      <c r="X1412" s="403" t="s">
        <v>23024</v>
      </c>
      <c r="Y1412" s="403" t="s">
        <v>23024</v>
      </c>
    </row>
    <row r="1413" spans="1:25">
      <c r="A1413" s="363">
        <f t="shared" si="183"/>
        <v>1412</v>
      </c>
      <c r="B1413" s="363" t="str">
        <f t="shared" si="176"/>
        <v>44</v>
      </c>
      <c r="C1413" s="405" t="str">
        <f t="shared" si="177"/>
        <v>第012242号</v>
      </c>
      <c r="D1413" s="405" t="str">
        <f t="shared" si="178"/>
        <v>（有）ビルト工業</v>
      </c>
      <c r="E1413" s="405" t="str">
        <f t="shared" si="179"/>
        <v>代表取締役</v>
      </c>
      <c r="F1413" s="405" t="str">
        <f t="shared" si="180"/>
        <v>藤本　康之</v>
      </c>
      <c r="G1413" s="405" t="str">
        <f t="shared" si="181"/>
        <v>主たる営業所</v>
      </c>
      <c r="H1413" s="405" t="str">
        <f t="shared" si="182"/>
        <v>大分市大字鶴崎１８１２－２</v>
      </c>
      <c r="L1413" s="403" t="s">
        <v>10703</v>
      </c>
      <c r="M1413" s="403" t="s">
        <v>10704</v>
      </c>
      <c r="N1413" s="403" t="s">
        <v>4030</v>
      </c>
      <c r="O1413" s="403" t="s">
        <v>7084</v>
      </c>
      <c r="P1413" s="403" t="s">
        <v>4031</v>
      </c>
      <c r="Q1413" s="403" t="s">
        <v>7484</v>
      </c>
      <c r="R1413" s="403" t="s">
        <v>19791</v>
      </c>
      <c r="S1413" s="403" t="s">
        <v>16545</v>
      </c>
      <c r="T1413" s="403" t="s">
        <v>16546</v>
      </c>
      <c r="U1413" s="403"/>
      <c r="V1413" s="403" t="s">
        <v>23024</v>
      </c>
      <c r="W1413" s="403" t="s">
        <v>23024</v>
      </c>
      <c r="X1413" s="403" t="s">
        <v>23024</v>
      </c>
      <c r="Y1413" s="403" t="s">
        <v>23024</v>
      </c>
    </row>
    <row r="1414" spans="1:25">
      <c r="A1414" s="363">
        <f t="shared" si="183"/>
        <v>1413</v>
      </c>
      <c r="B1414" s="363" t="str">
        <f t="shared" si="176"/>
        <v>44</v>
      </c>
      <c r="C1414" s="405" t="str">
        <f t="shared" si="177"/>
        <v>第012249号</v>
      </c>
      <c r="D1414" s="405" t="str">
        <f t="shared" si="178"/>
        <v>新貝電気店</v>
      </c>
      <c r="E1414" s="405" t="str">
        <f t="shared" si="179"/>
        <v>代表者</v>
      </c>
      <c r="F1414" s="405" t="str">
        <f t="shared" si="180"/>
        <v>新貝　展正</v>
      </c>
      <c r="G1414" s="405" t="str">
        <f t="shared" si="181"/>
        <v>主たる営業所</v>
      </c>
      <c r="H1414" s="405" t="str">
        <f t="shared" si="182"/>
        <v>宇佐市大字下庄１６７５－１</v>
      </c>
      <c r="L1414" s="403" t="s">
        <v>10705</v>
      </c>
      <c r="M1414" s="403" t="s">
        <v>10706</v>
      </c>
      <c r="N1414" s="403" t="s">
        <v>4032</v>
      </c>
      <c r="O1414" s="403" t="s">
        <v>7086</v>
      </c>
      <c r="P1414" s="403" t="s">
        <v>4033</v>
      </c>
      <c r="Q1414" s="403" t="s">
        <v>10707</v>
      </c>
      <c r="R1414" s="403" t="s">
        <v>19792</v>
      </c>
      <c r="S1414" s="403" t="s">
        <v>16547</v>
      </c>
      <c r="T1414" s="403" t="s">
        <v>16548</v>
      </c>
      <c r="U1414" s="403"/>
      <c r="V1414" s="403" t="s">
        <v>23024</v>
      </c>
      <c r="W1414" s="403" t="s">
        <v>23024</v>
      </c>
      <c r="X1414" s="403" t="s">
        <v>23024</v>
      </c>
      <c r="Y1414" s="403" t="s">
        <v>23024</v>
      </c>
    </row>
    <row r="1415" spans="1:25">
      <c r="A1415" s="363">
        <f t="shared" si="183"/>
        <v>1414</v>
      </c>
      <c r="B1415" s="363" t="str">
        <f t="shared" si="176"/>
        <v>44</v>
      </c>
      <c r="C1415" s="405" t="str">
        <f t="shared" si="177"/>
        <v>第012255号</v>
      </c>
      <c r="D1415" s="405" t="str">
        <f t="shared" si="178"/>
        <v>大道産業（株）</v>
      </c>
      <c r="E1415" s="405" t="str">
        <f t="shared" si="179"/>
        <v>代表取締役</v>
      </c>
      <c r="F1415" s="405" t="str">
        <f t="shared" si="180"/>
        <v>堀　哲也</v>
      </c>
      <c r="G1415" s="405" t="str">
        <f t="shared" si="181"/>
        <v>主たる営業所</v>
      </c>
      <c r="H1415" s="405" t="str">
        <f t="shared" si="182"/>
        <v>大分市向原沖１－２－６２</v>
      </c>
      <c r="L1415" s="403" t="s">
        <v>10708</v>
      </c>
      <c r="M1415" s="403" t="s">
        <v>10709</v>
      </c>
      <c r="N1415" s="403" t="s">
        <v>4034</v>
      </c>
      <c r="O1415" s="403" t="s">
        <v>7084</v>
      </c>
      <c r="P1415" s="403" t="s">
        <v>4035</v>
      </c>
      <c r="Q1415" s="403" t="s">
        <v>7458</v>
      </c>
      <c r="R1415" s="403" t="s">
        <v>19793</v>
      </c>
      <c r="S1415" s="403" t="s">
        <v>16549</v>
      </c>
      <c r="T1415" s="403" t="s">
        <v>16550</v>
      </c>
      <c r="U1415" s="403"/>
      <c r="V1415" s="403" t="s">
        <v>23024</v>
      </c>
      <c r="W1415" s="403" t="s">
        <v>23024</v>
      </c>
      <c r="X1415" s="403" t="s">
        <v>23024</v>
      </c>
      <c r="Y1415" s="403" t="s">
        <v>23024</v>
      </c>
    </row>
    <row r="1416" spans="1:25">
      <c r="A1416" s="363">
        <f t="shared" si="183"/>
        <v>1415</v>
      </c>
      <c r="B1416" s="363" t="str">
        <f t="shared" si="176"/>
        <v>44</v>
      </c>
      <c r="C1416" s="405" t="str">
        <f t="shared" si="177"/>
        <v>第012258号</v>
      </c>
      <c r="D1416" s="405" t="str">
        <f t="shared" si="178"/>
        <v>（株）アキオカ</v>
      </c>
      <c r="E1416" s="405" t="str">
        <f t="shared" si="179"/>
        <v>代表取締役</v>
      </c>
      <c r="F1416" s="405" t="str">
        <f t="shared" si="180"/>
        <v>秋岡　周一</v>
      </c>
      <c r="G1416" s="405" t="str">
        <f t="shared" si="181"/>
        <v>主たる営業所</v>
      </c>
      <c r="H1416" s="405" t="str">
        <f t="shared" si="182"/>
        <v>大分市中津留１－２－２０</v>
      </c>
      <c r="L1416" s="403" t="s">
        <v>10710</v>
      </c>
      <c r="M1416" s="403" t="s">
        <v>10711</v>
      </c>
      <c r="N1416" s="403" t="s">
        <v>4036</v>
      </c>
      <c r="O1416" s="403" t="s">
        <v>7084</v>
      </c>
      <c r="P1416" s="403" t="s">
        <v>4037</v>
      </c>
      <c r="Q1416" s="403" t="s">
        <v>10712</v>
      </c>
      <c r="R1416" s="403" t="s">
        <v>19794</v>
      </c>
      <c r="S1416" s="403" t="s">
        <v>16551</v>
      </c>
      <c r="T1416" s="403" t="s">
        <v>16552</v>
      </c>
      <c r="U1416" s="403"/>
      <c r="V1416" s="403" t="s">
        <v>23024</v>
      </c>
      <c r="W1416" s="403" t="s">
        <v>23024</v>
      </c>
      <c r="X1416" s="403" t="s">
        <v>23024</v>
      </c>
      <c r="Y1416" s="403" t="s">
        <v>23024</v>
      </c>
    </row>
    <row r="1417" spans="1:25">
      <c r="A1417" s="363">
        <f t="shared" si="183"/>
        <v>1416</v>
      </c>
      <c r="B1417" s="363" t="str">
        <f t="shared" si="176"/>
        <v>44</v>
      </c>
      <c r="C1417" s="405" t="str">
        <f t="shared" si="177"/>
        <v>第012260号</v>
      </c>
      <c r="D1417" s="405" t="str">
        <f t="shared" si="178"/>
        <v>仲道トーヨー（株）</v>
      </c>
      <c r="E1417" s="405" t="str">
        <f t="shared" si="179"/>
        <v>代表取締役</v>
      </c>
      <c r="F1417" s="405" t="str">
        <f t="shared" si="180"/>
        <v>仲道　善隆</v>
      </c>
      <c r="G1417" s="405" t="str">
        <f t="shared" si="181"/>
        <v>主たる営業所</v>
      </c>
      <c r="H1417" s="405" t="str">
        <f t="shared" si="182"/>
        <v>大分市大字横尾７６８－１</v>
      </c>
      <c r="L1417" s="403" t="s">
        <v>10713</v>
      </c>
      <c r="M1417" s="403" t="s">
        <v>10714</v>
      </c>
      <c r="N1417" s="403" t="s">
        <v>4038</v>
      </c>
      <c r="O1417" s="403" t="s">
        <v>7084</v>
      </c>
      <c r="P1417" s="403" t="s">
        <v>4039</v>
      </c>
      <c r="Q1417" s="403" t="s">
        <v>7357</v>
      </c>
      <c r="R1417" s="403" t="s">
        <v>19795</v>
      </c>
      <c r="S1417" s="403" t="s">
        <v>16553</v>
      </c>
      <c r="T1417" s="403" t="s">
        <v>16554</v>
      </c>
      <c r="U1417" s="403"/>
      <c r="V1417" s="403" t="s">
        <v>23024</v>
      </c>
      <c r="W1417" s="403" t="s">
        <v>23024</v>
      </c>
      <c r="X1417" s="403" t="s">
        <v>23024</v>
      </c>
      <c r="Y1417" s="403" t="s">
        <v>23024</v>
      </c>
    </row>
    <row r="1418" spans="1:25">
      <c r="A1418" s="363">
        <f t="shared" si="183"/>
        <v>1417</v>
      </c>
      <c r="B1418" s="363" t="str">
        <f t="shared" si="176"/>
        <v>44</v>
      </c>
      <c r="C1418" s="405" t="str">
        <f t="shared" si="177"/>
        <v>第012262号</v>
      </c>
      <c r="D1418" s="405" t="str">
        <f t="shared" si="178"/>
        <v>（有）シビルロテックｄｏｔ</v>
      </c>
      <c r="E1418" s="405" t="str">
        <f t="shared" si="179"/>
        <v>代表取締役</v>
      </c>
      <c r="F1418" s="405" t="str">
        <f t="shared" si="180"/>
        <v>鬼束　康晴</v>
      </c>
      <c r="G1418" s="405" t="str">
        <f t="shared" si="181"/>
        <v>主たる営業所</v>
      </c>
      <c r="H1418" s="405" t="str">
        <f t="shared" si="182"/>
        <v>別府市石垣西６－１－４５</v>
      </c>
      <c r="L1418" s="403" t="s">
        <v>10715</v>
      </c>
      <c r="M1418" s="403" t="s">
        <v>10716</v>
      </c>
      <c r="N1418" s="403" t="s">
        <v>4040</v>
      </c>
      <c r="O1418" s="403" t="s">
        <v>7084</v>
      </c>
      <c r="P1418" s="403" t="s">
        <v>4041</v>
      </c>
      <c r="Q1418" s="403" t="s">
        <v>8438</v>
      </c>
      <c r="R1418" s="403" t="s">
        <v>19796</v>
      </c>
      <c r="S1418" s="403" t="s">
        <v>16555</v>
      </c>
      <c r="T1418" s="403" t="s">
        <v>16556</v>
      </c>
      <c r="U1418" s="403"/>
      <c r="V1418" s="403" t="s">
        <v>23024</v>
      </c>
      <c r="W1418" s="403" t="s">
        <v>23024</v>
      </c>
      <c r="X1418" s="403" t="s">
        <v>23024</v>
      </c>
      <c r="Y1418" s="403" t="s">
        <v>23024</v>
      </c>
    </row>
    <row r="1419" spans="1:25">
      <c r="A1419" s="363">
        <f t="shared" si="183"/>
        <v>1418</v>
      </c>
      <c r="B1419" s="363" t="str">
        <f t="shared" si="176"/>
        <v>44</v>
      </c>
      <c r="C1419" s="405" t="str">
        <f t="shared" si="177"/>
        <v>第012263号</v>
      </c>
      <c r="D1419" s="405" t="str">
        <f t="shared" si="178"/>
        <v>（有）メイワ環境開発</v>
      </c>
      <c r="E1419" s="405" t="str">
        <f t="shared" si="179"/>
        <v>代表取締役</v>
      </c>
      <c r="F1419" s="405" t="str">
        <f t="shared" si="180"/>
        <v>浅野　聡</v>
      </c>
      <c r="G1419" s="405" t="str">
        <f t="shared" si="181"/>
        <v>主たる営業所</v>
      </c>
      <c r="H1419" s="405" t="str">
        <f t="shared" si="182"/>
        <v>杵築市大字溝井４４４０</v>
      </c>
      <c r="L1419" s="403" t="s">
        <v>10717</v>
      </c>
      <c r="M1419" s="403" t="s">
        <v>10718</v>
      </c>
      <c r="N1419" s="403" t="s">
        <v>4042</v>
      </c>
      <c r="O1419" s="403" t="s">
        <v>7084</v>
      </c>
      <c r="P1419" s="403" t="s">
        <v>4043</v>
      </c>
      <c r="Q1419" s="403" t="s">
        <v>10719</v>
      </c>
      <c r="R1419" s="403" t="s">
        <v>5631</v>
      </c>
      <c r="S1419" s="403" t="s">
        <v>16557</v>
      </c>
      <c r="T1419" s="403" t="s">
        <v>16558</v>
      </c>
      <c r="U1419" s="403"/>
      <c r="V1419" s="403" t="s">
        <v>23024</v>
      </c>
      <c r="W1419" s="403" t="s">
        <v>23024</v>
      </c>
      <c r="X1419" s="403" t="s">
        <v>23024</v>
      </c>
      <c r="Y1419" s="403" t="s">
        <v>23024</v>
      </c>
    </row>
    <row r="1420" spans="1:25">
      <c r="A1420" s="363">
        <f t="shared" si="183"/>
        <v>1419</v>
      </c>
      <c r="B1420" s="363" t="str">
        <f t="shared" si="176"/>
        <v>44</v>
      </c>
      <c r="C1420" s="405" t="str">
        <f t="shared" si="177"/>
        <v>第012264号</v>
      </c>
      <c r="D1420" s="405" t="str">
        <f t="shared" si="178"/>
        <v>宮内住宅（株）</v>
      </c>
      <c r="E1420" s="405" t="str">
        <f t="shared" si="179"/>
        <v>代表取締役</v>
      </c>
      <c r="F1420" s="405" t="str">
        <f t="shared" si="180"/>
        <v>坂本　貴宏</v>
      </c>
      <c r="G1420" s="405" t="str">
        <f t="shared" si="181"/>
        <v>主たる営業所</v>
      </c>
      <c r="H1420" s="405" t="str">
        <f t="shared" si="182"/>
        <v>別府市東荘園６－６－６</v>
      </c>
      <c r="L1420" s="403" t="s">
        <v>10720</v>
      </c>
      <c r="M1420" s="403" t="s">
        <v>10721</v>
      </c>
      <c r="N1420" s="403" t="s">
        <v>4044</v>
      </c>
      <c r="O1420" s="403" t="s">
        <v>7084</v>
      </c>
      <c r="P1420" s="403" t="s">
        <v>4045</v>
      </c>
      <c r="Q1420" s="403" t="s">
        <v>7646</v>
      </c>
      <c r="R1420" s="403" t="s">
        <v>19797</v>
      </c>
      <c r="S1420" s="403" t="s">
        <v>16559</v>
      </c>
      <c r="T1420" s="403" t="s">
        <v>16560</v>
      </c>
      <c r="U1420" s="403"/>
      <c r="V1420" s="403" t="s">
        <v>23024</v>
      </c>
      <c r="W1420" s="403" t="s">
        <v>23024</v>
      </c>
      <c r="X1420" s="403" t="s">
        <v>23024</v>
      </c>
      <c r="Y1420" s="403" t="s">
        <v>23024</v>
      </c>
    </row>
    <row r="1421" spans="1:25">
      <c r="A1421" s="363">
        <f t="shared" si="183"/>
        <v>1420</v>
      </c>
      <c r="B1421" s="363" t="str">
        <f t="shared" si="176"/>
        <v>44</v>
      </c>
      <c r="C1421" s="405" t="str">
        <f t="shared" si="177"/>
        <v>第012270号</v>
      </c>
      <c r="D1421" s="405" t="str">
        <f t="shared" si="178"/>
        <v>（有）九州国土開発</v>
      </c>
      <c r="E1421" s="405" t="str">
        <f t="shared" si="179"/>
        <v>代表取締役</v>
      </c>
      <c r="F1421" s="405" t="str">
        <f t="shared" si="180"/>
        <v>杉園　由美子</v>
      </c>
      <c r="G1421" s="405" t="str">
        <f t="shared" si="181"/>
        <v>主たる営業所</v>
      </c>
      <c r="H1421" s="405" t="str">
        <f t="shared" si="182"/>
        <v>中津市三光臼木３３５－１</v>
      </c>
      <c r="L1421" s="403" t="s">
        <v>10722</v>
      </c>
      <c r="M1421" s="403" t="s">
        <v>10723</v>
      </c>
      <c r="N1421" s="403" t="s">
        <v>4046</v>
      </c>
      <c r="O1421" s="403" t="s">
        <v>7084</v>
      </c>
      <c r="P1421" s="403" t="s">
        <v>4047</v>
      </c>
      <c r="Q1421" s="403" t="s">
        <v>9237</v>
      </c>
      <c r="R1421" s="403" t="s">
        <v>19798</v>
      </c>
      <c r="S1421" s="403" t="s">
        <v>16561</v>
      </c>
      <c r="T1421" s="403" t="s">
        <v>16562</v>
      </c>
      <c r="U1421" s="403"/>
      <c r="V1421" s="403" t="s">
        <v>23024</v>
      </c>
      <c r="W1421" s="403" t="s">
        <v>23024</v>
      </c>
      <c r="X1421" s="403" t="s">
        <v>23024</v>
      </c>
      <c r="Y1421" s="403" t="s">
        <v>23024</v>
      </c>
    </row>
    <row r="1422" spans="1:25">
      <c r="A1422" s="363">
        <f t="shared" si="183"/>
        <v>1421</v>
      </c>
      <c r="B1422" s="363" t="str">
        <f t="shared" si="176"/>
        <v>44</v>
      </c>
      <c r="C1422" s="405" t="str">
        <f t="shared" si="177"/>
        <v>第012272号</v>
      </c>
      <c r="D1422" s="405" t="str">
        <f t="shared" si="178"/>
        <v>（株）アストソイル</v>
      </c>
      <c r="E1422" s="405" t="str">
        <f t="shared" si="179"/>
        <v>代表取締役</v>
      </c>
      <c r="F1422" s="405" t="str">
        <f t="shared" si="180"/>
        <v>中元　億朗</v>
      </c>
      <c r="G1422" s="405" t="str">
        <f t="shared" si="181"/>
        <v>主たる営業所</v>
      </c>
      <c r="H1422" s="405" t="str">
        <f t="shared" si="182"/>
        <v>臼杵市大字江無田２５１</v>
      </c>
      <c r="L1422" s="403" t="s">
        <v>10724</v>
      </c>
      <c r="M1422" s="403" t="s">
        <v>10725</v>
      </c>
      <c r="N1422" s="403" t="s">
        <v>5200</v>
      </c>
      <c r="O1422" s="403" t="s">
        <v>7084</v>
      </c>
      <c r="P1422" s="403" t="s">
        <v>5259</v>
      </c>
      <c r="Q1422" s="403" t="s">
        <v>7768</v>
      </c>
      <c r="R1422" s="403" t="s">
        <v>5632</v>
      </c>
      <c r="S1422" s="403" t="s">
        <v>16563</v>
      </c>
      <c r="T1422" s="403" t="s">
        <v>16564</v>
      </c>
      <c r="U1422" s="403"/>
      <c r="V1422" s="403" t="s">
        <v>23024</v>
      </c>
      <c r="W1422" s="403" t="s">
        <v>23024</v>
      </c>
      <c r="X1422" s="403" t="s">
        <v>23024</v>
      </c>
      <c r="Y1422" s="403" t="s">
        <v>23024</v>
      </c>
    </row>
    <row r="1423" spans="1:25">
      <c r="A1423" s="363">
        <f t="shared" si="183"/>
        <v>1422</v>
      </c>
      <c r="B1423" s="363" t="str">
        <f t="shared" si="176"/>
        <v>44</v>
      </c>
      <c r="C1423" s="405" t="str">
        <f t="shared" si="177"/>
        <v>第012273号</v>
      </c>
      <c r="D1423" s="405" t="str">
        <f t="shared" si="178"/>
        <v>（有）マルハチエンタープライズ</v>
      </c>
      <c r="E1423" s="405" t="str">
        <f t="shared" si="179"/>
        <v>代表取締役</v>
      </c>
      <c r="F1423" s="405" t="str">
        <f t="shared" si="180"/>
        <v>亀井　理香</v>
      </c>
      <c r="G1423" s="405" t="str">
        <f t="shared" si="181"/>
        <v>主たる営業所</v>
      </c>
      <c r="H1423" s="405" t="str">
        <f t="shared" si="182"/>
        <v>大分市大道町１－３－２１</v>
      </c>
      <c r="L1423" s="403" t="s">
        <v>10726</v>
      </c>
      <c r="M1423" s="403" t="s">
        <v>10727</v>
      </c>
      <c r="N1423" s="403" t="s">
        <v>4048</v>
      </c>
      <c r="O1423" s="403" t="s">
        <v>7084</v>
      </c>
      <c r="P1423" s="403" t="s">
        <v>4049</v>
      </c>
      <c r="Q1423" s="403" t="s">
        <v>8647</v>
      </c>
      <c r="R1423" s="403" t="s">
        <v>19799</v>
      </c>
      <c r="S1423" s="403" t="s">
        <v>16565</v>
      </c>
      <c r="T1423" s="403" t="s">
        <v>16566</v>
      </c>
      <c r="U1423" s="403"/>
      <c r="V1423" s="403" t="s">
        <v>23024</v>
      </c>
      <c r="W1423" s="403" t="s">
        <v>23024</v>
      </c>
      <c r="X1423" s="403" t="s">
        <v>23024</v>
      </c>
      <c r="Y1423" s="403" t="s">
        <v>23024</v>
      </c>
    </row>
    <row r="1424" spans="1:25">
      <c r="A1424" s="363">
        <f t="shared" si="183"/>
        <v>1423</v>
      </c>
      <c r="B1424" s="363" t="str">
        <f t="shared" si="176"/>
        <v>44</v>
      </c>
      <c r="C1424" s="405" t="str">
        <f t="shared" si="177"/>
        <v>第012274号</v>
      </c>
      <c r="D1424" s="405" t="str">
        <f t="shared" si="178"/>
        <v>（有）アイ電設工業</v>
      </c>
      <c r="E1424" s="405" t="str">
        <f t="shared" si="179"/>
        <v>代表取締役</v>
      </c>
      <c r="F1424" s="405" t="str">
        <f t="shared" si="180"/>
        <v>石川　豪則</v>
      </c>
      <c r="G1424" s="405" t="str">
        <f t="shared" si="181"/>
        <v>主たる営業所</v>
      </c>
      <c r="H1424" s="405" t="str">
        <f t="shared" si="182"/>
        <v>別府市扇山５－２２－６</v>
      </c>
      <c r="L1424" s="403" t="s">
        <v>10728</v>
      </c>
      <c r="M1424" s="403" t="s">
        <v>10729</v>
      </c>
      <c r="N1424" s="403" t="s">
        <v>4050</v>
      </c>
      <c r="O1424" s="403" t="s">
        <v>7084</v>
      </c>
      <c r="P1424" s="403" t="s">
        <v>4051</v>
      </c>
      <c r="Q1424" s="403" t="s">
        <v>9203</v>
      </c>
      <c r="R1424" s="403" t="s">
        <v>19800</v>
      </c>
      <c r="S1424" s="403" t="s">
        <v>16567</v>
      </c>
      <c r="T1424" s="403" t="s">
        <v>16568</v>
      </c>
      <c r="U1424" s="403"/>
      <c r="V1424" s="403" t="s">
        <v>23024</v>
      </c>
      <c r="W1424" s="403" t="s">
        <v>23024</v>
      </c>
      <c r="X1424" s="403" t="s">
        <v>23024</v>
      </c>
      <c r="Y1424" s="403" t="s">
        <v>23024</v>
      </c>
    </row>
    <row r="1425" spans="1:25">
      <c r="A1425" s="363">
        <f t="shared" si="183"/>
        <v>1424</v>
      </c>
      <c r="B1425" s="363" t="str">
        <f t="shared" si="176"/>
        <v>44</v>
      </c>
      <c r="C1425" s="405" t="str">
        <f t="shared" si="177"/>
        <v>第012279号</v>
      </c>
      <c r="D1425" s="405" t="str">
        <f t="shared" si="178"/>
        <v>産秀建設（株）</v>
      </c>
      <c r="E1425" s="405" t="str">
        <f t="shared" si="179"/>
        <v>代表取締役</v>
      </c>
      <c r="F1425" s="405" t="str">
        <f t="shared" si="180"/>
        <v>江里口　嘉紀</v>
      </c>
      <c r="G1425" s="405" t="str">
        <f t="shared" si="181"/>
        <v>主たる営業所</v>
      </c>
      <c r="H1425" s="405" t="str">
        <f t="shared" si="182"/>
        <v>別府市鉄輪１２９８－１</v>
      </c>
      <c r="L1425" s="403" t="s">
        <v>10730</v>
      </c>
      <c r="M1425" s="403" t="s">
        <v>10731</v>
      </c>
      <c r="N1425" s="403" t="s">
        <v>4052</v>
      </c>
      <c r="O1425" s="403" t="s">
        <v>7084</v>
      </c>
      <c r="P1425" s="403" t="s">
        <v>5260</v>
      </c>
      <c r="Q1425" s="403" t="s">
        <v>9425</v>
      </c>
      <c r="R1425" s="403" t="s">
        <v>19801</v>
      </c>
      <c r="S1425" s="403" t="s">
        <v>16569</v>
      </c>
      <c r="T1425" s="403" t="s">
        <v>16570</v>
      </c>
      <c r="U1425" s="403"/>
      <c r="V1425" s="403" t="s">
        <v>23024</v>
      </c>
      <c r="W1425" s="403" t="s">
        <v>23024</v>
      </c>
      <c r="X1425" s="403" t="s">
        <v>23024</v>
      </c>
      <c r="Y1425" s="403" t="s">
        <v>23024</v>
      </c>
    </row>
    <row r="1426" spans="1:25">
      <c r="A1426" s="363">
        <f t="shared" si="183"/>
        <v>1425</v>
      </c>
      <c r="B1426" s="363" t="str">
        <f t="shared" si="176"/>
        <v>44</v>
      </c>
      <c r="C1426" s="405" t="str">
        <f t="shared" si="177"/>
        <v>第012280号</v>
      </c>
      <c r="D1426" s="405" t="str">
        <f t="shared" si="178"/>
        <v>（株）さとう造園</v>
      </c>
      <c r="E1426" s="405" t="str">
        <f t="shared" si="179"/>
        <v>代表取締役</v>
      </c>
      <c r="F1426" s="405" t="str">
        <f t="shared" si="180"/>
        <v>佐藤　寿治</v>
      </c>
      <c r="G1426" s="405" t="str">
        <f t="shared" si="181"/>
        <v>主たる営業所</v>
      </c>
      <c r="H1426" s="405" t="str">
        <f t="shared" si="182"/>
        <v>別府市大字内竈１２０４－１</v>
      </c>
      <c r="L1426" s="403" t="s">
        <v>10732</v>
      </c>
      <c r="M1426" s="403" t="s">
        <v>10733</v>
      </c>
      <c r="N1426" s="403" t="s">
        <v>4053</v>
      </c>
      <c r="O1426" s="403" t="s">
        <v>7084</v>
      </c>
      <c r="P1426" s="403" t="s">
        <v>4054</v>
      </c>
      <c r="Q1426" s="403" t="s">
        <v>9888</v>
      </c>
      <c r="R1426" s="403" t="s">
        <v>19802</v>
      </c>
      <c r="S1426" s="403" t="s">
        <v>16571</v>
      </c>
      <c r="T1426" s="403" t="s">
        <v>16571</v>
      </c>
      <c r="U1426" s="403"/>
      <c r="V1426" s="403" t="s">
        <v>23024</v>
      </c>
      <c r="W1426" s="403" t="s">
        <v>23024</v>
      </c>
      <c r="X1426" s="403" t="s">
        <v>23024</v>
      </c>
      <c r="Y1426" s="403" t="s">
        <v>23024</v>
      </c>
    </row>
    <row r="1427" spans="1:25">
      <c r="A1427" s="363">
        <f t="shared" si="183"/>
        <v>1426</v>
      </c>
      <c r="B1427" s="363" t="str">
        <f t="shared" si="176"/>
        <v>44</v>
      </c>
      <c r="C1427" s="405" t="str">
        <f t="shared" si="177"/>
        <v>第012296号</v>
      </c>
      <c r="D1427" s="405" t="str">
        <f t="shared" si="178"/>
        <v>（株）総合美建</v>
      </c>
      <c r="E1427" s="405" t="str">
        <f t="shared" si="179"/>
        <v>代表取締役</v>
      </c>
      <c r="F1427" s="405" t="str">
        <f t="shared" si="180"/>
        <v>後藤　浩介</v>
      </c>
      <c r="G1427" s="405" t="str">
        <f t="shared" si="181"/>
        <v>主たる営業所</v>
      </c>
      <c r="H1427" s="405" t="str">
        <f t="shared" si="182"/>
        <v>日田市三本松１－１３－２４</v>
      </c>
      <c r="L1427" s="403" t="s">
        <v>10734</v>
      </c>
      <c r="M1427" s="403" t="s">
        <v>10735</v>
      </c>
      <c r="N1427" s="403" t="s">
        <v>4055</v>
      </c>
      <c r="O1427" s="403" t="s">
        <v>7084</v>
      </c>
      <c r="P1427" s="403" t="s">
        <v>4056</v>
      </c>
      <c r="Q1427" s="403" t="s">
        <v>10736</v>
      </c>
      <c r="R1427" s="403" t="s">
        <v>19803</v>
      </c>
      <c r="S1427" s="403" t="s">
        <v>16572</v>
      </c>
      <c r="T1427" s="403" t="s">
        <v>16573</v>
      </c>
      <c r="U1427" s="403"/>
      <c r="V1427" s="403" t="s">
        <v>23024</v>
      </c>
      <c r="W1427" s="403" t="s">
        <v>23024</v>
      </c>
      <c r="X1427" s="403" t="s">
        <v>23024</v>
      </c>
      <c r="Y1427" s="403" t="s">
        <v>23024</v>
      </c>
    </row>
    <row r="1428" spans="1:25">
      <c r="A1428" s="363">
        <f t="shared" si="183"/>
        <v>1427</v>
      </c>
      <c r="B1428" s="363" t="str">
        <f t="shared" si="176"/>
        <v>44</v>
      </c>
      <c r="C1428" s="405" t="str">
        <f t="shared" si="177"/>
        <v>第012305号</v>
      </c>
      <c r="D1428" s="405" t="str">
        <f t="shared" si="178"/>
        <v>（株）龍昇工業</v>
      </c>
      <c r="E1428" s="405" t="str">
        <f t="shared" si="179"/>
        <v>代表取締役</v>
      </c>
      <c r="F1428" s="405" t="str">
        <f t="shared" si="180"/>
        <v>川邊　龍太</v>
      </c>
      <c r="G1428" s="405" t="str">
        <f t="shared" si="181"/>
        <v>主たる営業所</v>
      </c>
      <c r="H1428" s="405" t="str">
        <f t="shared" si="182"/>
        <v>臼杵市大字井村１０４０－１</v>
      </c>
      <c r="L1428" s="403" t="s">
        <v>10737</v>
      </c>
      <c r="M1428" s="403" t="s">
        <v>10738</v>
      </c>
      <c r="N1428" s="403" t="s">
        <v>4057</v>
      </c>
      <c r="O1428" s="403" t="s">
        <v>7084</v>
      </c>
      <c r="P1428" s="403" t="s">
        <v>4058</v>
      </c>
      <c r="Q1428" s="403" t="s">
        <v>8961</v>
      </c>
      <c r="R1428" s="403" t="s">
        <v>19804</v>
      </c>
      <c r="S1428" s="403" t="s">
        <v>14264</v>
      </c>
      <c r="T1428" s="403" t="s">
        <v>14264</v>
      </c>
      <c r="U1428" s="403"/>
      <c r="V1428" s="403" t="s">
        <v>23024</v>
      </c>
      <c r="W1428" s="403" t="s">
        <v>23024</v>
      </c>
      <c r="X1428" s="403" t="s">
        <v>23024</v>
      </c>
      <c r="Y1428" s="403" t="s">
        <v>23024</v>
      </c>
    </row>
    <row r="1429" spans="1:25">
      <c r="A1429" s="363">
        <f t="shared" si="183"/>
        <v>1428</v>
      </c>
      <c r="B1429" s="363" t="str">
        <f t="shared" si="176"/>
        <v>44</v>
      </c>
      <c r="C1429" s="405" t="str">
        <f t="shared" si="177"/>
        <v>第012314号</v>
      </c>
      <c r="D1429" s="405" t="str">
        <f t="shared" si="178"/>
        <v>（有）大分シグナルワンＦＵＪＩ</v>
      </c>
      <c r="E1429" s="405" t="str">
        <f t="shared" si="179"/>
        <v>取締役</v>
      </c>
      <c r="F1429" s="405" t="str">
        <f t="shared" si="180"/>
        <v>佐藤　鎮也</v>
      </c>
      <c r="G1429" s="405" t="str">
        <f t="shared" si="181"/>
        <v>主たる営業所</v>
      </c>
      <c r="H1429" s="405" t="str">
        <f t="shared" si="182"/>
        <v>由布市挾間町筒口１０６５－２</v>
      </c>
      <c r="L1429" s="403" t="s">
        <v>10739</v>
      </c>
      <c r="M1429" s="403" t="s">
        <v>10740</v>
      </c>
      <c r="N1429" s="403" t="s">
        <v>5201</v>
      </c>
      <c r="O1429" s="403" t="s">
        <v>7085</v>
      </c>
      <c r="P1429" s="403" t="s">
        <v>4059</v>
      </c>
      <c r="Q1429" s="403" t="s">
        <v>10258</v>
      </c>
      <c r="R1429" s="403" t="s">
        <v>19805</v>
      </c>
      <c r="S1429" s="403" t="s">
        <v>16574</v>
      </c>
      <c r="T1429" s="403" t="s">
        <v>16575</v>
      </c>
      <c r="U1429" s="403"/>
      <c r="V1429" s="403" t="s">
        <v>23024</v>
      </c>
      <c r="W1429" s="403" t="s">
        <v>23024</v>
      </c>
      <c r="X1429" s="403" t="s">
        <v>23024</v>
      </c>
      <c r="Y1429" s="403" t="s">
        <v>23024</v>
      </c>
    </row>
    <row r="1430" spans="1:25">
      <c r="A1430" s="363">
        <f t="shared" si="183"/>
        <v>1429</v>
      </c>
      <c r="B1430" s="363" t="str">
        <f t="shared" si="176"/>
        <v>44</v>
      </c>
      <c r="C1430" s="405" t="str">
        <f t="shared" si="177"/>
        <v>第012318号</v>
      </c>
      <c r="D1430" s="405" t="str">
        <f t="shared" si="178"/>
        <v>（有）Ｎ．Ｃ．Ｓ．</v>
      </c>
      <c r="E1430" s="405" t="str">
        <f t="shared" si="179"/>
        <v>代表取締役</v>
      </c>
      <c r="F1430" s="405" t="str">
        <f t="shared" si="180"/>
        <v>西　孝文</v>
      </c>
      <c r="G1430" s="405" t="str">
        <f t="shared" si="181"/>
        <v>主たる営業所</v>
      </c>
      <c r="H1430" s="405" t="str">
        <f t="shared" si="182"/>
        <v>大分市大字羽田字久保１０４４－５</v>
      </c>
      <c r="L1430" s="403" t="s">
        <v>10741</v>
      </c>
      <c r="M1430" s="403" t="s">
        <v>10742</v>
      </c>
      <c r="N1430" s="403" t="s">
        <v>4060</v>
      </c>
      <c r="O1430" s="403" t="s">
        <v>7084</v>
      </c>
      <c r="P1430" s="403" t="s">
        <v>4061</v>
      </c>
      <c r="Q1430" s="403" t="s">
        <v>8289</v>
      </c>
      <c r="R1430" s="403" t="s">
        <v>19806</v>
      </c>
      <c r="S1430" s="403" t="s">
        <v>16576</v>
      </c>
      <c r="T1430" s="403" t="s">
        <v>16577</v>
      </c>
      <c r="U1430" s="403"/>
      <c r="V1430" s="403" t="s">
        <v>23024</v>
      </c>
      <c r="W1430" s="403" t="s">
        <v>23024</v>
      </c>
      <c r="X1430" s="403" t="s">
        <v>23024</v>
      </c>
      <c r="Y1430" s="403" t="s">
        <v>23024</v>
      </c>
    </row>
    <row r="1431" spans="1:25">
      <c r="A1431" s="363">
        <f t="shared" si="183"/>
        <v>1430</v>
      </c>
      <c r="B1431" s="363" t="str">
        <f t="shared" si="176"/>
        <v>44</v>
      </c>
      <c r="C1431" s="405" t="str">
        <f t="shared" si="177"/>
        <v>第012323号</v>
      </c>
      <c r="D1431" s="405" t="str">
        <f t="shared" si="178"/>
        <v>（有）高城建設</v>
      </c>
      <c r="E1431" s="405" t="str">
        <f t="shared" si="179"/>
        <v>代表取締役</v>
      </c>
      <c r="F1431" s="405" t="str">
        <f t="shared" si="180"/>
        <v>高城　猛</v>
      </c>
      <c r="G1431" s="405" t="str">
        <f t="shared" si="181"/>
        <v>主たる営業所</v>
      </c>
      <c r="H1431" s="405" t="str">
        <f t="shared" si="182"/>
        <v>竹田市久住町大字久住６２８３－１</v>
      </c>
      <c r="L1431" s="403" t="s">
        <v>10743</v>
      </c>
      <c r="M1431" s="403" t="s">
        <v>10744</v>
      </c>
      <c r="N1431" s="403" t="s">
        <v>4062</v>
      </c>
      <c r="O1431" s="403" t="s">
        <v>7084</v>
      </c>
      <c r="P1431" s="403" t="s">
        <v>4063</v>
      </c>
      <c r="Q1431" s="403" t="s">
        <v>7960</v>
      </c>
      <c r="R1431" s="403" t="s">
        <v>19807</v>
      </c>
      <c r="S1431" s="403" t="s">
        <v>16578</v>
      </c>
      <c r="T1431" s="403" t="s">
        <v>16578</v>
      </c>
      <c r="U1431" s="403"/>
      <c r="V1431" s="403" t="s">
        <v>23024</v>
      </c>
      <c r="W1431" s="403" t="s">
        <v>23024</v>
      </c>
      <c r="X1431" s="403" t="s">
        <v>23024</v>
      </c>
      <c r="Y1431" s="403" t="s">
        <v>23024</v>
      </c>
    </row>
    <row r="1432" spans="1:25">
      <c r="A1432" s="363">
        <f t="shared" si="183"/>
        <v>1431</v>
      </c>
      <c r="B1432" s="363" t="str">
        <f t="shared" si="176"/>
        <v>44</v>
      </c>
      <c r="C1432" s="405" t="str">
        <f t="shared" si="177"/>
        <v>第012325号</v>
      </c>
      <c r="D1432" s="405" t="str">
        <f t="shared" si="178"/>
        <v>（有）和企画</v>
      </c>
      <c r="E1432" s="405" t="str">
        <f t="shared" si="179"/>
        <v>代表取締役</v>
      </c>
      <c r="F1432" s="405" t="str">
        <f t="shared" si="180"/>
        <v>敷嶋　丸里子</v>
      </c>
      <c r="G1432" s="405" t="str">
        <f t="shared" si="181"/>
        <v>主たる営業所</v>
      </c>
      <c r="H1432" s="405" t="str">
        <f t="shared" si="182"/>
        <v>大分市新川西２－３－７</v>
      </c>
      <c r="L1432" s="403" t="s">
        <v>10745</v>
      </c>
      <c r="M1432" s="403" t="s">
        <v>10746</v>
      </c>
      <c r="N1432" s="403" t="s">
        <v>4064</v>
      </c>
      <c r="O1432" s="403" t="s">
        <v>7084</v>
      </c>
      <c r="P1432" s="403" t="s">
        <v>4065</v>
      </c>
      <c r="Q1432" s="403" t="s">
        <v>10747</v>
      </c>
      <c r="R1432" s="403" t="s">
        <v>19808</v>
      </c>
      <c r="S1432" s="403" t="s">
        <v>16579</v>
      </c>
      <c r="T1432" s="403" t="s">
        <v>16580</v>
      </c>
      <c r="U1432" s="403"/>
      <c r="V1432" s="403" t="s">
        <v>23024</v>
      </c>
      <c r="W1432" s="403" t="s">
        <v>23024</v>
      </c>
      <c r="X1432" s="403" t="s">
        <v>23024</v>
      </c>
      <c r="Y1432" s="403" t="s">
        <v>23024</v>
      </c>
    </row>
    <row r="1433" spans="1:25">
      <c r="A1433" s="363">
        <f t="shared" si="183"/>
        <v>1432</v>
      </c>
      <c r="B1433" s="363" t="str">
        <f t="shared" si="176"/>
        <v>44</v>
      </c>
      <c r="C1433" s="405" t="str">
        <f t="shared" si="177"/>
        <v>第012326号</v>
      </c>
      <c r="D1433" s="405" t="str">
        <f t="shared" si="178"/>
        <v>信栄工産（有）</v>
      </c>
      <c r="E1433" s="405" t="str">
        <f t="shared" si="179"/>
        <v>代表取締役</v>
      </c>
      <c r="F1433" s="405" t="str">
        <f t="shared" si="180"/>
        <v>右田　昌平</v>
      </c>
      <c r="G1433" s="405" t="str">
        <f t="shared" si="181"/>
        <v>主たる営業所</v>
      </c>
      <c r="H1433" s="405" t="str">
        <f t="shared" si="182"/>
        <v>大分市大字下郡３２６－１</v>
      </c>
      <c r="L1433" s="403" t="s">
        <v>10748</v>
      </c>
      <c r="M1433" s="403" t="s">
        <v>10749</v>
      </c>
      <c r="N1433" s="403" t="s">
        <v>4066</v>
      </c>
      <c r="O1433" s="403" t="s">
        <v>7084</v>
      </c>
      <c r="P1433" s="403" t="s">
        <v>4067</v>
      </c>
      <c r="Q1433" s="403" t="s">
        <v>7419</v>
      </c>
      <c r="R1433" s="403" t="s">
        <v>19809</v>
      </c>
      <c r="S1433" s="403" t="s">
        <v>16581</v>
      </c>
      <c r="T1433" s="403" t="s">
        <v>14897</v>
      </c>
      <c r="U1433" s="403"/>
      <c r="V1433" s="403" t="s">
        <v>23024</v>
      </c>
      <c r="W1433" s="403" t="s">
        <v>23024</v>
      </c>
      <c r="X1433" s="403" t="s">
        <v>23024</v>
      </c>
      <c r="Y1433" s="403" t="s">
        <v>23024</v>
      </c>
    </row>
    <row r="1434" spans="1:25">
      <c r="A1434" s="363">
        <f t="shared" si="183"/>
        <v>1433</v>
      </c>
      <c r="B1434" s="363" t="str">
        <f t="shared" si="176"/>
        <v>44</v>
      </c>
      <c r="C1434" s="405" t="str">
        <f t="shared" si="177"/>
        <v>第012327号</v>
      </c>
      <c r="D1434" s="405" t="str">
        <f t="shared" si="178"/>
        <v>（有）豊和塗装工業</v>
      </c>
      <c r="E1434" s="405" t="str">
        <f t="shared" si="179"/>
        <v>代表取締役</v>
      </c>
      <c r="F1434" s="405" t="str">
        <f t="shared" si="180"/>
        <v>花田　太志</v>
      </c>
      <c r="G1434" s="405" t="str">
        <f t="shared" si="181"/>
        <v>主たる営業所</v>
      </c>
      <c r="H1434" s="405" t="str">
        <f t="shared" si="182"/>
        <v>大分市大字乙津１３２－３</v>
      </c>
      <c r="L1434" s="403" t="s">
        <v>10750</v>
      </c>
      <c r="M1434" s="403" t="s">
        <v>10751</v>
      </c>
      <c r="N1434" s="403" t="s">
        <v>4068</v>
      </c>
      <c r="O1434" s="403" t="s">
        <v>7084</v>
      </c>
      <c r="P1434" s="403" t="s">
        <v>4069</v>
      </c>
      <c r="Q1434" s="403" t="s">
        <v>10752</v>
      </c>
      <c r="R1434" s="403" t="s">
        <v>19810</v>
      </c>
      <c r="S1434" s="403" t="s">
        <v>16582</v>
      </c>
      <c r="T1434" s="403" t="s">
        <v>16583</v>
      </c>
      <c r="U1434" s="403"/>
      <c r="V1434" s="403" t="s">
        <v>23024</v>
      </c>
      <c r="W1434" s="403" t="s">
        <v>23024</v>
      </c>
      <c r="X1434" s="403" t="s">
        <v>23024</v>
      </c>
      <c r="Y1434" s="403" t="s">
        <v>23024</v>
      </c>
    </row>
    <row r="1435" spans="1:25">
      <c r="A1435" s="363">
        <f t="shared" si="183"/>
        <v>1434</v>
      </c>
      <c r="B1435" s="363" t="str">
        <f t="shared" si="176"/>
        <v>44</v>
      </c>
      <c r="C1435" s="405" t="str">
        <f t="shared" si="177"/>
        <v>第012330号</v>
      </c>
      <c r="D1435" s="405" t="str">
        <f t="shared" si="178"/>
        <v>（有）三大建設工業</v>
      </c>
      <c r="E1435" s="405" t="str">
        <f t="shared" si="179"/>
        <v>代表取締役</v>
      </c>
      <c r="F1435" s="405" t="str">
        <f t="shared" si="180"/>
        <v>三浦　英喜</v>
      </c>
      <c r="G1435" s="405" t="str">
        <f t="shared" si="181"/>
        <v>主たる営業所</v>
      </c>
      <c r="H1435" s="405" t="str">
        <f t="shared" si="182"/>
        <v>大分市大字野津原２２８３－３</v>
      </c>
      <c r="L1435" s="403" t="s">
        <v>10753</v>
      </c>
      <c r="M1435" s="403" t="s">
        <v>10754</v>
      </c>
      <c r="N1435" s="403" t="s">
        <v>4070</v>
      </c>
      <c r="O1435" s="403" t="s">
        <v>7084</v>
      </c>
      <c r="P1435" s="403" t="s">
        <v>4071</v>
      </c>
      <c r="Q1435" s="403" t="s">
        <v>7469</v>
      </c>
      <c r="R1435" s="403" t="s">
        <v>19811</v>
      </c>
      <c r="S1435" s="403" t="s">
        <v>16584</v>
      </c>
      <c r="T1435" s="403" t="s">
        <v>16584</v>
      </c>
      <c r="U1435" s="403"/>
      <c r="V1435" s="403" t="s">
        <v>23024</v>
      </c>
      <c r="W1435" s="403" t="s">
        <v>23024</v>
      </c>
      <c r="X1435" s="403" t="s">
        <v>23024</v>
      </c>
      <c r="Y1435" s="403" t="s">
        <v>23024</v>
      </c>
    </row>
    <row r="1436" spans="1:25">
      <c r="A1436" s="363">
        <f t="shared" si="183"/>
        <v>1435</v>
      </c>
      <c r="B1436" s="363" t="str">
        <f t="shared" si="176"/>
        <v>44</v>
      </c>
      <c r="C1436" s="405" t="str">
        <f t="shared" si="177"/>
        <v>第012332号</v>
      </c>
      <c r="D1436" s="405" t="str">
        <f t="shared" si="178"/>
        <v>（有）由布</v>
      </c>
      <c r="E1436" s="405" t="str">
        <f t="shared" si="179"/>
        <v>代表取締役</v>
      </c>
      <c r="F1436" s="405" t="str">
        <f t="shared" si="180"/>
        <v>御手洗　幸喜</v>
      </c>
      <c r="G1436" s="405" t="str">
        <f t="shared" si="181"/>
        <v>主たる営業所</v>
      </c>
      <c r="H1436" s="405" t="str">
        <f t="shared" si="182"/>
        <v>佐伯市弥生大字井崎１６２８－２</v>
      </c>
      <c r="L1436" s="403" t="s">
        <v>10755</v>
      </c>
      <c r="M1436" s="403" t="s">
        <v>10756</v>
      </c>
      <c r="N1436" s="403" t="s">
        <v>4072</v>
      </c>
      <c r="O1436" s="403" t="s">
        <v>7084</v>
      </c>
      <c r="P1436" s="403" t="s">
        <v>4073</v>
      </c>
      <c r="Q1436" s="403" t="s">
        <v>8486</v>
      </c>
      <c r="R1436" s="403" t="s">
        <v>19812</v>
      </c>
      <c r="S1436" s="403" t="s">
        <v>16585</v>
      </c>
      <c r="T1436" s="403" t="s">
        <v>16586</v>
      </c>
      <c r="U1436" s="403"/>
      <c r="V1436" s="403" t="s">
        <v>23024</v>
      </c>
      <c r="W1436" s="403" t="s">
        <v>23024</v>
      </c>
      <c r="X1436" s="403" t="s">
        <v>23024</v>
      </c>
      <c r="Y1436" s="403" t="s">
        <v>23024</v>
      </c>
    </row>
    <row r="1437" spans="1:25">
      <c r="A1437" s="363">
        <f t="shared" si="183"/>
        <v>1436</v>
      </c>
      <c r="B1437" s="363" t="str">
        <f t="shared" si="176"/>
        <v>44</v>
      </c>
      <c r="C1437" s="405" t="str">
        <f t="shared" si="177"/>
        <v>第012333号</v>
      </c>
      <c r="D1437" s="405" t="str">
        <f t="shared" si="178"/>
        <v>愛和工務（有）</v>
      </c>
      <c r="E1437" s="405" t="str">
        <f t="shared" si="179"/>
        <v>代表取締役</v>
      </c>
      <c r="F1437" s="405" t="str">
        <f t="shared" si="180"/>
        <v>尾渡　豊信</v>
      </c>
      <c r="G1437" s="405" t="str">
        <f t="shared" si="181"/>
        <v>主たる営業所</v>
      </c>
      <c r="H1437" s="405" t="str">
        <f t="shared" si="182"/>
        <v>大分市王ノ瀬２－１０－３３</v>
      </c>
      <c r="L1437" s="403" t="s">
        <v>10757</v>
      </c>
      <c r="M1437" s="403" t="s">
        <v>10758</v>
      </c>
      <c r="N1437" s="403" t="s">
        <v>4074</v>
      </c>
      <c r="O1437" s="403" t="s">
        <v>7084</v>
      </c>
      <c r="P1437" s="403" t="s">
        <v>4075</v>
      </c>
      <c r="Q1437" s="403" t="s">
        <v>10759</v>
      </c>
      <c r="R1437" s="403" t="s">
        <v>19813</v>
      </c>
      <c r="S1437" s="403" t="s">
        <v>16587</v>
      </c>
      <c r="T1437" s="403" t="s">
        <v>16588</v>
      </c>
      <c r="U1437" s="403"/>
      <c r="V1437" s="403" t="s">
        <v>23024</v>
      </c>
      <c r="W1437" s="403" t="s">
        <v>23024</v>
      </c>
      <c r="X1437" s="403" t="s">
        <v>23024</v>
      </c>
      <c r="Y1437" s="403" t="s">
        <v>23024</v>
      </c>
    </row>
    <row r="1438" spans="1:25">
      <c r="A1438" s="363">
        <f t="shared" si="183"/>
        <v>1437</v>
      </c>
      <c r="B1438" s="363" t="str">
        <f t="shared" si="176"/>
        <v>44</v>
      </c>
      <c r="C1438" s="405" t="str">
        <f t="shared" si="177"/>
        <v>第012337号</v>
      </c>
      <c r="D1438" s="405" t="str">
        <f t="shared" si="178"/>
        <v>（株）豊樹園</v>
      </c>
      <c r="E1438" s="405" t="str">
        <f t="shared" si="179"/>
        <v>代表取締役</v>
      </c>
      <c r="F1438" s="405" t="str">
        <f t="shared" si="180"/>
        <v>辻　祐樹</v>
      </c>
      <c r="G1438" s="405" t="str">
        <f t="shared" si="181"/>
        <v>主たる営業所</v>
      </c>
      <c r="H1438" s="405" t="str">
        <f t="shared" si="182"/>
        <v>大分市大字猪野６５８－６</v>
      </c>
      <c r="L1438" s="403" t="s">
        <v>10760</v>
      </c>
      <c r="M1438" s="403" t="s">
        <v>10761</v>
      </c>
      <c r="N1438" s="403" t="s">
        <v>4076</v>
      </c>
      <c r="O1438" s="403" t="s">
        <v>7084</v>
      </c>
      <c r="P1438" s="403" t="s">
        <v>4077</v>
      </c>
      <c r="Q1438" s="403" t="s">
        <v>8834</v>
      </c>
      <c r="R1438" s="403" t="s">
        <v>19814</v>
      </c>
      <c r="S1438" s="403" t="s">
        <v>16589</v>
      </c>
      <c r="T1438" s="403" t="s">
        <v>16590</v>
      </c>
      <c r="U1438" s="403"/>
      <c r="V1438" s="403" t="s">
        <v>23024</v>
      </c>
      <c r="W1438" s="403" t="s">
        <v>23024</v>
      </c>
      <c r="X1438" s="403" t="s">
        <v>23024</v>
      </c>
      <c r="Y1438" s="403" t="s">
        <v>23024</v>
      </c>
    </row>
    <row r="1439" spans="1:25">
      <c r="A1439" s="363">
        <f t="shared" si="183"/>
        <v>1438</v>
      </c>
      <c r="B1439" s="363" t="str">
        <f t="shared" si="176"/>
        <v>44</v>
      </c>
      <c r="C1439" s="405" t="str">
        <f t="shared" si="177"/>
        <v>第012338号</v>
      </c>
      <c r="D1439" s="405" t="str">
        <f t="shared" si="178"/>
        <v>（株）フジミ</v>
      </c>
      <c r="E1439" s="405" t="str">
        <f t="shared" si="179"/>
        <v>代表取締役</v>
      </c>
      <c r="F1439" s="405" t="str">
        <f t="shared" si="180"/>
        <v>友岡　誠一</v>
      </c>
      <c r="G1439" s="405" t="str">
        <f t="shared" si="181"/>
        <v>主たる営業所</v>
      </c>
      <c r="H1439" s="405" t="str">
        <f t="shared" si="182"/>
        <v>大分市大字田原２－１</v>
      </c>
      <c r="L1439" s="403" t="s">
        <v>10762</v>
      </c>
      <c r="M1439" s="403" t="s">
        <v>10763</v>
      </c>
      <c r="N1439" s="403" t="s">
        <v>4078</v>
      </c>
      <c r="O1439" s="403" t="s">
        <v>7084</v>
      </c>
      <c r="P1439" s="403" t="s">
        <v>1830</v>
      </c>
      <c r="Q1439" s="403" t="s">
        <v>8812</v>
      </c>
      <c r="R1439" s="403" t="s">
        <v>19815</v>
      </c>
      <c r="S1439" s="403" t="s">
        <v>16591</v>
      </c>
      <c r="T1439" s="403" t="s">
        <v>16591</v>
      </c>
      <c r="U1439" s="403"/>
      <c r="V1439" s="403" t="s">
        <v>23024</v>
      </c>
      <c r="W1439" s="403" t="s">
        <v>23024</v>
      </c>
      <c r="X1439" s="403" t="s">
        <v>23024</v>
      </c>
      <c r="Y1439" s="403" t="s">
        <v>23024</v>
      </c>
    </row>
    <row r="1440" spans="1:25">
      <c r="A1440" s="363">
        <f t="shared" si="183"/>
        <v>1439</v>
      </c>
      <c r="B1440" s="363" t="str">
        <f t="shared" si="176"/>
        <v>44</v>
      </c>
      <c r="C1440" s="405" t="str">
        <f t="shared" si="177"/>
        <v>第012341号</v>
      </c>
      <c r="D1440" s="405" t="str">
        <f t="shared" si="178"/>
        <v>（有）イージス</v>
      </c>
      <c r="E1440" s="405" t="str">
        <f t="shared" si="179"/>
        <v>代表取締役</v>
      </c>
      <c r="F1440" s="405" t="str">
        <f t="shared" si="180"/>
        <v>田北　和徳</v>
      </c>
      <c r="G1440" s="405" t="str">
        <f t="shared" si="181"/>
        <v>主たる営業所</v>
      </c>
      <c r="H1440" s="405" t="str">
        <f t="shared" si="182"/>
        <v>竹田市直入町大字長湯８２２８－５</v>
      </c>
      <c r="L1440" s="403" t="s">
        <v>10764</v>
      </c>
      <c r="M1440" s="403" t="s">
        <v>10765</v>
      </c>
      <c r="N1440" s="403" t="s">
        <v>4079</v>
      </c>
      <c r="O1440" s="403" t="s">
        <v>7084</v>
      </c>
      <c r="P1440" s="403" t="s">
        <v>4080</v>
      </c>
      <c r="Q1440" s="403" t="s">
        <v>10766</v>
      </c>
      <c r="R1440" s="403" t="s">
        <v>19816</v>
      </c>
      <c r="S1440" s="403" t="s">
        <v>16592</v>
      </c>
      <c r="T1440" s="403" t="s">
        <v>16592</v>
      </c>
      <c r="U1440" s="403"/>
      <c r="V1440" s="403" t="s">
        <v>23024</v>
      </c>
      <c r="W1440" s="403" t="s">
        <v>23024</v>
      </c>
      <c r="X1440" s="403" t="s">
        <v>23024</v>
      </c>
      <c r="Y1440" s="403" t="s">
        <v>23024</v>
      </c>
    </row>
    <row r="1441" spans="1:25">
      <c r="A1441" s="363">
        <f t="shared" si="183"/>
        <v>1440</v>
      </c>
      <c r="B1441" s="363" t="str">
        <f t="shared" si="176"/>
        <v>44</v>
      </c>
      <c r="C1441" s="405" t="str">
        <f t="shared" si="177"/>
        <v>第012347号</v>
      </c>
      <c r="D1441" s="405" t="str">
        <f t="shared" si="178"/>
        <v>（有）ＭＳＡ</v>
      </c>
      <c r="E1441" s="405" t="str">
        <f t="shared" si="179"/>
        <v>代表取締役</v>
      </c>
      <c r="F1441" s="405" t="str">
        <f t="shared" si="180"/>
        <v>野上　哲也</v>
      </c>
      <c r="G1441" s="405" t="str">
        <f t="shared" si="181"/>
        <v>主たる営業所</v>
      </c>
      <c r="H1441" s="405" t="str">
        <f t="shared" si="182"/>
        <v>大分市豊町１－５－２５</v>
      </c>
      <c r="L1441" s="403" t="s">
        <v>10767</v>
      </c>
      <c r="M1441" s="403" t="s">
        <v>10768</v>
      </c>
      <c r="N1441" s="403" t="s">
        <v>4081</v>
      </c>
      <c r="O1441" s="403" t="s">
        <v>7084</v>
      </c>
      <c r="P1441" s="403" t="s">
        <v>4082</v>
      </c>
      <c r="Q1441" s="403" t="s">
        <v>10769</v>
      </c>
      <c r="R1441" s="403" t="s">
        <v>19817</v>
      </c>
      <c r="S1441" s="403" t="s">
        <v>16593</v>
      </c>
      <c r="T1441" s="403" t="s">
        <v>16593</v>
      </c>
      <c r="U1441" s="403"/>
      <c r="V1441" s="403" t="s">
        <v>23024</v>
      </c>
      <c r="W1441" s="403" t="s">
        <v>23024</v>
      </c>
      <c r="X1441" s="403" t="s">
        <v>23024</v>
      </c>
      <c r="Y1441" s="403" t="s">
        <v>23024</v>
      </c>
    </row>
    <row r="1442" spans="1:25">
      <c r="A1442" s="363">
        <f t="shared" si="183"/>
        <v>1441</v>
      </c>
      <c r="B1442" s="363" t="str">
        <f t="shared" si="176"/>
        <v>44</v>
      </c>
      <c r="C1442" s="405" t="str">
        <f t="shared" si="177"/>
        <v>第012348号</v>
      </c>
      <c r="D1442" s="405" t="str">
        <f t="shared" si="178"/>
        <v>ひびき（株）</v>
      </c>
      <c r="E1442" s="405" t="str">
        <f t="shared" si="179"/>
        <v>代表取締役</v>
      </c>
      <c r="F1442" s="405" t="str">
        <f t="shared" si="180"/>
        <v>秋山　豪</v>
      </c>
      <c r="G1442" s="405" t="str">
        <f t="shared" si="181"/>
        <v>主たる営業所</v>
      </c>
      <c r="H1442" s="405" t="str">
        <f t="shared" si="182"/>
        <v>中津市大字福島２１４９－１</v>
      </c>
      <c r="L1442" s="403" t="s">
        <v>10770</v>
      </c>
      <c r="M1442" s="403" t="s">
        <v>10771</v>
      </c>
      <c r="N1442" s="403" t="s">
        <v>4083</v>
      </c>
      <c r="O1442" s="403" t="s">
        <v>7084</v>
      </c>
      <c r="P1442" s="403" t="s">
        <v>4084</v>
      </c>
      <c r="Q1442" s="403" t="s">
        <v>8893</v>
      </c>
      <c r="R1442" s="403" t="s">
        <v>19818</v>
      </c>
      <c r="S1442" s="403" t="s">
        <v>16594</v>
      </c>
      <c r="T1442" s="403" t="s">
        <v>16595</v>
      </c>
      <c r="U1442" s="403"/>
      <c r="V1442" s="403" t="s">
        <v>23024</v>
      </c>
      <c r="W1442" s="403" t="s">
        <v>23024</v>
      </c>
      <c r="X1442" s="403" t="s">
        <v>23024</v>
      </c>
      <c r="Y1442" s="403" t="s">
        <v>23024</v>
      </c>
    </row>
    <row r="1443" spans="1:25">
      <c r="A1443" s="363">
        <f t="shared" si="183"/>
        <v>1442</v>
      </c>
      <c r="B1443" s="363" t="str">
        <f t="shared" si="176"/>
        <v>44</v>
      </c>
      <c r="C1443" s="405" t="str">
        <f t="shared" si="177"/>
        <v>第012350号</v>
      </c>
      <c r="D1443" s="405" t="str">
        <f t="shared" si="178"/>
        <v>（有）ランドアート</v>
      </c>
      <c r="E1443" s="405" t="str">
        <f t="shared" si="179"/>
        <v>代表取締役</v>
      </c>
      <c r="F1443" s="405" t="str">
        <f t="shared" si="180"/>
        <v>中島　久美子</v>
      </c>
      <c r="G1443" s="405" t="str">
        <f t="shared" si="181"/>
        <v>主たる営業所</v>
      </c>
      <c r="H1443" s="405" t="str">
        <f t="shared" si="182"/>
        <v>大分市判田台東１－１－４</v>
      </c>
      <c r="L1443" s="403" t="s">
        <v>10772</v>
      </c>
      <c r="M1443" s="403" t="s">
        <v>10773</v>
      </c>
      <c r="N1443" s="403" t="s">
        <v>4085</v>
      </c>
      <c r="O1443" s="403" t="s">
        <v>7084</v>
      </c>
      <c r="P1443" s="403" t="s">
        <v>4086</v>
      </c>
      <c r="Q1443" s="403" t="s">
        <v>10774</v>
      </c>
      <c r="R1443" s="403" t="s">
        <v>19819</v>
      </c>
      <c r="S1443" s="403" t="s">
        <v>16596</v>
      </c>
      <c r="T1443" s="403" t="s">
        <v>16155</v>
      </c>
      <c r="U1443" s="403"/>
      <c r="V1443" s="403" t="s">
        <v>23024</v>
      </c>
      <c r="W1443" s="403" t="s">
        <v>23024</v>
      </c>
      <c r="X1443" s="403" t="s">
        <v>23024</v>
      </c>
      <c r="Y1443" s="403" t="s">
        <v>23024</v>
      </c>
    </row>
    <row r="1444" spans="1:25">
      <c r="A1444" s="363">
        <f t="shared" si="183"/>
        <v>1443</v>
      </c>
      <c r="B1444" s="363" t="str">
        <f t="shared" si="176"/>
        <v>44</v>
      </c>
      <c r="C1444" s="405" t="str">
        <f t="shared" si="177"/>
        <v>第012354号</v>
      </c>
      <c r="D1444" s="405" t="str">
        <f t="shared" si="178"/>
        <v>（有）八重洲建設</v>
      </c>
      <c r="E1444" s="405" t="str">
        <f t="shared" si="179"/>
        <v>代表取締役</v>
      </c>
      <c r="F1444" s="405" t="str">
        <f t="shared" si="180"/>
        <v>山本　瑠美</v>
      </c>
      <c r="G1444" s="405" t="str">
        <f t="shared" si="181"/>
        <v>主たる営業所</v>
      </c>
      <c r="H1444" s="405" t="str">
        <f t="shared" si="182"/>
        <v>由布市庄内町五ヶ瀬字長尾４８０－１</v>
      </c>
      <c r="L1444" s="403" t="s">
        <v>10775</v>
      </c>
      <c r="M1444" s="403" t="s">
        <v>10776</v>
      </c>
      <c r="N1444" s="403" t="s">
        <v>4087</v>
      </c>
      <c r="O1444" s="403" t="s">
        <v>7084</v>
      </c>
      <c r="P1444" s="403" t="s">
        <v>4088</v>
      </c>
      <c r="Q1444" s="403" t="s">
        <v>10777</v>
      </c>
      <c r="R1444" s="403" t="s">
        <v>19820</v>
      </c>
      <c r="S1444" s="403" t="s">
        <v>16597</v>
      </c>
      <c r="T1444" s="403" t="s">
        <v>16598</v>
      </c>
      <c r="U1444" s="403"/>
      <c r="V1444" s="403" t="s">
        <v>23024</v>
      </c>
      <c r="W1444" s="403" t="s">
        <v>23024</v>
      </c>
      <c r="X1444" s="403" t="s">
        <v>23024</v>
      </c>
      <c r="Y1444" s="403" t="s">
        <v>23024</v>
      </c>
    </row>
    <row r="1445" spans="1:25">
      <c r="A1445" s="363">
        <f t="shared" si="183"/>
        <v>1444</v>
      </c>
      <c r="B1445" s="363" t="str">
        <f t="shared" si="176"/>
        <v>44</v>
      </c>
      <c r="C1445" s="405" t="str">
        <f t="shared" si="177"/>
        <v>第012357号</v>
      </c>
      <c r="D1445" s="405" t="str">
        <f t="shared" si="178"/>
        <v>（株）Ｍ・ＺＥＣ</v>
      </c>
      <c r="E1445" s="405" t="str">
        <f t="shared" si="179"/>
        <v>代表取締役</v>
      </c>
      <c r="F1445" s="405" t="str">
        <f t="shared" si="180"/>
        <v>中嶋　佳奈恵</v>
      </c>
      <c r="G1445" s="405" t="str">
        <f t="shared" si="181"/>
        <v>主たる営業所</v>
      </c>
      <c r="H1445" s="405" t="str">
        <f t="shared" si="182"/>
        <v>中津市中殿町３－１５－２</v>
      </c>
      <c r="L1445" s="403" t="s">
        <v>10778</v>
      </c>
      <c r="M1445" s="403" t="s">
        <v>10779</v>
      </c>
      <c r="N1445" s="403" t="s">
        <v>4089</v>
      </c>
      <c r="O1445" s="403" t="s">
        <v>7084</v>
      </c>
      <c r="P1445" s="403" t="s">
        <v>19821</v>
      </c>
      <c r="Q1445" s="403" t="s">
        <v>9256</v>
      </c>
      <c r="R1445" s="403" t="s">
        <v>19822</v>
      </c>
      <c r="S1445" s="403" t="s">
        <v>16599</v>
      </c>
      <c r="T1445" s="403" t="s">
        <v>16600</v>
      </c>
      <c r="U1445" s="403"/>
      <c r="V1445" s="403" t="s">
        <v>23024</v>
      </c>
      <c r="W1445" s="403" t="s">
        <v>23024</v>
      </c>
      <c r="X1445" s="403" t="s">
        <v>23024</v>
      </c>
      <c r="Y1445" s="403" t="s">
        <v>23024</v>
      </c>
    </row>
    <row r="1446" spans="1:25">
      <c r="A1446" s="363">
        <f t="shared" si="183"/>
        <v>1445</v>
      </c>
      <c r="B1446" s="363" t="str">
        <f t="shared" si="176"/>
        <v>44</v>
      </c>
      <c r="C1446" s="405" t="str">
        <f t="shared" si="177"/>
        <v>第012358号</v>
      </c>
      <c r="D1446" s="405" t="str">
        <f t="shared" si="178"/>
        <v>フロンテエンジニア（株）</v>
      </c>
      <c r="E1446" s="405" t="str">
        <f t="shared" si="179"/>
        <v>代表取締役</v>
      </c>
      <c r="F1446" s="405" t="str">
        <f t="shared" si="180"/>
        <v>足立　利章</v>
      </c>
      <c r="G1446" s="405" t="str">
        <f t="shared" si="181"/>
        <v>主たる営業所</v>
      </c>
      <c r="H1446" s="405" t="str">
        <f t="shared" si="182"/>
        <v>大分市大字片島５８１</v>
      </c>
      <c r="L1446" s="403" t="s">
        <v>10780</v>
      </c>
      <c r="M1446" s="403" t="s">
        <v>10781</v>
      </c>
      <c r="N1446" s="403" t="s">
        <v>4090</v>
      </c>
      <c r="O1446" s="403" t="s">
        <v>7084</v>
      </c>
      <c r="P1446" s="403" t="s">
        <v>4091</v>
      </c>
      <c r="Q1446" s="403" t="s">
        <v>8687</v>
      </c>
      <c r="R1446" s="403" t="s">
        <v>5633</v>
      </c>
      <c r="S1446" s="403" t="s">
        <v>16601</v>
      </c>
      <c r="T1446" s="403" t="s">
        <v>16602</v>
      </c>
      <c r="U1446" s="403"/>
      <c r="V1446" s="403" t="s">
        <v>23024</v>
      </c>
      <c r="W1446" s="403" t="s">
        <v>23024</v>
      </c>
      <c r="X1446" s="403" t="s">
        <v>23024</v>
      </c>
      <c r="Y1446" s="403" t="s">
        <v>23024</v>
      </c>
    </row>
    <row r="1447" spans="1:25">
      <c r="A1447" s="363">
        <f t="shared" si="183"/>
        <v>1446</v>
      </c>
      <c r="B1447" s="363" t="str">
        <f t="shared" si="176"/>
        <v>44</v>
      </c>
      <c r="C1447" s="405" t="str">
        <f t="shared" si="177"/>
        <v>第012377号</v>
      </c>
      <c r="D1447" s="405" t="str">
        <f t="shared" si="178"/>
        <v>大黒屋産業（有）</v>
      </c>
      <c r="E1447" s="405" t="str">
        <f t="shared" si="179"/>
        <v>代表取締役</v>
      </c>
      <c r="F1447" s="405" t="str">
        <f t="shared" si="180"/>
        <v>渡邉　尚子</v>
      </c>
      <c r="G1447" s="405" t="str">
        <f t="shared" si="181"/>
        <v>主たる営業所</v>
      </c>
      <c r="H1447" s="405" t="str">
        <f t="shared" si="182"/>
        <v>大分市大字白木３０９－２</v>
      </c>
      <c r="L1447" s="403" t="s">
        <v>10782</v>
      </c>
      <c r="M1447" s="403" t="s">
        <v>10783</v>
      </c>
      <c r="N1447" s="403" t="s">
        <v>4092</v>
      </c>
      <c r="O1447" s="403" t="s">
        <v>7084</v>
      </c>
      <c r="P1447" s="403" t="s">
        <v>4093</v>
      </c>
      <c r="Q1447" s="403" t="s">
        <v>7785</v>
      </c>
      <c r="R1447" s="403" t="s">
        <v>19823</v>
      </c>
      <c r="S1447" s="403" t="s">
        <v>16603</v>
      </c>
      <c r="T1447" s="403" t="s">
        <v>16604</v>
      </c>
      <c r="U1447" s="403"/>
      <c r="V1447" s="403" t="s">
        <v>23024</v>
      </c>
      <c r="W1447" s="403" t="s">
        <v>23024</v>
      </c>
      <c r="X1447" s="403" t="s">
        <v>23024</v>
      </c>
      <c r="Y1447" s="403" t="s">
        <v>23024</v>
      </c>
    </row>
    <row r="1448" spans="1:25">
      <c r="A1448" s="363">
        <f t="shared" si="183"/>
        <v>1447</v>
      </c>
      <c r="B1448" s="363" t="str">
        <f t="shared" si="176"/>
        <v>44</v>
      </c>
      <c r="C1448" s="405" t="str">
        <f t="shared" si="177"/>
        <v>第012399号</v>
      </c>
      <c r="D1448" s="405" t="str">
        <f t="shared" si="178"/>
        <v>（有）ユウセイ建設工業</v>
      </c>
      <c r="E1448" s="405" t="str">
        <f t="shared" si="179"/>
        <v>代表取締役</v>
      </c>
      <c r="F1448" s="405" t="str">
        <f t="shared" si="180"/>
        <v>村上　友英</v>
      </c>
      <c r="G1448" s="405" t="str">
        <f t="shared" si="181"/>
        <v>主たる営業所</v>
      </c>
      <c r="H1448" s="405" t="str">
        <f t="shared" si="182"/>
        <v>大分市大字下徳丸１５６</v>
      </c>
      <c r="L1448" s="403" t="s">
        <v>10784</v>
      </c>
      <c r="M1448" s="403" t="s">
        <v>10785</v>
      </c>
      <c r="N1448" s="403" t="s">
        <v>4095</v>
      </c>
      <c r="O1448" s="403" t="s">
        <v>7084</v>
      </c>
      <c r="P1448" s="403" t="s">
        <v>4096</v>
      </c>
      <c r="Q1448" s="403" t="s">
        <v>9648</v>
      </c>
      <c r="R1448" s="403" t="s">
        <v>5634</v>
      </c>
      <c r="S1448" s="403" t="s">
        <v>16605</v>
      </c>
      <c r="T1448" s="403" t="s">
        <v>16606</v>
      </c>
      <c r="U1448" s="403"/>
      <c r="V1448" s="403" t="s">
        <v>23024</v>
      </c>
      <c r="W1448" s="403" t="s">
        <v>23024</v>
      </c>
      <c r="X1448" s="403" t="s">
        <v>23024</v>
      </c>
      <c r="Y1448" s="403" t="s">
        <v>23024</v>
      </c>
    </row>
    <row r="1449" spans="1:25">
      <c r="A1449" s="363">
        <f t="shared" si="183"/>
        <v>1448</v>
      </c>
      <c r="B1449" s="363" t="str">
        <f t="shared" si="176"/>
        <v>44</v>
      </c>
      <c r="C1449" s="405" t="str">
        <f t="shared" si="177"/>
        <v>第012402号</v>
      </c>
      <c r="D1449" s="405" t="str">
        <f t="shared" si="178"/>
        <v>（株）東信</v>
      </c>
      <c r="E1449" s="405" t="str">
        <f t="shared" si="179"/>
        <v>代表取締役</v>
      </c>
      <c r="F1449" s="405" t="str">
        <f t="shared" si="180"/>
        <v>佐々木　竜一</v>
      </c>
      <c r="G1449" s="405" t="str">
        <f t="shared" si="181"/>
        <v>主たる営業所</v>
      </c>
      <c r="H1449" s="405" t="str">
        <f t="shared" si="182"/>
        <v>大分市萩原４－１１－２０</v>
      </c>
      <c r="L1449" s="403" t="s">
        <v>10786</v>
      </c>
      <c r="M1449" s="403" t="s">
        <v>10787</v>
      </c>
      <c r="N1449" s="403" t="s">
        <v>4097</v>
      </c>
      <c r="O1449" s="403" t="s">
        <v>7084</v>
      </c>
      <c r="P1449" s="403" t="s">
        <v>4098</v>
      </c>
      <c r="Q1449" s="403" t="s">
        <v>7394</v>
      </c>
      <c r="R1449" s="403" t="s">
        <v>19824</v>
      </c>
      <c r="S1449" s="403" t="s">
        <v>16607</v>
      </c>
      <c r="T1449" s="403" t="s">
        <v>16608</v>
      </c>
      <c r="U1449" s="403"/>
      <c r="V1449" s="403" t="s">
        <v>23024</v>
      </c>
      <c r="W1449" s="403" t="s">
        <v>23024</v>
      </c>
      <c r="X1449" s="403" t="s">
        <v>23024</v>
      </c>
      <c r="Y1449" s="403" t="s">
        <v>23024</v>
      </c>
    </row>
    <row r="1450" spans="1:25">
      <c r="A1450" s="363">
        <f t="shared" si="183"/>
        <v>1449</v>
      </c>
      <c r="B1450" s="363" t="str">
        <f t="shared" si="176"/>
        <v>44</v>
      </c>
      <c r="C1450" s="405" t="str">
        <f t="shared" si="177"/>
        <v>第012410号</v>
      </c>
      <c r="D1450" s="405" t="str">
        <f t="shared" si="178"/>
        <v>（株）ＨＩＲＯＤＥＮ</v>
      </c>
      <c r="E1450" s="405" t="str">
        <f t="shared" si="179"/>
        <v>代表取締役</v>
      </c>
      <c r="F1450" s="405" t="str">
        <f t="shared" si="180"/>
        <v>佐藤　浩之</v>
      </c>
      <c r="G1450" s="405" t="str">
        <f t="shared" si="181"/>
        <v>主たる営業所</v>
      </c>
      <c r="H1450" s="405" t="str">
        <f t="shared" si="182"/>
        <v>日田市大字高瀬３９８６－４</v>
      </c>
      <c r="L1450" s="404" t="s">
        <v>10788</v>
      </c>
      <c r="M1450" s="404" t="s">
        <v>10789</v>
      </c>
      <c r="N1450" s="404" t="s">
        <v>4099</v>
      </c>
      <c r="O1450" s="404" t="s">
        <v>7084</v>
      </c>
      <c r="P1450" s="404" t="s">
        <v>4100</v>
      </c>
      <c r="Q1450" s="404" t="s">
        <v>9569</v>
      </c>
      <c r="R1450" s="404" t="s">
        <v>19825</v>
      </c>
      <c r="S1450" s="404" t="s">
        <v>16609</v>
      </c>
      <c r="T1450" s="404" t="s">
        <v>16610</v>
      </c>
      <c r="U1450" s="404"/>
      <c r="V1450" s="404" t="s">
        <v>23024</v>
      </c>
      <c r="W1450" s="404" t="s">
        <v>23024</v>
      </c>
      <c r="X1450" s="404" t="s">
        <v>23024</v>
      </c>
      <c r="Y1450" s="404" t="s">
        <v>23024</v>
      </c>
    </row>
    <row r="1451" spans="1:25">
      <c r="A1451" s="363">
        <f t="shared" si="183"/>
        <v>1450</v>
      </c>
      <c r="B1451" s="363" t="str">
        <f t="shared" si="176"/>
        <v>44</v>
      </c>
      <c r="C1451" s="405" t="str">
        <f t="shared" si="177"/>
        <v>第012421号</v>
      </c>
      <c r="D1451" s="405" t="str">
        <f t="shared" si="178"/>
        <v>（有）長尾建設</v>
      </c>
      <c r="E1451" s="405" t="str">
        <f t="shared" si="179"/>
        <v>取締役</v>
      </c>
      <c r="F1451" s="405" t="str">
        <f t="shared" si="180"/>
        <v>長尾　栄作</v>
      </c>
      <c r="G1451" s="405" t="str">
        <f t="shared" si="181"/>
        <v>主たる営業所</v>
      </c>
      <c r="H1451" s="405" t="str">
        <f t="shared" si="182"/>
        <v>大分市大字下戸次５００９</v>
      </c>
      <c r="L1451" s="402" t="s">
        <v>10790</v>
      </c>
      <c r="M1451" s="402" t="s">
        <v>10791</v>
      </c>
      <c r="N1451" s="402" t="s">
        <v>4101</v>
      </c>
      <c r="O1451" s="402" t="s">
        <v>7085</v>
      </c>
      <c r="P1451" s="402" t="s">
        <v>4102</v>
      </c>
      <c r="Q1451" s="402" t="s">
        <v>10792</v>
      </c>
      <c r="R1451" s="402" t="s">
        <v>5635</v>
      </c>
      <c r="S1451" s="402" t="s">
        <v>16611</v>
      </c>
      <c r="T1451" s="402" t="s">
        <v>16612</v>
      </c>
      <c r="U1451" s="402"/>
      <c r="V1451" s="402" t="s">
        <v>23024</v>
      </c>
      <c r="W1451" s="402" t="s">
        <v>23024</v>
      </c>
      <c r="X1451" s="402" t="s">
        <v>23024</v>
      </c>
      <c r="Y1451" s="402" t="s">
        <v>23024</v>
      </c>
    </row>
    <row r="1452" spans="1:25">
      <c r="A1452" s="363">
        <f t="shared" si="183"/>
        <v>1451</v>
      </c>
      <c r="B1452" s="363" t="str">
        <f t="shared" si="176"/>
        <v>44</v>
      </c>
      <c r="C1452" s="405" t="str">
        <f t="shared" si="177"/>
        <v>第012425号</v>
      </c>
      <c r="D1452" s="405" t="str">
        <f t="shared" si="178"/>
        <v>（有）高橋建設</v>
      </c>
      <c r="E1452" s="405" t="str">
        <f t="shared" si="179"/>
        <v>代表取締役</v>
      </c>
      <c r="F1452" s="405" t="str">
        <f t="shared" si="180"/>
        <v>川元　雄三</v>
      </c>
      <c r="G1452" s="405" t="str">
        <f t="shared" si="181"/>
        <v>主たる営業所</v>
      </c>
      <c r="H1452" s="405" t="str">
        <f t="shared" si="182"/>
        <v>佐伯市直川大字赤木３１５８－１</v>
      </c>
      <c r="L1452" s="403" t="s">
        <v>10793</v>
      </c>
      <c r="M1452" s="403" t="s">
        <v>9827</v>
      </c>
      <c r="N1452" s="403" t="s">
        <v>4103</v>
      </c>
      <c r="O1452" s="403" t="s">
        <v>7084</v>
      </c>
      <c r="P1452" s="403" t="s">
        <v>5261</v>
      </c>
      <c r="Q1452" s="403" t="s">
        <v>9939</v>
      </c>
      <c r="R1452" s="403" t="s">
        <v>19826</v>
      </c>
      <c r="S1452" s="403" t="s">
        <v>16613</v>
      </c>
      <c r="T1452" s="403" t="s">
        <v>16614</v>
      </c>
      <c r="U1452" s="403"/>
      <c r="V1452" s="403" t="s">
        <v>23024</v>
      </c>
      <c r="W1452" s="403" t="s">
        <v>23024</v>
      </c>
      <c r="X1452" s="403" t="s">
        <v>23024</v>
      </c>
      <c r="Y1452" s="403" t="s">
        <v>23024</v>
      </c>
    </row>
    <row r="1453" spans="1:25">
      <c r="A1453" s="363">
        <f t="shared" si="183"/>
        <v>1452</v>
      </c>
      <c r="B1453" s="363" t="str">
        <f t="shared" si="176"/>
        <v>44</v>
      </c>
      <c r="C1453" s="405" t="str">
        <f t="shared" si="177"/>
        <v>第012433号</v>
      </c>
      <c r="D1453" s="405" t="str">
        <f t="shared" si="178"/>
        <v>（有）シンセイ設備</v>
      </c>
      <c r="E1453" s="405" t="str">
        <f t="shared" si="179"/>
        <v>代表取締役</v>
      </c>
      <c r="F1453" s="405" t="str">
        <f t="shared" si="180"/>
        <v>阿部　真一</v>
      </c>
      <c r="G1453" s="405" t="str">
        <f t="shared" si="181"/>
        <v>主たる営業所</v>
      </c>
      <c r="H1453" s="405" t="str">
        <f t="shared" si="182"/>
        <v>大分市大字常行２３１－２</v>
      </c>
      <c r="L1453" s="403" t="s">
        <v>10794</v>
      </c>
      <c r="M1453" s="403" t="s">
        <v>10795</v>
      </c>
      <c r="N1453" s="403" t="s">
        <v>4104</v>
      </c>
      <c r="O1453" s="403" t="s">
        <v>7084</v>
      </c>
      <c r="P1453" s="403" t="s">
        <v>5262</v>
      </c>
      <c r="Q1453" s="403" t="s">
        <v>9500</v>
      </c>
      <c r="R1453" s="403" t="s">
        <v>19827</v>
      </c>
      <c r="S1453" s="403" t="s">
        <v>16615</v>
      </c>
      <c r="T1453" s="403" t="s">
        <v>16616</v>
      </c>
      <c r="U1453" s="403"/>
      <c r="V1453" s="403" t="s">
        <v>23024</v>
      </c>
      <c r="W1453" s="403" t="s">
        <v>23024</v>
      </c>
      <c r="X1453" s="403" t="s">
        <v>23024</v>
      </c>
      <c r="Y1453" s="403" t="s">
        <v>23024</v>
      </c>
    </row>
    <row r="1454" spans="1:25">
      <c r="A1454" s="363">
        <f t="shared" si="183"/>
        <v>1453</v>
      </c>
      <c r="B1454" s="363" t="str">
        <f t="shared" si="176"/>
        <v>44</v>
      </c>
      <c r="C1454" s="405" t="str">
        <f t="shared" si="177"/>
        <v>第012447号</v>
      </c>
      <c r="D1454" s="405" t="str">
        <f t="shared" si="178"/>
        <v>（株）ハウジングトップ</v>
      </c>
      <c r="E1454" s="405" t="str">
        <f t="shared" si="179"/>
        <v>代表取締役</v>
      </c>
      <c r="F1454" s="405" t="str">
        <f t="shared" si="180"/>
        <v>小坂　哲也</v>
      </c>
      <c r="G1454" s="405" t="str">
        <f t="shared" si="181"/>
        <v>主たる営業所</v>
      </c>
      <c r="H1454" s="405" t="str">
        <f t="shared" si="182"/>
        <v>大分市大字丹生９３０－９</v>
      </c>
      <c r="L1454" s="403" t="s">
        <v>10796</v>
      </c>
      <c r="M1454" s="403" t="s">
        <v>10797</v>
      </c>
      <c r="N1454" s="403" t="s">
        <v>4105</v>
      </c>
      <c r="O1454" s="403" t="s">
        <v>7084</v>
      </c>
      <c r="P1454" s="403" t="s">
        <v>4106</v>
      </c>
      <c r="Q1454" s="403" t="s">
        <v>7472</v>
      </c>
      <c r="R1454" s="403" t="s">
        <v>19828</v>
      </c>
      <c r="S1454" s="403" t="s">
        <v>16617</v>
      </c>
      <c r="T1454" s="403" t="s">
        <v>16618</v>
      </c>
      <c r="U1454" s="403"/>
      <c r="V1454" s="403" t="s">
        <v>23024</v>
      </c>
      <c r="W1454" s="403" t="s">
        <v>23024</v>
      </c>
      <c r="X1454" s="403" t="s">
        <v>23024</v>
      </c>
      <c r="Y1454" s="403" t="s">
        <v>23024</v>
      </c>
    </row>
    <row r="1455" spans="1:25">
      <c r="A1455" s="363">
        <f t="shared" si="183"/>
        <v>1454</v>
      </c>
      <c r="B1455" s="363" t="str">
        <f t="shared" si="176"/>
        <v>44</v>
      </c>
      <c r="C1455" s="405" t="str">
        <f t="shared" si="177"/>
        <v>第012457号</v>
      </c>
      <c r="D1455" s="405" t="str">
        <f t="shared" si="178"/>
        <v>（有）コウテック</v>
      </c>
      <c r="E1455" s="405" t="str">
        <f t="shared" si="179"/>
        <v>代表取締役</v>
      </c>
      <c r="F1455" s="405" t="str">
        <f t="shared" si="180"/>
        <v>菅　晃三</v>
      </c>
      <c r="G1455" s="405" t="str">
        <f t="shared" si="181"/>
        <v>主たる営業所</v>
      </c>
      <c r="H1455" s="405" t="str">
        <f t="shared" si="182"/>
        <v>佐伯市女島３－１０８３３－１８６</v>
      </c>
      <c r="L1455" s="403" t="s">
        <v>10798</v>
      </c>
      <c r="M1455" s="403" t="s">
        <v>10799</v>
      </c>
      <c r="N1455" s="403" t="s">
        <v>4107</v>
      </c>
      <c r="O1455" s="403" t="s">
        <v>7084</v>
      </c>
      <c r="P1455" s="403" t="s">
        <v>4108</v>
      </c>
      <c r="Q1455" s="403" t="s">
        <v>7842</v>
      </c>
      <c r="R1455" s="403" t="s">
        <v>19829</v>
      </c>
      <c r="S1455" s="403" t="s">
        <v>16619</v>
      </c>
      <c r="T1455" s="403" t="s">
        <v>16620</v>
      </c>
      <c r="U1455" s="403"/>
      <c r="V1455" s="403" t="s">
        <v>23024</v>
      </c>
      <c r="W1455" s="403" t="s">
        <v>23024</v>
      </c>
      <c r="X1455" s="403" t="s">
        <v>23024</v>
      </c>
      <c r="Y1455" s="403" t="s">
        <v>23024</v>
      </c>
    </row>
    <row r="1456" spans="1:25">
      <c r="A1456" s="363">
        <f t="shared" si="183"/>
        <v>1455</v>
      </c>
      <c r="B1456" s="363" t="str">
        <f t="shared" si="176"/>
        <v>44</v>
      </c>
      <c r="C1456" s="405" t="str">
        <f t="shared" si="177"/>
        <v>第012458号</v>
      </c>
      <c r="D1456" s="405" t="str">
        <f t="shared" si="178"/>
        <v>（有）三重野水道</v>
      </c>
      <c r="E1456" s="405" t="str">
        <f t="shared" si="179"/>
        <v>代表取締役</v>
      </c>
      <c r="F1456" s="405" t="str">
        <f t="shared" si="180"/>
        <v>三重野　征一</v>
      </c>
      <c r="G1456" s="405" t="str">
        <f t="shared" si="181"/>
        <v>主たる営業所</v>
      </c>
      <c r="H1456" s="405" t="str">
        <f t="shared" si="182"/>
        <v>由布市庄内町柿原３８０－１</v>
      </c>
      <c r="L1456" s="403" t="s">
        <v>10800</v>
      </c>
      <c r="M1456" s="403" t="s">
        <v>10801</v>
      </c>
      <c r="N1456" s="403" t="s">
        <v>4109</v>
      </c>
      <c r="O1456" s="403" t="s">
        <v>7084</v>
      </c>
      <c r="P1456" s="403" t="s">
        <v>4110</v>
      </c>
      <c r="Q1456" s="403" t="s">
        <v>7548</v>
      </c>
      <c r="R1456" s="403" t="s">
        <v>19830</v>
      </c>
      <c r="S1456" s="403" t="s">
        <v>16621</v>
      </c>
      <c r="T1456" s="403" t="s">
        <v>16622</v>
      </c>
      <c r="U1456" s="403"/>
      <c r="V1456" s="403" t="s">
        <v>23024</v>
      </c>
      <c r="W1456" s="403" t="s">
        <v>23024</v>
      </c>
      <c r="X1456" s="403" t="s">
        <v>23024</v>
      </c>
      <c r="Y1456" s="403" t="s">
        <v>23024</v>
      </c>
    </row>
    <row r="1457" spans="1:25">
      <c r="A1457" s="363">
        <f t="shared" si="183"/>
        <v>1456</v>
      </c>
      <c r="B1457" s="363" t="str">
        <f t="shared" si="176"/>
        <v>44</v>
      </c>
      <c r="C1457" s="405" t="str">
        <f t="shared" si="177"/>
        <v>第012459号</v>
      </c>
      <c r="D1457" s="405" t="str">
        <f t="shared" si="178"/>
        <v>（株）ＥＮＧ</v>
      </c>
      <c r="E1457" s="405" t="str">
        <f t="shared" si="179"/>
        <v>代表取締役</v>
      </c>
      <c r="F1457" s="405" t="str">
        <f t="shared" si="180"/>
        <v>吉野　利彦</v>
      </c>
      <c r="G1457" s="405" t="str">
        <f t="shared" si="181"/>
        <v>主たる営業所</v>
      </c>
      <c r="H1457" s="405" t="str">
        <f t="shared" si="182"/>
        <v>大分市大字下郡６７０－６２</v>
      </c>
      <c r="L1457" s="403" t="s">
        <v>10802</v>
      </c>
      <c r="M1457" s="403" t="s">
        <v>10803</v>
      </c>
      <c r="N1457" s="403" t="s">
        <v>4111</v>
      </c>
      <c r="O1457" s="403" t="s">
        <v>7084</v>
      </c>
      <c r="P1457" s="403" t="s">
        <v>4112</v>
      </c>
      <c r="Q1457" s="403" t="s">
        <v>7419</v>
      </c>
      <c r="R1457" s="403" t="s">
        <v>19831</v>
      </c>
      <c r="S1457" s="403" t="s">
        <v>16623</v>
      </c>
      <c r="T1457" s="403" t="s">
        <v>16624</v>
      </c>
      <c r="U1457" s="403"/>
      <c r="V1457" s="403" t="s">
        <v>23024</v>
      </c>
      <c r="W1457" s="403" t="s">
        <v>23024</v>
      </c>
      <c r="X1457" s="403" t="s">
        <v>23024</v>
      </c>
      <c r="Y1457" s="403" t="s">
        <v>23024</v>
      </c>
    </row>
    <row r="1458" spans="1:25">
      <c r="A1458" s="363">
        <f t="shared" si="183"/>
        <v>1457</v>
      </c>
      <c r="B1458" s="363" t="str">
        <f t="shared" si="176"/>
        <v>44</v>
      </c>
      <c r="C1458" s="405" t="str">
        <f t="shared" si="177"/>
        <v>第012463号</v>
      </c>
      <c r="D1458" s="405" t="str">
        <f t="shared" si="178"/>
        <v>（有）山水</v>
      </c>
      <c r="E1458" s="405" t="str">
        <f t="shared" si="179"/>
        <v>代表取締役</v>
      </c>
      <c r="F1458" s="405" t="str">
        <f t="shared" si="180"/>
        <v>菅原　富士子</v>
      </c>
      <c r="G1458" s="405" t="str">
        <f t="shared" si="181"/>
        <v>主たる営業所</v>
      </c>
      <c r="H1458" s="405" t="str">
        <f t="shared" si="182"/>
        <v>杵築市山香町大字野原１６８１－１</v>
      </c>
      <c r="L1458" s="403" t="s">
        <v>10804</v>
      </c>
      <c r="M1458" s="403" t="s">
        <v>10805</v>
      </c>
      <c r="N1458" s="403" t="s">
        <v>4113</v>
      </c>
      <c r="O1458" s="403" t="s">
        <v>7084</v>
      </c>
      <c r="P1458" s="403" t="s">
        <v>4114</v>
      </c>
      <c r="Q1458" s="403" t="s">
        <v>8398</v>
      </c>
      <c r="R1458" s="403" t="s">
        <v>19832</v>
      </c>
      <c r="S1458" s="403" t="s">
        <v>16625</v>
      </c>
      <c r="T1458" s="403" t="s">
        <v>19833</v>
      </c>
      <c r="U1458" s="403"/>
      <c r="V1458" s="403" t="s">
        <v>23024</v>
      </c>
      <c r="W1458" s="403" t="s">
        <v>23024</v>
      </c>
      <c r="X1458" s="403" t="s">
        <v>23024</v>
      </c>
      <c r="Y1458" s="403" t="s">
        <v>23024</v>
      </c>
    </row>
    <row r="1459" spans="1:25">
      <c r="A1459" s="363">
        <f t="shared" si="183"/>
        <v>1458</v>
      </c>
      <c r="B1459" s="363" t="str">
        <f t="shared" si="176"/>
        <v>44</v>
      </c>
      <c r="C1459" s="405" t="str">
        <f t="shared" si="177"/>
        <v>第012466号</v>
      </c>
      <c r="D1459" s="405" t="str">
        <f t="shared" si="178"/>
        <v>（有）イケダ電機</v>
      </c>
      <c r="E1459" s="405" t="str">
        <f t="shared" si="179"/>
        <v>代表取締役</v>
      </c>
      <c r="F1459" s="405" t="str">
        <f t="shared" si="180"/>
        <v>活田　和幸</v>
      </c>
      <c r="G1459" s="405" t="str">
        <f t="shared" si="181"/>
        <v>主たる営業所</v>
      </c>
      <c r="H1459" s="405" t="str">
        <f t="shared" si="182"/>
        <v>日田市中本町５－３３</v>
      </c>
      <c r="L1459" s="403" t="s">
        <v>10806</v>
      </c>
      <c r="M1459" s="403" t="s">
        <v>10807</v>
      </c>
      <c r="N1459" s="403" t="s">
        <v>4115</v>
      </c>
      <c r="O1459" s="403" t="s">
        <v>7084</v>
      </c>
      <c r="P1459" s="403" t="s">
        <v>4116</v>
      </c>
      <c r="Q1459" s="403" t="s">
        <v>10808</v>
      </c>
      <c r="R1459" s="403" t="s">
        <v>19834</v>
      </c>
      <c r="S1459" s="403" t="s">
        <v>16626</v>
      </c>
      <c r="T1459" s="403" t="s">
        <v>16627</v>
      </c>
      <c r="U1459" s="403"/>
      <c r="V1459" s="403" t="s">
        <v>23024</v>
      </c>
      <c r="W1459" s="403" t="s">
        <v>23024</v>
      </c>
      <c r="X1459" s="403" t="s">
        <v>23024</v>
      </c>
      <c r="Y1459" s="403" t="s">
        <v>23024</v>
      </c>
    </row>
    <row r="1460" spans="1:25">
      <c r="A1460" s="363">
        <f t="shared" si="183"/>
        <v>1459</v>
      </c>
      <c r="B1460" s="363" t="str">
        <f t="shared" si="176"/>
        <v>44</v>
      </c>
      <c r="C1460" s="405" t="str">
        <f t="shared" si="177"/>
        <v>第012469号</v>
      </c>
      <c r="D1460" s="405" t="str">
        <f t="shared" si="178"/>
        <v>（有）平原工業</v>
      </c>
      <c r="E1460" s="405" t="str">
        <f t="shared" si="179"/>
        <v>代表取締役</v>
      </c>
      <c r="F1460" s="405" t="str">
        <f t="shared" si="180"/>
        <v>平原　隆三</v>
      </c>
      <c r="G1460" s="405" t="str">
        <f t="shared" si="181"/>
        <v>主たる営業所</v>
      </c>
      <c r="H1460" s="405" t="str">
        <f t="shared" si="182"/>
        <v>中津市大字犬丸２３３２－１</v>
      </c>
      <c r="L1460" s="403" t="s">
        <v>10809</v>
      </c>
      <c r="M1460" s="403" t="s">
        <v>10810</v>
      </c>
      <c r="N1460" s="403" t="s">
        <v>4117</v>
      </c>
      <c r="O1460" s="403" t="s">
        <v>7084</v>
      </c>
      <c r="P1460" s="403" t="s">
        <v>4118</v>
      </c>
      <c r="Q1460" s="403" t="s">
        <v>9242</v>
      </c>
      <c r="R1460" s="403" t="s">
        <v>19835</v>
      </c>
      <c r="S1460" s="403" t="s">
        <v>16628</v>
      </c>
      <c r="T1460" s="403" t="s">
        <v>16629</v>
      </c>
      <c r="U1460" s="403"/>
      <c r="V1460" s="403" t="s">
        <v>23024</v>
      </c>
      <c r="W1460" s="403" t="s">
        <v>23024</v>
      </c>
      <c r="X1460" s="403" t="s">
        <v>23024</v>
      </c>
      <c r="Y1460" s="403" t="s">
        <v>23024</v>
      </c>
    </row>
    <row r="1461" spans="1:25">
      <c r="A1461" s="363">
        <f t="shared" si="183"/>
        <v>1460</v>
      </c>
      <c r="B1461" s="363" t="str">
        <f t="shared" si="176"/>
        <v>44</v>
      </c>
      <c r="C1461" s="405" t="str">
        <f t="shared" si="177"/>
        <v>第012473号</v>
      </c>
      <c r="D1461" s="405" t="str">
        <f t="shared" si="178"/>
        <v>（有）須山建設</v>
      </c>
      <c r="E1461" s="405" t="str">
        <f t="shared" si="179"/>
        <v>代表取締役</v>
      </c>
      <c r="F1461" s="405" t="str">
        <f t="shared" si="180"/>
        <v>須山　健一</v>
      </c>
      <c r="G1461" s="405" t="str">
        <f t="shared" si="181"/>
        <v>主たる営業所</v>
      </c>
      <c r="H1461" s="405" t="str">
        <f t="shared" si="182"/>
        <v>佐伯市鶴見大字沖松浦４０１－１</v>
      </c>
      <c r="L1461" s="403" t="s">
        <v>10811</v>
      </c>
      <c r="M1461" s="403" t="s">
        <v>10812</v>
      </c>
      <c r="N1461" s="403" t="s">
        <v>4119</v>
      </c>
      <c r="O1461" s="403" t="s">
        <v>7084</v>
      </c>
      <c r="P1461" s="403" t="s">
        <v>4120</v>
      </c>
      <c r="Q1461" s="403" t="s">
        <v>10813</v>
      </c>
      <c r="R1461" s="403" t="s">
        <v>19836</v>
      </c>
      <c r="S1461" s="403" t="s">
        <v>16630</v>
      </c>
      <c r="T1461" s="403" t="s">
        <v>16630</v>
      </c>
      <c r="U1461" s="403"/>
      <c r="V1461" s="403" t="s">
        <v>23024</v>
      </c>
      <c r="W1461" s="403" t="s">
        <v>23024</v>
      </c>
      <c r="X1461" s="403" t="s">
        <v>23024</v>
      </c>
      <c r="Y1461" s="403" t="s">
        <v>23024</v>
      </c>
    </row>
    <row r="1462" spans="1:25">
      <c r="A1462" s="363">
        <f t="shared" si="183"/>
        <v>1461</v>
      </c>
      <c r="B1462" s="363" t="str">
        <f t="shared" si="176"/>
        <v>44</v>
      </c>
      <c r="C1462" s="405" t="str">
        <f t="shared" si="177"/>
        <v>第012476号</v>
      </c>
      <c r="D1462" s="405" t="str">
        <f t="shared" si="178"/>
        <v>（株）廣亜</v>
      </c>
      <c r="E1462" s="405" t="str">
        <f t="shared" si="179"/>
        <v>代表取締役</v>
      </c>
      <c r="F1462" s="405" t="str">
        <f t="shared" si="180"/>
        <v>金子　廣俊</v>
      </c>
      <c r="G1462" s="405" t="str">
        <f t="shared" si="181"/>
        <v>主たる営業所</v>
      </c>
      <c r="H1462" s="405" t="str">
        <f t="shared" si="182"/>
        <v>宇佐市大字下乙女４４９－９</v>
      </c>
      <c r="L1462" s="403" t="s">
        <v>10814</v>
      </c>
      <c r="M1462" s="403" t="s">
        <v>10815</v>
      </c>
      <c r="N1462" s="403" t="s">
        <v>4121</v>
      </c>
      <c r="O1462" s="403" t="s">
        <v>7084</v>
      </c>
      <c r="P1462" s="403" t="s">
        <v>4122</v>
      </c>
      <c r="Q1462" s="403" t="s">
        <v>10816</v>
      </c>
      <c r="R1462" s="403" t="s">
        <v>19837</v>
      </c>
      <c r="S1462" s="403" t="s">
        <v>16631</v>
      </c>
      <c r="T1462" s="403" t="s">
        <v>16632</v>
      </c>
      <c r="U1462" s="403"/>
      <c r="V1462" s="403" t="s">
        <v>23024</v>
      </c>
      <c r="W1462" s="403" t="s">
        <v>23024</v>
      </c>
      <c r="X1462" s="403" t="s">
        <v>23024</v>
      </c>
      <c r="Y1462" s="403" t="s">
        <v>23024</v>
      </c>
    </row>
    <row r="1463" spans="1:25">
      <c r="A1463" s="363">
        <f t="shared" si="183"/>
        <v>1462</v>
      </c>
      <c r="B1463" s="363" t="str">
        <f t="shared" si="176"/>
        <v>44</v>
      </c>
      <c r="C1463" s="405" t="str">
        <f t="shared" si="177"/>
        <v>第012488号</v>
      </c>
      <c r="D1463" s="405" t="str">
        <f t="shared" si="178"/>
        <v>（有）大広建設工業</v>
      </c>
      <c r="E1463" s="405" t="str">
        <f t="shared" si="179"/>
        <v>代表取締役</v>
      </c>
      <c r="F1463" s="405" t="str">
        <f t="shared" si="180"/>
        <v>玉井　寿博</v>
      </c>
      <c r="G1463" s="405" t="str">
        <f t="shared" si="181"/>
        <v>主たる営業所</v>
      </c>
      <c r="H1463" s="405" t="str">
        <f t="shared" si="182"/>
        <v>別府市実相寺町２５－１</v>
      </c>
      <c r="L1463" s="403" t="s">
        <v>10817</v>
      </c>
      <c r="M1463" s="403" t="s">
        <v>10818</v>
      </c>
      <c r="N1463" s="403" t="s">
        <v>4123</v>
      </c>
      <c r="O1463" s="403" t="s">
        <v>7084</v>
      </c>
      <c r="P1463" s="403" t="s">
        <v>4124</v>
      </c>
      <c r="Q1463" s="403" t="s">
        <v>9221</v>
      </c>
      <c r="R1463" s="403" t="s">
        <v>19838</v>
      </c>
      <c r="S1463" s="403" t="s">
        <v>16633</v>
      </c>
      <c r="T1463" s="403" t="s">
        <v>16634</v>
      </c>
      <c r="U1463" s="403"/>
      <c r="V1463" s="403" t="s">
        <v>23024</v>
      </c>
      <c r="W1463" s="403" t="s">
        <v>23024</v>
      </c>
      <c r="X1463" s="403" t="s">
        <v>23024</v>
      </c>
      <c r="Y1463" s="403" t="s">
        <v>23024</v>
      </c>
    </row>
    <row r="1464" spans="1:25">
      <c r="A1464" s="363">
        <f t="shared" si="183"/>
        <v>1463</v>
      </c>
      <c r="B1464" s="363" t="str">
        <f t="shared" si="176"/>
        <v>44</v>
      </c>
      <c r="C1464" s="405" t="str">
        <f t="shared" si="177"/>
        <v>第012491号</v>
      </c>
      <c r="D1464" s="405" t="str">
        <f t="shared" si="178"/>
        <v>エスケイテック九州（株）</v>
      </c>
      <c r="E1464" s="405" t="str">
        <f t="shared" si="179"/>
        <v>代表取締役</v>
      </c>
      <c r="F1464" s="405" t="str">
        <f t="shared" si="180"/>
        <v>阿南　秀昭</v>
      </c>
      <c r="G1464" s="405" t="str">
        <f t="shared" si="181"/>
        <v>主たる営業所</v>
      </c>
      <c r="H1464" s="405" t="str">
        <f t="shared" si="182"/>
        <v>大分市上宗方南１－３－２３</v>
      </c>
      <c r="L1464" s="403" t="s">
        <v>10819</v>
      </c>
      <c r="M1464" s="403" t="s">
        <v>10820</v>
      </c>
      <c r="N1464" s="403" t="s">
        <v>4125</v>
      </c>
      <c r="O1464" s="403" t="s">
        <v>7084</v>
      </c>
      <c r="P1464" s="403" t="s">
        <v>4126</v>
      </c>
      <c r="Q1464" s="403" t="s">
        <v>10821</v>
      </c>
      <c r="R1464" s="403" t="s">
        <v>19839</v>
      </c>
      <c r="S1464" s="403" t="s">
        <v>16635</v>
      </c>
      <c r="T1464" s="403" t="s">
        <v>16635</v>
      </c>
      <c r="U1464" s="403"/>
      <c r="V1464" s="403" t="s">
        <v>23024</v>
      </c>
      <c r="W1464" s="403" t="s">
        <v>23024</v>
      </c>
      <c r="X1464" s="403" t="s">
        <v>23024</v>
      </c>
      <c r="Y1464" s="403" t="s">
        <v>23024</v>
      </c>
    </row>
    <row r="1465" spans="1:25">
      <c r="A1465" s="363">
        <f t="shared" si="183"/>
        <v>1464</v>
      </c>
      <c r="B1465" s="363" t="str">
        <f t="shared" si="176"/>
        <v>44</v>
      </c>
      <c r="C1465" s="405" t="str">
        <f t="shared" si="177"/>
        <v>第012502号</v>
      </c>
      <c r="D1465" s="405" t="str">
        <f t="shared" si="178"/>
        <v>（有）ミウラ工業</v>
      </c>
      <c r="E1465" s="405" t="str">
        <f t="shared" si="179"/>
        <v>代表取締役</v>
      </c>
      <c r="F1465" s="405" t="str">
        <f t="shared" si="180"/>
        <v>三浦　佳一郎</v>
      </c>
      <c r="G1465" s="405" t="str">
        <f t="shared" si="181"/>
        <v>主たる営業所</v>
      </c>
      <c r="H1465" s="405" t="str">
        <f t="shared" si="182"/>
        <v>大分市大字宮崎１２０３</v>
      </c>
      <c r="L1465" s="403" t="s">
        <v>10822</v>
      </c>
      <c r="M1465" s="403" t="s">
        <v>10823</v>
      </c>
      <c r="N1465" s="403" t="s">
        <v>4127</v>
      </c>
      <c r="O1465" s="403" t="s">
        <v>7084</v>
      </c>
      <c r="P1465" s="403" t="s">
        <v>4128</v>
      </c>
      <c r="Q1465" s="403" t="s">
        <v>10824</v>
      </c>
      <c r="R1465" s="403" t="s">
        <v>5636</v>
      </c>
      <c r="S1465" s="403" t="s">
        <v>16636</v>
      </c>
      <c r="T1465" s="403" t="s">
        <v>16637</v>
      </c>
      <c r="U1465" s="403"/>
      <c r="V1465" s="403" t="s">
        <v>23024</v>
      </c>
      <c r="W1465" s="403" t="s">
        <v>23024</v>
      </c>
      <c r="X1465" s="403" t="s">
        <v>23024</v>
      </c>
      <c r="Y1465" s="403" t="s">
        <v>23024</v>
      </c>
    </row>
    <row r="1466" spans="1:25">
      <c r="A1466" s="363">
        <f t="shared" si="183"/>
        <v>1465</v>
      </c>
      <c r="B1466" s="363" t="str">
        <f t="shared" si="176"/>
        <v>44</v>
      </c>
      <c r="C1466" s="405" t="str">
        <f t="shared" si="177"/>
        <v>第012505号</v>
      </c>
      <c r="D1466" s="405" t="str">
        <f t="shared" si="178"/>
        <v>（株）グランドアート</v>
      </c>
      <c r="E1466" s="405" t="str">
        <f t="shared" si="179"/>
        <v>代表取締役</v>
      </c>
      <c r="F1466" s="405" t="str">
        <f t="shared" si="180"/>
        <v>保月　敦子</v>
      </c>
      <c r="G1466" s="405" t="str">
        <f t="shared" si="181"/>
        <v>主たる営業所</v>
      </c>
      <c r="H1466" s="405" t="str">
        <f t="shared" si="182"/>
        <v>大分市大字下戸次５３３２－１</v>
      </c>
      <c r="L1466" s="403" t="s">
        <v>10825</v>
      </c>
      <c r="M1466" s="403" t="s">
        <v>10826</v>
      </c>
      <c r="N1466" s="403" t="s">
        <v>4129</v>
      </c>
      <c r="O1466" s="403" t="s">
        <v>7084</v>
      </c>
      <c r="P1466" s="403" t="s">
        <v>4130</v>
      </c>
      <c r="Q1466" s="403" t="s">
        <v>10792</v>
      </c>
      <c r="R1466" s="403" t="s">
        <v>19840</v>
      </c>
      <c r="S1466" s="403" t="s">
        <v>16638</v>
      </c>
      <c r="T1466" s="403" t="s">
        <v>16639</v>
      </c>
      <c r="U1466" s="403"/>
      <c r="V1466" s="403" t="s">
        <v>23024</v>
      </c>
      <c r="W1466" s="403" t="s">
        <v>23024</v>
      </c>
      <c r="X1466" s="403" t="s">
        <v>23024</v>
      </c>
      <c r="Y1466" s="403" t="s">
        <v>23024</v>
      </c>
    </row>
    <row r="1467" spans="1:25">
      <c r="A1467" s="363">
        <f t="shared" si="183"/>
        <v>1466</v>
      </c>
      <c r="B1467" s="363" t="str">
        <f t="shared" si="176"/>
        <v>44</v>
      </c>
      <c r="C1467" s="405" t="str">
        <f t="shared" si="177"/>
        <v>第012506号</v>
      </c>
      <c r="D1467" s="405" t="str">
        <f t="shared" si="178"/>
        <v>大分空調管理（株）</v>
      </c>
      <c r="E1467" s="405" t="str">
        <f t="shared" si="179"/>
        <v>代表取締役</v>
      </c>
      <c r="F1467" s="405" t="str">
        <f t="shared" si="180"/>
        <v>長尾　和彦</v>
      </c>
      <c r="G1467" s="405" t="str">
        <f t="shared" si="181"/>
        <v>主たる営業所</v>
      </c>
      <c r="H1467" s="405" t="str">
        <f t="shared" si="182"/>
        <v>大分市南太平寺２－３－５</v>
      </c>
      <c r="L1467" s="403" t="s">
        <v>10827</v>
      </c>
      <c r="M1467" s="403" t="s">
        <v>10828</v>
      </c>
      <c r="N1467" s="403" t="s">
        <v>4131</v>
      </c>
      <c r="O1467" s="403" t="s">
        <v>7084</v>
      </c>
      <c r="P1467" s="403" t="s">
        <v>4132</v>
      </c>
      <c r="Q1467" s="403" t="s">
        <v>10190</v>
      </c>
      <c r="R1467" s="403" t="s">
        <v>19841</v>
      </c>
      <c r="S1467" s="403" t="s">
        <v>16640</v>
      </c>
      <c r="T1467" s="403" t="s">
        <v>16641</v>
      </c>
      <c r="U1467" s="403"/>
      <c r="V1467" s="403" t="s">
        <v>23024</v>
      </c>
      <c r="W1467" s="403" t="s">
        <v>23024</v>
      </c>
      <c r="X1467" s="403" t="s">
        <v>23024</v>
      </c>
      <c r="Y1467" s="403" t="s">
        <v>23024</v>
      </c>
    </row>
    <row r="1468" spans="1:25">
      <c r="A1468" s="363">
        <f t="shared" si="183"/>
        <v>1467</v>
      </c>
      <c r="B1468" s="363" t="str">
        <f t="shared" si="176"/>
        <v>44</v>
      </c>
      <c r="C1468" s="405" t="str">
        <f t="shared" si="177"/>
        <v>第012513号</v>
      </c>
      <c r="D1468" s="405" t="str">
        <f t="shared" si="178"/>
        <v>名建（有）</v>
      </c>
      <c r="E1468" s="405" t="str">
        <f t="shared" si="179"/>
        <v>代表取締役</v>
      </c>
      <c r="F1468" s="405" t="str">
        <f t="shared" si="180"/>
        <v>乙名　弘文</v>
      </c>
      <c r="G1468" s="405" t="str">
        <f t="shared" si="181"/>
        <v>主たる営業所</v>
      </c>
      <c r="H1468" s="405" t="str">
        <f t="shared" si="182"/>
        <v>佐伯市大字池田１３２６</v>
      </c>
      <c r="L1468" s="403" t="s">
        <v>10829</v>
      </c>
      <c r="M1468" s="403" t="s">
        <v>8485</v>
      </c>
      <c r="N1468" s="403" t="s">
        <v>4133</v>
      </c>
      <c r="O1468" s="403" t="s">
        <v>7084</v>
      </c>
      <c r="P1468" s="403" t="s">
        <v>4134</v>
      </c>
      <c r="Q1468" s="403" t="s">
        <v>7888</v>
      </c>
      <c r="R1468" s="403" t="s">
        <v>5637</v>
      </c>
      <c r="S1468" s="403" t="s">
        <v>16642</v>
      </c>
      <c r="T1468" s="403" t="s">
        <v>16642</v>
      </c>
      <c r="U1468" s="403"/>
      <c r="V1468" s="403" t="s">
        <v>23024</v>
      </c>
      <c r="W1468" s="403" t="s">
        <v>23024</v>
      </c>
      <c r="X1468" s="403" t="s">
        <v>23024</v>
      </c>
      <c r="Y1468" s="403" t="s">
        <v>23024</v>
      </c>
    </row>
    <row r="1469" spans="1:25">
      <c r="A1469" s="363">
        <f t="shared" si="183"/>
        <v>1468</v>
      </c>
      <c r="B1469" s="363" t="str">
        <f t="shared" si="176"/>
        <v>44</v>
      </c>
      <c r="C1469" s="405" t="str">
        <f t="shared" si="177"/>
        <v>第012518号</v>
      </c>
      <c r="D1469" s="405" t="str">
        <f t="shared" si="178"/>
        <v>（有）総材土木</v>
      </c>
      <c r="E1469" s="405" t="str">
        <f t="shared" si="179"/>
        <v>代表取締役</v>
      </c>
      <c r="F1469" s="405" t="str">
        <f t="shared" si="180"/>
        <v>眞井　満</v>
      </c>
      <c r="G1469" s="405" t="str">
        <f t="shared" si="181"/>
        <v>主たる営業所</v>
      </c>
      <c r="H1469" s="405" t="str">
        <f t="shared" si="182"/>
        <v>竹田市大字会々字平３６４５－６</v>
      </c>
      <c r="L1469" s="403" t="s">
        <v>10830</v>
      </c>
      <c r="M1469" s="403" t="s">
        <v>10831</v>
      </c>
      <c r="N1469" s="403" t="s">
        <v>4135</v>
      </c>
      <c r="O1469" s="403" t="s">
        <v>7084</v>
      </c>
      <c r="P1469" s="403" t="s">
        <v>4136</v>
      </c>
      <c r="Q1469" s="403" t="s">
        <v>7940</v>
      </c>
      <c r="R1469" s="403" t="s">
        <v>19842</v>
      </c>
      <c r="S1469" s="403" t="s">
        <v>16643</v>
      </c>
      <c r="T1469" s="403" t="s">
        <v>14353</v>
      </c>
      <c r="U1469" s="403"/>
      <c r="V1469" s="403" t="s">
        <v>23024</v>
      </c>
      <c r="W1469" s="403" t="s">
        <v>23024</v>
      </c>
      <c r="X1469" s="403" t="s">
        <v>23024</v>
      </c>
      <c r="Y1469" s="403" t="s">
        <v>23024</v>
      </c>
    </row>
    <row r="1470" spans="1:25">
      <c r="A1470" s="363">
        <f t="shared" si="183"/>
        <v>1469</v>
      </c>
      <c r="B1470" s="363" t="str">
        <f t="shared" si="176"/>
        <v>44</v>
      </c>
      <c r="C1470" s="405" t="str">
        <f t="shared" si="177"/>
        <v>第012526号</v>
      </c>
      <c r="D1470" s="405" t="str">
        <f t="shared" si="178"/>
        <v>（有）照陽</v>
      </c>
      <c r="E1470" s="405" t="str">
        <f t="shared" si="179"/>
        <v>代表取締役</v>
      </c>
      <c r="F1470" s="405" t="str">
        <f t="shared" si="180"/>
        <v>重住　悦子</v>
      </c>
      <c r="G1470" s="405" t="str">
        <f t="shared" si="181"/>
        <v>主たる営業所</v>
      </c>
      <c r="H1470" s="405" t="str">
        <f t="shared" si="182"/>
        <v>大分市末広町２－６－３－３０６（アスティオン末広）</v>
      </c>
      <c r="L1470" s="403" t="s">
        <v>10832</v>
      </c>
      <c r="M1470" s="403" t="s">
        <v>7807</v>
      </c>
      <c r="N1470" s="403" t="s">
        <v>4137</v>
      </c>
      <c r="O1470" s="403" t="s">
        <v>7084</v>
      </c>
      <c r="P1470" s="403" t="s">
        <v>4138</v>
      </c>
      <c r="Q1470" s="403" t="s">
        <v>10833</v>
      </c>
      <c r="R1470" s="403" t="s">
        <v>19843</v>
      </c>
      <c r="S1470" s="403" t="s">
        <v>16644</v>
      </c>
      <c r="T1470" s="403" t="s">
        <v>16645</v>
      </c>
      <c r="U1470" s="403"/>
      <c r="V1470" s="403" t="s">
        <v>23024</v>
      </c>
      <c r="W1470" s="403" t="s">
        <v>23024</v>
      </c>
      <c r="X1470" s="403" t="s">
        <v>23024</v>
      </c>
      <c r="Y1470" s="403" t="s">
        <v>23024</v>
      </c>
    </row>
    <row r="1471" spans="1:25">
      <c r="A1471" s="363">
        <f t="shared" si="183"/>
        <v>1470</v>
      </c>
      <c r="B1471" s="363" t="str">
        <f t="shared" si="176"/>
        <v>44</v>
      </c>
      <c r="C1471" s="405" t="str">
        <f t="shared" si="177"/>
        <v>第012530号</v>
      </c>
      <c r="D1471" s="405" t="str">
        <f t="shared" si="178"/>
        <v>大分市管工事（同）</v>
      </c>
      <c r="E1471" s="405" t="str">
        <f t="shared" si="179"/>
        <v>代表理事</v>
      </c>
      <c r="F1471" s="405" t="str">
        <f t="shared" si="180"/>
        <v>織戸　和彦</v>
      </c>
      <c r="G1471" s="405" t="str">
        <f t="shared" si="181"/>
        <v>主たる営業所</v>
      </c>
      <c r="H1471" s="405" t="str">
        <f t="shared" si="182"/>
        <v>大分市大洲浜１－３－５</v>
      </c>
      <c r="L1471" s="403" t="s">
        <v>10834</v>
      </c>
      <c r="M1471" s="403" t="s">
        <v>10835</v>
      </c>
      <c r="N1471" s="403" t="s">
        <v>4139</v>
      </c>
      <c r="O1471" s="403" t="s">
        <v>7090</v>
      </c>
      <c r="P1471" s="403" t="s">
        <v>1481</v>
      </c>
      <c r="Q1471" s="403" t="s">
        <v>7397</v>
      </c>
      <c r="R1471" s="403" t="s">
        <v>19844</v>
      </c>
      <c r="S1471" s="403" t="s">
        <v>14933</v>
      </c>
      <c r="T1471" s="403" t="s">
        <v>14934</v>
      </c>
      <c r="U1471" s="403"/>
      <c r="V1471" s="403" t="s">
        <v>23024</v>
      </c>
      <c r="W1471" s="403" t="s">
        <v>23024</v>
      </c>
      <c r="X1471" s="403" t="s">
        <v>23024</v>
      </c>
      <c r="Y1471" s="403" t="s">
        <v>23024</v>
      </c>
    </row>
    <row r="1472" spans="1:25">
      <c r="A1472" s="363">
        <f t="shared" si="183"/>
        <v>1471</v>
      </c>
      <c r="B1472" s="363" t="str">
        <f t="shared" si="176"/>
        <v>44</v>
      </c>
      <c r="C1472" s="405" t="str">
        <f t="shared" si="177"/>
        <v>第012537号</v>
      </c>
      <c r="D1472" s="405" t="str">
        <f t="shared" si="178"/>
        <v>（有）竹下土木</v>
      </c>
      <c r="E1472" s="405" t="str">
        <f t="shared" si="179"/>
        <v>代表取締役</v>
      </c>
      <c r="F1472" s="405" t="str">
        <f t="shared" si="180"/>
        <v>竹下　正義</v>
      </c>
      <c r="G1472" s="405" t="str">
        <f t="shared" si="181"/>
        <v>主たる営業所</v>
      </c>
      <c r="H1472" s="405" t="str">
        <f t="shared" si="182"/>
        <v>日田市大字庄手５９１－３</v>
      </c>
      <c r="L1472" s="403" t="s">
        <v>10836</v>
      </c>
      <c r="M1472" s="403" t="s">
        <v>10837</v>
      </c>
      <c r="N1472" s="403" t="s">
        <v>4140</v>
      </c>
      <c r="O1472" s="403" t="s">
        <v>7084</v>
      </c>
      <c r="P1472" s="403" t="s">
        <v>4141</v>
      </c>
      <c r="Q1472" s="403" t="s">
        <v>10838</v>
      </c>
      <c r="R1472" s="403" t="s">
        <v>19845</v>
      </c>
      <c r="S1472" s="403" t="s">
        <v>16646</v>
      </c>
      <c r="T1472" s="403" t="s">
        <v>16647</v>
      </c>
      <c r="U1472" s="403"/>
      <c r="V1472" s="403" t="s">
        <v>23024</v>
      </c>
      <c r="W1472" s="403" t="s">
        <v>23024</v>
      </c>
      <c r="X1472" s="403" t="s">
        <v>23024</v>
      </c>
      <c r="Y1472" s="403" t="s">
        <v>23024</v>
      </c>
    </row>
    <row r="1473" spans="1:25">
      <c r="A1473" s="363">
        <f t="shared" si="183"/>
        <v>1472</v>
      </c>
      <c r="B1473" s="363" t="str">
        <f t="shared" si="176"/>
        <v>44</v>
      </c>
      <c r="C1473" s="405" t="str">
        <f t="shared" si="177"/>
        <v>第012542号</v>
      </c>
      <c r="D1473" s="405" t="str">
        <f t="shared" si="178"/>
        <v>（株）技巧団</v>
      </c>
      <c r="E1473" s="405" t="str">
        <f t="shared" si="179"/>
        <v>代表取締役</v>
      </c>
      <c r="F1473" s="405" t="str">
        <f t="shared" si="180"/>
        <v>井上　浩子</v>
      </c>
      <c r="G1473" s="405" t="str">
        <f t="shared" si="181"/>
        <v>主たる営業所</v>
      </c>
      <c r="H1473" s="405" t="str">
        <f t="shared" si="182"/>
        <v>大分市大字廻栖野２５１１－１０</v>
      </c>
      <c r="L1473" s="403" t="s">
        <v>10839</v>
      </c>
      <c r="M1473" s="403" t="s">
        <v>10840</v>
      </c>
      <c r="N1473" s="403" t="s">
        <v>4142</v>
      </c>
      <c r="O1473" s="403" t="s">
        <v>7084</v>
      </c>
      <c r="P1473" s="403" t="s">
        <v>4143</v>
      </c>
      <c r="Q1473" s="403" t="s">
        <v>8300</v>
      </c>
      <c r="R1473" s="403" t="s">
        <v>19846</v>
      </c>
      <c r="S1473" s="403" t="s">
        <v>16648</v>
      </c>
      <c r="T1473" s="403" t="s">
        <v>16649</v>
      </c>
      <c r="U1473" s="403"/>
      <c r="V1473" s="403" t="s">
        <v>23024</v>
      </c>
      <c r="W1473" s="403" t="s">
        <v>23024</v>
      </c>
      <c r="X1473" s="403" t="s">
        <v>23024</v>
      </c>
      <c r="Y1473" s="403" t="s">
        <v>23024</v>
      </c>
    </row>
    <row r="1474" spans="1:25">
      <c r="A1474" s="363">
        <f t="shared" si="183"/>
        <v>1473</v>
      </c>
      <c r="B1474" s="363" t="str">
        <f t="shared" ref="B1474:B1537" si="184">LEFT(L1474,2)</f>
        <v>44</v>
      </c>
      <c r="C1474" s="405" t="str">
        <f t="shared" ref="C1474:C1537" si="185">IF(B1474="","","第"&amp;RIGHT(L1474,6)&amp;"号")</f>
        <v>第012547号</v>
      </c>
      <c r="D1474" s="405" t="str">
        <f t="shared" ref="D1474:D1537" si="186">N1474</f>
        <v>（株）岩松建設</v>
      </c>
      <c r="E1474" s="405" t="str">
        <f t="shared" ref="E1474:E1537" si="187">IF(V1474="　",O1474,"")</f>
        <v>代表取締役</v>
      </c>
      <c r="F1474" s="405" t="str">
        <f t="shared" ref="F1474:F1537" si="188">IF(V1474="　",P1474,W1474)</f>
        <v>飯田　大作</v>
      </c>
      <c r="G1474" s="405" t="str">
        <f t="shared" ref="G1474:G1537" si="189">IF(V1474="　","主たる営業所",V1474)</f>
        <v>主たる営業所</v>
      </c>
      <c r="H1474" s="405" t="str">
        <f t="shared" ref="H1474:H1537" si="190">IF(V1474="　",R1474,Y1474)</f>
        <v>竹田市大字君ヶ園９７０－１</v>
      </c>
      <c r="L1474" s="403" t="s">
        <v>10841</v>
      </c>
      <c r="M1474" s="403" t="s">
        <v>10842</v>
      </c>
      <c r="N1474" s="403" t="s">
        <v>4144</v>
      </c>
      <c r="O1474" s="403" t="s">
        <v>7084</v>
      </c>
      <c r="P1474" s="403" t="s">
        <v>4145</v>
      </c>
      <c r="Q1474" s="403" t="s">
        <v>7951</v>
      </c>
      <c r="R1474" s="403" t="s">
        <v>19847</v>
      </c>
      <c r="S1474" s="403" t="s">
        <v>16650</v>
      </c>
      <c r="T1474" s="403" t="s">
        <v>16650</v>
      </c>
      <c r="U1474" s="403"/>
      <c r="V1474" s="403" t="s">
        <v>23024</v>
      </c>
      <c r="W1474" s="403" t="s">
        <v>23024</v>
      </c>
      <c r="X1474" s="403" t="s">
        <v>23024</v>
      </c>
      <c r="Y1474" s="403" t="s">
        <v>23024</v>
      </c>
    </row>
    <row r="1475" spans="1:25">
      <c r="A1475" s="363">
        <f t="shared" ref="A1475:A1538" si="191">IF(B1475="","",A1474+1)</f>
        <v>1474</v>
      </c>
      <c r="B1475" s="363" t="str">
        <f t="shared" si="184"/>
        <v>44</v>
      </c>
      <c r="C1475" s="405" t="str">
        <f t="shared" si="185"/>
        <v>第012548号</v>
      </c>
      <c r="D1475" s="405" t="str">
        <f t="shared" si="186"/>
        <v>（株）サンテクノ</v>
      </c>
      <c r="E1475" s="405" t="str">
        <f t="shared" si="187"/>
        <v>代表取締役</v>
      </c>
      <c r="F1475" s="405" t="str">
        <f t="shared" si="188"/>
        <v>霜田　春二</v>
      </c>
      <c r="G1475" s="405" t="str">
        <f t="shared" si="189"/>
        <v>主たる営業所</v>
      </c>
      <c r="H1475" s="405" t="str">
        <f t="shared" si="190"/>
        <v>大分市三川上３－１－１３</v>
      </c>
      <c r="L1475" s="403" t="s">
        <v>10843</v>
      </c>
      <c r="M1475" s="403" t="s">
        <v>10844</v>
      </c>
      <c r="N1475" s="403" t="s">
        <v>4146</v>
      </c>
      <c r="O1475" s="403" t="s">
        <v>7084</v>
      </c>
      <c r="P1475" s="403" t="s">
        <v>5263</v>
      </c>
      <c r="Q1475" s="403" t="s">
        <v>8753</v>
      </c>
      <c r="R1475" s="403" t="s">
        <v>19848</v>
      </c>
      <c r="S1475" s="403" t="s">
        <v>16651</v>
      </c>
      <c r="T1475" s="403" t="s">
        <v>16652</v>
      </c>
      <c r="U1475" s="403"/>
      <c r="V1475" s="403" t="s">
        <v>23024</v>
      </c>
      <c r="W1475" s="403" t="s">
        <v>23024</v>
      </c>
      <c r="X1475" s="403" t="s">
        <v>23024</v>
      </c>
      <c r="Y1475" s="403" t="s">
        <v>23024</v>
      </c>
    </row>
    <row r="1476" spans="1:25">
      <c r="A1476" s="363">
        <f t="shared" si="191"/>
        <v>1475</v>
      </c>
      <c r="B1476" s="363" t="str">
        <f t="shared" si="184"/>
        <v>44</v>
      </c>
      <c r="C1476" s="405" t="str">
        <f t="shared" si="185"/>
        <v>第012549号</v>
      </c>
      <c r="D1476" s="405" t="str">
        <f t="shared" si="186"/>
        <v>梅井工務店</v>
      </c>
      <c r="E1476" s="405" t="str">
        <f t="shared" si="187"/>
        <v>事業主</v>
      </c>
      <c r="F1476" s="405" t="str">
        <f t="shared" si="188"/>
        <v>梅井　隆文</v>
      </c>
      <c r="G1476" s="405" t="str">
        <f t="shared" si="189"/>
        <v>主たる営業所</v>
      </c>
      <c r="H1476" s="405" t="str">
        <f t="shared" si="190"/>
        <v>佐伯市蒲江大字竹野浦河内９９１</v>
      </c>
      <c r="L1476" s="403" t="s">
        <v>10845</v>
      </c>
      <c r="M1476" s="403" t="s">
        <v>10846</v>
      </c>
      <c r="N1476" s="403" t="s">
        <v>4147</v>
      </c>
      <c r="O1476" s="403" t="s">
        <v>7088</v>
      </c>
      <c r="P1476" s="403" t="s">
        <v>4148</v>
      </c>
      <c r="Q1476" s="403" t="s">
        <v>10847</v>
      </c>
      <c r="R1476" s="403" t="s">
        <v>5638</v>
      </c>
      <c r="S1476" s="403" t="s">
        <v>16653</v>
      </c>
      <c r="T1476" s="403" t="s">
        <v>16654</v>
      </c>
      <c r="U1476" s="403"/>
      <c r="V1476" s="403" t="s">
        <v>23024</v>
      </c>
      <c r="W1476" s="403" t="s">
        <v>23024</v>
      </c>
      <c r="X1476" s="403" t="s">
        <v>23024</v>
      </c>
      <c r="Y1476" s="403" t="s">
        <v>23024</v>
      </c>
    </row>
    <row r="1477" spans="1:25">
      <c r="A1477" s="363">
        <f t="shared" si="191"/>
        <v>1476</v>
      </c>
      <c r="B1477" s="363" t="str">
        <f t="shared" si="184"/>
        <v>44</v>
      </c>
      <c r="C1477" s="405" t="str">
        <f t="shared" si="185"/>
        <v>第012552号</v>
      </c>
      <c r="D1477" s="405" t="str">
        <f t="shared" si="186"/>
        <v>（有）うちばやし</v>
      </c>
      <c r="E1477" s="405" t="str">
        <f t="shared" si="187"/>
        <v>代表取締役</v>
      </c>
      <c r="F1477" s="405" t="str">
        <f t="shared" si="188"/>
        <v>内林　高徳</v>
      </c>
      <c r="G1477" s="405" t="str">
        <f t="shared" si="189"/>
        <v>主たる営業所</v>
      </c>
      <c r="H1477" s="405" t="str">
        <f t="shared" si="190"/>
        <v>大分市大分市上田町１－２－１</v>
      </c>
      <c r="L1477" s="403" t="s">
        <v>10848</v>
      </c>
      <c r="M1477" s="403" t="s">
        <v>10849</v>
      </c>
      <c r="N1477" s="403" t="s">
        <v>4149</v>
      </c>
      <c r="O1477" s="403" t="s">
        <v>7084</v>
      </c>
      <c r="P1477" s="403" t="s">
        <v>5322</v>
      </c>
      <c r="Q1477" s="403" t="s">
        <v>7455</v>
      </c>
      <c r="R1477" s="403" t="s">
        <v>19849</v>
      </c>
      <c r="S1477" s="403" t="s">
        <v>16655</v>
      </c>
      <c r="T1477" s="403" t="s">
        <v>16656</v>
      </c>
      <c r="U1477" s="403"/>
      <c r="V1477" s="403" t="s">
        <v>23024</v>
      </c>
      <c r="W1477" s="403" t="s">
        <v>23024</v>
      </c>
      <c r="X1477" s="403" t="s">
        <v>23024</v>
      </c>
      <c r="Y1477" s="403" t="s">
        <v>23024</v>
      </c>
    </row>
    <row r="1478" spans="1:25">
      <c r="A1478" s="363">
        <f t="shared" si="191"/>
        <v>1477</v>
      </c>
      <c r="B1478" s="363" t="str">
        <f t="shared" si="184"/>
        <v>44</v>
      </c>
      <c r="C1478" s="405" t="str">
        <f t="shared" si="185"/>
        <v>第012555号</v>
      </c>
      <c r="D1478" s="405" t="str">
        <f t="shared" si="186"/>
        <v>（有）藤本工業</v>
      </c>
      <c r="E1478" s="405" t="str">
        <f t="shared" si="187"/>
        <v>代表取締役</v>
      </c>
      <c r="F1478" s="405" t="str">
        <f t="shared" si="188"/>
        <v>藤本　統規</v>
      </c>
      <c r="G1478" s="405" t="str">
        <f t="shared" si="189"/>
        <v>主たる営業所</v>
      </c>
      <c r="H1478" s="405" t="str">
        <f t="shared" si="190"/>
        <v>別府市大字鉄輪９６０－８</v>
      </c>
      <c r="L1478" s="403" t="s">
        <v>10850</v>
      </c>
      <c r="M1478" s="403" t="s">
        <v>7474</v>
      </c>
      <c r="N1478" s="403" t="s">
        <v>4150</v>
      </c>
      <c r="O1478" s="403" t="s">
        <v>7084</v>
      </c>
      <c r="P1478" s="403" t="s">
        <v>4151</v>
      </c>
      <c r="Q1478" s="403" t="s">
        <v>9425</v>
      </c>
      <c r="R1478" s="403" t="s">
        <v>19850</v>
      </c>
      <c r="S1478" s="403" t="s">
        <v>16657</v>
      </c>
      <c r="T1478" s="403" t="s">
        <v>16658</v>
      </c>
      <c r="U1478" s="403"/>
      <c r="V1478" s="403" t="s">
        <v>23024</v>
      </c>
      <c r="W1478" s="403" t="s">
        <v>23024</v>
      </c>
      <c r="X1478" s="403" t="s">
        <v>23024</v>
      </c>
      <c r="Y1478" s="403" t="s">
        <v>23024</v>
      </c>
    </row>
    <row r="1479" spans="1:25">
      <c r="A1479" s="363">
        <f t="shared" si="191"/>
        <v>1478</v>
      </c>
      <c r="B1479" s="363" t="str">
        <f t="shared" si="184"/>
        <v>44</v>
      </c>
      <c r="C1479" s="405" t="str">
        <f t="shared" si="185"/>
        <v>第012559号</v>
      </c>
      <c r="D1479" s="405" t="str">
        <f t="shared" si="186"/>
        <v>（有）古澤興業</v>
      </c>
      <c r="E1479" s="405" t="str">
        <f t="shared" si="187"/>
        <v>取締役</v>
      </c>
      <c r="F1479" s="405" t="str">
        <f t="shared" si="188"/>
        <v>古澤　寿幸</v>
      </c>
      <c r="G1479" s="405" t="str">
        <f t="shared" si="189"/>
        <v>主たる営業所</v>
      </c>
      <c r="H1479" s="405" t="str">
        <f t="shared" si="190"/>
        <v>竹田市大字片ヶ瀬７６２－９</v>
      </c>
      <c r="L1479" s="403" t="s">
        <v>10851</v>
      </c>
      <c r="M1479" s="403" t="s">
        <v>10852</v>
      </c>
      <c r="N1479" s="403" t="s">
        <v>4152</v>
      </c>
      <c r="O1479" s="403" t="s">
        <v>7085</v>
      </c>
      <c r="P1479" s="403" t="s">
        <v>4153</v>
      </c>
      <c r="Q1479" s="403" t="s">
        <v>10853</v>
      </c>
      <c r="R1479" s="403" t="s">
        <v>19851</v>
      </c>
      <c r="S1479" s="403" t="s">
        <v>16659</v>
      </c>
      <c r="T1479" s="403" t="s">
        <v>16660</v>
      </c>
      <c r="U1479" s="403"/>
      <c r="V1479" s="403" t="s">
        <v>23024</v>
      </c>
      <c r="W1479" s="403" t="s">
        <v>23024</v>
      </c>
      <c r="X1479" s="403" t="s">
        <v>23024</v>
      </c>
      <c r="Y1479" s="403" t="s">
        <v>23024</v>
      </c>
    </row>
    <row r="1480" spans="1:25">
      <c r="A1480" s="363">
        <f t="shared" si="191"/>
        <v>1479</v>
      </c>
      <c r="B1480" s="363" t="str">
        <f t="shared" si="184"/>
        <v>44</v>
      </c>
      <c r="C1480" s="405" t="str">
        <f t="shared" si="185"/>
        <v>第012562号</v>
      </c>
      <c r="D1480" s="405" t="str">
        <f t="shared" si="186"/>
        <v>（株）敷島組</v>
      </c>
      <c r="E1480" s="405" t="str">
        <f t="shared" si="187"/>
        <v>代表取締役</v>
      </c>
      <c r="F1480" s="405" t="str">
        <f t="shared" si="188"/>
        <v>井手　禎二</v>
      </c>
      <c r="G1480" s="405" t="str">
        <f t="shared" si="189"/>
        <v>主たる営業所</v>
      </c>
      <c r="H1480" s="405" t="str">
        <f t="shared" si="190"/>
        <v>大分市碩田町２－２－５</v>
      </c>
      <c r="L1480" s="403" t="s">
        <v>10854</v>
      </c>
      <c r="M1480" s="403" t="s">
        <v>10855</v>
      </c>
      <c r="N1480" s="403" t="s">
        <v>4154</v>
      </c>
      <c r="O1480" s="403" t="s">
        <v>7084</v>
      </c>
      <c r="P1480" s="403" t="s">
        <v>4155</v>
      </c>
      <c r="Q1480" s="403" t="s">
        <v>10856</v>
      </c>
      <c r="R1480" s="403" t="s">
        <v>19852</v>
      </c>
      <c r="S1480" s="403" t="s">
        <v>16661</v>
      </c>
      <c r="T1480" s="403" t="s">
        <v>16662</v>
      </c>
      <c r="U1480" s="403"/>
      <c r="V1480" s="403" t="s">
        <v>23024</v>
      </c>
      <c r="W1480" s="403" t="s">
        <v>23024</v>
      </c>
      <c r="X1480" s="403" t="s">
        <v>23024</v>
      </c>
      <c r="Y1480" s="403" t="s">
        <v>23024</v>
      </c>
    </row>
    <row r="1481" spans="1:25">
      <c r="A1481" s="363">
        <f t="shared" si="191"/>
        <v>1480</v>
      </c>
      <c r="B1481" s="363" t="str">
        <f t="shared" si="184"/>
        <v>44</v>
      </c>
      <c r="C1481" s="405" t="str">
        <f t="shared" si="185"/>
        <v>第012572号</v>
      </c>
      <c r="D1481" s="405" t="str">
        <f t="shared" si="186"/>
        <v>（有）大成住建</v>
      </c>
      <c r="E1481" s="405" t="str">
        <f t="shared" si="187"/>
        <v>取締役</v>
      </c>
      <c r="F1481" s="405" t="str">
        <f t="shared" si="188"/>
        <v>豊永　友幸</v>
      </c>
      <c r="G1481" s="405" t="str">
        <f t="shared" si="189"/>
        <v>主たる営業所</v>
      </c>
      <c r="H1481" s="405" t="str">
        <f t="shared" si="190"/>
        <v>宇佐市大字下乙女４９８－１</v>
      </c>
      <c r="L1481" s="403" t="s">
        <v>10857</v>
      </c>
      <c r="M1481" s="403" t="s">
        <v>10858</v>
      </c>
      <c r="N1481" s="403" t="s">
        <v>4156</v>
      </c>
      <c r="O1481" s="403" t="s">
        <v>7085</v>
      </c>
      <c r="P1481" s="403" t="s">
        <v>4157</v>
      </c>
      <c r="Q1481" s="403" t="s">
        <v>10816</v>
      </c>
      <c r="R1481" s="403" t="s">
        <v>19853</v>
      </c>
      <c r="S1481" s="403" t="s">
        <v>16663</v>
      </c>
      <c r="T1481" s="403" t="s">
        <v>16664</v>
      </c>
      <c r="U1481" s="403"/>
      <c r="V1481" s="403" t="s">
        <v>23024</v>
      </c>
      <c r="W1481" s="403" t="s">
        <v>23024</v>
      </c>
      <c r="X1481" s="403" t="s">
        <v>23024</v>
      </c>
      <c r="Y1481" s="403" t="s">
        <v>23024</v>
      </c>
    </row>
    <row r="1482" spans="1:25">
      <c r="A1482" s="363">
        <f t="shared" si="191"/>
        <v>1481</v>
      </c>
      <c r="B1482" s="363" t="str">
        <f t="shared" si="184"/>
        <v>44</v>
      </c>
      <c r="C1482" s="405" t="str">
        <f t="shared" si="185"/>
        <v>第012573号</v>
      </c>
      <c r="D1482" s="405" t="str">
        <f t="shared" si="186"/>
        <v>（有）永松瓦工業</v>
      </c>
      <c r="E1482" s="405" t="str">
        <f t="shared" si="187"/>
        <v>代表取締役</v>
      </c>
      <c r="F1482" s="405" t="str">
        <f t="shared" si="188"/>
        <v>永松　陽一</v>
      </c>
      <c r="G1482" s="405" t="str">
        <f t="shared" si="189"/>
        <v>主たる営業所</v>
      </c>
      <c r="H1482" s="405" t="str">
        <f t="shared" si="190"/>
        <v>玖珠郡玖珠町大字塚脇１２０－１</v>
      </c>
      <c r="L1482" s="403" t="s">
        <v>10859</v>
      </c>
      <c r="M1482" s="403" t="s">
        <v>10860</v>
      </c>
      <c r="N1482" s="403" t="s">
        <v>4158</v>
      </c>
      <c r="O1482" s="403" t="s">
        <v>7084</v>
      </c>
      <c r="P1482" s="403" t="s">
        <v>4159</v>
      </c>
      <c r="Q1482" s="403" t="s">
        <v>8595</v>
      </c>
      <c r="R1482" s="403" t="s">
        <v>19854</v>
      </c>
      <c r="S1482" s="403" t="s">
        <v>16665</v>
      </c>
      <c r="T1482" s="403" t="s">
        <v>16666</v>
      </c>
      <c r="U1482" s="403"/>
      <c r="V1482" s="403" t="s">
        <v>23024</v>
      </c>
      <c r="W1482" s="403" t="s">
        <v>23024</v>
      </c>
      <c r="X1482" s="403" t="s">
        <v>23024</v>
      </c>
      <c r="Y1482" s="403" t="s">
        <v>23024</v>
      </c>
    </row>
    <row r="1483" spans="1:25">
      <c r="A1483" s="363">
        <f t="shared" si="191"/>
        <v>1482</v>
      </c>
      <c r="B1483" s="363" t="str">
        <f t="shared" si="184"/>
        <v>44</v>
      </c>
      <c r="C1483" s="405" t="str">
        <f t="shared" si="185"/>
        <v>第012580号</v>
      </c>
      <c r="D1483" s="405" t="str">
        <f t="shared" si="186"/>
        <v>（株）小畑組</v>
      </c>
      <c r="E1483" s="405" t="str">
        <f t="shared" si="187"/>
        <v>代表取締役</v>
      </c>
      <c r="F1483" s="405" t="str">
        <f t="shared" si="188"/>
        <v>小畑　博文</v>
      </c>
      <c r="G1483" s="405" t="str">
        <f t="shared" si="189"/>
        <v>主たる営業所</v>
      </c>
      <c r="H1483" s="405" t="str">
        <f t="shared" si="190"/>
        <v>由布市挾間町高崎１５２－４</v>
      </c>
      <c r="L1483" s="403" t="s">
        <v>10861</v>
      </c>
      <c r="M1483" s="403" t="s">
        <v>10862</v>
      </c>
      <c r="N1483" s="403" t="s">
        <v>4160</v>
      </c>
      <c r="O1483" s="403" t="s">
        <v>7084</v>
      </c>
      <c r="P1483" s="403" t="s">
        <v>4161</v>
      </c>
      <c r="Q1483" s="403" t="s">
        <v>10863</v>
      </c>
      <c r="R1483" s="403" t="s">
        <v>19855</v>
      </c>
      <c r="S1483" s="403" t="s">
        <v>16667</v>
      </c>
      <c r="T1483" s="403" t="s">
        <v>16668</v>
      </c>
      <c r="U1483" s="403"/>
      <c r="V1483" s="403" t="s">
        <v>23024</v>
      </c>
      <c r="W1483" s="403" t="s">
        <v>23024</v>
      </c>
      <c r="X1483" s="403" t="s">
        <v>23024</v>
      </c>
      <c r="Y1483" s="403" t="s">
        <v>23024</v>
      </c>
    </row>
    <row r="1484" spans="1:25">
      <c r="A1484" s="363">
        <f t="shared" si="191"/>
        <v>1483</v>
      </c>
      <c r="B1484" s="363" t="str">
        <f t="shared" si="184"/>
        <v>44</v>
      </c>
      <c r="C1484" s="405" t="str">
        <f t="shared" si="185"/>
        <v>第012586号</v>
      </c>
      <c r="D1484" s="405" t="str">
        <f t="shared" si="186"/>
        <v>九州特殊土木（株）</v>
      </c>
      <c r="E1484" s="405" t="str">
        <f t="shared" si="187"/>
        <v>代表取締役</v>
      </c>
      <c r="F1484" s="405" t="str">
        <f t="shared" si="188"/>
        <v>山中　大成</v>
      </c>
      <c r="G1484" s="405" t="str">
        <f t="shared" si="189"/>
        <v>主たる営業所</v>
      </c>
      <c r="H1484" s="405" t="str">
        <f t="shared" si="190"/>
        <v>豊後高田市高田２８７８</v>
      </c>
      <c r="L1484" s="403" t="s">
        <v>10864</v>
      </c>
      <c r="M1484" s="403" t="s">
        <v>10865</v>
      </c>
      <c r="N1484" s="403" t="s">
        <v>4162</v>
      </c>
      <c r="O1484" s="403" t="s">
        <v>7084</v>
      </c>
      <c r="P1484" s="403" t="s">
        <v>4163</v>
      </c>
      <c r="Q1484" s="403" t="s">
        <v>7669</v>
      </c>
      <c r="R1484" s="403" t="s">
        <v>5639</v>
      </c>
      <c r="S1484" s="403" t="s">
        <v>16669</v>
      </c>
      <c r="T1484" s="403" t="s">
        <v>16670</v>
      </c>
      <c r="U1484" s="403"/>
      <c r="V1484" s="403" t="s">
        <v>23024</v>
      </c>
      <c r="W1484" s="403" t="s">
        <v>23024</v>
      </c>
      <c r="X1484" s="403" t="s">
        <v>23024</v>
      </c>
      <c r="Y1484" s="403" t="s">
        <v>23024</v>
      </c>
    </row>
    <row r="1485" spans="1:25">
      <c r="A1485" s="363">
        <f t="shared" si="191"/>
        <v>1484</v>
      </c>
      <c r="B1485" s="363" t="str">
        <f t="shared" si="184"/>
        <v>44</v>
      </c>
      <c r="C1485" s="405" t="str">
        <f t="shared" si="185"/>
        <v>第012590号</v>
      </c>
      <c r="D1485" s="405" t="str">
        <f t="shared" si="186"/>
        <v>（有）エムクラフト</v>
      </c>
      <c r="E1485" s="405" t="str">
        <f t="shared" si="187"/>
        <v>代表取締役</v>
      </c>
      <c r="F1485" s="405" t="str">
        <f t="shared" si="188"/>
        <v>御手洗　政幸</v>
      </c>
      <c r="G1485" s="405" t="str">
        <f t="shared" si="189"/>
        <v>主たる営業所</v>
      </c>
      <c r="H1485" s="405" t="str">
        <f t="shared" si="190"/>
        <v>大分市三川新町２－１－５５</v>
      </c>
      <c r="L1485" s="403" t="s">
        <v>10866</v>
      </c>
      <c r="M1485" s="403" t="s">
        <v>10867</v>
      </c>
      <c r="N1485" s="403" t="s">
        <v>4164</v>
      </c>
      <c r="O1485" s="403" t="s">
        <v>7084</v>
      </c>
      <c r="P1485" s="403" t="s">
        <v>2574</v>
      </c>
      <c r="Q1485" s="403" t="s">
        <v>8286</v>
      </c>
      <c r="R1485" s="403" t="s">
        <v>19856</v>
      </c>
      <c r="S1485" s="403" t="s">
        <v>16671</v>
      </c>
      <c r="T1485" s="403" t="s">
        <v>16672</v>
      </c>
      <c r="U1485" s="403"/>
      <c r="V1485" s="403" t="s">
        <v>23024</v>
      </c>
      <c r="W1485" s="403" t="s">
        <v>23024</v>
      </c>
      <c r="X1485" s="403" t="s">
        <v>23024</v>
      </c>
      <c r="Y1485" s="403" t="s">
        <v>23024</v>
      </c>
    </row>
    <row r="1486" spans="1:25">
      <c r="A1486" s="363">
        <f t="shared" si="191"/>
        <v>1485</v>
      </c>
      <c r="B1486" s="363" t="str">
        <f t="shared" si="184"/>
        <v>44</v>
      </c>
      <c r="C1486" s="405" t="str">
        <f t="shared" si="185"/>
        <v>第012593号</v>
      </c>
      <c r="D1486" s="405" t="str">
        <f t="shared" si="186"/>
        <v>（株）宮成環境開発</v>
      </c>
      <c r="E1486" s="405" t="str">
        <f t="shared" si="187"/>
        <v>代表取締役</v>
      </c>
      <c r="F1486" s="405" t="str">
        <f t="shared" si="188"/>
        <v>宮成　壽男</v>
      </c>
      <c r="G1486" s="405" t="str">
        <f t="shared" si="189"/>
        <v>主たる営業所</v>
      </c>
      <c r="H1486" s="405" t="str">
        <f t="shared" si="190"/>
        <v>豊後大野市犬飼町田原２９８４－２</v>
      </c>
      <c r="L1486" s="403" t="s">
        <v>10868</v>
      </c>
      <c r="M1486" s="403" t="s">
        <v>10869</v>
      </c>
      <c r="N1486" s="403" t="s">
        <v>4165</v>
      </c>
      <c r="O1486" s="403" t="s">
        <v>7084</v>
      </c>
      <c r="P1486" s="403" t="s">
        <v>4166</v>
      </c>
      <c r="Q1486" s="403" t="s">
        <v>7915</v>
      </c>
      <c r="R1486" s="403" t="s">
        <v>19115</v>
      </c>
      <c r="S1486" s="403" t="s">
        <v>16673</v>
      </c>
      <c r="T1486" s="403">
        <v>0</v>
      </c>
      <c r="U1486" s="403"/>
      <c r="V1486" s="403" t="s">
        <v>23024</v>
      </c>
      <c r="W1486" s="403" t="s">
        <v>23024</v>
      </c>
      <c r="X1486" s="403" t="s">
        <v>23024</v>
      </c>
      <c r="Y1486" s="403" t="s">
        <v>23024</v>
      </c>
    </row>
    <row r="1487" spans="1:25">
      <c r="A1487" s="363">
        <f t="shared" si="191"/>
        <v>1486</v>
      </c>
      <c r="B1487" s="363" t="str">
        <f t="shared" si="184"/>
        <v>44</v>
      </c>
      <c r="C1487" s="405" t="str">
        <f t="shared" si="185"/>
        <v>第012605号</v>
      </c>
      <c r="D1487" s="405" t="str">
        <f t="shared" si="186"/>
        <v>（株）誠貫</v>
      </c>
      <c r="E1487" s="405" t="str">
        <f t="shared" si="187"/>
        <v>代表取締役</v>
      </c>
      <c r="F1487" s="405" t="str">
        <f t="shared" si="188"/>
        <v>小川　光治</v>
      </c>
      <c r="G1487" s="405" t="str">
        <f t="shared" si="189"/>
        <v>主たる営業所</v>
      </c>
      <c r="H1487" s="405" t="str">
        <f t="shared" si="190"/>
        <v>佐伯市大字鶴望２２８－８</v>
      </c>
      <c r="L1487" s="403" t="s">
        <v>10870</v>
      </c>
      <c r="M1487" s="403" t="s">
        <v>10871</v>
      </c>
      <c r="N1487" s="403" t="s">
        <v>4167</v>
      </c>
      <c r="O1487" s="403" t="s">
        <v>7084</v>
      </c>
      <c r="P1487" s="403" t="s">
        <v>4168</v>
      </c>
      <c r="Q1487" s="403" t="s">
        <v>8463</v>
      </c>
      <c r="R1487" s="403" t="s">
        <v>19857</v>
      </c>
      <c r="S1487" s="403" t="s">
        <v>16674</v>
      </c>
      <c r="T1487" s="403" t="s">
        <v>16674</v>
      </c>
      <c r="U1487" s="403"/>
      <c r="V1487" s="403" t="s">
        <v>23024</v>
      </c>
      <c r="W1487" s="403" t="s">
        <v>23024</v>
      </c>
      <c r="X1487" s="403" t="s">
        <v>23024</v>
      </c>
      <c r="Y1487" s="403" t="s">
        <v>23024</v>
      </c>
    </row>
    <row r="1488" spans="1:25">
      <c r="A1488" s="363">
        <f t="shared" si="191"/>
        <v>1487</v>
      </c>
      <c r="B1488" s="363" t="str">
        <f t="shared" si="184"/>
        <v>44</v>
      </c>
      <c r="C1488" s="405" t="str">
        <f t="shared" si="185"/>
        <v>第012608号</v>
      </c>
      <c r="D1488" s="405" t="str">
        <f t="shared" si="186"/>
        <v>孝洋電設（株）</v>
      </c>
      <c r="E1488" s="405" t="str">
        <f t="shared" si="187"/>
        <v>代表取締役</v>
      </c>
      <c r="F1488" s="405" t="str">
        <f t="shared" si="188"/>
        <v>木戸　義人</v>
      </c>
      <c r="G1488" s="405" t="str">
        <f t="shared" si="189"/>
        <v>主たる営業所</v>
      </c>
      <c r="H1488" s="405" t="str">
        <f t="shared" si="190"/>
        <v>大分市大字津守字積ノ下４９９－１３</v>
      </c>
      <c r="L1488" s="403" t="s">
        <v>10872</v>
      </c>
      <c r="M1488" s="403" t="s">
        <v>10873</v>
      </c>
      <c r="N1488" s="403" t="s">
        <v>4169</v>
      </c>
      <c r="O1488" s="403" t="s">
        <v>7084</v>
      </c>
      <c r="P1488" s="403" t="s">
        <v>4170</v>
      </c>
      <c r="Q1488" s="403" t="s">
        <v>7756</v>
      </c>
      <c r="R1488" s="403" t="s">
        <v>19858</v>
      </c>
      <c r="S1488" s="403" t="s">
        <v>16675</v>
      </c>
      <c r="T1488" s="403" t="s">
        <v>16676</v>
      </c>
      <c r="U1488" s="403"/>
      <c r="V1488" s="403" t="s">
        <v>23024</v>
      </c>
      <c r="W1488" s="403" t="s">
        <v>23024</v>
      </c>
      <c r="X1488" s="403" t="s">
        <v>23024</v>
      </c>
      <c r="Y1488" s="403" t="s">
        <v>23024</v>
      </c>
    </row>
    <row r="1489" spans="1:25">
      <c r="A1489" s="363">
        <f t="shared" si="191"/>
        <v>1488</v>
      </c>
      <c r="B1489" s="363" t="str">
        <f t="shared" si="184"/>
        <v>44</v>
      </c>
      <c r="C1489" s="405" t="str">
        <f t="shared" si="185"/>
        <v>第012611号</v>
      </c>
      <c r="D1489" s="405" t="str">
        <f t="shared" si="186"/>
        <v>（株）イースマイル</v>
      </c>
      <c r="E1489" s="405" t="str">
        <f t="shared" si="187"/>
        <v>代表取締役</v>
      </c>
      <c r="F1489" s="405" t="str">
        <f t="shared" si="188"/>
        <v>清松　英次</v>
      </c>
      <c r="G1489" s="405" t="str">
        <f t="shared" si="189"/>
        <v>主たる営業所</v>
      </c>
      <c r="H1489" s="405" t="str">
        <f t="shared" si="190"/>
        <v>佐伯市大字堅田５３０８－２</v>
      </c>
      <c r="L1489" s="403" t="s">
        <v>10874</v>
      </c>
      <c r="M1489" s="403" t="s">
        <v>10875</v>
      </c>
      <c r="N1489" s="403" t="s">
        <v>4171</v>
      </c>
      <c r="O1489" s="403" t="s">
        <v>7084</v>
      </c>
      <c r="P1489" s="403" t="s">
        <v>4172</v>
      </c>
      <c r="Q1489" s="403" t="s">
        <v>9820</v>
      </c>
      <c r="R1489" s="403" t="s">
        <v>19859</v>
      </c>
      <c r="S1489" s="403" t="s">
        <v>16677</v>
      </c>
      <c r="T1489" s="403" t="s">
        <v>16678</v>
      </c>
      <c r="U1489" s="403"/>
      <c r="V1489" s="403" t="s">
        <v>23024</v>
      </c>
      <c r="W1489" s="403" t="s">
        <v>23024</v>
      </c>
      <c r="X1489" s="403" t="s">
        <v>23024</v>
      </c>
      <c r="Y1489" s="403" t="s">
        <v>23024</v>
      </c>
    </row>
    <row r="1490" spans="1:25">
      <c r="A1490" s="363">
        <f t="shared" si="191"/>
        <v>1489</v>
      </c>
      <c r="B1490" s="363" t="str">
        <f t="shared" si="184"/>
        <v>44</v>
      </c>
      <c r="C1490" s="405" t="str">
        <f t="shared" si="185"/>
        <v>第012621号</v>
      </c>
      <c r="D1490" s="405" t="str">
        <f t="shared" si="186"/>
        <v>サンオードウ（株）</v>
      </c>
      <c r="E1490" s="405" t="str">
        <f t="shared" si="187"/>
        <v>代表取締役</v>
      </c>
      <c r="F1490" s="405" t="str">
        <f t="shared" si="188"/>
        <v>樋口　直樹</v>
      </c>
      <c r="G1490" s="405" t="str">
        <f t="shared" si="189"/>
        <v>主たる営業所</v>
      </c>
      <c r="H1490" s="405" t="str">
        <f t="shared" si="190"/>
        <v>大分市南津留１９－２５</v>
      </c>
      <c r="L1490" s="403" t="s">
        <v>10876</v>
      </c>
      <c r="M1490" s="403" t="s">
        <v>10877</v>
      </c>
      <c r="N1490" s="403" t="s">
        <v>4173</v>
      </c>
      <c r="O1490" s="403" t="s">
        <v>7084</v>
      </c>
      <c r="P1490" s="403" t="s">
        <v>4174</v>
      </c>
      <c r="Q1490" s="403" t="s">
        <v>10878</v>
      </c>
      <c r="R1490" s="403" t="s">
        <v>19860</v>
      </c>
      <c r="S1490" s="403" t="s">
        <v>16679</v>
      </c>
      <c r="T1490" s="403" t="s">
        <v>16679</v>
      </c>
      <c r="U1490" s="403"/>
      <c r="V1490" s="403" t="s">
        <v>23024</v>
      </c>
      <c r="W1490" s="403" t="s">
        <v>23024</v>
      </c>
      <c r="X1490" s="403" t="s">
        <v>23024</v>
      </c>
      <c r="Y1490" s="403" t="s">
        <v>23024</v>
      </c>
    </row>
    <row r="1491" spans="1:25">
      <c r="A1491" s="363">
        <f t="shared" si="191"/>
        <v>1490</v>
      </c>
      <c r="B1491" s="363" t="str">
        <f t="shared" si="184"/>
        <v>44</v>
      </c>
      <c r="C1491" s="405" t="str">
        <f t="shared" si="185"/>
        <v>第012625号</v>
      </c>
      <c r="D1491" s="405" t="str">
        <f t="shared" si="186"/>
        <v>（株）大昇</v>
      </c>
      <c r="E1491" s="405" t="str">
        <f t="shared" si="187"/>
        <v>代表取締役</v>
      </c>
      <c r="F1491" s="405" t="str">
        <f t="shared" si="188"/>
        <v>相原　忠明</v>
      </c>
      <c r="G1491" s="405" t="str">
        <f t="shared" si="189"/>
        <v>主たる営業所</v>
      </c>
      <c r="H1491" s="405" t="str">
        <f t="shared" si="190"/>
        <v>中津市大字万田６６８－３</v>
      </c>
      <c r="L1491" s="403" t="s">
        <v>10879</v>
      </c>
      <c r="M1491" s="403" t="s">
        <v>10607</v>
      </c>
      <c r="N1491" s="403" t="s">
        <v>4175</v>
      </c>
      <c r="O1491" s="403" t="s">
        <v>7084</v>
      </c>
      <c r="P1491" s="403" t="s">
        <v>4176</v>
      </c>
      <c r="Q1491" s="403" t="s">
        <v>8090</v>
      </c>
      <c r="R1491" s="403" t="s">
        <v>19861</v>
      </c>
      <c r="S1491" s="403" t="s">
        <v>16680</v>
      </c>
      <c r="T1491" s="403" t="s">
        <v>16680</v>
      </c>
      <c r="U1491" s="403"/>
      <c r="V1491" s="403" t="s">
        <v>23024</v>
      </c>
      <c r="W1491" s="403" t="s">
        <v>23024</v>
      </c>
      <c r="X1491" s="403" t="s">
        <v>23024</v>
      </c>
      <c r="Y1491" s="403" t="s">
        <v>23024</v>
      </c>
    </row>
    <row r="1492" spans="1:25">
      <c r="A1492" s="363">
        <f t="shared" si="191"/>
        <v>1491</v>
      </c>
      <c r="B1492" s="363" t="str">
        <f t="shared" si="184"/>
        <v>44</v>
      </c>
      <c r="C1492" s="405" t="str">
        <f t="shared" si="185"/>
        <v>第012628号</v>
      </c>
      <c r="D1492" s="405" t="str">
        <f t="shared" si="186"/>
        <v>（有）オガワ商事</v>
      </c>
      <c r="E1492" s="405" t="str">
        <f t="shared" si="187"/>
        <v>代表取締役</v>
      </c>
      <c r="F1492" s="405" t="str">
        <f t="shared" si="188"/>
        <v>小川　隆司</v>
      </c>
      <c r="G1492" s="405" t="str">
        <f t="shared" si="189"/>
        <v>主たる営業所</v>
      </c>
      <c r="H1492" s="405" t="str">
        <f t="shared" si="190"/>
        <v>中津市大字相原３０３２－２０</v>
      </c>
      <c r="L1492" s="403" t="s">
        <v>10880</v>
      </c>
      <c r="M1492" s="403" t="s">
        <v>10881</v>
      </c>
      <c r="N1492" s="403" t="s">
        <v>4177</v>
      </c>
      <c r="O1492" s="403" t="s">
        <v>7084</v>
      </c>
      <c r="P1492" s="403" t="s">
        <v>4178</v>
      </c>
      <c r="Q1492" s="403" t="s">
        <v>9620</v>
      </c>
      <c r="R1492" s="403" t="s">
        <v>19862</v>
      </c>
      <c r="S1492" s="403" t="s">
        <v>16681</v>
      </c>
      <c r="T1492" s="403" t="s">
        <v>16682</v>
      </c>
      <c r="U1492" s="403"/>
      <c r="V1492" s="403" t="s">
        <v>23024</v>
      </c>
      <c r="W1492" s="403" t="s">
        <v>23024</v>
      </c>
      <c r="X1492" s="403" t="s">
        <v>23024</v>
      </c>
      <c r="Y1492" s="403" t="s">
        <v>23024</v>
      </c>
    </row>
    <row r="1493" spans="1:25">
      <c r="A1493" s="363">
        <f t="shared" si="191"/>
        <v>1492</v>
      </c>
      <c r="B1493" s="363" t="str">
        <f t="shared" si="184"/>
        <v>44</v>
      </c>
      <c r="C1493" s="405" t="str">
        <f t="shared" si="185"/>
        <v>第012634号</v>
      </c>
      <c r="D1493" s="405" t="str">
        <f t="shared" si="186"/>
        <v>（株）片岡組</v>
      </c>
      <c r="E1493" s="405" t="str">
        <f t="shared" si="187"/>
        <v>代表取締役</v>
      </c>
      <c r="F1493" s="405" t="str">
        <f t="shared" si="188"/>
        <v>片岡　孝雄</v>
      </c>
      <c r="G1493" s="405" t="str">
        <f t="shared" si="189"/>
        <v>主たる営業所</v>
      </c>
      <c r="H1493" s="405" t="str">
        <f t="shared" si="190"/>
        <v>佐伯市田の浦町３－７</v>
      </c>
      <c r="L1493" s="403" t="s">
        <v>10882</v>
      </c>
      <c r="M1493" s="403" t="s">
        <v>10883</v>
      </c>
      <c r="N1493" s="403" t="s">
        <v>4179</v>
      </c>
      <c r="O1493" s="403" t="s">
        <v>7084</v>
      </c>
      <c r="P1493" s="403" t="s">
        <v>4180</v>
      </c>
      <c r="Q1493" s="403" t="s">
        <v>10884</v>
      </c>
      <c r="R1493" s="403" t="s">
        <v>19863</v>
      </c>
      <c r="S1493" s="403" t="s">
        <v>16683</v>
      </c>
      <c r="T1493" s="403" t="s">
        <v>16684</v>
      </c>
      <c r="U1493" s="403"/>
      <c r="V1493" s="403" t="s">
        <v>23024</v>
      </c>
      <c r="W1493" s="403" t="s">
        <v>23024</v>
      </c>
      <c r="X1493" s="403" t="s">
        <v>23024</v>
      </c>
      <c r="Y1493" s="403" t="s">
        <v>23024</v>
      </c>
    </row>
    <row r="1494" spans="1:25">
      <c r="A1494" s="363">
        <f t="shared" si="191"/>
        <v>1493</v>
      </c>
      <c r="B1494" s="363" t="str">
        <f t="shared" si="184"/>
        <v>44</v>
      </c>
      <c r="C1494" s="405" t="str">
        <f t="shared" si="185"/>
        <v>第012640号</v>
      </c>
      <c r="D1494" s="405" t="str">
        <f t="shared" si="186"/>
        <v>幸設備工業（株）</v>
      </c>
      <c r="E1494" s="405" t="str">
        <f t="shared" si="187"/>
        <v>代表取締役</v>
      </c>
      <c r="F1494" s="405" t="str">
        <f t="shared" si="188"/>
        <v>佐藤　幸憲</v>
      </c>
      <c r="G1494" s="405" t="str">
        <f t="shared" si="189"/>
        <v>主たる営業所</v>
      </c>
      <c r="H1494" s="405" t="str">
        <f t="shared" si="190"/>
        <v>大分市上宗方２５７（ＡＩビル２Ｆ）</v>
      </c>
      <c r="L1494" s="403" t="s">
        <v>10885</v>
      </c>
      <c r="M1494" s="403" t="s">
        <v>10886</v>
      </c>
      <c r="N1494" s="403" t="s">
        <v>4181</v>
      </c>
      <c r="O1494" s="403" t="s">
        <v>7084</v>
      </c>
      <c r="P1494" s="403" t="s">
        <v>4182</v>
      </c>
      <c r="Q1494" s="403" t="s">
        <v>8655</v>
      </c>
      <c r="R1494" s="403" t="s">
        <v>19864</v>
      </c>
      <c r="S1494" s="403" t="s">
        <v>16685</v>
      </c>
      <c r="T1494" s="403" t="s">
        <v>16686</v>
      </c>
      <c r="U1494" s="403"/>
      <c r="V1494" s="403" t="s">
        <v>23024</v>
      </c>
      <c r="W1494" s="403" t="s">
        <v>23024</v>
      </c>
      <c r="X1494" s="403" t="s">
        <v>23024</v>
      </c>
      <c r="Y1494" s="403" t="s">
        <v>23024</v>
      </c>
    </row>
    <row r="1495" spans="1:25">
      <c r="A1495" s="363">
        <f t="shared" si="191"/>
        <v>1494</v>
      </c>
      <c r="B1495" s="363" t="str">
        <f t="shared" si="184"/>
        <v>44</v>
      </c>
      <c r="C1495" s="405" t="str">
        <f t="shared" si="185"/>
        <v>第012653号</v>
      </c>
      <c r="D1495" s="405" t="str">
        <f t="shared" si="186"/>
        <v>（有）大宮エンジニア</v>
      </c>
      <c r="E1495" s="405" t="str">
        <f t="shared" si="187"/>
        <v>代表取締役</v>
      </c>
      <c r="F1495" s="405" t="str">
        <f t="shared" si="188"/>
        <v>伊東　儀浩</v>
      </c>
      <c r="G1495" s="405" t="str">
        <f t="shared" si="189"/>
        <v>主たる営業所</v>
      </c>
      <c r="H1495" s="405" t="str">
        <f t="shared" si="190"/>
        <v>大分市大字高瀬４８－１</v>
      </c>
      <c r="L1495" s="403" t="s">
        <v>10887</v>
      </c>
      <c r="M1495" s="403" t="s">
        <v>10888</v>
      </c>
      <c r="N1495" s="403" t="s">
        <v>4183</v>
      </c>
      <c r="O1495" s="403" t="s">
        <v>7084</v>
      </c>
      <c r="P1495" s="403" t="s">
        <v>4184</v>
      </c>
      <c r="Q1495" s="403" t="s">
        <v>10889</v>
      </c>
      <c r="R1495" s="403" t="s">
        <v>19865</v>
      </c>
      <c r="S1495" s="403" t="s">
        <v>16687</v>
      </c>
      <c r="T1495" s="403" t="s">
        <v>16688</v>
      </c>
      <c r="U1495" s="403"/>
      <c r="V1495" s="403" t="s">
        <v>23024</v>
      </c>
      <c r="W1495" s="403" t="s">
        <v>23024</v>
      </c>
      <c r="X1495" s="403" t="s">
        <v>23024</v>
      </c>
      <c r="Y1495" s="403" t="s">
        <v>23024</v>
      </c>
    </row>
    <row r="1496" spans="1:25">
      <c r="A1496" s="363">
        <f t="shared" si="191"/>
        <v>1495</v>
      </c>
      <c r="B1496" s="363" t="str">
        <f t="shared" si="184"/>
        <v>44</v>
      </c>
      <c r="C1496" s="405" t="str">
        <f t="shared" si="185"/>
        <v>第012658号</v>
      </c>
      <c r="D1496" s="405" t="str">
        <f t="shared" si="186"/>
        <v>（株）志大産業</v>
      </c>
      <c r="E1496" s="405" t="str">
        <f t="shared" si="187"/>
        <v>代表取締役</v>
      </c>
      <c r="F1496" s="405" t="str">
        <f t="shared" si="188"/>
        <v>伊藤　康裕</v>
      </c>
      <c r="G1496" s="405" t="str">
        <f t="shared" si="189"/>
        <v>主たる営業所</v>
      </c>
      <c r="H1496" s="405" t="str">
        <f t="shared" si="190"/>
        <v>大分市大字志生木３１１１</v>
      </c>
      <c r="L1496" s="403" t="s">
        <v>10890</v>
      </c>
      <c r="M1496" s="403" t="s">
        <v>10891</v>
      </c>
      <c r="N1496" s="403" t="s">
        <v>4185</v>
      </c>
      <c r="O1496" s="403" t="s">
        <v>7084</v>
      </c>
      <c r="P1496" s="403" t="s">
        <v>4186</v>
      </c>
      <c r="Q1496" s="403" t="s">
        <v>10892</v>
      </c>
      <c r="R1496" s="403" t="s">
        <v>5640</v>
      </c>
      <c r="S1496" s="403" t="s">
        <v>16689</v>
      </c>
      <c r="T1496" s="403" t="s">
        <v>16690</v>
      </c>
      <c r="U1496" s="403"/>
      <c r="V1496" s="403" t="s">
        <v>23024</v>
      </c>
      <c r="W1496" s="403" t="s">
        <v>23024</v>
      </c>
      <c r="X1496" s="403" t="s">
        <v>23024</v>
      </c>
      <c r="Y1496" s="403" t="s">
        <v>23024</v>
      </c>
    </row>
    <row r="1497" spans="1:25">
      <c r="A1497" s="363">
        <f t="shared" si="191"/>
        <v>1496</v>
      </c>
      <c r="B1497" s="363" t="str">
        <f t="shared" si="184"/>
        <v>44</v>
      </c>
      <c r="C1497" s="405" t="str">
        <f t="shared" si="185"/>
        <v>第012666号</v>
      </c>
      <c r="D1497" s="405" t="str">
        <f t="shared" si="186"/>
        <v>（有）明成工業</v>
      </c>
      <c r="E1497" s="405" t="str">
        <f t="shared" si="187"/>
        <v>代表取締役</v>
      </c>
      <c r="F1497" s="405" t="str">
        <f t="shared" si="188"/>
        <v>坂田　明彦</v>
      </c>
      <c r="G1497" s="405" t="str">
        <f t="shared" si="189"/>
        <v>主たる営業所</v>
      </c>
      <c r="H1497" s="405" t="str">
        <f t="shared" si="190"/>
        <v>大分市大字三佐１９１４－１４</v>
      </c>
      <c r="L1497" s="403" t="s">
        <v>10893</v>
      </c>
      <c r="M1497" s="403" t="s">
        <v>10894</v>
      </c>
      <c r="N1497" s="403" t="s">
        <v>4187</v>
      </c>
      <c r="O1497" s="403" t="s">
        <v>7084</v>
      </c>
      <c r="P1497" s="403" t="s">
        <v>4188</v>
      </c>
      <c r="Q1497" s="403" t="s">
        <v>7413</v>
      </c>
      <c r="R1497" s="403" t="s">
        <v>19866</v>
      </c>
      <c r="S1497" s="403" t="s">
        <v>16691</v>
      </c>
      <c r="T1497" s="403" t="s">
        <v>16692</v>
      </c>
      <c r="U1497" s="403"/>
      <c r="V1497" s="403" t="s">
        <v>23024</v>
      </c>
      <c r="W1497" s="403" t="s">
        <v>23024</v>
      </c>
      <c r="X1497" s="403" t="s">
        <v>23024</v>
      </c>
      <c r="Y1497" s="403" t="s">
        <v>23024</v>
      </c>
    </row>
    <row r="1498" spans="1:25">
      <c r="A1498" s="363">
        <f t="shared" si="191"/>
        <v>1497</v>
      </c>
      <c r="B1498" s="363" t="str">
        <f t="shared" si="184"/>
        <v>44</v>
      </c>
      <c r="C1498" s="405" t="str">
        <f t="shared" si="185"/>
        <v>第012675号</v>
      </c>
      <c r="D1498" s="405" t="str">
        <f t="shared" si="186"/>
        <v>（株）九栄商事</v>
      </c>
      <c r="E1498" s="405" t="str">
        <f t="shared" si="187"/>
        <v>代表取締役</v>
      </c>
      <c r="F1498" s="405" t="str">
        <f t="shared" si="188"/>
        <v>梅城　智嘉</v>
      </c>
      <c r="G1498" s="405" t="str">
        <f t="shared" si="189"/>
        <v>主たる営業所</v>
      </c>
      <c r="H1498" s="405" t="str">
        <f t="shared" si="190"/>
        <v>大分市大字上戸次字田ノ尻３３０２－１</v>
      </c>
      <c r="L1498" s="403" t="s">
        <v>10895</v>
      </c>
      <c r="M1498" s="403" t="s">
        <v>10896</v>
      </c>
      <c r="N1498" s="403" t="s">
        <v>4189</v>
      </c>
      <c r="O1498" s="403" t="s">
        <v>7084</v>
      </c>
      <c r="P1498" s="403" t="s">
        <v>4190</v>
      </c>
      <c r="Q1498" s="403" t="s">
        <v>7422</v>
      </c>
      <c r="R1498" s="403" t="s">
        <v>19867</v>
      </c>
      <c r="S1498" s="403" t="s">
        <v>16693</v>
      </c>
      <c r="T1498" s="403" t="s">
        <v>19868</v>
      </c>
      <c r="U1498" s="403"/>
      <c r="V1498" s="403" t="s">
        <v>23024</v>
      </c>
      <c r="W1498" s="403" t="s">
        <v>23024</v>
      </c>
      <c r="X1498" s="403" t="s">
        <v>23024</v>
      </c>
      <c r="Y1498" s="403" t="s">
        <v>23024</v>
      </c>
    </row>
    <row r="1499" spans="1:25">
      <c r="A1499" s="363">
        <f t="shared" si="191"/>
        <v>1498</v>
      </c>
      <c r="B1499" s="363" t="str">
        <f t="shared" si="184"/>
        <v>44</v>
      </c>
      <c r="C1499" s="405" t="str">
        <f t="shared" si="185"/>
        <v>第012676号</v>
      </c>
      <c r="D1499" s="405" t="str">
        <f t="shared" si="186"/>
        <v>岩男工業（株）</v>
      </c>
      <c r="E1499" s="405" t="str">
        <f t="shared" si="187"/>
        <v>代表取締役</v>
      </c>
      <c r="F1499" s="405" t="str">
        <f t="shared" si="188"/>
        <v>岩男　聡</v>
      </c>
      <c r="G1499" s="405" t="str">
        <f t="shared" si="189"/>
        <v>主たる営業所</v>
      </c>
      <c r="H1499" s="405" t="str">
        <f t="shared" si="190"/>
        <v>大分市大字種具７２８</v>
      </c>
      <c r="L1499" s="403" t="s">
        <v>10897</v>
      </c>
      <c r="M1499" s="403" t="s">
        <v>10898</v>
      </c>
      <c r="N1499" s="403" t="s">
        <v>4191</v>
      </c>
      <c r="O1499" s="403" t="s">
        <v>7084</v>
      </c>
      <c r="P1499" s="403" t="s">
        <v>4192</v>
      </c>
      <c r="Q1499" s="403" t="s">
        <v>8268</v>
      </c>
      <c r="R1499" s="403" t="s">
        <v>5641</v>
      </c>
      <c r="S1499" s="403" t="s">
        <v>16694</v>
      </c>
      <c r="T1499" s="403" t="s">
        <v>16695</v>
      </c>
      <c r="U1499" s="403"/>
      <c r="V1499" s="403" t="s">
        <v>23024</v>
      </c>
      <c r="W1499" s="403" t="s">
        <v>23024</v>
      </c>
      <c r="X1499" s="403" t="s">
        <v>23024</v>
      </c>
      <c r="Y1499" s="403" t="s">
        <v>23024</v>
      </c>
    </row>
    <row r="1500" spans="1:25">
      <c r="A1500" s="363">
        <f t="shared" si="191"/>
        <v>1499</v>
      </c>
      <c r="B1500" s="363" t="str">
        <f t="shared" si="184"/>
        <v>44</v>
      </c>
      <c r="C1500" s="405" t="str">
        <f t="shared" si="185"/>
        <v>第012677号</v>
      </c>
      <c r="D1500" s="405" t="str">
        <f t="shared" si="186"/>
        <v>（有）心和総業</v>
      </c>
      <c r="E1500" s="405" t="str">
        <f t="shared" si="187"/>
        <v>代表取締役</v>
      </c>
      <c r="F1500" s="405" t="str">
        <f t="shared" si="188"/>
        <v>木許　勝</v>
      </c>
      <c r="G1500" s="405" t="str">
        <f t="shared" si="189"/>
        <v>主たる営業所</v>
      </c>
      <c r="H1500" s="405" t="str">
        <f t="shared" si="190"/>
        <v>佐伯市野岡町２－５－５</v>
      </c>
      <c r="L1500" s="403" t="s">
        <v>10899</v>
      </c>
      <c r="M1500" s="403" t="s">
        <v>10900</v>
      </c>
      <c r="N1500" s="403" t="s">
        <v>4193</v>
      </c>
      <c r="O1500" s="403" t="s">
        <v>7084</v>
      </c>
      <c r="P1500" s="403" t="s">
        <v>4194</v>
      </c>
      <c r="Q1500" s="403" t="s">
        <v>10901</v>
      </c>
      <c r="R1500" s="403" t="s">
        <v>19869</v>
      </c>
      <c r="S1500" s="403" t="s">
        <v>16696</v>
      </c>
      <c r="T1500" s="403" t="s">
        <v>16697</v>
      </c>
      <c r="U1500" s="403"/>
      <c r="V1500" s="403" t="s">
        <v>23024</v>
      </c>
      <c r="W1500" s="403" t="s">
        <v>23024</v>
      </c>
      <c r="X1500" s="403" t="s">
        <v>23024</v>
      </c>
      <c r="Y1500" s="403" t="s">
        <v>23024</v>
      </c>
    </row>
    <row r="1501" spans="1:25">
      <c r="A1501" s="363">
        <f t="shared" si="191"/>
        <v>1500</v>
      </c>
      <c r="B1501" s="363" t="str">
        <f t="shared" si="184"/>
        <v>44</v>
      </c>
      <c r="C1501" s="405" t="str">
        <f t="shared" si="185"/>
        <v>第012687号</v>
      </c>
      <c r="D1501" s="405" t="str">
        <f t="shared" si="186"/>
        <v>（株）キョウセイ建設工業</v>
      </c>
      <c r="E1501" s="405" t="str">
        <f t="shared" si="187"/>
        <v>代表取締役</v>
      </c>
      <c r="F1501" s="405" t="str">
        <f t="shared" si="188"/>
        <v>三重野　精一</v>
      </c>
      <c r="G1501" s="405" t="str">
        <f t="shared" si="189"/>
        <v>主たる営業所</v>
      </c>
      <c r="H1501" s="405" t="str">
        <f t="shared" si="190"/>
        <v>大分市雄城台中央１－１３－１</v>
      </c>
      <c r="L1501" s="403" t="s">
        <v>19870</v>
      </c>
      <c r="M1501" s="403" t="s">
        <v>19871</v>
      </c>
      <c r="N1501" s="403" t="s">
        <v>19872</v>
      </c>
      <c r="O1501" s="403" t="s">
        <v>7084</v>
      </c>
      <c r="P1501" s="403" t="s">
        <v>19873</v>
      </c>
      <c r="Q1501" s="403" t="s">
        <v>19874</v>
      </c>
      <c r="R1501" s="403" t="s">
        <v>19875</v>
      </c>
      <c r="S1501" s="403" t="s">
        <v>19876</v>
      </c>
      <c r="T1501" s="403" t="s">
        <v>19876</v>
      </c>
      <c r="U1501" s="403"/>
      <c r="V1501" s="403" t="s">
        <v>23024</v>
      </c>
      <c r="W1501" s="403" t="s">
        <v>23024</v>
      </c>
      <c r="X1501" s="403" t="s">
        <v>23024</v>
      </c>
      <c r="Y1501" s="403" t="s">
        <v>23024</v>
      </c>
    </row>
    <row r="1502" spans="1:25">
      <c r="A1502" s="363">
        <f t="shared" si="191"/>
        <v>1501</v>
      </c>
      <c r="B1502" s="363" t="str">
        <f t="shared" si="184"/>
        <v>44</v>
      </c>
      <c r="C1502" s="405" t="str">
        <f t="shared" si="185"/>
        <v>第012696号</v>
      </c>
      <c r="D1502" s="405" t="str">
        <f t="shared" si="186"/>
        <v>（有）特進産業</v>
      </c>
      <c r="E1502" s="405" t="str">
        <f t="shared" si="187"/>
        <v>代表取締役</v>
      </c>
      <c r="F1502" s="405" t="str">
        <f t="shared" si="188"/>
        <v>染矢　正昭</v>
      </c>
      <c r="G1502" s="405" t="str">
        <f t="shared" si="189"/>
        <v>主たる営業所</v>
      </c>
      <c r="H1502" s="405" t="str">
        <f t="shared" si="190"/>
        <v>佐伯市大字池田１３３３－１</v>
      </c>
      <c r="L1502" s="403" t="s">
        <v>10903</v>
      </c>
      <c r="M1502" s="403" t="s">
        <v>10904</v>
      </c>
      <c r="N1502" s="403" t="s">
        <v>4195</v>
      </c>
      <c r="O1502" s="403" t="s">
        <v>7084</v>
      </c>
      <c r="P1502" s="403" t="s">
        <v>4196</v>
      </c>
      <c r="Q1502" s="403" t="s">
        <v>7888</v>
      </c>
      <c r="R1502" s="403" t="s">
        <v>19877</v>
      </c>
      <c r="S1502" s="403" t="s">
        <v>16698</v>
      </c>
      <c r="T1502" s="403" t="s">
        <v>16699</v>
      </c>
      <c r="U1502" s="403"/>
      <c r="V1502" s="403" t="s">
        <v>23024</v>
      </c>
      <c r="W1502" s="403" t="s">
        <v>23024</v>
      </c>
      <c r="X1502" s="403" t="s">
        <v>23024</v>
      </c>
      <c r="Y1502" s="403" t="s">
        <v>23024</v>
      </c>
    </row>
    <row r="1503" spans="1:25">
      <c r="A1503" s="363">
        <f t="shared" si="191"/>
        <v>1502</v>
      </c>
      <c r="B1503" s="363" t="str">
        <f t="shared" si="184"/>
        <v>44</v>
      </c>
      <c r="C1503" s="405" t="str">
        <f t="shared" si="185"/>
        <v>第012699号</v>
      </c>
      <c r="D1503" s="405" t="str">
        <f t="shared" si="186"/>
        <v>（株）ハヤシグリーンテクノ</v>
      </c>
      <c r="E1503" s="405" t="str">
        <f t="shared" si="187"/>
        <v>代表取締役</v>
      </c>
      <c r="F1503" s="405" t="str">
        <f t="shared" si="188"/>
        <v>加藤　稔</v>
      </c>
      <c r="G1503" s="405" t="str">
        <f t="shared" si="189"/>
        <v>主たる営業所</v>
      </c>
      <c r="H1503" s="405" t="str">
        <f t="shared" si="190"/>
        <v>大分市富士見が丘東４－１２－１０</v>
      </c>
      <c r="L1503" s="403" t="s">
        <v>10905</v>
      </c>
      <c r="M1503" s="403" t="s">
        <v>10906</v>
      </c>
      <c r="N1503" s="403" t="s">
        <v>4197</v>
      </c>
      <c r="O1503" s="403" t="s">
        <v>7084</v>
      </c>
      <c r="P1503" s="403" t="s">
        <v>4198</v>
      </c>
      <c r="Q1503" s="403" t="s">
        <v>10907</v>
      </c>
      <c r="R1503" s="403" t="s">
        <v>19878</v>
      </c>
      <c r="S1503" s="403" t="s">
        <v>16700</v>
      </c>
      <c r="T1503" s="403" t="s">
        <v>16701</v>
      </c>
      <c r="U1503" s="403"/>
      <c r="V1503" s="403" t="s">
        <v>23024</v>
      </c>
      <c r="W1503" s="403" t="s">
        <v>23024</v>
      </c>
      <c r="X1503" s="403" t="s">
        <v>23024</v>
      </c>
      <c r="Y1503" s="403" t="s">
        <v>23024</v>
      </c>
    </row>
    <row r="1504" spans="1:25">
      <c r="A1504" s="363">
        <f t="shared" si="191"/>
        <v>1503</v>
      </c>
      <c r="B1504" s="363" t="str">
        <f t="shared" si="184"/>
        <v>44</v>
      </c>
      <c r="C1504" s="405" t="str">
        <f t="shared" si="185"/>
        <v>第012700号</v>
      </c>
      <c r="D1504" s="405" t="str">
        <f t="shared" si="186"/>
        <v>（株）大山</v>
      </c>
      <c r="E1504" s="405" t="str">
        <f t="shared" si="187"/>
        <v>代表取締役</v>
      </c>
      <c r="F1504" s="405" t="str">
        <f t="shared" si="188"/>
        <v>川津　潔</v>
      </c>
      <c r="G1504" s="405" t="str">
        <f t="shared" si="189"/>
        <v>主たる営業所</v>
      </c>
      <c r="H1504" s="405" t="str">
        <f t="shared" si="190"/>
        <v>日田市大山町西大山２１０－１</v>
      </c>
      <c r="L1504" s="403" t="s">
        <v>10908</v>
      </c>
      <c r="M1504" s="403" t="s">
        <v>10909</v>
      </c>
      <c r="N1504" s="403" t="s">
        <v>4199</v>
      </c>
      <c r="O1504" s="403" t="s">
        <v>7084</v>
      </c>
      <c r="P1504" s="403" t="s">
        <v>4200</v>
      </c>
      <c r="Q1504" s="403" t="s">
        <v>8983</v>
      </c>
      <c r="R1504" s="403" t="s">
        <v>19879</v>
      </c>
      <c r="S1504" s="403" t="s">
        <v>16702</v>
      </c>
      <c r="T1504" s="403" t="s">
        <v>16703</v>
      </c>
      <c r="U1504" s="403"/>
      <c r="V1504" s="403" t="s">
        <v>23024</v>
      </c>
      <c r="W1504" s="403" t="s">
        <v>23024</v>
      </c>
      <c r="X1504" s="403" t="s">
        <v>23024</v>
      </c>
      <c r="Y1504" s="403" t="s">
        <v>23024</v>
      </c>
    </row>
    <row r="1505" spans="1:25">
      <c r="A1505" s="363">
        <f t="shared" si="191"/>
        <v>1504</v>
      </c>
      <c r="B1505" s="363" t="str">
        <f t="shared" si="184"/>
        <v>44</v>
      </c>
      <c r="C1505" s="405" t="str">
        <f t="shared" si="185"/>
        <v>第012702号</v>
      </c>
      <c r="D1505" s="405" t="str">
        <f t="shared" si="186"/>
        <v>（株）ＴＩＦネットワーク</v>
      </c>
      <c r="E1505" s="405" t="str">
        <f t="shared" si="187"/>
        <v>代表取締役</v>
      </c>
      <c r="F1505" s="405" t="str">
        <f t="shared" si="188"/>
        <v>佐藤　邦光</v>
      </c>
      <c r="G1505" s="405" t="str">
        <f t="shared" si="189"/>
        <v>主たる営業所</v>
      </c>
      <c r="H1505" s="405" t="str">
        <f t="shared" si="190"/>
        <v>大分市大字迫３６９－１</v>
      </c>
      <c r="L1505" s="403" t="s">
        <v>10910</v>
      </c>
      <c r="M1505" s="403" t="s">
        <v>10911</v>
      </c>
      <c r="N1505" s="403" t="s">
        <v>4201</v>
      </c>
      <c r="O1505" s="403" t="s">
        <v>7084</v>
      </c>
      <c r="P1505" s="403" t="s">
        <v>4202</v>
      </c>
      <c r="Q1505" s="403" t="s">
        <v>10117</v>
      </c>
      <c r="R1505" s="403" t="s">
        <v>19880</v>
      </c>
      <c r="S1505" s="403" t="s">
        <v>16704</v>
      </c>
      <c r="T1505" s="403" t="s">
        <v>16705</v>
      </c>
      <c r="U1505" s="403"/>
      <c r="V1505" s="403" t="s">
        <v>23024</v>
      </c>
      <c r="W1505" s="403" t="s">
        <v>23024</v>
      </c>
      <c r="X1505" s="403" t="s">
        <v>23024</v>
      </c>
      <c r="Y1505" s="403" t="s">
        <v>23024</v>
      </c>
    </row>
    <row r="1506" spans="1:25">
      <c r="A1506" s="363">
        <f t="shared" si="191"/>
        <v>1505</v>
      </c>
      <c r="B1506" s="363" t="str">
        <f t="shared" si="184"/>
        <v>44</v>
      </c>
      <c r="C1506" s="405" t="str">
        <f t="shared" si="185"/>
        <v>第012704号</v>
      </c>
      <c r="D1506" s="405" t="str">
        <f t="shared" si="186"/>
        <v>（株）大鐵</v>
      </c>
      <c r="E1506" s="405" t="str">
        <f t="shared" si="187"/>
        <v>代表取締役</v>
      </c>
      <c r="F1506" s="405" t="str">
        <f t="shared" si="188"/>
        <v>嶋津　満春</v>
      </c>
      <c r="G1506" s="405" t="str">
        <f t="shared" si="189"/>
        <v>主たる営業所</v>
      </c>
      <c r="H1506" s="405" t="str">
        <f t="shared" si="190"/>
        <v>大分市大字日吉原１－８</v>
      </c>
      <c r="L1506" s="403" t="s">
        <v>10912</v>
      </c>
      <c r="M1506" s="403" t="s">
        <v>10913</v>
      </c>
      <c r="N1506" s="403" t="s">
        <v>4203</v>
      </c>
      <c r="O1506" s="403" t="s">
        <v>7084</v>
      </c>
      <c r="P1506" s="403" t="s">
        <v>4204</v>
      </c>
      <c r="Q1506" s="403" t="s">
        <v>9517</v>
      </c>
      <c r="R1506" s="403" t="s">
        <v>19881</v>
      </c>
      <c r="S1506" s="403" t="s">
        <v>16706</v>
      </c>
      <c r="T1506" s="403" t="s">
        <v>16707</v>
      </c>
      <c r="U1506" s="403"/>
      <c r="V1506" s="403" t="s">
        <v>23024</v>
      </c>
      <c r="W1506" s="403" t="s">
        <v>23024</v>
      </c>
      <c r="X1506" s="403" t="s">
        <v>23024</v>
      </c>
      <c r="Y1506" s="403" t="s">
        <v>23024</v>
      </c>
    </row>
    <row r="1507" spans="1:25">
      <c r="A1507" s="363">
        <f t="shared" si="191"/>
        <v>1506</v>
      </c>
      <c r="B1507" s="363" t="str">
        <f t="shared" si="184"/>
        <v>44</v>
      </c>
      <c r="C1507" s="405" t="str">
        <f t="shared" si="185"/>
        <v>第012707号</v>
      </c>
      <c r="D1507" s="405" t="str">
        <f t="shared" si="186"/>
        <v>（株）ダイプロ</v>
      </c>
      <c r="E1507" s="405" t="str">
        <f t="shared" si="187"/>
        <v>代表取締役</v>
      </c>
      <c r="F1507" s="405" t="str">
        <f t="shared" si="188"/>
        <v>小野　日出明</v>
      </c>
      <c r="G1507" s="405" t="str">
        <f t="shared" si="189"/>
        <v>主たる営業所</v>
      </c>
      <c r="H1507" s="405" t="str">
        <f t="shared" si="190"/>
        <v>大分市新川西１－４－１７</v>
      </c>
      <c r="L1507" s="403" t="s">
        <v>10914</v>
      </c>
      <c r="M1507" s="403" t="s">
        <v>10915</v>
      </c>
      <c r="N1507" s="403" t="s">
        <v>4205</v>
      </c>
      <c r="O1507" s="403" t="s">
        <v>7084</v>
      </c>
      <c r="P1507" s="403" t="s">
        <v>4206</v>
      </c>
      <c r="Q1507" s="403" t="s">
        <v>10747</v>
      </c>
      <c r="R1507" s="403" t="s">
        <v>19882</v>
      </c>
      <c r="S1507" s="403" t="s">
        <v>16708</v>
      </c>
      <c r="T1507" s="403" t="s">
        <v>16709</v>
      </c>
      <c r="U1507" s="403"/>
      <c r="V1507" s="403" t="s">
        <v>23024</v>
      </c>
      <c r="W1507" s="403" t="s">
        <v>23024</v>
      </c>
      <c r="X1507" s="403" t="s">
        <v>23024</v>
      </c>
      <c r="Y1507" s="403" t="s">
        <v>23024</v>
      </c>
    </row>
    <row r="1508" spans="1:25">
      <c r="A1508" s="363">
        <f t="shared" si="191"/>
        <v>1507</v>
      </c>
      <c r="B1508" s="363" t="str">
        <f t="shared" si="184"/>
        <v>44</v>
      </c>
      <c r="C1508" s="405" t="str">
        <f t="shared" si="185"/>
        <v>第012708号</v>
      </c>
      <c r="D1508" s="405" t="str">
        <f t="shared" si="186"/>
        <v>（株）コウセイテック</v>
      </c>
      <c r="E1508" s="405" t="str">
        <f t="shared" si="187"/>
        <v>代表取締役</v>
      </c>
      <c r="F1508" s="405" t="str">
        <f t="shared" si="188"/>
        <v>青木　茂</v>
      </c>
      <c r="G1508" s="405" t="str">
        <f t="shared" si="189"/>
        <v>主たる営業所</v>
      </c>
      <c r="H1508" s="405" t="str">
        <f t="shared" si="190"/>
        <v>大分市向原東１－６－４</v>
      </c>
      <c r="L1508" s="403" t="s">
        <v>10916</v>
      </c>
      <c r="M1508" s="403" t="s">
        <v>10917</v>
      </c>
      <c r="N1508" s="403" t="s">
        <v>4207</v>
      </c>
      <c r="O1508" s="403" t="s">
        <v>7084</v>
      </c>
      <c r="P1508" s="403" t="s">
        <v>4208</v>
      </c>
      <c r="Q1508" s="403" t="s">
        <v>7336</v>
      </c>
      <c r="R1508" s="403" t="s">
        <v>19883</v>
      </c>
      <c r="S1508" s="403" t="s">
        <v>16710</v>
      </c>
      <c r="T1508" s="403" t="s">
        <v>16711</v>
      </c>
      <c r="U1508" s="403"/>
      <c r="V1508" s="403" t="s">
        <v>23024</v>
      </c>
      <c r="W1508" s="403" t="s">
        <v>23024</v>
      </c>
      <c r="X1508" s="403" t="s">
        <v>23024</v>
      </c>
      <c r="Y1508" s="403" t="s">
        <v>23024</v>
      </c>
    </row>
    <row r="1509" spans="1:25">
      <c r="A1509" s="363">
        <f t="shared" si="191"/>
        <v>1508</v>
      </c>
      <c r="B1509" s="363" t="str">
        <f t="shared" si="184"/>
        <v>44</v>
      </c>
      <c r="C1509" s="405" t="str">
        <f t="shared" si="185"/>
        <v>第012710号</v>
      </c>
      <c r="D1509" s="405" t="str">
        <f t="shared" si="186"/>
        <v>新成建設（株）</v>
      </c>
      <c r="E1509" s="405" t="str">
        <f t="shared" si="187"/>
        <v>代表取締役</v>
      </c>
      <c r="F1509" s="405" t="str">
        <f t="shared" si="188"/>
        <v>藤田　三吉</v>
      </c>
      <c r="G1509" s="405" t="str">
        <f t="shared" si="189"/>
        <v>主たる営業所</v>
      </c>
      <c r="H1509" s="405" t="str">
        <f t="shared" si="190"/>
        <v>大分市豊饒２－１－６</v>
      </c>
      <c r="L1509" s="403" t="s">
        <v>10918</v>
      </c>
      <c r="M1509" s="403" t="s">
        <v>9907</v>
      </c>
      <c r="N1509" s="403" t="s">
        <v>4209</v>
      </c>
      <c r="O1509" s="403" t="s">
        <v>7084</v>
      </c>
      <c r="P1509" s="403" t="s">
        <v>4210</v>
      </c>
      <c r="Q1509" s="403" t="s">
        <v>8799</v>
      </c>
      <c r="R1509" s="403" t="s">
        <v>19884</v>
      </c>
      <c r="S1509" s="403" t="s">
        <v>16712</v>
      </c>
      <c r="T1509" s="403" t="s">
        <v>16713</v>
      </c>
      <c r="U1509" s="403"/>
      <c r="V1509" s="403" t="s">
        <v>23024</v>
      </c>
      <c r="W1509" s="403" t="s">
        <v>23024</v>
      </c>
      <c r="X1509" s="403" t="s">
        <v>23024</v>
      </c>
      <c r="Y1509" s="403" t="s">
        <v>23024</v>
      </c>
    </row>
    <row r="1510" spans="1:25">
      <c r="A1510" s="363">
        <f t="shared" si="191"/>
        <v>1509</v>
      </c>
      <c r="B1510" s="363" t="str">
        <f t="shared" si="184"/>
        <v>44</v>
      </c>
      <c r="C1510" s="405" t="str">
        <f t="shared" si="185"/>
        <v>第012714号</v>
      </c>
      <c r="D1510" s="405" t="str">
        <f t="shared" si="186"/>
        <v>（有）日昇機工</v>
      </c>
      <c r="E1510" s="405" t="str">
        <f t="shared" si="187"/>
        <v>取締役</v>
      </c>
      <c r="F1510" s="405" t="str">
        <f t="shared" si="188"/>
        <v>甲斐　靖教</v>
      </c>
      <c r="G1510" s="405" t="str">
        <f t="shared" si="189"/>
        <v>主たる営業所</v>
      </c>
      <c r="H1510" s="405" t="str">
        <f t="shared" si="190"/>
        <v>大分市末広町２－９－２４</v>
      </c>
      <c r="L1510" s="403" t="s">
        <v>10919</v>
      </c>
      <c r="M1510" s="403" t="s">
        <v>10920</v>
      </c>
      <c r="N1510" s="403" t="s">
        <v>4211</v>
      </c>
      <c r="O1510" s="403" t="s">
        <v>7085</v>
      </c>
      <c r="P1510" s="403" t="s">
        <v>4212</v>
      </c>
      <c r="Q1510" s="403" t="s">
        <v>10833</v>
      </c>
      <c r="R1510" s="403" t="s">
        <v>19885</v>
      </c>
      <c r="S1510" s="403" t="s">
        <v>16714</v>
      </c>
      <c r="T1510" s="403" t="s">
        <v>16715</v>
      </c>
      <c r="U1510" s="403"/>
      <c r="V1510" s="403" t="s">
        <v>23024</v>
      </c>
      <c r="W1510" s="403" t="s">
        <v>23024</v>
      </c>
      <c r="X1510" s="403" t="s">
        <v>23024</v>
      </c>
      <c r="Y1510" s="403" t="s">
        <v>23024</v>
      </c>
    </row>
    <row r="1511" spans="1:25">
      <c r="A1511" s="363">
        <f t="shared" si="191"/>
        <v>1510</v>
      </c>
      <c r="B1511" s="363" t="str">
        <f t="shared" si="184"/>
        <v>44</v>
      </c>
      <c r="C1511" s="405" t="str">
        <f t="shared" si="185"/>
        <v>第012719号</v>
      </c>
      <c r="D1511" s="405" t="str">
        <f t="shared" si="186"/>
        <v>（有）渡邉安全工業</v>
      </c>
      <c r="E1511" s="405" t="str">
        <f t="shared" si="187"/>
        <v>代表取締役</v>
      </c>
      <c r="F1511" s="405" t="str">
        <f t="shared" si="188"/>
        <v>渡邉　秀樹</v>
      </c>
      <c r="G1511" s="405" t="str">
        <f t="shared" si="189"/>
        <v>主たる営業所</v>
      </c>
      <c r="H1511" s="405" t="str">
        <f t="shared" si="190"/>
        <v>大分市須賀２－９－２２</v>
      </c>
      <c r="L1511" s="403" t="s">
        <v>10921</v>
      </c>
      <c r="M1511" s="403" t="s">
        <v>10922</v>
      </c>
      <c r="N1511" s="403" t="s">
        <v>4213</v>
      </c>
      <c r="O1511" s="403" t="s">
        <v>7084</v>
      </c>
      <c r="P1511" s="403" t="s">
        <v>4214</v>
      </c>
      <c r="Q1511" s="403" t="s">
        <v>9872</v>
      </c>
      <c r="R1511" s="403" t="s">
        <v>19886</v>
      </c>
      <c r="S1511" s="403" t="s">
        <v>16716</v>
      </c>
      <c r="T1511" s="403" t="s">
        <v>16717</v>
      </c>
      <c r="U1511" s="403"/>
      <c r="V1511" s="403" t="s">
        <v>23024</v>
      </c>
      <c r="W1511" s="403" t="s">
        <v>23024</v>
      </c>
      <c r="X1511" s="403" t="s">
        <v>23024</v>
      </c>
      <c r="Y1511" s="403" t="s">
        <v>23024</v>
      </c>
    </row>
    <row r="1512" spans="1:25">
      <c r="A1512" s="363">
        <f t="shared" si="191"/>
        <v>1511</v>
      </c>
      <c r="B1512" s="363" t="str">
        <f t="shared" si="184"/>
        <v>44</v>
      </c>
      <c r="C1512" s="405" t="str">
        <f t="shared" si="185"/>
        <v>第012724号</v>
      </c>
      <c r="D1512" s="405" t="str">
        <f t="shared" si="186"/>
        <v>佐々木工業（株）</v>
      </c>
      <c r="E1512" s="405" t="str">
        <f t="shared" si="187"/>
        <v>代表取締役</v>
      </c>
      <c r="F1512" s="405" t="str">
        <f t="shared" si="188"/>
        <v>佐々木　幸子</v>
      </c>
      <c r="G1512" s="405" t="str">
        <f t="shared" si="189"/>
        <v>主たる営業所</v>
      </c>
      <c r="H1512" s="405" t="str">
        <f t="shared" si="190"/>
        <v>中津市大字植野１７６－１</v>
      </c>
      <c r="L1512" s="403" t="s">
        <v>10923</v>
      </c>
      <c r="M1512" s="403" t="s">
        <v>10924</v>
      </c>
      <c r="N1512" s="403" t="s">
        <v>4215</v>
      </c>
      <c r="O1512" s="403" t="s">
        <v>7084</v>
      </c>
      <c r="P1512" s="403" t="s">
        <v>4216</v>
      </c>
      <c r="Q1512" s="403" t="s">
        <v>8911</v>
      </c>
      <c r="R1512" s="403" t="s">
        <v>19887</v>
      </c>
      <c r="S1512" s="403" t="s">
        <v>16718</v>
      </c>
      <c r="T1512" s="403" t="s">
        <v>16719</v>
      </c>
      <c r="U1512" s="403"/>
      <c r="V1512" s="403" t="s">
        <v>23024</v>
      </c>
      <c r="W1512" s="403" t="s">
        <v>23024</v>
      </c>
      <c r="X1512" s="403" t="s">
        <v>23024</v>
      </c>
      <c r="Y1512" s="403" t="s">
        <v>23024</v>
      </c>
    </row>
    <row r="1513" spans="1:25">
      <c r="A1513" s="363">
        <f t="shared" si="191"/>
        <v>1512</v>
      </c>
      <c r="B1513" s="363" t="str">
        <f t="shared" si="184"/>
        <v>44</v>
      </c>
      <c r="C1513" s="405" t="str">
        <f t="shared" si="185"/>
        <v>第012730号</v>
      </c>
      <c r="D1513" s="405" t="str">
        <f t="shared" si="186"/>
        <v>（有）環境クリエート</v>
      </c>
      <c r="E1513" s="405" t="str">
        <f t="shared" si="187"/>
        <v>代表取締役</v>
      </c>
      <c r="F1513" s="405" t="str">
        <f t="shared" si="188"/>
        <v>釘宮　正明</v>
      </c>
      <c r="G1513" s="405" t="str">
        <f t="shared" si="189"/>
        <v>主たる営業所</v>
      </c>
      <c r="H1513" s="405" t="str">
        <f t="shared" si="190"/>
        <v>大分市ひばりケ丘２－３－６</v>
      </c>
      <c r="L1513" s="404" t="s">
        <v>10925</v>
      </c>
      <c r="M1513" s="404" t="s">
        <v>10926</v>
      </c>
      <c r="N1513" s="404" t="s">
        <v>4217</v>
      </c>
      <c r="O1513" s="404" t="s">
        <v>7084</v>
      </c>
      <c r="P1513" s="404" t="s">
        <v>4218</v>
      </c>
      <c r="Q1513" s="404" t="s">
        <v>8665</v>
      </c>
      <c r="R1513" s="404" t="s">
        <v>19888</v>
      </c>
      <c r="S1513" s="404" t="s">
        <v>16720</v>
      </c>
      <c r="T1513" s="404" t="s">
        <v>16720</v>
      </c>
      <c r="U1513" s="404"/>
      <c r="V1513" s="404" t="s">
        <v>23024</v>
      </c>
      <c r="W1513" s="404" t="s">
        <v>23024</v>
      </c>
      <c r="X1513" s="404" t="s">
        <v>23024</v>
      </c>
      <c r="Y1513" s="404" t="s">
        <v>23024</v>
      </c>
    </row>
    <row r="1514" spans="1:25">
      <c r="A1514" s="363">
        <f t="shared" si="191"/>
        <v>1513</v>
      </c>
      <c r="B1514" s="363" t="str">
        <f t="shared" si="184"/>
        <v>44</v>
      </c>
      <c r="C1514" s="405" t="str">
        <f t="shared" si="185"/>
        <v>第012743号</v>
      </c>
      <c r="D1514" s="405" t="str">
        <f t="shared" si="186"/>
        <v>（株）ホソウヤ</v>
      </c>
      <c r="E1514" s="405" t="str">
        <f t="shared" si="187"/>
        <v>代表取締役</v>
      </c>
      <c r="F1514" s="405" t="str">
        <f t="shared" si="188"/>
        <v>竜田　聖子</v>
      </c>
      <c r="G1514" s="405" t="str">
        <f t="shared" si="189"/>
        <v>主たる営業所</v>
      </c>
      <c r="H1514" s="405" t="str">
        <f t="shared" si="190"/>
        <v>大分市花高松２－９－３</v>
      </c>
      <c r="L1514" s="402" t="s">
        <v>10927</v>
      </c>
      <c r="M1514" s="402" t="s">
        <v>10928</v>
      </c>
      <c r="N1514" s="402" t="s">
        <v>4219</v>
      </c>
      <c r="O1514" s="402" t="s">
        <v>7084</v>
      </c>
      <c r="P1514" s="402" t="s">
        <v>5264</v>
      </c>
      <c r="Q1514" s="402" t="s">
        <v>8650</v>
      </c>
      <c r="R1514" s="402" t="s">
        <v>19889</v>
      </c>
      <c r="S1514" s="402" t="s">
        <v>16721</v>
      </c>
      <c r="T1514" s="402" t="s">
        <v>16722</v>
      </c>
      <c r="U1514" s="402"/>
      <c r="V1514" s="402" t="s">
        <v>23024</v>
      </c>
      <c r="W1514" s="402" t="s">
        <v>23024</v>
      </c>
      <c r="X1514" s="402" t="s">
        <v>23024</v>
      </c>
      <c r="Y1514" s="402" t="s">
        <v>23024</v>
      </c>
    </row>
    <row r="1515" spans="1:25">
      <c r="A1515" s="363">
        <f t="shared" si="191"/>
        <v>1514</v>
      </c>
      <c r="B1515" s="363" t="str">
        <f t="shared" si="184"/>
        <v>44</v>
      </c>
      <c r="C1515" s="405" t="str">
        <f t="shared" si="185"/>
        <v>第012756号</v>
      </c>
      <c r="D1515" s="405" t="str">
        <f t="shared" si="186"/>
        <v>（株）石井建設</v>
      </c>
      <c r="E1515" s="405" t="str">
        <f t="shared" si="187"/>
        <v>代表取締役</v>
      </c>
      <c r="F1515" s="405" t="str">
        <f t="shared" si="188"/>
        <v>本田　竜慎</v>
      </c>
      <c r="G1515" s="405" t="str">
        <f t="shared" si="189"/>
        <v>主たる営業所</v>
      </c>
      <c r="H1515" s="405" t="str">
        <f t="shared" si="190"/>
        <v>日田市大字三和１９６３－１</v>
      </c>
      <c r="L1515" s="403" t="s">
        <v>10929</v>
      </c>
      <c r="M1515" s="403" t="s">
        <v>10930</v>
      </c>
      <c r="N1515" s="403" t="s">
        <v>4220</v>
      </c>
      <c r="O1515" s="403" t="s">
        <v>7084</v>
      </c>
      <c r="P1515" s="403" t="s">
        <v>4221</v>
      </c>
      <c r="Q1515" s="403" t="s">
        <v>10252</v>
      </c>
      <c r="R1515" s="403" t="s">
        <v>19890</v>
      </c>
      <c r="S1515" s="403" t="s">
        <v>16723</v>
      </c>
      <c r="T1515" s="403" t="s">
        <v>16724</v>
      </c>
      <c r="U1515" s="403"/>
      <c r="V1515" s="403" t="s">
        <v>23024</v>
      </c>
      <c r="W1515" s="403" t="s">
        <v>23024</v>
      </c>
      <c r="X1515" s="403" t="s">
        <v>23024</v>
      </c>
      <c r="Y1515" s="403" t="s">
        <v>23024</v>
      </c>
    </row>
    <row r="1516" spans="1:25">
      <c r="A1516" s="363">
        <f t="shared" si="191"/>
        <v>1515</v>
      </c>
      <c r="B1516" s="363" t="str">
        <f t="shared" si="184"/>
        <v>44</v>
      </c>
      <c r="C1516" s="405" t="str">
        <f t="shared" si="185"/>
        <v>第012766号</v>
      </c>
      <c r="D1516" s="405" t="str">
        <f t="shared" si="186"/>
        <v>（株）五ヶ瀬</v>
      </c>
      <c r="E1516" s="405" t="str">
        <f t="shared" si="187"/>
        <v>代表取締役</v>
      </c>
      <c r="F1516" s="405" t="str">
        <f t="shared" si="188"/>
        <v>佐伯　渡</v>
      </c>
      <c r="G1516" s="405" t="str">
        <f t="shared" si="189"/>
        <v>主たる営業所</v>
      </c>
      <c r="H1516" s="405" t="str">
        <f t="shared" si="190"/>
        <v>由布市庄内町五ヶ瀬７８－１</v>
      </c>
      <c r="L1516" s="403" t="s">
        <v>10931</v>
      </c>
      <c r="M1516" s="403" t="s">
        <v>10932</v>
      </c>
      <c r="N1516" s="403" t="s">
        <v>4222</v>
      </c>
      <c r="O1516" s="403" t="s">
        <v>7084</v>
      </c>
      <c r="P1516" s="403" t="s">
        <v>4223</v>
      </c>
      <c r="Q1516" s="403" t="s">
        <v>10777</v>
      </c>
      <c r="R1516" s="403" t="s">
        <v>19891</v>
      </c>
      <c r="S1516" s="403" t="s">
        <v>16725</v>
      </c>
      <c r="T1516" s="403" t="s">
        <v>16726</v>
      </c>
      <c r="U1516" s="403"/>
      <c r="V1516" s="403" t="s">
        <v>23024</v>
      </c>
      <c r="W1516" s="403" t="s">
        <v>23024</v>
      </c>
      <c r="X1516" s="403" t="s">
        <v>23024</v>
      </c>
      <c r="Y1516" s="403" t="s">
        <v>23024</v>
      </c>
    </row>
    <row r="1517" spans="1:25">
      <c r="A1517" s="363">
        <f t="shared" si="191"/>
        <v>1516</v>
      </c>
      <c r="B1517" s="363" t="str">
        <f t="shared" si="184"/>
        <v>44</v>
      </c>
      <c r="C1517" s="405" t="str">
        <f t="shared" si="185"/>
        <v>第012767号</v>
      </c>
      <c r="D1517" s="405" t="str">
        <f t="shared" si="186"/>
        <v>（株）佐藤組</v>
      </c>
      <c r="E1517" s="405" t="str">
        <f t="shared" si="187"/>
        <v>代表取締役</v>
      </c>
      <c r="F1517" s="405" t="str">
        <f t="shared" si="188"/>
        <v>佐藤　哲弥</v>
      </c>
      <c r="G1517" s="405" t="str">
        <f t="shared" si="189"/>
        <v>主たる営業所</v>
      </c>
      <c r="H1517" s="405" t="str">
        <f t="shared" si="190"/>
        <v>日田市大字内河野２２７</v>
      </c>
      <c r="L1517" s="403" t="s">
        <v>10933</v>
      </c>
      <c r="M1517" s="403" t="s">
        <v>10934</v>
      </c>
      <c r="N1517" s="403" t="s">
        <v>4224</v>
      </c>
      <c r="O1517" s="403" t="s">
        <v>7084</v>
      </c>
      <c r="P1517" s="403" t="s">
        <v>4225</v>
      </c>
      <c r="Q1517" s="403" t="s">
        <v>9558</v>
      </c>
      <c r="R1517" s="403" t="s">
        <v>5642</v>
      </c>
      <c r="S1517" s="403" t="s">
        <v>16727</v>
      </c>
      <c r="T1517" s="403" t="s">
        <v>16728</v>
      </c>
      <c r="U1517" s="403"/>
      <c r="V1517" s="403" t="s">
        <v>23024</v>
      </c>
      <c r="W1517" s="403" t="s">
        <v>23024</v>
      </c>
      <c r="X1517" s="403" t="s">
        <v>23024</v>
      </c>
      <c r="Y1517" s="403" t="s">
        <v>23024</v>
      </c>
    </row>
    <row r="1518" spans="1:25">
      <c r="A1518" s="363">
        <f t="shared" si="191"/>
        <v>1517</v>
      </c>
      <c r="B1518" s="363" t="str">
        <f t="shared" si="184"/>
        <v>44</v>
      </c>
      <c r="C1518" s="405" t="str">
        <f t="shared" si="185"/>
        <v>第012768号</v>
      </c>
      <c r="D1518" s="405" t="str">
        <f t="shared" si="186"/>
        <v>（株）京真電設</v>
      </c>
      <c r="E1518" s="405" t="str">
        <f t="shared" si="187"/>
        <v>代表取締役</v>
      </c>
      <c r="F1518" s="405" t="str">
        <f t="shared" si="188"/>
        <v>柴山　礼治</v>
      </c>
      <c r="G1518" s="405" t="str">
        <f t="shared" si="189"/>
        <v>主たる営業所</v>
      </c>
      <c r="H1518" s="405" t="str">
        <f t="shared" si="190"/>
        <v>大分市大字下郡３９６－１</v>
      </c>
      <c r="L1518" s="403" t="s">
        <v>10935</v>
      </c>
      <c r="M1518" s="403" t="s">
        <v>10936</v>
      </c>
      <c r="N1518" s="403" t="s">
        <v>4226</v>
      </c>
      <c r="O1518" s="403" t="s">
        <v>7084</v>
      </c>
      <c r="P1518" s="403" t="s">
        <v>4227</v>
      </c>
      <c r="Q1518" s="403" t="s">
        <v>7419</v>
      </c>
      <c r="R1518" s="403" t="s">
        <v>19892</v>
      </c>
      <c r="S1518" s="403" t="s">
        <v>16729</v>
      </c>
      <c r="T1518" s="403" t="s">
        <v>16730</v>
      </c>
      <c r="U1518" s="403"/>
      <c r="V1518" s="403" t="s">
        <v>23024</v>
      </c>
      <c r="W1518" s="403" t="s">
        <v>23024</v>
      </c>
      <c r="X1518" s="403" t="s">
        <v>23024</v>
      </c>
      <c r="Y1518" s="403" t="s">
        <v>23024</v>
      </c>
    </row>
    <row r="1519" spans="1:25">
      <c r="A1519" s="363">
        <f t="shared" si="191"/>
        <v>1518</v>
      </c>
      <c r="B1519" s="363" t="str">
        <f t="shared" si="184"/>
        <v>44</v>
      </c>
      <c r="C1519" s="405" t="str">
        <f t="shared" si="185"/>
        <v>第012769号</v>
      </c>
      <c r="D1519" s="405" t="str">
        <f t="shared" si="186"/>
        <v>（有）酒井工業</v>
      </c>
      <c r="E1519" s="405" t="str">
        <f t="shared" si="187"/>
        <v>代表取締役</v>
      </c>
      <c r="F1519" s="405" t="str">
        <f t="shared" si="188"/>
        <v>酒井　太喜</v>
      </c>
      <c r="G1519" s="405" t="str">
        <f t="shared" si="189"/>
        <v>主たる営業所</v>
      </c>
      <c r="H1519" s="405" t="str">
        <f t="shared" si="190"/>
        <v>杵築市片野７４６</v>
      </c>
      <c r="L1519" s="403" t="s">
        <v>10937</v>
      </c>
      <c r="M1519" s="403" t="s">
        <v>10156</v>
      </c>
      <c r="N1519" s="403" t="s">
        <v>2353</v>
      </c>
      <c r="O1519" s="403" t="s">
        <v>7084</v>
      </c>
      <c r="P1519" s="403" t="s">
        <v>4228</v>
      </c>
      <c r="Q1519" s="403" t="s">
        <v>19893</v>
      </c>
      <c r="R1519" s="403" t="s">
        <v>19894</v>
      </c>
      <c r="S1519" s="403" t="s">
        <v>16731</v>
      </c>
      <c r="T1519" s="403" t="s">
        <v>19895</v>
      </c>
      <c r="U1519" s="403"/>
      <c r="V1519" s="403" t="s">
        <v>23024</v>
      </c>
      <c r="W1519" s="403" t="s">
        <v>23024</v>
      </c>
      <c r="X1519" s="403" t="s">
        <v>23024</v>
      </c>
      <c r="Y1519" s="403" t="s">
        <v>23024</v>
      </c>
    </row>
    <row r="1520" spans="1:25">
      <c r="A1520" s="363">
        <f t="shared" si="191"/>
        <v>1519</v>
      </c>
      <c r="B1520" s="363" t="str">
        <f t="shared" si="184"/>
        <v>44</v>
      </c>
      <c r="C1520" s="405" t="str">
        <f t="shared" si="185"/>
        <v>第012792号</v>
      </c>
      <c r="D1520" s="405" t="str">
        <f t="shared" si="186"/>
        <v>（株）エーネクスト</v>
      </c>
      <c r="E1520" s="405" t="str">
        <f t="shared" si="187"/>
        <v>代表取締役</v>
      </c>
      <c r="F1520" s="405" t="str">
        <f t="shared" si="188"/>
        <v>芦刈　隆弘</v>
      </c>
      <c r="G1520" s="405" t="str">
        <f t="shared" si="189"/>
        <v>主たる営業所</v>
      </c>
      <c r="H1520" s="405" t="str">
        <f t="shared" si="190"/>
        <v>佐伯市西浜１０８９７－６７</v>
      </c>
      <c r="L1520" s="403" t="s">
        <v>10938</v>
      </c>
      <c r="M1520" s="403" t="s">
        <v>10939</v>
      </c>
      <c r="N1520" s="403" t="s">
        <v>4229</v>
      </c>
      <c r="O1520" s="403" t="s">
        <v>7084</v>
      </c>
      <c r="P1520" s="403" t="s">
        <v>4230</v>
      </c>
      <c r="Q1520" s="403" t="s">
        <v>8523</v>
      </c>
      <c r="R1520" s="403" t="s">
        <v>19896</v>
      </c>
      <c r="S1520" s="403" t="s">
        <v>16732</v>
      </c>
      <c r="T1520" s="403" t="s">
        <v>16733</v>
      </c>
      <c r="U1520" s="403"/>
      <c r="V1520" s="403" t="s">
        <v>23024</v>
      </c>
      <c r="W1520" s="403" t="s">
        <v>23024</v>
      </c>
      <c r="X1520" s="403" t="s">
        <v>23024</v>
      </c>
      <c r="Y1520" s="403" t="s">
        <v>23024</v>
      </c>
    </row>
    <row r="1521" spans="1:25">
      <c r="A1521" s="363">
        <f t="shared" si="191"/>
        <v>1520</v>
      </c>
      <c r="B1521" s="363" t="str">
        <f t="shared" si="184"/>
        <v>44</v>
      </c>
      <c r="C1521" s="405" t="str">
        <f t="shared" si="185"/>
        <v>第012801号</v>
      </c>
      <c r="D1521" s="405" t="str">
        <f t="shared" si="186"/>
        <v>（有）エアーグラスシステム</v>
      </c>
      <c r="E1521" s="405" t="str">
        <f t="shared" si="187"/>
        <v>代表取締役</v>
      </c>
      <c r="F1521" s="405" t="str">
        <f t="shared" si="188"/>
        <v>中村　有紀彦</v>
      </c>
      <c r="G1521" s="405" t="str">
        <f t="shared" si="189"/>
        <v>主たる営業所</v>
      </c>
      <c r="H1521" s="405" t="str">
        <f t="shared" si="190"/>
        <v>日田市大字十二町字前川２４１－５</v>
      </c>
      <c r="L1521" s="403" t="s">
        <v>10940</v>
      </c>
      <c r="M1521" s="403" t="s">
        <v>10941</v>
      </c>
      <c r="N1521" s="403" t="s">
        <v>4231</v>
      </c>
      <c r="O1521" s="403" t="s">
        <v>7084</v>
      </c>
      <c r="P1521" s="403" t="s">
        <v>4232</v>
      </c>
      <c r="Q1521" s="403" t="s">
        <v>10636</v>
      </c>
      <c r="R1521" s="403" t="s">
        <v>19897</v>
      </c>
      <c r="S1521" s="403" t="s">
        <v>16734</v>
      </c>
      <c r="T1521" s="403" t="s">
        <v>16735</v>
      </c>
      <c r="U1521" s="403"/>
      <c r="V1521" s="403" t="s">
        <v>23024</v>
      </c>
      <c r="W1521" s="403" t="s">
        <v>23024</v>
      </c>
      <c r="X1521" s="403" t="s">
        <v>23024</v>
      </c>
      <c r="Y1521" s="403" t="s">
        <v>23024</v>
      </c>
    </row>
    <row r="1522" spans="1:25">
      <c r="A1522" s="363">
        <f t="shared" si="191"/>
        <v>1521</v>
      </c>
      <c r="B1522" s="363" t="str">
        <f t="shared" si="184"/>
        <v>44</v>
      </c>
      <c r="C1522" s="405" t="str">
        <f t="shared" si="185"/>
        <v>第012806号</v>
      </c>
      <c r="D1522" s="405" t="str">
        <f t="shared" si="186"/>
        <v>常信工業（有）</v>
      </c>
      <c r="E1522" s="405" t="str">
        <f t="shared" si="187"/>
        <v>代表取締役</v>
      </c>
      <c r="F1522" s="405" t="str">
        <f t="shared" si="188"/>
        <v>佐西　智也</v>
      </c>
      <c r="G1522" s="405" t="str">
        <f t="shared" si="189"/>
        <v>主たる営業所</v>
      </c>
      <c r="H1522" s="405" t="str">
        <f t="shared" si="190"/>
        <v>大分市大字津守１８１－３</v>
      </c>
      <c r="L1522" s="403" t="s">
        <v>19898</v>
      </c>
      <c r="M1522" s="403" t="s">
        <v>19899</v>
      </c>
      <c r="N1522" s="403" t="s">
        <v>19900</v>
      </c>
      <c r="O1522" s="403" t="s">
        <v>7084</v>
      </c>
      <c r="P1522" s="403" t="s">
        <v>19901</v>
      </c>
      <c r="Q1522" s="403" t="s">
        <v>7756</v>
      </c>
      <c r="R1522" s="403" t="s">
        <v>19902</v>
      </c>
      <c r="S1522" s="403" t="s">
        <v>19903</v>
      </c>
      <c r="T1522" s="403" t="s">
        <v>19904</v>
      </c>
      <c r="U1522" s="403"/>
      <c r="V1522" s="403" t="s">
        <v>23024</v>
      </c>
      <c r="W1522" s="403" t="s">
        <v>23024</v>
      </c>
      <c r="X1522" s="403" t="s">
        <v>23024</v>
      </c>
      <c r="Y1522" s="403" t="s">
        <v>23024</v>
      </c>
    </row>
    <row r="1523" spans="1:25">
      <c r="A1523" s="363">
        <f t="shared" si="191"/>
        <v>1522</v>
      </c>
      <c r="B1523" s="363" t="str">
        <f t="shared" si="184"/>
        <v>44</v>
      </c>
      <c r="C1523" s="405" t="str">
        <f t="shared" si="185"/>
        <v>第012807号</v>
      </c>
      <c r="D1523" s="405" t="str">
        <f t="shared" si="186"/>
        <v>（有）ナギシステム</v>
      </c>
      <c r="E1523" s="405" t="str">
        <f t="shared" si="187"/>
        <v>代表取締役</v>
      </c>
      <c r="F1523" s="405" t="str">
        <f t="shared" si="188"/>
        <v>那木　一隆</v>
      </c>
      <c r="G1523" s="405" t="str">
        <f t="shared" si="189"/>
        <v>主たる営業所</v>
      </c>
      <c r="H1523" s="405" t="str">
        <f t="shared" si="190"/>
        <v>大分市ふじが丘北２－２－５</v>
      </c>
      <c r="L1523" s="403" t="s">
        <v>10942</v>
      </c>
      <c r="M1523" s="403" t="s">
        <v>10943</v>
      </c>
      <c r="N1523" s="403" t="s">
        <v>4233</v>
      </c>
      <c r="O1523" s="403" t="s">
        <v>7084</v>
      </c>
      <c r="P1523" s="403" t="s">
        <v>4234</v>
      </c>
      <c r="Q1523" s="403" t="s">
        <v>10944</v>
      </c>
      <c r="R1523" s="403" t="s">
        <v>19905</v>
      </c>
      <c r="S1523" s="403" t="s">
        <v>16736</v>
      </c>
      <c r="T1523" s="403" t="s">
        <v>16737</v>
      </c>
      <c r="U1523" s="403"/>
      <c r="V1523" s="403" t="s">
        <v>23024</v>
      </c>
      <c r="W1523" s="403" t="s">
        <v>23024</v>
      </c>
      <c r="X1523" s="403" t="s">
        <v>23024</v>
      </c>
      <c r="Y1523" s="403" t="s">
        <v>23024</v>
      </c>
    </row>
    <row r="1524" spans="1:25">
      <c r="A1524" s="363">
        <f t="shared" si="191"/>
        <v>1523</v>
      </c>
      <c r="B1524" s="363" t="str">
        <f t="shared" si="184"/>
        <v>44</v>
      </c>
      <c r="C1524" s="405" t="str">
        <f t="shared" si="185"/>
        <v>第012810号</v>
      </c>
      <c r="D1524" s="405" t="str">
        <f t="shared" si="186"/>
        <v>河野工業（株）</v>
      </c>
      <c r="E1524" s="405" t="str">
        <f t="shared" si="187"/>
        <v>代表取締役</v>
      </c>
      <c r="F1524" s="405" t="str">
        <f t="shared" si="188"/>
        <v>河野　順也</v>
      </c>
      <c r="G1524" s="405" t="str">
        <f t="shared" si="189"/>
        <v>主たる営業所</v>
      </c>
      <c r="H1524" s="405" t="str">
        <f t="shared" si="190"/>
        <v>玖珠郡九重町大字右田８３１－５</v>
      </c>
      <c r="L1524" s="403" t="s">
        <v>10945</v>
      </c>
      <c r="M1524" s="403" t="s">
        <v>8770</v>
      </c>
      <c r="N1524" s="403" t="s">
        <v>4235</v>
      </c>
      <c r="O1524" s="403" t="s">
        <v>7084</v>
      </c>
      <c r="P1524" s="403" t="s">
        <v>4236</v>
      </c>
      <c r="Q1524" s="403" t="s">
        <v>7971</v>
      </c>
      <c r="R1524" s="403" t="s">
        <v>19906</v>
      </c>
      <c r="S1524" s="403" t="s">
        <v>16738</v>
      </c>
      <c r="T1524" s="403" t="s">
        <v>16739</v>
      </c>
      <c r="U1524" s="403"/>
      <c r="V1524" s="403" t="s">
        <v>23024</v>
      </c>
      <c r="W1524" s="403" t="s">
        <v>23024</v>
      </c>
      <c r="X1524" s="403" t="s">
        <v>23024</v>
      </c>
      <c r="Y1524" s="403" t="s">
        <v>23024</v>
      </c>
    </row>
    <row r="1525" spans="1:25">
      <c r="A1525" s="363">
        <f t="shared" si="191"/>
        <v>1524</v>
      </c>
      <c r="B1525" s="363" t="str">
        <f t="shared" si="184"/>
        <v>44</v>
      </c>
      <c r="C1525" s="405" t="str">
        <f t="shared" si="185"/>
        <v>第012811号</v>
      </c>
      <c r="D1525" s="405" t="str">
        <f t="shared" si="186"/>
        <v>（株）河野製作所</v>
      </c>
      <c r="E1525" s="405" t="str">
        <f t="shared" si="187"/>
        <v>代表取締役</v>
      </c>
      <c r="F1525" s="405" t="str">
        <f t="shared" si="188"/>
        <v>河野　茂喜</v>
      </c>
      <c r="G1525" s="405" t="str">
        <f t="shared" si="189"/>
        <v>主たる営業所</v>
      </c>
      <c r="H1525" s="405" t="str">
        <f t="shared" si="190"/>
        <v>大分市大道町１－３－３</v>
      </c>
      <c r="L1525" s="403" t="s">
        <v>10946</v>
      </c>
      <c r="M1525" s="403" t="s">
        <v>10947</v>
      </c>
      <c r="N1525" s="403" t="s">
        <v>4237</v>
      </c>
      <c r="O1525" s="403" t="s">
        <v>7084</v>
      </c>
      <c r="P1525" s="403" t="s">
        <v>4238</v>
      </c>
      <c r="Q1525" s="403" t="s">
        <v>8647</v>
      </c>
      <c r="R1525" s="403" t="s">
        <v>19907</v>
      </c>
      <c r="S1525" s="403" t="s">
        <v>16740</v>
      </c>
      <c r="T1525" s="403" t="s">
        <v>16741</v>
      </c>
      <c r="U1525" s="403"/>
      <c r="V1525" s="403" t="s">
        <v>23024</v>
      </c>
      <c r="W1525" s="403" t="s">
        <v>23024</v>
      </c>
      <c r="X1525" s="403" t="s">
        <v>23024</v>
      </c>
      <c r="Y1525" s="403" t="s">
        <v>23024</v>
      </c>
    </row>
    <row r="1526" spans="1:25">
      <c r="A1526" s="363">
        <f t="shared" si="191"/>
        <v>1525</v>
      </c>
      <c r="B1526" s="363" t="str">
        <f t="shared" si="184"/>
        <v>44</v>
      </c>
      <c r="C1526" s="405" t="str">
        <f t="shared" si="185"/>
        <v>第012824号</v>
      </c>
      <c r="D1526" s="405" t="str">
        <f t="shared" si="186"/>
        <v>大分サッシ（株）</v>
      </c>
      <c r="E1526" s="405" t="str">
        <f t="shared" si="187"/>
        <v>代表取締役</v>
      </c>
      <c r="F1526" s="405" t="str">
        <f t="shared" si="188"/>
        <v>池邉　武</v>
      </c>
      <c r="G1526" s="405" t="str">
        <f t="shared" si="189"/>
        <v>主たる営業所</v>
      </c>
      <c r="H1526" s="405" t="str">
        <f t="shared" si="190"/>
        <v>大分市萩原４－１０－２０</v>
      </c>
      <c r="L1526" s="403" t="s">
        <v>10948</v>
      </c>
      <c r="M1526" s="403" t="s">
        <v>10949</v>
      </c>
      <c r="N1526" s="403" t="s">
        <v>4239</v>
      </c>
      <c r="O1526" s="403" t="s">
        <v>7084</v>
      </c>
      <c r="P1526" s="403" t="s">
        <v>4240</v>
      </c>
      <c r="Q1526" s="403" t="s">
        <v>7394</v>
      </c>
      <c r="R1526" s="403" t="s">
        <v>19908</v>
      </c>
      <c r="S1526" s="403" t="s">
        <v>16742</v>
      </c>
      <c r="T1526" s="403" t="s">
        <v>16743</v>
      </c>
      <c r="U1526" s="403"/>
      <c r="V1526" s="403" t="s">
        <v>23024</v>
      </c>
      <c r="W1526" s="403" t="s">
        <v>23024</v>
      </c>
      <c r="X1526" s="403" t="s">
        <v>23024</v>
      </c>
      <c r="Y1526" s="403" t="s">
        <v>23024</v>
      </c>
    </row>
    <row r="1527" spans="1:25">
      <c r="A1527" s="363">
        <f t="shared" si="191"/>
        <v>1526</v>
      </c>
      <c r="B1527" s="363" t="str">
        <f t="shared" si="184"/>
        <v>44</v>
      </c>
      <c r="C1527" s="405" t="str">
        <f t="shared" si="185"/>
        <v>第012830号</v>
      </c>
      <c r="D1527" s="405" t="str">
        <f t="shared" si="186"/>
        <v>（株）エールコーポレーション</v>
      </c>
      <c r="E1527" s="405" t="str">
        <f t="shared" si="187"/>
        <v>代表取締役</v>
      </c>
      <c r="F1527" s="405" t="str">
        <f t="shared" si="188"/>
        <v>吉平　信一</v>
      </c>
      <c r="G1527" s="405" t="str">
        <f t="shared" si="189"/>
        <v>主たる営業所</v>
      </c>
      <c r="H1527" s="405" t="str">
        <f t="shared" si="190"/>
        <v>大分市畑中２－１０－１６</v>
      </c>
      <c r="L1527" s="403" t="s">
        <v>10950</v>
      </c>
      <c r="M1527" s="403" t="s">
        <v>10951</v>
      </c>
      <c r="N1527" s="403" t="s">
        <v>4241</v>
      </c>
      <c r="O1527" s="403" t="s">
        <v>7084</v>
      </c>
      <c r="P1527" s="403" t="s">
        <v>4242</v>
      </c>
      <c r="Q1527" s="403" t="s">
        <v>9334</v>
      </c>
      <c r="R1527" s="403" t="s">
        <v>19909</v>
      </c>
      <c r="S1527" s="403" t="s">
        <v>16744</v>
      </c>
      <c r="T1527" s="403" t="s">
        <v>16745</v>
      </c>
      <c r="U1527" s="403"/>
      <c r="V1527" s="403" t="s">
        <v>23024</v>
      </c>
      <c r="W1527" s="403" t="s">
        <v>23024</v>
      </c>
      <c r="X1527" s="403" t="s">
        <v>23024</v>
      </c>
      <c r="Y1527" s="403" t="s">
        <v>23024</v>
      </c>
    </row>
    <row r="1528" spans="1:25">
      <c r="A1528" s="363">
        <f t="shared" si="191"/>
        <v>1527</v>
      </c>
      <c r="B1528" s="363" t="str">
        <f t="shared" si="184"/>
        <v>44</v>
      </c>
      <c r="C1528" s="405" t="str">
        <f t="shared" si="185"/>
        <v>第012833号</v>
      </c>
      <c r="D1528" s="405" t="str">
        <f t="shared" si="186"/>
        <v>（有）日の出園</v>
      </c>
      <c r="E1528" s="405" t="str">
        <f t="shared" si="187"/>
        <v>代表取締役</v>
      </c>
      <c r="F1528" s="405" t="str">
        <f t="shared" si="188"/>
        <v>吉岡　慎朗</v>
      </c>
      <c r="G1528" s="405" t="str">
        <f t="shared" si="189"/>
        <v>主たる営業所</v>
      </c>
      <c r="H1528" s="405" t="str">
        <f t="shared" si="190"/>
        <v>速見郡日出町大字藤原４４１５－３</v>
      </c>
      <c r="L1528" s="403" t="s">
        <v>10952</v>
      </c>
      <c r="M1528" s="403" t="s">
        <v>10953</v>
      </c>
      <c r="N1528" s="403" t="s">
        <v>4243</v>
      </c>
      <c r="O1528" s="403" t="s">
        <v>7084</v>
      </c>
      <c r="P1528" s="403" t="s">
        <v>4244</v>
      </c>
      <c r="Q1528" s="403" t="s">
        <v>7619</v>
      </c>
      <c r="R1528" s="403" t="s">
        <v>19910</v>
      </c>
      <c r="S1528" s="403" t="s">
        <v>16746</v>
      </c>
      <c r="T1528" s="403" t="s">
        <v>16747</v>
      </c>
      <c r="U1528" s="403"/>
      <c r="V1528" s="403" t="s">
        <v>23024</v>
      </c>
      <c r="W1528" s="403" t="s">
        <v>23024</v>
      </c>
      <c r="X1528" s="403" t="s">
        <v>23024</v>
      </c>
      <c r="Y1528" s="403" t="s">
        <v>23024</v>
      </c>
    </row>
    <row r="1529" spans="1:25">
      <c r="A1529" s="363">
        <f t="shared" si="191"/>
        <v>1528</v>
      </c>
      <c r="B1529" s="363" t="str">
        <f t="shared" si="184"/>
        <v>44</v>
      </c>
      <c r="C1529" s="405" t="str">
        <f t="shared" si="185"/>
        <v>第012837号</v>
      </c>
      <c r="D1529" s="405" t="str">
        <f t="shared" si="186"/>
        <v>（株）芹川興産</v>
      </c>
      <c r="E1529" s="405" t="str">
        <f t="shared" si="187"/>
        <v>代表取締役</v>
      </c>
      <c r="F1529" s="405" t="str">
        <f t="shared" si="188"/>
        <v>小代　文三</v>
      </c>
      <c r="G1529" s="405" t="str">
        <f t="shared" si="189"/>
        <v>主たる営業所</v>
      </c>
      <c r="H1529" s="405" t="str">
        <f t="shared" si="190"/>
        <v>竹田市直入町大字下田北１０４－１</v>
      </c>
      <c r="L1529" s="403" t="s">
        <v>10954</v>
      </c>
      <c r="M1529" s="403" t="s">
        <v>10955</v>
      </c>
      <c r="N1529" s="403" t="s">
        <v>4245</v>
      </c>
      <c r="O1529" s="403" t="s">
        <v>7084</v>
      </c>
      <c r="P1529" s="403" t="s">
        <v>4246</v>
      </c>
      <c r="Q1529" s="403" t="s">
        <v>9149</v>
      </c>
      <c r="R1529" s="403" t="s">
        <v>19911</v>
      </c>
      <c r="S1529" s="403" t="s">
        <v>16748</v>
      </c>
      <c r="T1529" s="403" t="s">
        <v>16749</v>
      </c>
      <c r="U1529" s="403"/>
      <c r="V1529" s="403" t="s">
        <v>23024</v>
      </c>
      <c r="W1529" s="403" t="s">
        <v>23024</v>
      </c>
      <c r="X1529" s="403" t="s">
        <v>23024</v>
      </c>
      <c r="Y1529" s="403" t="s">
        <v>23024</v>
      </c>
    </row>
    <row r="1530" spans="1:25">
      <c r="A1530" s="363">
        <f t="shared" si="191"/>
        <v>1529</v>
      </c>
      <c r="B1530" s="363" t="str">
        <f t="shared" si="184"/>
        <v>44</v>
      </c>
      <c r="C1530" s="405" t="str">
        <f t="shared" si="185"/>
        <v>第012842号</v>
      </c>
      <c r="D1530" s="405" t="str">
        <f t="shared" si="186"/>
        <v>志手電気工事</v>
      </c>
      <c r="E1530" s="405" t="str">
        <f t="shared" si="187"/>
        <v>事業主</v>
      </c>
      <c r="F1530" s="405" t="str">
        <f t="shared" si="188"/>
        <v>志手　克彦</v>
      </c>
      <c r="G1530" s="405" t="str">
        <f t="shared" si="189"/>
        <v>主たる営業所</v>
      </c>
      <c r="H1530" s="405" t="str">
        <f t="shared" si="190"/>
        <v>由布市湯布院町川南４１７－１</v>
      </c>
      <c r="L1530" s="403" t="s">
        <v>10956</v>
      </c>
      <c r="M1530" s="403" t="s">
        <v>10957</v>
      </c>
      <c r="N1530" s="403" t="s">
        <v>4247</v>
      </c>
      <c r="O1530" s="403" t="s">
        <v>7088</v>
      </c>
      <c r="P1530" s="403" t="s">
        <v>4248</v>
      </c>
      <c r="Q1530" s="403" t="s">
        <v>7452</v>
      </c>
      <c r="R1530" s="403" t="s">
        <v>19912</v>
      </c>
      <c r="S1530" s="403" t="s">
        <v>16750</v>
      </c>
      <c r="T1530" s="403" t="s">
        <v>16751</v>
      </c>
      <c r="U1530" s="403"/>
      <c r="V1530" s="403" t="s">
        <v>23024</v>
      </c>
      <c r="W1530" s="403" t="s">
        <v>23024</v>
      </c>
      <c r="X1530" s="403" t="s">
        <v>23024</v>
      </c>
      <c r="Y1530" s="403" t="s">
        <v>23024</v>
      </c>
    </row>
    <row r="1531" spans="1:25">
      <c r="A1531" s="363">
        <f t="shared" si="191"/>
        <v>1530</v>
      </c>
      <c r="B1531" s="363" t="str">
        <f t="shared" si="184"/>
        <v>44</v>
      </c>
      <c r="C1531" s="405" t="str">
        <f t="shared" si="185"/>
        <v>第012857号</v>
      </c>
      <c r="D1531" s="405" t="str">
        <f t="shared" si="186"/>
        <v>（有）大河興業</v>
      </c>
      <c r="E1531" s="405" t="str">
        <f t="shared" si="187"/>
        <v>代表取締役</v>
      </c>
      <c r="F1531" s="405" t="str">
        <f t="shared" si="188"/>
        <v>河野　孝之</v>
      </c>
      <c r="G1531" s="405" t="str">
        <f t="shared" si="189"/>
        <v>主たる営業所</v>
      </c>
      <c r="H1531" s="405" t="str">
        <f t="shared" si="190"/>
        <v>大分市大字下宗方１４６８</v>
      </c>
      <c r="L1531" s="403" t="s">
        <v>10958</v>
      </c>
      <c r="M1531" s="403" t="s">
        <v>10959</v>
      </c>
      <c r="N1531" s="403" t="s">
        <v>4249</v>
      </c>
      <c r="O1531" s="403" t="s">
        <v>7084</v>
      </c>
      <c r="P1531" s="403" t="s">
        <v>4250</v>
      </c>
      <c r="Q1531" s="403" t="s">
        <v>7565</v>
      </c>
      <c r="R1531" s="403" t="s">
        <v>5643</v>
      </c>
      <c r="S1531" s="403" t="s">
        <v>16752</v>
      </c>
      <c r="T1531" s="403" t="s">
        <v>16753</v>
      </c>
      <c r="U1531" s="403"/>
      <c r="V1531" s="403" t="s">
        <v>23024</v>
      </c>
      <c r="W1531" s="403" t="s">
        <v>23024</v>
      </c>
      <c r="X1531" s="403" t="s">
        <v>23024</v>
      </c>
      <c r="Y1531" s="403" t="s">
        <v>23024</v>
      </c>
    </row>
    <row r="1532" spans="1:25">
      <c r="A1532" s="363">
        <f t="shared" si="191"/>
        <v>1531</v>
      </c>
      <c r="B1532" s="363" t="str">
        <f t="shared" si="184"/>
        <v>44</v>
      </c>
      <c r="C1532" s="405" t="str">
        <f t="shared" si="185"/>
        <v>第012861号</v>
      </c>
      <c r="D1532" s="405" t="str">
        <f t="shared" si="186"/>
        <v>（株）ＴＮＳ</v>
      </c>
      <c r="E1532" s="405" t="str">
        <f t="shared" si="187"/>
        <v>代表取締役</v>
      </c>
      <c r="F1532" s="405" t="str">
        <f t="shared" si="188"/>
        <v>高山　豊</v>
      </c>
      <c r="G1532" s="405" t="str">
        <f t="shared" si="189"/>
        <v>主たる営業所</v>
      </c>
      <c r="H1532" s="405" t="str">
        <f t="shared" si="190"/>
        <v>佐伯市弥生大字山梨子１５３１－１</v>
      </c>
      <c r="L1532" s="403" t="s">
        <v>10960</v>
      </c>
      <c r="M1532" s="403" t="s">
        <v>10961</v>
      </c>
      <c r="N1532" s="403" t="s">
        <v>4251</v>
      </c>
      <c r="O1532" s="403" t="s">
        <v>7084</v>
      </c>
      <c r="P1532" s="403" t="s">
        <v>4252</v>
      </c>
      <c r="Q1532" s="403" t="s">
        <v>8489</v>
      </c>
      <c r="R1532" s="403" t="s">
        <v>19913</v>
      </c>
      <c r="S1532" s="403" t="s">
        <v>16754</v>
      </c>
      <c r="T1532" s="403" t="s">
        <v>16755</v>
      </c>
      <c r="U1532" s="403"/>
      <c r="V1532" s="403" t="s">
        <v>23024</v>
      </c>
      <c r="W1532" s="403" t="s">
        <v>23024</v>
      </c>
      <c r="X1532" s="403" t="s">
        <v>23024</v>
      </c>
      <c r="Y1532" s="403" t="s">
        <v>23024</v>
      </c>
    </row>
    <row r="1533" spans="1:25">
      <c r="A1533" s="363">
        <f t="shared" si="191"/>
        <v>1532</v>
      </c>
      <c r="B1533" s="363" t="str">
        <f t="shared" si="184"/>
        <v>44</v>
      </c>
      <c r="C1533" s="405" t="str">
        <f t="shared" si="185"/>
        <v>第012862号</v>
      </c>
      <c r="D1533" s="405" t="str">
        <f t="shared" si="186"/>
        <v>（株）一広建設工業</v>
      </c>
      <c r="E1533" s="405" t="str">
        <f t="shared" si="187"/>
        <v>代表取締役</v>
      </c>
      <c r="F1533" s="405" t="str">
        <f t="shared" si="188"/>
        <v>廣岡　修一郎</v>
      </c>
      <c r="G1533" s="405" t="str">
        <f t="shared" si="189"/>
        <v>主たる営業所</v>
      </c>
      <c r="H1533" s="405" t="str">
        <f t="shared" si="190"/>
        <v>杵築市大字大内３１０５－４</v>
      </c>
      <c r="L1533" s="403" t="s">
        <v>10962</v>
      </c>
      <c r="M1533" s="403" t="s">
        <v>10963</v>
      </c>
      <c r="N1533" s="403" t="s">
        <v>4253</v>
      </c>
      <c r="O1533" s="403" t="s">
        <v>7084</v>
      </c>
      <c r="P1533" s="403" t="s">
        <v>4254</v>
      </c>
      <c r="Q1533" s="403" t="s">
        <v>7631</v>
      </c>
      <c r="R1533" s="403" t="s">
        <v>19914</v>
      </c>
      <c r="S1533" s="403" t="s">
        <v>16756</v>
      </c>
      <c r="T1533" s="403" t="s">
        <v>16756</v>
      </c>
      <c r="U1533" s="403"/>
      <c r="V1533" s="403" t="s">
        <v>23024</v>
      </c>
      <c r="W1533" s="403" t="s">
        <v>23024</v>
      </c>
      <c r="X1533" s="403" t="s">
        <v>23024</v>
      </c>
      <c r="Y1533" s="403" t="s">
        <v>23024</v>
      </c>
    </row>
    <row r="1534" spans="1:25">
      <c r="A1534" s="363">
        <f t="shared" si="191"/>
        <v>1533</v>
      </c>
      <c r="B1534" s="363" t="str">
        <f t="shared" si="184"/>
        <v>44</v>
      </c>
      <c r="C1534" s="405" t="str">
        <f t="shared" si="185"/>
        <v>第012866号</v>
      </c>
      <c r="D1534" s="405" t="str">
        <f t="shared" si="186"/>
        <v>（株）翼電機工業</v>
      </c>
      <c r="E1534" s="405" t="str">
        <f t="shared" si="187"/>
        <v>代表取締役</v>
      </c>
      <c r="F1534" s="405" t="str">
        <f t="shared" si="188"/>
        <v>二宮　真哲</v>
      </c>
      <c r="G1534" s="405" t="str">
        <f t="shared" si="189"/>
        <v>主たる営業所</v>
      </c>
      <c r="H1534" s="405" t="str">
        <f t="shared" si="190"/>
        <v>大分市尼が瀬１－２－４３</v>
      </c>
      <c r="L1534" s="403" t="s">
        <v>10964</v>
      </c>
      <c r="M1534" s="403" t="s">
        <v>10965</v>
      </c>
      <c r="N1534" s="403" t="s">
        <v>4255</v>
      </c>
      <c r="O1534" s="403" t="s">
        <v>7084</v>
      </c>
      <c r="P1534" s="403" t="s">
        <v>4256</v>
      </c>
      <c r="Q1534" s="403" t="s">
        <v>10966</v>
      </c>
      <c r="R1534" s="403" t="s">
        <v>19915</v>
      </c>
      <c r="S1534" s="403" t="s">
        <v>16757</v>
      </c>
      <c r="T1534" s="403" t="s">
        <v>16758</v>
      </c>
      <c r="U1534" s="403"/>
      <c r="V1534" s="403" t="s">
        <v>23024</v>
      </c>
      <c r="W1534" s="403" t="s">
        <v>23024</v>
      </c>
      <c r="X1534" s="403" t="s">
        <v>23024</v>
      </c>
      <c r="Y1534" s="403" t="s">
        <v>23024</v>
      </c>
    </row>
    <row r="1535" spans="1:25">
      <c r="A1535" s="363">
        <f t="shared" si="191"/>
        <v>1534</v>
      </c>
      <c r="B1535" s="363" t="str">
        <f t="shared" si="184"/>
        <v>44</v>
      </c>
      <c r="C1535" s="405" t="str">
        <f t="shared" si="185"/>
        <v>第012871号</v>
      </c>
      <c r="D1535" s="405" t="str">
        <f t="shared" si="186"/>
        <v>（株）大和特殊土木</v>
      </c>
      <c r="E1535" s="405" t="str">
        <f t="shared" si="187"/>
        <v>代表取締役</v>
      </c>
      <c r="F1535" s="405" t="str">
        <f t="shared" si="188"/>
        <v>植田　豊久</v>
      </c>
      <c r="G1535" s="405" t="str">
        <f t="shared" si="189"/>
        <v>主たる営業所</v>
      </c>
      <c r="H1535" s="405" t="str">
        <f t="shared" si="190"/>
        <v>中津市大字上宮永１１２２</v>
      </c>
      <c r="L1535" s="403" t="s">
        <v>10967</v>
      </c>
      <c r="M1535" s="403" t="s">
        <v>10968</v>
      </c>
      <c r="N1535" s="403" t="s">
        <v>4257</v>
      </c>
      <c r="O1535" s="403" t="s">
        <v>7084</v>
      </c>
      <c r="P1535" s="403" t="s">
        <v>4258</v>
      </c>
      <c r="Q1535" s="403" t="s">
        <v>8096</v>
      </c>
      <c r="R1535" s="403" t="s">
        <v>5644</v>
      </c>
      <c r="S1535" s="403" t="s">
        <v>16759</v>
      </c>
      <c r="T1535" s="403" t="s">
        <v>16760</v>
      </c>
      <c r="U1535" s="403"/>
      <c r="V1535" s="403" t="s">
        <v>23024</v>
      </c>
      <c r="W1535" s="403" t="s">
        <v>23024</v>
      </c>
      <c r="X1535" s="403" t="s">
        <v>23024</v>
      </c>
      <c r="Y1535" s="403" t="s">
        <v>23024</v>
      </c>
    </row>
    <row r="1536" spans="1:25">
      <c r="A1536" s="363">
        <f t="shared" si="191"/>
        <v>1535</v>
      </c>
      <c r="B1536" s="363" t="str">
        <f t="shared" si="184"/>
        <v>44</v>
      </c>
      <c r="C1536" s="405" t="str">
        <f t="shared" si="185"/>
        <v>第012872号</v>
      </c>
      <c r="D1536" s="405" t="str">
        <f t="shared" si="186"/>
        <v>エスケイ（有）</v>
      </c>
      <c r="E1536" s="405" t="str">
        <f t="shared" si="187"/>
        <v>代表取締役</v>
      </c>
      <c r="F1536" s="405" t="str">
        <f t="shared" si="188"/>
        <v>菅田　翔太</v>
      </c>
      <c r="G1536" s="405" t="str">
        <f t="shared" si="189"/>
        <v>主たる営業所</v>
      </c>
      <c r="H1536" s="405" t="str">
        <f t="shared" si="190"/>
        <v>大分市大字杉原５１１－１</v>
      </c>
      <c r="L1536" s="403" t="s">
        <v>10969</v>
      </c>
      <c r="M1536" s="403" t="s">
        <v>10970</v>
      </c>
      <c r="N1536" s="403" t="s">
        <v>4259</v>
      </c>
      <c r="O1536" s="403" t="s">
        <v>7084</v>
      </c>
      <c r="P1536" s="403" t="s">
        <v>19916</v>
      </c>
      <c r="Q1536" s="403" t="s">
        <v>10971</v>
      </c>
      <c r="R1536" s="403" t="s">
        <v>19917</v>
      </c>
      <c r="S1536" s="403" t="s">
        <v>16761</v>
      </c>
      <c r="T1536" s="403" t="s">
        <v>16762</v>
      </c>
      <c r="U1536" s="403"/>
      <c r="V1536" s="403" t="s">
        <v>23024</v>
      </c>
      <c r="W1536" s="403" t="s">
        <v>23024</v>
      </c>
      <c r="X1536" s="403" t="s">
        <v>23024</v>
      </c>
      <c r="Y1536" s="403" t="s">
        <v>23024</v>
      </c>
    </row>
    <row r="1537" spans="1:25">
      <c r="A1537" s="363">
        <f t="shared" si="191"/>
        <v>1536</v>
      </c>
      <c r="B1537" s="363" t="str">
        <f t="shared" si="184"/>
        <v>44</v>
      </c>
      <c r="C1537" s="405" t="str">
        <f t="shared" si="185"/>
        <v>第012875号</v>
      </c>
      <c r="D1537" s="405" t="str">
        <f t="shared" si="186"/>
        <v>（株）西日本建設</v>
      </c>
      <c r="E1537" s="405" t="str">
        <f t="shared" si="187"/>
        <v>代表取締役</v>
      </c>
      <c r="F1537" s="405" t="str">
        <f t="shared" si="188"/>
        <v>富永　龍太郎</v>
      </c>
      <c r="G1537" s="405" t="str">
        <f t="shared" si="189"/>
        <v>主たる営業所</v>
      </c>
      <c r="H1537" s="405" t="str">
        <f t="shared" si="190"/>
        <v>中津市三光森山６３６</v>
      </c>
      <c r="L1537" s="403" t="s">
        <v>10972</v>
      </c>
      <c r="M1537" s="403" t="s">
        <v>9864</v>
      </c>
      <c r="N1537" s="403" t="s">
        <v>4260</v>
      </c>
      <c r="O1537" s="403" t="s">
        <v>7084</v>
      </c>
      <c r="P1537" s="403" t="s">
        <v>4261</v>
      </c>
      <c r="Q1537" s="403" t="s">
        <v>10973</v>
      </c>
      <c r="R1537" s="403" t="s">
        <v>5645</v>
      </c>
      <c r="S1537" s="403" t="s">
        <v>16763</v>
      </c>
      <c r="T1537" s="403" t="s">
        <v>16764</v>
      </c>
      <c r="U1537" s="403"/>
      <c r="V1537" s="403" t="s">
        <v>23024</v>
      </c>
      <c r="W1537" s="403" t="s">
        <v>23024</v>
      </c>
      <c r="X1537" s="403" t="s">
        <v>23024</v>
      </c>
      <c r="Y1537" s="403" t="s">
        <v>23024</v>
      </c>
    </row>
    <row r="1538" spans="1:25">
      <c r="A1538" s="363">
        <f t="shared" si="191"/>
        <v>1537</v>
      </c>
      <c r="B1538" s="363" t="str">
        <f t="shared" ref="B1538:B1601" si="192">LEFT(L1538,2)</f>
        <v>44</v>
      </c>
      <c r="C1538" s="405" t="str">
        <f t="shared" ref="C1538:C1601" si="193">IF(B1538="","","第"&amp;RIGHT(L1538,6)&amp;"号")</f>
        <v>第012889号</v>
      </c>
      <c r="D1538" s="405" t="str">
        <f t="shared" ref="D1538:D1601" si="194">N1538</f>
        <v>（株）ゆうき</v>
      </c>
      <c r="E1538" s="405" t="str">
        <f t="shared" ref="E1538:E1601" si="195">IF(V1538="　",O1538,"")</f>
        <v>代表取締役</v>
      </c>
      <c r="F1538" s="405" t="str">
        <f t="shared" ref="F1538:F1601" si="196">IF(V1538="　",P1538,W1538)</f>
        <v>伊東　久美子</v>
      </c>
      <c r="G1538" s="405" t="str">
        <f t="shared" ref="G1538:G1601" si="197">IF(V1538="　","主たる営業所",V1538)</f>
        <v>主たる営業所</v>
      </c>
      <c r="H1538" s="405" t="str">
        <f t="shared" ref="H1538:H1601" si="198">IF(V1538="　",R1538,Y1538)</f>
        <v>津久見市大字津久見１４５３－１</v>
      </c>
      <c r="L1538" s="403" t="s">
        <v>10974</v>
      </c>
      <c r="M1538" s="403" t="s">
        <v>7953</v>
      </c>
      <c r="N1538" s="403" t="s">
        <v>4262</v>
      </c>
      <c r="O1538" s="403" t="s">
        <v>7084</v>
      </c>
      <c r="P1538" s="403" t="s">
        <v>4263</v>
      </c>
      <c r="Q1538" s="403" t="s">
        <v>7319</v>
      </c>
      <c r="R1538" s="403" t="s">
        <v>19100</v>
      </c>
      <c r="S1538" s="403" t="s">
        <v>16765</v>
      </c>
      <c r="T1538" s="403" t="s">
        <v>16765</v>
      </c>
      <c r="U1538" s="403"/>
      <c r="V1538" s="403" t="s">
        <v>23024</v>
      </c>
      <c r="W1538" s="403" t="s">
        <v>23024</v>
      </c>
      <c r="X1538" s="403" t="s">
        <v>23024</v>
      </c>
      <c r="Y1538" s="403" t="s">
        <v>23024</v>
      </c>
    </row>
    <row r="1539" spans="1:25">
      <c r="A1539" s="363">
        <f t="shared" ref="A1539:A1602" si="199">IF(B1539="","",A1538+1)</f>
        <v>1538</v>
      </c>
      <c r="B1539" s="363" t="str">
        <f t="shared" si="192"/>
        <v>44</v>
      </c>
      <c r="C1539" s="405" t="str">
        <f t="shared" si="193"/>
        <v>第012890号</v>
      </c>
      <c r="D1539" s="405" t="str">
        <f t="shared" si="194"/>
        <v>（株）ポンテック</v>
      </c>
      <c r="E1539" s="405" t="str">
        <f t="shared" si="195"/>
        <v>代表取締役</v>
      </c>
      <c r="F1539" s="405" t="str">
        <f t="shared" si="196"/>
        <v>和田　康宏</v>
      </c>
      <c r="G1539" s="405" t="str">
        <f t="shared" si="197"/>
        <v>主たる営業所</v>
      </c>
      <c r="H1539" s="405" t="str">
        <f t="shared" si="198"/>
        <v>大分市原川３－２－１</v>
      </c>
      <c r="L1539" s="403" t="s">
        <v>10975</v>
      </c>
      <c r="M1539" s="403" t="s">
        <v>10976</v>
      </c>
      <c r="N1539" s="403" t="s">
        <v>4264</v>
      </c>
      <c r="O1539" s="403" t="s">
        <v>7084</v>
      </c>
      <c r="P1539" s="403" t="s">
        <v>4265</v>
      </c>
      <c r="Q1539" s="403" t="s">
        <v>8742</v>
      </c>
      <c r="R1539" s="403" t="s">
        <v>19918</v>
      </c>
      <c r="S1539" s="403" t="s">
        <v>16766</v>
      </c>
      <c r="T1539" s="403" t="s">
        <v>16767</v>
      </c>
      <c r="U1539" s="403"/>
      <c r="V1539" s="403" t="s">
        <v>23024</v>
      </c>
      <c r="W1539" s="403" t="s">
        <v>23024</v>
      </c>
      <c r="X1539" s="403" t="s">
        <v>23024</v>
      </c>
      <c r="Y1539" s="403" t="s">
        <v>23024</v>
      </c>
    </row>
    <row r="1540" spans="1:25">
      <c r="A1540" s="363">
        <f t="shared" si="199"/>
        <v>1539</v>
      </c>
      <c r="B1540" s="363" t="str">
        <f t="shared" si="192"/>
        <v>44</v>
      </c>
      <c r="C1540" s="405" t="str">
        <f t="shared" si="193"/>
        <v>第012896号</v>
      </c>
      <c r="D1540" s="405" t="str">
        <f t="shared" si="194"/>
        <v>匠環境メンテナンス（株）</v>
      </c>
      <c r="E1540" s="405" t="str">
        <f t="shared" si="195"/>
        <v>代表取締役</v>
      </c>
      <c r="F1540" s="405" t="str">
        <f t="shared" si="196"/>
        <v>南　健太郎</v>
      </c>
      <c r="G1540" s="405" t="str">
        <f t="shared" si="197"/>
        <v>主たる営業所</v>
      </c>
      <c r="H1540" s="405" t="str">
        <f t="shared" si="198"/>
        <v>日田市上手町１－１－２</v>
      </c>
      <c r="L1540" s="403" t="s">
        <v>10977</v>
      </c>
      <c r="M1540" s="403" t="s">
        <v>10978</v>
      </c>
      <c r="N1540" s="403" t="s">
        <v>4266</v>
      </c>
      <c r="O1540" s="403" t="s">
        <v>7084</v>
      </c>
      <c r="P1540" s="403" t="s">
        <v>4267</v>
      </c>
      <c r="Q1540" s="403" t="s">
        <v>9263</v>
      </c>
      <c r="R1540" s="403" t="s">
        <v>19919</v>
      </c>
      <c r="S1540" s="403" t="s">
        <v>16768</v>
      </c>
      <c r="T1540" s="403" t="s">
        <v>16769</v>
      </c>
      <c r="U1540" s="403"/>
      <c r="V1540" s="403" t="s">
        <v>23024</v>
      </c>
      <c r="W1540" s="403" t="s">
        <v>23024</v>
      </c>
      <c r="X1540" s="403" t="s">
        <v>23024</v>
      </c>
      <c r="Y1540" s="403" t="s">
        <v>23024</v>
      </c>
    </row>
    <row r="1541" spans="1:25">
      <c r="A1541" s="363">
        <f t="shared" si="199"/>
        <v>1540</v>
      </c>
      <c r="B1541" s="363" t="str">
        <f t="shared" si="192"/>
        <v>44</v>
      </c>
      <c r="C1541" s="405" t="str">
        <f t="shared" si="193"/>
        <v>第012901号</v>
      </c>
      <c r="D1541" s="405" t="str">
        <f t="shared" si="194"/>
        <v>（株）ゴダイ</v>
      </c>
      <c r="E1541" s="405" t="str">
        <f t="shared" si="195"/>
        <v>代表取締役</v>
      </c>
      <c r="F1541" s="405" t="str">
        <f t="shared" si="196"/>
        <v>佐々木　幸代</v>
      </c>
      <c r="G1541" s="405" t="str">
        <f t="shared" si="197"/>
        <v>主たる営業所</v>
      </c>
      <c r="H1541" s="405" t="str">
        <f t="shared" si="198"/>
        <v>佐伯市弥生大字井崎１８７０－６</v>
      </c>
      <c r="L1541" s="403" t="s">
        <v>10979</v>
      </c>
      <c r="M1541" s="403" t="s">
        <v>10980</v>
      </c>
      <c r="N1541" s="403" t="s">
        <v>3233</v>
      </c>
      <c r="O1541" s="403" t="s">
        <v>7084</v>
      </c>
      <c r="P1541" s="403" t="s">
        <v>4268</v>
      </c>
      <c r="Q1541" s="403" t="s">
        <v>8486</v>
      </c>
      <c r="R1541" s="403" t="s">
        <v>19920</v>
      </c>
      <c r="S1541" s="403" t="s">
        <v>16770</v>
      </c>
      <c r="T1541" s="403" t="s">
        <v>16771</v>
      </c>
      <c r="U1541" s="403"/>
      <c r="V1541" s="403" t="s">
        <v>23024</v>
      </c>
      <c r="W1541" s="403" t="s">
        <v>23024</v>
      </c>
      <c r="X1541" s="403" t="s">
        <v>23024</v>
      </c>
      <c r="Y1541" s="403" t="s">
        <v>23024</v>
      </c>
    </row>
    <row r="1542" spans="1:25">
      <c r="A1542" s="363">
        <f t="shared" si="199"/>
        <v>1541</v>
      </c>
      <c r="B1542" s="363" t="str">
        <f t="shared" si="192"/>
        <v>44</v>
      </c>
      <c r="C1542" s="405" t="str">
        <f t="shared" si="193"/>
        <v>第012904号</v>
      </c>
      <c r="D1542" s="405" t="str">
        <f t="shared" si="194"/>
        <v>（有）大分ルーフテック</v>
      </c>
      <c r="E1542" s="405" t="str">
        <f t="shared" si="195"/>
        <v>代表取締役</v>
      </c>
      <c r="F1542" s="405" t="str">
        <f t="shared" si="196"/>
        <v>小城　崇宜</v>
      </c>
      <c r="G1542" s="405" t="str">
        <f t="shared" si="197"/>
        <v>主たる営業所</v>
      </c>
      <c r="H1542" s="405" t="str">
        <f t="shared" si="198"/>
        <v>別府市荘園町８－１２</v>
      </c>
      <c r="L1542" s="403" t="s">
        <v>10981</v>
      </c>
      <c r="M1542" s="403" t="s">
        <v>10982</v>
      </c>
      <c r="N1542" s="403" t="s">
        <v>4269</v>
      </c>
      <c r="O1542" s="403" t="s">
        <v>7084</v>
      </c>
      <c r="P1542" s="403" t="s">
        <v>4270</v>
      </c>
      <c r="Q1542" s="403" t="s">
        <v>8372</v>
      </c>
      <c r="R1542" s="403" t="s">
        <v>19921</v>
      </c>
      <c r="S1542" s="403" t="s">
        <v>16772</v>
      </c>
      <c r="T1542" s="403" t="s">
        <v>16773</v>
      </c>
      <c r="U1542" s="403"/>
      <c r="V1542" s="403" t="s">
        <v>23024</v>
      </c>
      <c r="W1542" s="403" t="s">
        <v>23024</v>
      </c>
      <c r="X1542" s="403" t="s">
        <v>23024</v>
      </c>
      <c r="Y1542" s="403" t="s">
        <v>23024</v>
      </c>
    </row>
    <row r="1543" spans="1:25">
      <c r="A1543" s="363">
        <f t="shared" si="199"/>
        <v>1542</v>
      </c>
      <c r="B1543" s="363" t="str">
        <f t="shared" si="192"/>
        <v>44</v>
      </c>
      <c r="C1543" s="405" t="str">
        <f t="shared" si="193"/>
        <v>第012910号</v>
      </c>
      <c r="D1543" s="405" t="str">
        <f t="shared" si="194"/>
        <v>（株）庭照</v>
      </c>
      <c r="E1543" s="405" t="str">
        <f t="shared" si="195"/>
        <v>代表取締役</v>
      </c>
      <c r="F1543" s="405" t="str">
        <f t="shared" si="196"/>
        <v>倉橋　誠</v>
      </c>
      <c r="G1543" s="405" t="str">
        <f t="shared" si="197"/>
        <v>主たる営業所</v>
      </c>
      <c r="H1543" s="405" t="str">
        <f t="shared" si="198"/>
        <v>由布市庄内町野畑７６０－４</v>
      </c>
      <c r="L1543" s="403" t="s">
        <v>10983</v>
      </c>
      <c r="M1543" s="403" t="s">
        <v>10984</v>
      </c>
      <c r="N1543" s="403" t="s">
        <v>4271</v>
      </c>
      <c r="O1543" s="403" t="s">
        <v>7084</v>
      </c>
      <c r="P1543" s="403" t="s">
        <v>4272</v>
      </c>
      <c r="Q1543" s="403" t="s">
        <v>8756</v>
      </c>
      <c r="R1543" s="403" t="s">
        <v>19922</v>
      </c>
      <c r="S1543" s="403" t="s">
        <v>16774</v>
      </c>
      <c r="T1543" s="403" t="s">
        <v>16775</v>
      </c>
      <c r="U1543" s="403"/>
      <c r="V1543" s="403" t="s">
        <v>23024</v>
      </c>
      <c r="W1543" s="403" t="s">
        <v>23024</v>
      </c>
      <c r="X1543" s="403" t="s">
        <v>23024</v>
      </c>
      <c r="Y1543" s="403" t="s">
        <v>23024</v>
      </c>
    </row>
    <row r="1544" spans="1:25">
      <c r="A1544" s="363">
        <f t="shared" si="199"/>
        <v>1543</v>
      </c>
      <c r="B1544" s="363" t="str">
        <f t="shared" si="192"/>
        <v>44</v>
      </c>
      <c r="C1544" s="405" t="str">
        <f t="shared" si="193"/>
        <v>第012924号</v>
      </c>
      <c r="D1544" s="405" t="str">
        <f t="shared" si="194"/>
        <v>ＡＩＤＡ　ＬＩＮＫ（株）</v>
      </c>
      <c r="E1544" s="405" t="str">
        <f t="shared" si="195"/>
        <v>代表取締役</v>
      </c>
      <c r="F1544" s="405" t="str">
        <f t="shared" si="196"/>
        <v>安永　満</v>
      </c>
      <c r="G1544" s="405" t="str">
        <f t="shared" si="197"/>
        <v>主たる営業所</v>
      </c>
      <c r="H1544" s="405" t="str">
        <f t="shared" si="198"/>
        <v>大分市西春日町１－６０</v>
      </c>
      <c r="L1544" s="403" t="s">
        <v>10985</v>
      </c>
      <c r="M1544" s="403" t="s">
        <v>10986</v>
      </c>
      <c r="N1544" s="403" t="s">
        <v>4273</v>
      </c>
      <c r="O1544" s="403" t="s">
        <v>7084</v>
      </c>
      <c r="P1544" s="403" t="s">
        <v>4274</v>
      </c>
      <c r="Q1544" s="403" t="s">
        <v>10987</v>
      </c>
      <c r="R1544" s="403" t="s">
        <v>19923</v>
      </c>
      <c r="S1544" s="403" t="s">
        <v>16776</v>
      </c>
      <c r="T1544" s="403" t="s">
        <v>16777</v>
      </c>
      <c r="U1544" s="403"/>
      <c r="V1544" s="403" t="s">
        <v>23024</v>
      </c>
      <c r="W1544" s="403" t="s">
        <v>23024</v>
      </c>
      <c r="X1544" s="403" t="s">
        <v>23024</v>
      </c>
      <c r="Y1544" s="403" t="s">
        <v>23024</v>
      </c>
    </row>
    <row r="1545" spans="1:25">
      <c r="A1545" s="363">
        <f t="shared" si="199"/>
        <v>1544</v>
      </c>
      <c r="B1545" s="363" t="str">
        <f t="shared" si="192"/>
        <v>44</v>
      </c>
      <c r="C1545" s="405" t="str">
        <f t="shared" si="193"/>
        <v>第012928号</v>
      </c>
      <c r="D1545" s="405" t="str">
        <f t="shared" si="194"/>
        <v>（有）河野建築</v>
      </c>
      <c r="E1545" s="405" t="str">
        <f t="shared" si="195"/>
        <v>代表取締役</v>
      </c>
      <c r="F1545" s="405" t="str">
        <f t="shared" si="196"/>
        <v>河野　直文</v>
      </c>
      <c r="G1545" s="405" t="str">
        <f t="shared" si="197"/>
        <v>主たる営業所</v>
      </c>
      <c r="H1545" s="405" t="str">
        <f t="shared" si="198"/>
        <v>竹田市大字挟田１５００</v>
      </c>
      <c r="L1545" s="403" t="s">
        <v>10988</v>
      </c>
      <c r="M1545" s="403" t="s">
        <v>10989</v>
      </c>
      <c r="N1545" s="403" t="s">
        <v>4275</v>
      </c>
      <c r="O1545" s="403" t="s">
        <v>7084</v>
      </c>
      <c r="P1545" s="403" t="s">
        <v>4276</v>
      </c>
      <c r="Q1545" s="403" t="s">
        <v>10008</v>
      </c>
      <c r="R1545" s="403" t="s">
        <v>5646</v>
      </c>
      <c r="S1545" s="403" t="s">
        <v>16778</v>
      </c>
      <c r="T1545" s="403" t="s">
        <v>16778</v>
      </c>
      <c r="U1545" s="403"/>
      <c r="V1545" s="403" t="s">
        <v>23024</v>
      </c>
      <c r="W1545" s="403" t="s">
        <v>23024</v>
      </c>
      <c r="X1545" s="403" t="s">
        <v>23024</v>
      </c>
      <c r="Y1545" s="403" t="s">
        <v>23024</v>
      </c>
    </row>
    <row r="1546" spans="1:25">
      <c r="A1546" s="363">
        <f t="shared" si="199"/>
        <v>1545</v>
      </c>
      <c r="B1546" s="363" t="str">
        <f t="shared" si="192"/>
        <v>44</v>
      </c>
      <c r="C1546" s="405" t="str">
        <f t="shared" si="193"/>
        <v>第012943号</v>
      </c>
      <c r="D1546" s="405" t="str">
        <f t="shared" si="194"/>
        <v>（株）ＴＡＸＣＥＬ</v>
      </c>
      <c r="E1546" s="405" t="str">
        <f t="shared" si="195"/>
        <v>代表取締役</v>
      </c>
      <c r="F1546" s="405" t="str">
        <f t="shared" si="196"/>
        <v>高崎　喜一</v>
      </c>
      <c r="G1546" s="405" t="str">
        <f t="shared" si="197"/>
        <v>主たる営業所</v>
      </c>
      <c r="H1546" s="405" t="str">
        <f t="shared" si="198"/>
        <v>大分市城南南２－５－３５</v>
      </c>
      <c r="L1546" s="403" t="s">
        <v>10990</v>
      </c>
      <c r="M1546" s="403" t="s">
        <v>10991</v>
      </c>
      <c r="N1546" s="403" t="s">
        <v>4277</v>
      </c>
      <c r="O1546" s="403" t="s">
        <v>7084</v>
      </c>
      <c r="P1546" s="403" t="s">
        <v>4278</v>
      </c>
      <c r="Q1546" s="403" t="s">
        <v>10992</v>
      </c>
      <c r="R1546" s="403" t="s">
        <v>19924</v>
      </c>
      <c r="S1546" s="403" t="s">
        <v>16779</v>
      </c>
      <c r="T1546" s="403" t="s">
        <v>16780</v>
      </c>
      <c r="U1546" s="403"/>
      <c r="V1546" s="403" t="s">
        <v>23024</v>
      </c>
      <c r="W1546" s="403" t="s">
        <v>23024</v>
      </c>
      <c r="X1546" s="403" t="s">
        <v>23024</v>
      </c>
      <c r="Y1546" s="403" t="s">
        <v>23024</v>
      </c>
    </row>
    <row r="1547" spans="1:25">
      <c r="A1547" s="363">
        <f t="shared" si="199"/>
        <v>1546</v>
      </c>
      <c r="B1547" s="363" t="str">
        <f t="shared" si="192"/>
        <v>44</v>
      </c>
      <c r="C1547" s="405" t="str">
        <f t="shared" si="193"/>
        <v>第012960号</v>
      </c>
      <c r="D1547" s="405" t="str">
        <f t="shared" si="194"/>
        <v>（株）ＡＭＡＢＥ</v>
      </c>
      <c r="E1547" s="405" t="str">
        <f t="shared" si="195"/>
        <v>代表取締役</v>
      </c>
      <c r="F1547" s="405" t="str">
        <f t="shared" si="196"/>
        <v>宇戸　宏一</v>
      </c>
      <c r="G1547" s="405" t="str">
        <f t="shared" si="197"/>
        <v>主たる営業所</v>
      </c>
      <c r="H1547" s="405" t="str">
        <f t="shared" si="198"/>
        <v>佐伯市野岡町１－９－２６</v>
      </c>
      <c r="L1547" s="403" t="s">
        <v>10993</v>
      </c>
      <c r="M1547" s="403" t="s">
        <v>10994</v>
      </c>
      <c r="N1547" s="403" t="s">
        <v>4279</v>
      </c>
      <c r="O1547" s="403" t="s">
        <v>7084</v>
      </c>
      <c r="P1547" s="403" t="s">
        <v>4280</v>
      </c>
      <c r="Q1547" s="403" t="s">
        <v>10901</v>
      </c>
      <c r="R1547" s="403" t="s">
        <v>19925</v>
      </c>
      <c r="S1547" s="403" t="s">
        <v>16781</v>
      </c>
      <c r="T1547" s="403" t="s">
        <v>16782</v>
      </c>
      <c r="U1547" s="403"/>
      <c r="V1547" s="403" t="s">
        <v>23024</v>
      </c>
      <c r="W1547" s="403" t="s">
        <v>23024</v>
      </c>
      <c r="X1547" s="403" t="s">
        <v>23024</v>
      </c>
      <c r="Y1547" s="403" t="s">
        <v>23024</v>
      </c>
    </row>
    <row r="1548" spans="1:25">
      <c r="A1548" s="363">
        <f t="shared" si="199"/>
        <v>1547</v>
      </c>
      <c r="B1548" s="363" t="str">
        <f t="shared" si="192"/>
        <v>44</v>
      </c>
      <c r="C1548" s="405" t="str">
        <f t="shared" si="193"/>
        <v>第012965号</v>
      </c>
      <c r="D1548" s="405" t="str">
        <f t="shared" si="194"/>
        <v>（有）足立産業</v>
      </c>
      <c r="E1548" s="405" t="str">
        <f t="shared" si="195"/>
        <v>代表取締役</v>
      </c>
      <c r="F1548" s="405" t="str">
        <f t="shared" si="196"/>
        <v>阿部　悦子</v>
      </c>
      <c r="G1548" s="405" t="str">
        <f t="shared" si="197"/>
        <v>主たる営業所</v>
      </c>
      <c r="H1548" s="405" t="str">
        <f t="shared" si="198"/>
        <v>大分市大字廻栖野１８５９－１</v>
      </c>
      <c r="L1548" s="403" t="s">
        <v>10995</v>
      </c>
      <c r="M1548" s="403" t="s">
        <v>10996</v>
      </c>
      <c r="N1548" s="403" t="s">
        <v>4281</v>
      </c>
      <c r="O1548" s="403" t="s">
        <v>7084</v>
      </c>
      <c r="P1548" s="403" t="s">
        <v>4282</v>
      </c>
      <c r="Q1548" s="403" t="s">
        <v>8300</v>
      </c>
      <c r="R1548" s="403" t="s">
        <v>19926</v>
      </c>
      <c r="S1548" s="403" t="s">
        <v>16783</v>
      </c>
      <c r="T1548" s="403" t="s">
        <v>16784</v>
      </c>
      <c r="U1548" s="403"/>
      <c r="V1548" s="403" t="s">
        <v>23024</v>
      </c>
      <c r="W1548" s="403" t="s">
        <v>23024</v>
      </c>
      <c r="X1548" s="403" t="s">
        <v>23024</v>
      </c>
      <c r="Y1548" s="403" t="s">
        <v>23024</v>
      </c>
    </row>
    <row r="1549" spans="1:25">
      <c r="A1549" s="363">
        <f t="shared" si="199"/>
        <v>1548</v>
      </c>
      <c r="B1549" s="363" t="str">
        <f t="shared" si="192"/>
        <v>44</v>
      </c>
      <c r="C1549" s="405" t="str">
        <f t="shared" si="193"/>
        <v>第012968号</v>
      </c>
      <c r="D1549" s="405" t="str">
        <f t="shared" si="194"/>
        <v>フラッド（株）</v>
      </c>
      <c r="E1549" s="405" t="str">
        <f t="shared" si="195"/>
        <v>代表取締役</v>
      </c>
      <c r="F1549" s="405" t="str">
        <f t="shared" si="196"/>
        <v>廣瀬　智幸</v>
      </c>
      <c r="G1549" s="405" t="str">
        <f t="shared" si="197"/>
        <v>主たる営業所</v>
      </c>
      <c r="H1549" s="405" t="str">
        <f t="shared" si="198"/>
        <v>竹田市直入町大字上田北５１０－６０</v>
      </c>
      <c r="L1549" s="403" t="s">
        <v>10997</v>
      </c>
      <c r="M1549" s="403" t="s">
        <v>10998</v>
      </c>
      <c r="N1549" s="403" t="s">
        <v>4283</v>
      </c>
      <c r="O1549" s="403" t="s">
        <v>7084</v>
      </c>
      <c r="P1549" s="403" t="s">
        <v>5265</v>
      </c>
      <c r="Q1549" s="403" t="s">
        <v>10999</v>
      </c>
      <c r="R1549" s="403" t="s">
        <v>19927</v>
      </c>
      <c r="S1549" s="403" t="s">
        <v>16785</v>
      </c>
      <c r="T1549" s="403" t="s">
        <v>16786</v>
      </c>
      <c r="U1549" s="403"/>
      <c r="V1549" s="403" t="s">
        <v>23024</v>
      </c>
      <c r="W1549" s="403" t="s">
        <v>23024</v>
      </c>
      <c r="X1549" s="403" t="s">
        <v>23024</v>
      </c>
      <c r="Y1549" s="403" t="s">
        <v>23024</v>
      </c>
    </row>
    <row r="1550" spans="1:25">
      <c r="A1550" s="363">
        <f t="shared" si="199"/>
        <v>1549</v>
      </c>
      <c r="B1550" s="363" t="str">
        <f t="shared" si="192"/>
        <v>44</v>
      </c>
      <c r="C1550" s="405" t="str">
        <f t="shared" si="193"/>
        <v>第012981号</v>
      </c>
      <c r="D1550" s="405" t="str">
        <f t="shared" si="194"/>
        <v>（株）吉良電工</v>
      </c>
      <c r="E1550" s="405" t="str">
        <f t="shared" si="195"/>
        <v>代表取締役</v>
      </c>
      <c r="F1550" s="405" t="str">
        <f t="shared" si="196"/>
        <v>吉良　清治</v>
      </c>
      <c r="G1550" s="405" t="str">
        <f t="shared" si="197"/>
        <v>主たる営業所</v>
      </c>
      <c r="H1550" s="405" t="str">
        <f t="shared" si="198"/>
        <v>大分市城崎町１－３－２１</v>
      </c>
      <c r="L1550" s="403" t="s">
        <v>11000</v>
      </c>
      <c r="M1550" s="403" t="s">
        <v>11001</v>
      </c>
      <c r="N1550" s="403" t="s">
        <v>4284</v>
      </c>
      <c r="O1550" s="403" t="s">
        <v>7084</v>
      </c>
      <c r="P1550" s="403" t="s">
        <v>4285</v>
      </c>
      <c r="Q1550" s="403" t="s">
        <v>7504</v>
      </c>
      <c r="R1550" s="403" t="s">
        <v>19928</v>
      </c>
      <c r="S1550" s="403" t="s">
        <v>16787</v>
      </c>
      <c r="T1550" s="403" t="s">
        <v>16788</v>
      </c>
      <c r="U1550" s="403"/>
      <c r="V1550" s="403" t="s">
        <v>23024</v>
      </c>
      <c r="W1550" s="403" t="s">
        <v>23024</v>
      </c>
      <c r="X1550" s="403" t="s">
        <v>23024</v>
      </c>
      <c r="Y1550" s="403" t="s">
        <v>23024</v>
      </c>
    </row>
    <row r="1551" spans="1:25">
      <c r="A1551" s="363">
        <f t="shared" si="199"/>
        <v>1550</v>
      </c>
      <c r="B1551" s="363" t="str">
        <f t="shared" si="192"/>
        <v>44</v>
      </c>
      <c r="C1551" s="405" t="str">
        <f t="shared" si="193"/>
        <v>第012987号</v>
      </c>
      <c r="D1551" s="405" t="str">
        <f t="shared" si="194"/>
        <v>（有）日豊メンテナンス</v>
      </c>
      <c r="E1551" s="405" t="str">
        <f t="shared" si="195"/>
        <v>代表取締役</v>
      </c>
      <c r="F1551" s="405" t="str">
        <f t="shared" si="196"/>
        <v>奥詰　功</v>
      </c>
      <c r="G1551" s="405" t="str">
        <f t="shared" si="197"/>
        <v>主たる営業所</v>
      </c>
      <c r="H1551" s="405" t="str">
        <f t="shared" si="198"/>
        <v>佐伯市鶴見大字沖松浦６６９</v>
      </c>
      <c r="L1551" s="403" t="s">
        <v>11002</v>
      </c>
      <c r="M1551" s="403" t="s">
        <v>11003</v>
      </c>
      <c r="N1551" s="403" t="s">
        <v>4286</v>
      </c>
      <c r="O1551" s="403" t="s">
        <v>7084</v>
      </c>
      <c r="P1551" s="403" t="s">
        <v>4287</v>
      </c>
      <c r="Q1551" s="403" t="s">
        <v>10813</v>
      </c>
      <c r="R1551" s="403" t="s">
        <v>5647</v>
      </c>
      <c r="S1551" s="403" t="s">
        <v>16789</v>
      </c>
      <c r="T1551" s="403" t="s">
        <v>16790</v>
      </c>
      <c r="U1551" s="403"/>
      <c r="V1551" s="403" t="s">
        <v>23024</v>
      </c>
      <c r="W1551" s="403" t="s">
        <v>23024</v>
      </c>
      <c r="X1551" s="403" t="s">
        <v>23024</v>
      </c>
      <c r="Y1551" s="403" t="s">
        <v>23024</v>
      </c>
    </row>
    <row r="1552" spans="1:25">
      <c r="A1552" s="363">
        <f t="shared" si="199"/>
        <v>1551</v>
      </c>
      <c r="B1552" s="363" t="str">
        <f t="shared" si="192"/>
        <v>44</v>
      </c>
      <c r="C1552" s="405" t="str">
        <f t="shared" si="193"/>
        <v>第012988号</v>
      </c>
      <c r="D1552" s="405" t="str">
        <f t="shared" si="194"/>
        <v>栄組</v>
      </c>
      <c r="E1552" s="405" t="str">
        <f t="shared" si="195"/>
        <v>代表</v>
      </c>
      <c r="F1552" s="405" t="str">
        <f t="shared" si="196"/>
        <v>伊藤　栄</v>
      </c>
      <c r="G1552" s="405" t="str">
        <f t="shared" si="197"/>
        <v>主たる営業所</v>
      </c>
      <c r="H1552" s="405" t="str">
        <f t="shared" si="198"/>
        <v>日田市大山町西大山１４０９－１</v>
      </c>
      <c r="L1552" s="403" t="s">
        <v>11004</v>
      </c>
      <c r="M1552" s="403" t="s">
        <v>11005</v>
      </c>
      <c r="N1552" s="403" t="s">
        <v>4288</v>
      </c>
      <c r="O1552" s="403" t="s">
        <v>7091</v>
      </c>
      <c r="P1552" s="403" t="s">
        <v>4289</v>
      </c>
      <c r="Q1552" s="403" t="s">
        <v>8983</v>
      </c>
      <c r="R1552" s="403" t="s">
        <v>19929</v>
      </c>
      <c r="S1552" s="403" t="s">
        <v>16791</v>
      </c>
      <c r="T1552" s="403" t="s">
        <v>16792</v>
      </c>
      <c r="U1552" s="403"/>
      <c r="V1552" s="403" t="s">
        <v>23024</v>
      </c>
      <c r="W1552" s="403" t="s">
        <v>23024</v>
      </c>
      <c r="X1552" s="403" t="s">
        <v>23024</v>
      </c>
      <c r="Y1552" s="403" t="s">
        <v>23024</v>
      </c>
    </row>
    <row r="1553" spans="1:25">
      <c r="A1553" s="363">
        <f t="shared" si="199"/>
        <v>1552</v>
      </c>
      <c r="B1553" s="363" t="str">
        <f t="shared" si="192"/>
        <v>44</v>
      </c>
      <c r="C1553" s="405" t="str">
        <f t="shared" si="193"/>
        <v>第012991号</v>
      </c>
      <c r="D1553" s="405" t="str">
        <f t="shared" si="194"/>
        <v>（合）ＴＥＲＡＳＡＫＩ</v>
      </c>
      <c r="E1553" s="405" t="str">
        <f t="shared" si="195"/>
        <v>代表社員</v>
      </c>
      <c r="F1553" s="405" t="str">
        <f t="shared" si="196"/>
        <v>寺崎　文紀</v>
      </c>
      <c r="G1553" s="405" t="str">
        <f t="shared" si="197"/>
        <v>主たる営業所</v>
      </c>
      <c r="H1553" s="405" t="str">
        <f t="shared" si="198"/>
        <v>別府市大字北石垣８５９－１</v>
      </c>
      <c r="L1553" s="403" t="s">
        <v>11006</v>
      </c>
      <c r="M1553" s="403" t="s">
        <v>11007</v>
      </c>
      <c r="N1553" s="403" t="s">
        <v>5202</v>
      </c>
      <c r="O1553" s="403" t="s">
        <v>7087</v>
      </c>
      <c r="P1553" s="403" t="s">
        <v>5323</v>
      </c>
      <c r="Q1553" s="403" t="s">
        <v>11008</v>
      </c>
      <c r="R1553" s="403" t="s">
        <v>19930</v>
      </c>
      <c r="S1553" s="403" t="s">
        <v>16793</v>
      </c>
      <c r="T1553" s="403" t="s">
        <v>16794</v>
      </c>
      <c r="U1553" s="403"/>
      <c r="V1553" s="403" t="s">
        <v>23024</v>
      </c>
      <c r="W1553" s="403" t="s">
        <v>23024</v>
      </c>
      <c r="X1553" s="403" t="s">
        <v>23024</v>
      </c>
      <c r="Y1553" s="403" t="s">
        <v>23024</v>
      </c>
    </row>
    <row r="1554" spans="1:25">
      <c r="A1554" s="363">
        <f t="shared" si="199"/>
        <v>1553</v>
      </c>
      <c r="B1554" s="363" t="str">
        <f t="shared" si="192"/>
        <v>44</v>
      </c>
      <c r="C1554" s="405" t="str">
        <f t="shared" si="193"/>
        <v>第012995号</v>
      </c>
      <c r="D1554" s="405" t="str">
        <f t="shared" si="194"/>
        <v>（株）緑信</v>
      </c>
      <c r="E1554" s="405" t="str">
        <f t="shared" si="195"/>
        <v>代表取締役</v>
      </c>
      <c r="F1554" s="405" t="str">
        <f t="shared" si="196"/>
        <v>三又　幸津江</v>
      </c>
      <c r="G1554" s="405" t="str">
        <f t="shared" si="197"/>
        <v>主たる営業所</v>
      </c>
      <c r="H1554" s="405" t="str">
        <f t="shared" si="198"/>
        <v>大分市大字中尾１３０５</v>
      </c>
      <c r="L1554" s="403" t="s">
        <v>11009</v>
      </c>
      <c r="M1554" s="403" t="s">
        <v>11010</v>
      </c>
      <c r="N1554" s="403" t="s">
        <v>4290</v>
      </c>
      <c r="O1554" s="403" t="s">
        <v>7084</v>
      </c>
      <c r="P1554" s="403" t="s">
        <v>4291</v>
      </c>
      <c r="Q1554" s="403" t="s">
        <v>8329</v>
      </c>
      <c r="R1554" s="403" t="s">
        <v>19931</v>
      </c>
      <c r="S1554" s="403" t="s">
        <v>19932</v>
      </c>
      <c r="T1554" s="403" t="s">
        <v>14621</v>
      </c>
      <c r="U1554" s="403"/>
      <c r="V1554" s="403" t="s">
        <v>23024</v>
      </c>
      <c r="W1554" s="403" t="s">
        <v>23024</v>
      </c>
      <c r="X1554" s="403" t="s">
        <v>23024</v>
      </c>
      <c r="Y1554" s="403" t="s">
        <v>23024</v>
      </c>
    </row>
    <row r="1555" spans="1:25">
      <c r="A1555" s="363">
        <f t="shared" si="199"/>
        <v>1554</v>
      </c>
      <c r="B1555" s="363" t="str">
        <f t="shared" si="192"/>
        <v>44</v>
      </c>
      <c r="C1555" s="405" t="str">
        <f t="shared" si="193"/>
        <v>第013004号</v>
      </c>
      <c r="D1555" s="405" t="str">
        <f t="shared" si="194"/>
        <v>（株）利健</v>
      </c>
      <c r="E1555" s="405" t="str">
        <f t="shared" si="195"/>
        <v>代表取締役</v>
      </c>
      <c r="F1555" s="405" t="str">
        <f t="shared" si="196"/>
        <v>冨田　健太郎</v>
      </c>
      <c r="G1555" s="405" t="str">
        <f t="shared" si="197"/>
        <v>主たる営業所</v>
      </c>
      <c r="H1555" s="405" t="str">
        <f t="shared" si="198"/>
        <v>由布市挾間町古野４８４－１６</v>
      </c>
      <c r="L1555" s="403" t="s">
        <v>11011</v>
      </c>
      <c r="M1555" s="403" t="s">
        <v>11012</v>
      </c>
      <c r="N1555" s="403" t="s">
        <v>4292</v>
      </c>
      <c r="O1555" s="403" t="s">
        <v>7084</v>
      </c>
      <c r="P1555" s="403" t="s">
        <v>4293</v>
      </c>
      <c r="Q1555" s="403" t="s">
        <v>8831</v>
      </c>
      <c r="R1555" s="403" t="s">
        <v>19933</v>
      </c>
      <c r="S1555" s="403" t="s">
        <v>16795</v>
      </c>
      <c r="T1555" s="403" t="s">
        <v>16796</v>
      </c>
      <c r="U1555" s="403"/>
      <c r="V1555" s="403" t="s">
        <v>23024</v>
      </c>
      <c r="W1555" s="403" t="s">
        <v>23024</v>
      </c>
      <c r="X1555" s="403" t="s">
        <v>23024</v>
      </c>
      <c r="Y1555" s="403" t="s">
        <v>23024</v>
      </c>
    </row>
    <row r="1556" spans="1:25">
      <c r="A1556" s="363">
        <f t="shared" si="199"/>
        <v>1555</v>
      </c>
      <c r="B1556" s="363" t="str">
        <f t="shared" si="192"/>
        <v>44</v>
      </c>
      <c r="C1556" s="405" t="str">
        <f t="shared" si="193"/>
        <v>第013006号</v>
      </c>
      <c r="D1556" s="405" t="str">
        <f t="shared" si="194"/>
        <v>（株）岩渕工務店</v>
      </c>
      <c r="E1556" s="405" t="str">
        <f t="shared" si="195"/>
        <v>代表取締役</v>
      </c>
      <c r="F1556" s="405" t="str">
        <f t="shared" si="196"/>
        <v>岩渕　英司</v>
      </c>
      <c r="G1556" s="405" t="str">
        <f t="shared" si="197"/>
        <v>主たる営業所</v>
      </c>
      <c r="H1556" s="405" t="str">
        <f t="shared" si="198"/>
        <v>中津市大字田尻崎８－３</v>
      </c>
      <c r="L1556" s="403" t="s">
        <v>11013</v>
      </c>
      <c r="M1556" s="403" t="s">
        <v>11014</v>
      </c>
      <c r="N1556" s="403" t="s">
        <v>4294</v>
      </c>
      <c r="O1556" s="403" t="s">
        <v>7084</v>
      </c>
      <c r="P1556" s="403" t="s">
        <v>4295</v>
      </c>
      <c r="Q1556" s="403" t="s">
        <v>8072</v>
      </c>
      <c r="R1556" s="403" t="s">
        <v>19934</v>
      </c>
      <c r="S1556" s="403" t="s">
        <v>16797</v>
      </c>
      <c r="T1556" s="403" t="s">
        <v>16798</v>
      </c>
      <c r="U1556" s="403"/>
      <c r="V1556" s="403" t="s">
        <v>23024</v>
      </c>
      <c r="W1556" s="403" t="s">
        <v>23024</v>
      </c>
      <c r="X1556" s="403" t="s">
        <v>23024</v>
      </c>
      <c r="Y1556" s="403" t="s">
        <v>23024</v>
      </c>
    </row>
    <row r="1557" spans="1:25">
      <c r="A1557" s="363">
        <f t="shared" si="199"/>
        <v>1556</v>
      </c>
      <c r="B1557" s="363" t="str">
        <f t="shared" si="192"/>
        <v>44</v>
      </c>
      <c r="C1557" s="405" t="str">
        <f t="shared" si="193"/>
        <v>第013008号</v>
      </c>
      <c r="D1557" s="405" t="str">
        <f t="shared" si="194"/>
        <v>（有）ワークス</v>
      </c>
      <c r="E1557" s="405" t="str">
        <f t="shared" si="195"/>
        <v>代表取締役</v>
      </c>
      <c r="F1557" s="405" t="str">
        <f t="shared" si="196"/>
        <v>廣畑　賢一</v>
      </c>
      <c r="G1557" s="405" t="str">
        <f t="shared" si="197"/>
        <v>主たる営業所</v>
      </c>
      <c r="H1557" s="405" t="str">
        <f t="shared" si="198"/>
        <v>中津市１７３１－３</v>
      </c>
      <c r="L1557" s="403" t="s">
        <v>11015</v>
      </c>
      <c r="M1557" s="403" t="s">
        <v>11016</v>
      </c>
      <c r="N1557" s="403" t="s">
        <v>4296</v>
      </c>
      <c r="O1557" s="403" t="s">
        <v>7084</v>
      </c>
      <c r="P1557" s="403" t="s">
        <v>4297</v>
      </c>
      <c r="Q1557" s="403" t="s">
        <v>11017</v>
      </c>
      <c r="R1557" s="403" t="s">
        <v>19935</v>
      </c>
      <c r="S1557" s="403" t="s">
        <v>16799</v>
      </c>
      <c r="T1557" s="403" t="s">
        <v>16800</v>
      </c>
      <c r="U1557" s="403"/>
      <c r="V1557" s="403" t="s">
        <v>23024</v>
      </c>
      <c r="W1557" s="403" t="s">
        <v>23024</v>
      </c>
      <c r="X1557" s="403" t="s">
        <v>23024</v>
      </c>
      <c r="Y1557" s="403" t="s">
        <v>23024</v>
      </c>
    </row>
    <row r="1558" spans="1:25">
      <c r="A1558" s="363">
        <f t="shared" si="199"/>
        <v>1557</v>
      </c>
      <c r="B1558" s="363" t="str">
        <f t="shared" si="192"/>
        <v>44</v>
      </c>
      <c r="C1558" s="405" t="str">
        <f t="shared" si="193"/>
        <v>第013018号</v>
      </c>
      <c r="D1558" s="405" t="str">
        <f t="shared" si="194"/>
        <v>（株）建翔工業</v>
      </c>
      <c r="E1558" s="405" t="str">
        <f t="shared" si="195"/>
        <v>代表取締役</v>
      </c>
      <c r="F1558" s="405" t="str">
        <f t="shared" si="196"/>
        <v>栗林　武士</v>
      </c>
      <c r="G1558" s="405" t="str">
        <f t="shared" si="197"/>
        <v>主たる営業所</v>
      </c>
      <c r="H1558" s="405" t="str">
        <f t="shared" si="198"/>
        <v>由布市庄内町柿原５１８</v>
      </c>
      <c r="L1558" s="403" t="s">
        <v>11018</v>
      </c>
      <c r="M1558" s="403" t="s">
        <v>11019</v>
      </c>
      <c r="N1558" s="403" t="s">
        <v>4298</v>
      </c>
      <c r="O1558" s="403" t="s">
        <v>7084</v>
      </c>
      <c r="P1558" s="403" t="s">
        <v>4299</v>
      </c>
      <c r="Q1558" s="403" t="s">
        <v>7548</v>
      </c>
      <c r="R1558" s="403" t="s">
        <v>5648</v>
      </c>
      <c r="S1558" s="403" t="s">
        <v>16801</v>
      </c>
      <c r="T1558" s="403" t="s">
        <v>16802</v>
      </c>
      <c r="U1558" s="403"/>
      <c r="V1558" s="403" t="s">
        <v>23024</v>
      </c>
      <c r="W1558" s="403" t="s">
        <v>23024</v>
      </c>
      <c r="X1558" s="403" t="s">
        <v>23024</v>
      </c>
      <c r="Y1558" s="403" t="s">
        <v>23024</v>
      </c>
    </row>
    <row r="1559" spans="1:25">
      <c r="A1559" s="363">
        <f t="shared" si="199"/>
        <v>1558</v>
      </c>
      <c r="B1559" s="363" t="str">
        <f t="shared" si="192"/>
        <v>44</v>
      </c>
      <c r="C1559" s="405" t="str">
        <f t="shared" si="193"/>
        <v>第013019号</v>
      </c>
      <c r="D1559" s="405" t="str">
        <f t="shared" si="194"/>
        <v>（有）矢野カンストラクション</v>
      </c>
      <c r="E1559" s="405" t="str">
        <f t="shared" si="195"/>
        <v>代表取締役</v>
      </c>
      <c r="F1559" s="405" t="str">
        <f t="shared" si="196"/>
        <v>矢野　公子</v>
      </c>
      <c r="G1559" s="405" t="str">
        <f t="shared" si="197"/>
        <v>主たる営業所</v>
      </c>
      <c r="H1559" s="405" t="str">
        <f t="shared" si="198"/>
        <v>杵築市大字狩宿２１０２－１４</v>
      </c>
      <c r="L1559" s="403" t="s">
        <v>11020</v>
      </c>
      <c r="M1559" s="403" t="s">
        <v>11021</v>
      </c>
      <c r="N1559" s="403" t="s">
        <v>4300</v>
      </c>
      <c r="O1559" s="403" t="s">
        <v>7084</v>
      </c>
      <c r="P1559" s="403" t="s">
        <v>19936</v>
      </c>
      <c r="Q1559" s="403" t="s">
        <v>10417</v>
      </c>
      <c r="R1559" s="403" t="s">
        <v>19937</v>
      </c>
      <c r="S1559" s="403" t="s">
        <v>16803</v>
      </c>
      <c r="T1559" s="403" t="s">
        <v>16803</v>
      </c>
      <c r="U1559" s="403"/>
      <c r="V1559" s="403" t="s">
        <v>23024</v>
      </c>
      <c r="W1559" s="403" t="s">
        <v>23024</v>
      </c>
      <c r="X1559" s="403" t="s">
        <v>23024</v>
      </c>
      <c r="Y1559" s="403" t="s">
        <v>23024</v>
      </c>
    </row>
    <row r="1560" spans="1:25">
      <c r="A1560" s="363">
        <f t="shared" si="199"/>
        <v>1559</v>
      </c>
      <c r="B1560" s="363" t="str">
        <f t="shared" si="192"/>
        <v>44</v>
      </c>
      <c r="C1560" s="405" t="str">
        <f t="shared" si="193"/>
        <v>第013031号</v>
      </c>
      <c r="D1560" s="405" t="str">
        <f t="shared" si="194"/>
        <v>（株）ラックワイド</v>
      </c>
      <c r="E1560" s="405" t="str">
        <f t="shared" si="195"/>
        <v>代表取締役</v>
      </c>
      <c r="F1560" s="405" t="str">
        <f t="shared" si="196"/>
        <v>吉廣　達也</v>
      </c>
      <c r="G1560" s="405" t="str">
        <f t="shared" si="197"/>
        <v>主たる営業所</v>
      </c>
      <c r="H1560" s="405" t="str">
        <f t="shared" si="198"/>
        <v>由布市庄内町東長宝イバ元７８４</v>
      </c>
      <c r="L1560" s="403" t="s">
        <v>11022</v>
      </c>
      <c r="M1560" s="403" t="s">
        <v>11023</v>
      </c>
      <c r="N1560" s="403" t="s">
        <v>4301</v>
      </c>
      <c r="O1560" s="403" t="s">
        <v>7084</v>
      </c>
      <c r="P1560" s="403" t="s">
        <v>4302</v>
      </c>
      <c r="Q1560" s="403" t="s">
        <v>7481</v>
      </c>
      <c r="R1560" s="403" t="s">
        <v>5649</v>
      </c>
      <c r="S1560" s="403" t="s">
        <v>16804</v>
      </c>
      <c r="T1560" s="403" t="s">
        <v>16805</v>
      </c>
      <c r="U1560" s="403"/>
      <c r="V1560" s="403" t="s">
        <v>23024</v>
      </c>
      <c r="W1560" s="403" t="s">
        <v>23024</v>
      </c>
      <c r="X1560" s="403" t="s">
        <v>23024</v>
      </c>
      <c r="Y1560" s="403" t="s">
        <v>23024</v>
      </c>
    </row>
    <row r="1561" spans="1:25">
      <c r="A1561" s="363">
        <f t="shared" si="199"/>
        <v>1560</v>
      </c>
      <c r="B1561" s="363" t="str">
        <f t="shared" si="192"/>
        <v>44</v>
      </c>
      <c r="C1561" s="405" t="str">
        <f t="shared" si="193"/>
        <v>第013032号</v>
      </c>
      <c r="D1561" s="405" t="str">
        <f t="shared" si="194"/>
        <v>（株）匠</v>
      </c>
      <c r="E1561" s="405" t="str">
        <f t="shared" si="195"/>
        <v>代表取締役</v>
      </c>
      <c r="F1561" s="405" t="str">
        <f t="shared" si="196"/>
        <v>木元　望</v>
      </c>
      <c r="G1561" s="405" t="str">
        <f t="shared" si="197"/>
        <v>主たる営業所</v>
      </c>
      <c r="H1561" s="405" t="str">
        <f t="shared" si="198"/>
        <v>竹田市大字飛田川２２４４</v>
      </c>
      <c r="L1561" s="403" t="s">
        <v>11024</v>
      </c>
      <c r="M1561" s="403" t="s">
        <v>11025</v>
      </c>
      <c r="N1561" s="403" t="s">
        <v>4303</v>
      </c>
      <c r="O1561" s="403" t="s">
        <v>7084</v>
      </c>
      <c r="P1561" s="403" t="s">
        <v>4304</v>
      </c>
      <c r="Q1561" s="403" t="s">
        <v>7937</v>
      </c>
      <c r="R1561" s="403" t="s">
        <v>5650</v>
      </c>
      <c r="S1561" s="403" t="s">
        <v>16806</v>
      </c>
      <c r="T1561" s="403" t="s">
        <v>16807</v>
      </c>
      <c r="U1561" s="403"/>
      <c r="V1561" s="403" t="s">
        <v>23024</v>
      </c>
      <c r="W1561" s="403" t="s">
        <v>23024</v>
      </c>
      <c r="X1561" s="403" t="s">
        <v>23024</v>
      </c>
      <c r="Y1561" s="403" t="s">
        <v>23024</v>
      </c>
    </row>
    <row r="1562" spans="1:25">
      <c r="A1562" s="363">
        <f t="shared" si="199"/>
        <v>1561</v>
      </c>
      <c r="B1562" s="363" t="str">
        <f t="shared" si="192"/>
        <v>44</v>
      </c>
      <c r="C1562" s="405" t="str">
        <f t="shared" si="193"/>
        <v>第013039号</v>
      </c>
      <c r="D1562" s="405" t="str">
        <f t="shared" si="194"/>
        <v>（株）翔雄</v>
      </c>
      <c r="E1562" s="405" t="str">
        <f t="shared" si="195"/>
        <v>代表取締役</v>
      </c>
      <c r="F1562" s="405" t="str">
        <f t="shared" si="196"/>
        <v>土佐路　裕子</v>
      </c>
      <c r="G1562" s="405" t="str">
        <f t="shared" si="197"/>
        <v>主たる営業所</v>
      </c>
      <c r="H1562" s="405" t="str">
        <f t="shared" si="198"/>
        <v>佐伯市大字長谷６１３８－２</v>
      </c>
      <c r="L1562" s="403" t="s">
        <v>11026</v>
      </c>
      <c r="M1562" s="403" t="s">
        <v>11027</v>
      </c>
      <c r="N1562" s="403" t="s">
        <v>4305</v>
      </c>
      <c r="O1562" s="403" t="s">
        <v>7084</v>
      </c>
      <c r="P1562" s="403" t="s">
        <v>4306</v>
      </c>
      <c r="Q1562" s="403" t="s">
        <v>8479</v>
      </c>
      <c r="R1562" s="403" t="s">
        <v>19938</v>
      </c>
      <c r="S1562" s="403" t="s">
        <v>16808</v>
      </c>
      <c r="T1562" s="403" t="s">
        <v>16808</v>
      </c>
      <c r="U1562" s="403"/>
      <c r="V1562" s="403" t="s">
        <v>23024</v>
      </c>
      <c r="W1562" s="403" t="s">
        <v>23024</v>
      </c>
      <c r="X1562" s="403" t="s">
        <v>23024</v>
      </c>
      <c r="Y1562" s="403" t="s">
        <v>23024</v>
      </c>
    </row>
    <row r="1563" spans="1:25">
      <c r="A1563" s="363">
        <f t="shared" si="199"/>
        <v>1562</v>
      </c>
      <c r="B1563" s="363" t="str">
        <f t="shared" si="192"/>
        <v>44</v>
      </c>
      <c r="C1563" s="405" t="str">
        <f t="shared" si="193"/>
        <v>第013045号</v>
      </c>
      <c r="D1563" s="405" t="str">
        <f t="shared" si="194"/>
        <v>（有）藤和建設</v>
      </c>
      <c r="E1563" s="405" t="str">
        <f t="shared" si="195"/>
        <v>代表取締役</v>
      </c>
      <c r="F1563" s="405" t="str">
        <f t="shared" si="196"/>
        <v>佐藤　等</v>
      </c>
      <c r="G1563" s="405" t="str">
        <f t="shared" si="197"/>
        <v>主たる営業所</v>
      </c>
      <c r="H1563" s="405" t="str">
        <f t="shared" si="198"/>
        <v>竹田市大字君ケ園８０１－６</v>
      </c>
      <c r="L1563" s="403" t="s">
        <v>11028</v>
      </c>
      <c r="M1563" s="403" t="s">
        <v>7802</v>
      </c>
      <c r="N1563" s="403" t="s">
        <v>4307</v>
      </c>
      <c r="O1563" s="403" t="s">
        <v>7084</v>
      </c>
      <c r="P1563" s="403" t="s">
        <v>4308</v>
      </c>
      <c r="Q1563" s="403" t="s">
        <v>7951</v>
      </c>
      <c r="R1563" s="403" t="s">
        <v>19939</v>
      </c>
      <c r="S1563" s="403" t="s">
        <v>16809</v>
      </c>
      <c r="T1563" s="403" t="s">
        <v>16810</v>
      </c>
      <c r="U1563" s="403"/>
      <c r="V1563" s="403" t="s">
        <v>23024</v>
      </c>
      <c r="W1563" s="403" t="s">
        <v>23024</v>
      </c>
      <c r="X1563" s="403" t="s">
        <v>23024</v>
      </c>
      <c r="Y1563" s="403" t="s">
        <v>23024</v>
      </c>
    </row>
    <row r="1564" spans="1:25">
      <c r="A1564" s="363">
        <f t="shared" si="199"/>
        <v>1563</v>
      </c>
      <c r="B1564" s="363" t="str">
        <f t="shared" si="192"/>
        <v>44</v>
      </c>
      <c r="C1564" s="405" t="str">
        <f t="shared" si="193"/>
        <v>第013049号</v>
      </c>
      <c r="D1564" s="405" t="str">
        <f t="shared" si="194"/>
        <v>（有）豊徳</v>
      </c>
      <c r="E1564" s="405" t="str">
        <f t="shared" si="195"/>
        <v>代表取締役</v>
      </c>
      <c r="F1564" s="405" t="str">
        <f t="shared" si="196"/>
        <v>大澤　理</v>
      </c>
      <c r="G1564" s="405" t="str">
        <f t="shared" si="197"/>
        <v>主たる営業所</v>
      </c>
      <c r="H1564" s="405" t="str">
        <f t="shared" si="198"/>
        <v>佐伯市中の島１－２－２７</v>
      </c>
      <c r="L1564" s="403" t="s">
        <v>11029</v>
      </c>
      <c r="M1564" s="403" t="s">
        <v>11030</v>
      </c>
      <c r="N1564" s="403" t="s">
        <v>4309</v>
      </c>
      <c r="O1564" s="403" t="s">
        <v>7084</v>
      </c>
      <c r="P1564" s="403" t="s">
        <v>4310</v>
      </c>
      <c r="Q1564" s="403" t="s">
        <v>7874</v>
      </c>
      <c r="R1564" s="403" t="s">
        <v>19940</v>
      </c>
      <c r="S1564" s="403" t="s">
        <v>16811</v>
      </c>
      <c r="T1564" s="403" t="s">
        <v>16812</v>
      </c>
      <c r="U1564" s="403"/>
      <c r="V1564" s="403" t="s">
        <v>23024</v>
      </c>
      <c r="W1564" s="403" t="s">
        <v>23024</v>
      </c>
      <c r="X1564" s="403" t="s">
        <v>23024</v>
      </c>
      <c r="Y1564" s="403" t="s">
        <v>23024</v>
      </c>
    </row>
    <row r="1565" spans="1:25">
      <c r="A1565" s="363">
        <f t="shared" si="199"/>
        <v>1564</v>
      </c>
      <c r="B1565" s="363" t="str">
        <f t="shared" si="192"/>
        <v>44</v>
      </c>
      <c r="C1565" s="405" t="str">
        <f t="shared" si="193"/>
        <v>第013056号</v>
      </c>
      <c r="D1565" s="405" t="str">
        <f t="shared" si="194"/>
        <v>力南土木（株）</v>
      </c>
      <c r="E1565" s="405" t="str">
        <f t="shared" si="195"/>
        <v>代表取締役</v>
      </c>
      <c r="F1565" s="405" t="str">
        <f t="shared" si="196"/>
        <v>佐藤　憲</v>
      </c>
      <c r="G1565" s="405" t="str">
        <f t="shared" si="197"/>
        <v>主たる営業所</v>
      </c>
      <c r="H1565" s="405" t="str">
        <f t="shared" si="198"/>
        <v>佐伯市本匠大字宇津々２０１２－１</v>
      </c>
      <c r="L1565" s="403" t="s">
        <v>11031</v>
      </c>
      <c r="M1565" s="403" t="s">
        <v>11032</v>
      </c>
      <c r="N1565" s="403" t="s">
        <v>4312</v>
      </c>
      <c r="O1565" s="403" t="s">
        <v>7084</v>
      </c>
      <c r="P1565" s="403" t="s">
        <v>5266</v>
      </c>
      <c r="Q1565" s="403" t="s">
        <v>11033</v>
      </c>
      <c r="R1565" s="403" t="s">
        <v>19941</v>
      </c>
      <c r="S1565" s="403" t="s">
        <v>16813</v>
      </c>
      <c r="T1565" s="403" t="s">
        <v>16814</v>
      </c>
      <c r="U1565" s="403"/>
      <c r="V1565" s="403" t="s">
        <v>23024</v>
      </c>
      <c r="W1565" s="403" t="s">
        <v>23024</v>
      </c>
      <c r="X1565" s="403" t="s">
        <v>23024</v>
      </c>
      <c r="Y1565" s="403" t="s">
        <v>23024</v>
      </c>
    </row>
    <row r="1566" spans="1:25">
      <c r="A1566" s="363">
        <f t="shared" si="199"/>
        <v>1565</v>
      </c>
      <c r="B1566" s="363" t="str">
        <f t="shared" si="192"/>
        <v>44</v>
      </c>
      <c r="C1566" s="405" t="str">
        <f t="shared" si="193"/>
        <v>第013059号</v>
      </c>
      <c r="D1566" s="405" t="str">
        <f t="shared" si="194"/>
        <v>（株）新興プラント工業</v>
      </c>
      <c r="E1566" s="405" t="str">
        <f t="shared" si="195"/>
        <v>代表取締役</v>
      </c>
      <c r="F1566" s="405" t="str">
        <f t="shared" si="196"/>
        <v>山口　有一</v>
      </c>
      <c r="G1566" s="405" t="str">
        <f t="shared" si="197"/>
        <v>主たる営業所</v>
      </c>
      <c r="H1566" s="405" t="str">
        <f t="shared" si="198"/>
        <v>大分市向原西２－８－３０</v>
      </c>
      <c r="L1566" s="403" t="s">
        <v>11034</v>
      </c>
      <c r="M1566" s="403" t="s">
        <v>11035</v>
      </c>
      <c r="N1566" s="403" t="s">
        <v>4313</v>
      </c>
      <c r="O1566" s="403" t="s">
        <v>7084</v>
      </c>
      <c r="P1566" s="403" t="s">
        <v>4314</v>
      </c>
      <c r="Q1566" s="403" t="s">
        <v>7309</v>
      </c>
      <c r="R1566" s="403" t="s">
        <v>19942</v>
      </c>
      <c r="S1566" s="403" t="s">
        <v>16815</v>
      </c>
      <c r="T1566" s="403" t="s">
        <v>16816</v>
      </c>
      <c r="U1566" s="403"/>
      <c r="V1566" s="403" t="s">
        <v>23024</v>
      </c>
      <c r="W1566" s="403" t="s">
        <v>23024</v>
      </c>
      <c r="X1566" s="403" t="s">
        <v>23024</v>
      </c>
      <c r="Y1566" s="403" t="s">
        <v>23024</v>
      </c>
    </row>
    <row r="1567" spans="1:25">
      <c r="A1567" s="363">
        <f t="shared" si="199"/>
        <v>1566</v>
      </c>
      <c r="B1567" s="363" t="str">
        <f t="shared" si="192"/>
        <v>44</v>
      </c>
      <c r="C1567" s="405" t="str">
        <f t="shared" si="193"/>
        <v>第013062号</v>
      </c>
      <c r="D1567" s="405" t="str">
        <f t="shared" si="194"/>
        <v>（株）グリーンワールド</v>
      </c>
      <c r="E1567" s="405" t="str">
        <f t="shared" si="195"/>
        <v>代表取締役</v>
      </c>
      <c r="F1567" s="405" t="str">
        <f t="shared" si="196"/>
        <v>望月　敏生</v>
      </c>
      <c r="G1567" s="405" t="str">
        <f t="shared" si="197"/>
        <v>主たる営業所</v>
      </c>
      <c r="H1567" s="405" t="str">
        <f t="shared" si="198"/>
        <v>大分市三佐３－１－３</v>
      </c>
      <c r="L1567" s="403" t="s">
        <v>11036</v>
      </c>
      <c r="M1567" s="403" t="s">
        <v>11037</v>
      </c>
      <c r="N1567" s="403" t="s">
        <v>4315</v>
      </c>
      <c r="O1567" s="403" t="s">
        <v>7084</v>
      </c>
      <c r="P1567" s="403" t="s">
        <v>4316</v>
      </c>
      <c r="Q1567" s="403" t="s">
        <v>7413</v>
      </c>
      <c r="R1567" s="403" t="s">
        <v>19943</v>
      </c>
      <c r="S1567" s="403" t="s">
        <v>16817</v>
      </c>
      <c r="T1567" s="403" t="s">
        <v>16818</v>
      </c>
      <c r="U1567" s="403"/>
      <c r="V1567" s="403" t="s">
        <v>23024</v>
      </c>
      <c r="W1567" s="403" t="s">
        <v>23024</v>
      </c>
      <c r="X1567" s="403" t="s">
        <v>23024</v>
      </c>
      <c r="Y1567" s="403" t="s">
        <v>23024</v>
      </c>
    </row>
    <row r="1568" spans="1:25">
      <c r="A1568" s="363">
        <f t="shared" si="199"/>
        <v>1567</v>
      </c>
      <c r="B1568" s="363" t="str">
        <f t="shared" si="192"/>
        <v>44</v>
      </c>
      <c r="C1568" s="405" t="str">
        <f t="shared" si="193"/>
        <v>第013068号</v>
      </c>
      <c r="D1568" s="405" t="str">
        <f t="shared" si="194"/>
        <v>九建プロテック（株）</v>
      </c>
      <c r="E1568" s="405" t="str">
        <f t="shared" si="195"/>
        <v>代表取締役</v>
      </c>
      <c r="F1568" s="405" t="str">
        <f t="shared" si="196"/>
        <v>佐藤　大輔</v>
      </c>
      <c r="G1568" s="405" t="str">
        <f t="shared" si="197"/>
        <v>主たる営業所</v>
      </c>
      <c r="H1568" s="405" t="str">
        <f t="shared" si="198"/>
        <v>日田市城町１－３－６２</v>
      </c>
      <c r="L1568" s="403" t="s">
        <v>11038</v>
      </c>
      <c r="M1568" s="403" t="s">
        <v>11039</v>
      </c>
      <c r="N1568" s="403" t="s">
        <v>4317</v>
      </c>
      <c r="O1568" s="403" t="s">
        <v>7084</v>
      </c>
      <c r="P1568" s="403" t="s">
        <v>4318</v>
      </c>
      <c r="Q1568" s="403" t="s">
        <v>8019</v>
      </c>
      <c r="R1568" s="403" t="s">
        <v>19944</v>
      </c>
      <c r="S1568" s="403" t="s">
        <v>16819</v>
      </c>
      <c r="T1568" s="403" t="s">
        <v>16820</v>
      </c>
      <c r="U1568" s="403"/>
      <c r="V1568" s="403" t="s">
        <v>23024</v>
      </c>
      <c r="W1568" s="403" t="s">
        <v>23024</v>
      </c>
      <c r="X1568" s="403" t="s">
        <v>23024</v>
      </c>
      <c r="Y1568" s="403" t="s">
        <v>23024</v>
      </c>
    </row>
    <row r="1569" spans="1:25">
      <c r="A1569" s="363">
        <f t="shared" si="199"/>
        <v>1568</v>
      </c>
      <c r="B1569" s="363" t="str">
        <f t="shared" si="192"/>
        <v>44</v>
      </c>
      <c r="C1569" s="405" t="str">
        <f t="shared" si="193"/>
        <v>第013074号</v>
      </c>
      <c r="D1569" s="405" t="str">
        <f t="shared" si="194"/>
        <v>西畑住宅（有）</v>
      </c>
      <c r="E1569" s="405" t="str">
        <f t="shared" si="195"/>
        <v>代表取締役</v>
      </c>
      <c r="F1569" s="405" t="str">
        <f t="shared" si="196"/>
        <v>西畑　修司</v>
      </c>
      <c r="G1569" s="405" t="str">
        <f t="shared" si="197"/>
        <v>主たる営業所</v>
      </c>
      <c r="H1569" s="405" t="str">
        <f t="shared" si="198"/>
        <v>中津市耶馬溪町大字大島２７８</v>
      </c>
      <c r="L1569" s="403" t="s">
        <v>11040</v>
      </c>
      <c r="M1569" s="403" t="s">
        <v>11041</v>
      </c>
      <c r="N1569" s="403" t="s">
        <v>4319</v>
      </c>
      <c r="O1569" s="403" t="s">
        <v>7084</v>
      </c>
      <c r="P1569" s="403" t="s">
        <v>4320</v>
      </c>
      <c r="Q1569" s="403" t="s">
        <v>8093</v>
      </c>
      <c r="R1569" s="403" t="s">
        <v>5395</v>
      </c>
      <c r="S1569" s="403" t="s">
        <v>16821</v>
      </c>
      <c r="T1569" s="403" t="s">
        <v>16821</v>
      </c>
      <c r="U1569" s="403"/>
      <c r="V1569" s="403" t="s">
        <v>23024</v>
      </c>
      <c r="W1569" s="403" t="s">
        <v>23024</v>
      </c>
      <c r="X1569" s="403" t="s">
        <v>23024</v>
      </c>
      <c r="Y1569" s="403" t="s">
        <v>23024</v>
      </c>
    </row>
    <row r="1570" spans="1:25">
      <c r="A1570" s="363">
        <f t="shared" si="199"/>
        <v>1569</v>
      </c>
      <c r="B1570" s="363" t="str">
        <f t="shared" si="192"/>
        <v>44</v>
      </c>
      <c r="C1570" s="405" t="str">
        <f t="shared" si="193"/>
        <v>第013077号</v>
      </c>
      <c r="D1570" s="405" t="str">
        <f t="shared" si="194"/>
        <v>（株）グリーンテックランド</v>
      </c>
      <c r="E1570" s="405" t="str">
        <f t="shared" si="195"/>
        <v>代表取締役</v>
      </c>
      <c r="F1570" s="405" t="str">
        <f t="shared" si="196"/>
        <v>鬼束　恵美</v>
      </c>
      <c r="G1570" s="405" t="str">
        <f t="shared" si="197"/>
        <v>主たる営業所</v>
      </c>
      <c r="H1570" s="405" t="str">
        <f t="shared" si="198"/>
        <v>別府市石垣東７－６－１２</v>
      </c>
      <c r="L1570" s="403" t="s">
        <v>11042</v>
      </c>
      <c r="M1570" s="403" t="s">
        <v>11043</v>
      </c>
      <c r="N1570" s="403" t="s">
        <v>4321</v>
      </c>
      <c r="O1570" s="403" t="s">
        <v>7084</v>
      </c>
      <c r="P1570" s="403" t="s">
        <v>4322</v>
      </c>
      <c r="Q1570" s="403" t="s">
        <v>7363</v>
      </c>
      <c r="R1570" s="403" t="s">
        <v>19945</v>
      </c>
      <c r="S1570" s="403" t="s">
        <v>16822</v>
      </c>
      <c r="T1570" s="403" t="s">
        <v>16556</v>
      </c>
      <c r="U1570" s="403"/>
      <c r="V1570" s="403" t="s">
        <v>23024</v>
      </c>
      <c r="W1570" s="403" t="s">
        <v>23024</v>
      </c>
      <c r="X1570" s="403" t="s">
        <v>23024</v>
      </c>
      <c r="Y1570" s="403" t="s">
        <v>23024</v>
      </c>
    </row>
    <row r="1571" spans="1:25">
      <c r="A1571" s="363">
        <f t="shared" si="199"/>
        <v>1570</v>
      </c>
      <c r="B1571" s="363" t="str">
        <f t="shared" si="192"/>
        <v>44</v>
      </c>
      <c r="C1571" s="405" t="str">
        <f t="shared" si="193"/>
        <v>第013078号</v>
      </c>
      <c r="D1571" s="405" t="str">
        <f t="shared" si="194"/>
        <v>（有）鶴友機材</v>
      </c>
      <c r="E1571" s="405" t="str">
        <f t="shared" si="195"/>
        <v>代表取締役</v>
      </c>
      <c r="F1571" s="405" t="str">
        <f t="shared" si="196"/>
        <v>藤古　秀雄</v>
      </c>
      <c r="G1571" s="405" t="str">
        <f t="shared" si="197"/>
        <v>主たる営業所</v>
      </c>
      <c r="H1571" s="405" t="str">
        <f t="shared" si="198"/>
        <v>大分市大津町１－１６－２０</v>
      </c>
      <c r="L1571" s="403" t="s">
        <v>11044</v>
      </c>
      <c r="M1571" s="403" t="s">
        <v>11045</v>
      </c>
      <c r="N1571" s="403" t="s">
        <v>4323</v>
      </c>
      <c r="O1571" s="403" t="s">
        <v>7084</v>
      </c>
      <c r="P1571" s="403" t="s">
        <v>2512</v>
      </c>
      <c r="Q1571" s="403" t="s">
        <v>11046</v>
      </c>
      <c r="R1571" s="403" t="s">
        <v>19946</v>
      </c>
      <c r="S1571" s="403" t="s">
        <v>16823</v>
      </c>
      <c r="T1571" s="403" t="s">
        <v>16824</v>
      </c>
      <c r="U1571" s="403"/>
      <c r="V1571" s="403" t="s">
        <v>23024</v>
      </c>
      <c r="W1571" s="403" t="s">
        <v>23024</v>
      </c>
      <c r="X1571" s="403" t="s">
        <v>23024</v>
      </c>
      <c r="Y1571" s="403" t="s">
        <v>23024</v>
      </c>
    </row>
    <row r="1572" spans="1:25">
      <c r="A1572" s="363">
        <f t="shared" si="199"/>
        <v>1571</v>
      </c>
      <c r="B1572" s="363" t="str">
        <f t="shared" si="192"/>
        <v>44</v>
      </c>
      <c r="C1572" s="405" t="str">
        <f t="shared" si="193"/>
        <v>第013079号</v>
      </c>
      <c r="D1572" s="405" t="str">
        <f t="shared" si="194"/>
        <v>（有）リメイクナカムラ</v>
      </c>
      <c r="E1572" s="405" t="str">
        <f t="shared" si="195"/>
        <v>代表取締役</v>
      </c>
      <c r="F1572" s="405" t="str">
        <f t="shared" si="196"/>
        <v>中村　純一</v>
      </c>
      <c r="G1572" s="405" t="str">
        <f t="shared" si="197"/>
        <v>主たる営業所</v>
      </c>
      <c r="H1572" s="405" t="str">
        <f t="shared" si="198"/>
        <v>由布市挾間町下市９０８</v>
      </c>
      <c r="L1572" s="403" t="s">
        <v>11047</v>
      </c>
      <c r="M1572" s="403" t="s">
        <v>11048</v>
      </c>
      <c r="N1572" s="403" t="s">
        <v>4324</v>
      </c>
      <c r="O1572" s="403" t="s">
        <v>7084</v>
      </c>
      <c r="P1572" s="403" t="s">
        <v>4325</v>
      </c>
      <c r="Q1572" s="403" t="s">
        <v>11049</v>
      </c>
      <c r="R1572" s="403" t="s">
        <v>5651</v>
      </c>
      <c r="S1572" s="403" t="s">
        <v>16825</v>
      </c>
      <c r="T1572" s="403" t="s">
        <v>16826</v>
      </c>
      <c r="U1572" s="403"/>
      <c r="V1572" s="403" t="s">
        <v>23024</v>
      </c>
      <c r="W1572" s="403" t="s">
        <v>23024</v>
      </c>
      <c r="X1572" s="403" t="s">
        <v>23024</v>
      </c>
      <c r="Y1572" s="403" t="s">
        <v>23024</v>
      </c>
    </row>
    <row r="1573" spans="1:25">
      <c r="A1573" s="363">
        <f t="shared" si="199"/>
        <v>1572</v>
      </c>
      <c r="B1573" s="363" t="str">
        <f t="shared" si="192"/>
        <v>44</v>
      </c>
      <c r="C1573" s="405" t="str">
        <f t="shared" si="193"/>
        <v>第013080号</v>
      </c>
      <c r="D1573" s="405" t="str">
        <f t="shared" si="194"/>
        <v>高崎建材（株）</v>
      </c>
      <c r="E1573" s="405" t="str">
        <f t="shared" si="195"/>
        <v>代表取締役</v>
      </c>
      <c r="F1573" s="405" t="str">
        <f t="shared" si="196"/>
        <v>高崎　保典</v>
      </c>
      <c r="G1573" s="405" t="str">
        <f t="shared" si="197"/>
        <v>主たる営業所</v>
      </c>
      <c r="H1573" s="405" t="str">
        <f t="shared" si="198"/>
        <v>別府市餅ケ浜町５－１５</v>
      </c>
      <c r="L1573" s="403" t="s">
        <v>11050</v>
      </c>
      <c r="M1573" s="403" t="s">
        <v>11051</v>
      </c>
      <c r="N1573" s="403" t="s">
        <v>4326</v>
      </c>
      <c r="O1573" s="403" t="s">
        <v>7084</v>
      </c>
      <c r="P1573" s="403" t="s">
        <v>5324</v>
      </c>
      <c r="Q1573" s="403" t="s">
        <v>8435</v>
      </c>
      <c r="R1573" s="403" t="s">
        <v>19947</v>
      </c>
      <c r="S1573" s="403" t="s">
        <v>16827</v>
      </c>
      <c r="T1573" s="403" t="s">
        <v>16828</v>
      </c>
      <c r="U1573" s="403"/>
      <c r="V1573" s="403" t="s">
        <v>23024</v>
      </c>
      <c r="W1573" s="403" t="s">
        <v>23024</v>
      </c>
      <c r="X1573" s="403" t="s">
        <v>23024</v>
      </c>
      <c r="Y1573" s="403" t="s">
        <v>23024</v>
      </c>
    </row>
    <row r="1574" spans="1:25">
      <c r="A1574" s="363">
        <f t="shared" si="199"/>
        <v>1573</v>
      </c>
      <c r="B1574" s="363" t="str">
        <f t="shared" si="192"/>
        <v>44</v>
      </c>
      <c r="C1574" s="405" t="str">
        <f t="shared" si="193"/>
        <v>第013082号</v>
      </c>
      <c r="D1574" s="405" t="str">
        <f t="shared" si="194"/>
        <v>（有）矢野建設工業</v>
      </c>
      <c r="E1574" s="405" t="str">
        <f t="shared" si="195"/>
        <v>代表取締役</v>
      </c>
      <c r="F1574" s="405" t="str">
        <f t="shared" si="196"/>
        <v>矢野　俊浩</v>
      </c>
      <c r="G1574" s="405" t="str">
        <f t="shared" si="197"/>
        <v>主たる営業所</v>
      </c>
      <c r="H1574" s="405" t="str">
        <f t="shared" si="198"/>
        <v>中津市大字加来２２８３－６３７</v>
      </c>
      <c r="L1574" s="403" t="s">
        <v>11052</v>
      </c>
      <c r="M1574" s="403" t="s">
        <v>11053</v>
      </c>
      <c r="N1574" s="403" t="s">
        <v>4327</v>
      </c>
      <c r="O1574" s="403" t="s">
        <v>7084</v>
      </c>
      <c r="P1574" s="403" t="s">
        <v>4328</v>
      </c>
      <c r="Q1574" s="403" t="s">
        <v>7351</v>
      </c>
      <c r="R1574" s="403" t="s">
        <v>19948</v>
      </c>
      <c r="S1574" s="403" t="s">
        <v>16829</v>
      </c>
      <c r="T1574" s="403" t="s">
        <v>16830</v>
      </c>
      <c r="U1574" s="403"/>
      <c r="V1574" s="403" t="s">
        <v>23024</v>
      </c>
      <c r="W1574" s="403" t="s">
        <v>23024</v>
      </c>
      <c r="X1574" s="403" t="s">
        <v>23024</v>
      </c>
      <c r="Y1574" s="403" t="s">
        <v>23024</v>
      </c>
    </row>
    <row r="1575" spans="1:25">
      <c r="A1575" s="363">
        <f t="shared" si="199"/>
        <v>1574</v>
      </c>
      <c r="B1575" s="363" t="str">
        <f t="shared" si="192"/>
        <v>44</v>
      </c>
      <c r="C1575" s="405" t="str">
        <f t="shared" si="193"/>
        <v>第013085号</v>
      </c>
      <c r="D1575" s="405" t="str">
        <f t="shared" si="194"/>
        <v>ビルドワン（株）</v>
      </c>
      <c r="E1575" s="405" t="str">
        <f t="shared" si="195"/>
        <v>代表取締役</v>
      </c>
      <c r="F1575" s="405" t="str">
        <f t="shared" si="196"/>
        <v>馬場　一博</v>
      </c>
      <c r="G1575" s="405" t="str">
        <f t="shared" si="197"/>
        <v>主たる営業所</v>
      </c>
      <c r="H1575" s="405" t="str">
        <f t="shared" si="198"/>
        <v>杵築市大字杵築６８－１</v>
      </c>
      <c r="L1575" s="403" t="s">
        <v>11054</v>
      </c>
      <c r="M1575" s="403" t="s">
        <v>11055</v>
      </c>
      <c r="N1575" s="403" t="s">
        <v>4329</v>
      </c>
      <c r="O1575" s="403" t="s">
        <v>7084</v>
      </c>
      <c r="P1575" s="403" t="s">
        <v>4330</v>
      </c>
      <c r="Q1575" s="403" t="s">
        <v>7637</v>
      </c>
      <c r="R1575" s="403" t="s">
        <v>18662</v>
      </c>
      <c r="S1575" s="403" t="s">
        <v>16831</v>
      </c>
      <c r="T1575" s="403" t="s">
        <v>16831</v>
      </c>
      <c r="U1575" s="403"/>
      <c r="V1575" s="403" t="s">
        <v>23024</v>
      </c>
      <c r="W1575" s="403" t="s">
        <v>23024</v>
      </c>
      <c r="X1575" s="403" t="s">
        <v>23024</v>
      </c>
      <c r="Y1575" s="403" t="s">
        <v>23024</v>
      </c>
    </row>
    <row r="1576" spans="1:25">
      <c r="A1576" s="363">
        <f t="shared" si="199"/>
        <v>1575</v>
      </c>
      <c r="B1576" s="363" t="str">
        <f t="shared" si="192"/>
        <v>44</v>
      </c>
      <c r="C1576" s="405" t="str">
        <f t="shared" si="193"/>
        <v>第013087号</v>
      </c>
      <c r="D1576" s="405" t="str">
        <f t="shared" si="194"/>
        <v>（株）Ａ・Ｋ</v>
      </c>
      <c r="E1576" s="405" t="str">
        <f t="shared" si="195"/>
        <v>代表取締役</v>
      </c>
      <c r="F1576" s="405" t="str">
        <f t="shared" si="196"/>
        <v>穐吉　鎮矢</v>
      </c>
      <c r="G1576" s="405" t="str">
        <f t="shared" si="197"/>
        <v>主たる営業所</v>
      </c>
      <c r="H1576" s="405" t="str">
        <f t="shared" si="198"/>
        <v>中津市大字全徳３７３</v>
      </c>
      <c r="L1576" s="404" t="s">
        <v>11056</v>
      </c>
      <c r="M1576" s="404" t="s">
        <v>11057</v>
      </c>
      <c r="N1576" s="404" t="s">
        <v>4331</v>
      </c>
      <c r="O1576" s="404" t="s">
        <v>7084</v>
      </c>
      <c r="P1576" s="404" t="s">
        <v>4332</v>
      </c>
      <c r="Q1576" s="404" t="s">
        <v>10519</v>
      </c>
      <c r="R1576" s="404" t="s">
        <v>5652</v>
      </c>
      <c r="S1576" s="404" t="s">
        <v>16832</v>
      </c>
      <c r="T1576" s="404" t="s">
        <v>16832</v>
      </c>
      <c r="U1576" s="404"/>
      <c r="V1576" s="404" t="s">
        <v>23024</v>
      </c>
      <c r="W1576" s="404" t="s">
        <v>23024</v>
      </c>
      <c r="X1576" s="404" t="s">
        <v>23024</v>
      </c>
      <c r="Y1576" s="404" t="s">
        <v>23024</v>
      </c>
    </row>
    <row r="1577" spans="1:25">
      <c r="A1577" s="363">
        <f t="shared" si="199"/>
        <v>1576</v>
      </c>
      <c r="B1577" s="363" t="str">
        <f t="shared" si="192"/>
        <v>44</v>
      </c>
      <c r="C1577" s="405" t="str">
        <f t="shared" si="193"/>
        <v>第013093号</v>
      </c>
      <c r="D1577" s="405" t="str">
        <f t="shared" si="194"/>
        <v>（株）城村建設</v>
      </c>
      <c r="E1577" s="405" t="str">
        <f t="shared" si="195"/>
        <v>代表取締役</v>
      </c>
      <c r="F1577" s="405" t="str">
        <f t="shared" si="196"/>
        <v>疋田　久吉</v>
      </c>
      <c r="G1577" s="405" t="str">
        <f t="shared" si="197"/>
        <v>主たる営業所</v>
      </c>
      <c r="H1577" s="405" t="str">
        <f t="shared" si="198"/>
        <v>佐伯市大字長谷１０３２６－２３４</v>
      </c>
      <c r="L1577" s="402" t="s">
        <v>11058</v>
      </c>
      <c r="M1577" s="402" t="s">
        <v>11059</v>
      </c>
      <c r="N1577" s="402" t="s">
        <v>4333</v>
      </c>
      <c r="O1577" s="402" t="s">
        <v>7084</v>
      </c>
      <c r="P1577" s="402" t="s">
        <v>4334</v>
      </c>
      <c r="Q1577" s="402" t="s">
        <v>8479</v>
      </c>
      <c r="R1577" s="402" t="s">
        <v>19949</v>
      </c>
      <c r="S1577" s="402" t="s">
        <v>16833</v>
      </c>
      <c r="T1577" s="402" t="s">
        <v>14747</v>
      </c>
      <c r="U1577" s="402"/>
      <c r="V1577" s="402" t="s">
        <v>23024</v>
      </c>
      <c r="W1577" s="402" t="s">
        <v>23024</v>
      </c>
      <c r="X1577" s="402" t="s">
        <v>23024</v>
      </c>
      <c r="Y1577" s="402" t="s">
        <v>23024</v>
      </c>
    </row>
    <row r="1578" spans="1:25">
      <c r="A1578" s="363">
        <f t="shared" si="199"/>
        <v>1577</v>
      </c>
      <c r="B1578" s="363" t="str">
        <f t="shared" si="192"/>
        <v>44</v>
      </c>
      <c r="C1578" s="405" t="str">
        <f t="shared" si="193"/>
        <v>第013096号</v>
      </c>
      <c r="D1578" s="405" t="str">
        <f t="shared" si="194"/>
        <v>（株）藤智産業</v>
      </c>
      <c r="E1578" s="405" t="str">
        <f t="shared" si="195"/>
        <v>代表取締役</v>
      </c>
      <c r="F1578" s="405" t="str">
        <f t="shared" si="196"/>
        <v>藤岡　照彦</v>
      </c>
      <c r="G1578" s="405" t="str">
        <f t="shared" si="197"/>
        <v>主たる営業所</v>
      </c>
      <c r="H1578" s="405" t="str">
        <f t="shared" si="198"/>
        <v>中津市大字植野９９８</v>
      </c>
      <c r="L1578" s="403" t="s">
        <v>11060</v>
      </c>
      <c r="M1578" s="403" t="s">
        <v>11061</v>
      </c>
      <c r="N1578" s="403" t="s">
        <v>4335</v>
      </c>
      <c r="O1578" s="403" t="s">
        <v>7084</v>
      </c>
      <c r="P1578" s="403" t="s">
        <v>4336</v>
      </c>
      <c r="Q1578" s="403" t="s">
        <v>8911</v>
      </c>
      <c r="R1578" s="403" t="s">
        <v>5653</v>
      </c>
      <c r="S1578" s="403" t="s">
        <v>16834</v>
      </c>
      <c r="T1578" s="403" t="s">
        <v>16835</v>
      </c>
      <c r="U1578" s="403"/>
      <c r="V1578" s="403" t="s">
        <v>23024</v>
      </c>
      <c r="W1578" s="403" t="s">
        <v>23024</v>
      </c>
      <c r="X1578" s="403" t="s">
        <v>23024</v>
      </c>
      <c r="Y1578" s="403" t="s">
        <v>23024</v>
      </c>
    </row>
    <row r="1579" spans="1:25">
      <c r="A1579" s="363">
        <f t="shared" si="199"/>
        <v>1578</v>
      </c>
      <c r="B1579" s="363" t="str">
        <f t="shared" si="192"/>
        <v>44</v>
      </c>
      <c r="C1579" s="405" t="str">
        <f t="shared" si="193"/>
        <v>第013109号</v>
      </c>
      <c r="D1579" s="405" t="str">
        <f t="shared" si="194"/>
        <v>（株）ＡＫＩＹＯＳＨＩ</v>
      </c>
      <c r="E1579" s="405" t="str">
        <f t="shared" si="195"/>
        <v>代表取締役</v>
      </c>
      <c r="F1579" s="405" t="str">
        <f t="shared" si="196"/>
        <v>秋吉　智治</v>
      </c>
      <c r="G1579" s="405" t="str">
        <f t="shared" si="197"/>
        <v>主たる営業所</v>
      </c>
      <c r="H1579" s="405" t="str">
        <f t="shared" si="198"/>
        <v>大分市三佐６－１２－１０</v>
      </c>
      <c r="L1579" s="403" t="s">
        <v>11062</v>
      </c>
      <c r="M1579" s="403" t="s">
        <v>11063</v>
      </c>
      <c r="N1579" s="403" t="s">
        <v>4337</v>
      </c>
      <c r="O1579" s="403" t="s">
        <v>7084</v>
      </c>
      <c r="P1579" s="403" t="s">
        <v>4338</v>
      </c>
      <c r="Q1579" s="403" t="s">
        <v>7413</v>
      </c>
      <c r="R1579" s="403" t="s">
        <v>19950</v>
      </c>
      <c r="S1579" s="403" t="s">
        <v>16836</v>
      </c>
      <c r="T1579" s="403" t="s">
        <v>16837</v>
      </c>
      <c r="U1579" s="403"/>
      <c r="V1579" s="403" t="s">
        <v>23024</v>
      </c>
      <c r="W1579" s="403" t="s">
        <v>23024</v>
      </c>
      <c r="X1579" s="403" t="s">
        <v>23024</v>
      </c>
      <c r="Y1579" s="403" t="s">
        <v>23024</v>
      </c>
    </row>
    <row r="1580" spans="1:25">
      <c r="A1580" s="363">
        <f t="shared" si="199"/>
        <v>1579</v>
      </c>
      <c r="B1580" s="363" t="str">
        <f t="shared" si="192"/>
        <v>44</v>
      </c>
      <c r="C1580" s="405" t="str">
        <f t="shared" si="193"/>
        <v>第013116号</v>
      </c>
      <c r="D1580" s="405" t="str">
        <f t="shared" si="194"/>
        <v>（株）新名組</v>
      </c>
      <c r="E1580" s="405" t="str">
        <f t="shared" si="195"/>
        <v>代表取締役</v>
      </c>
      <c r="F1580" s="405" t="str">
        <f t="shared" si="196"/>
        <v>新名　一仁</v>
      </c>
      <c r="G1580" s="405" t="str">
        <f t="shared" si="197"/>
        <v>主たる営業所</v>
      </c>
      <c r="H1580" s="405" t="str">
        <f t="shared" si="198"/>
        <v>佐伯市向島２－７－２０</v>
      </c>
      <c r="L1580" s="403" t="s">
        <v>11064</v>
      </c>
      <c r="M1580" s="403" t="s">
        <v>11065</v>
      </c>
      <c r="N1580" s="403" t="s">
        <v>4339</v>
      </c>
      <c r="O1580" s="403" t="s">
        <v>7084</v>
      </c>
      <c r="P1580" s="403" t="s">
        <v>4340</v>
      </c>
      <c r="Q1580" s="403" t="s">
        <v>8505</v>
      </c>
      <c r="R1580" s="403" t="s">
        <v>19951</v>
      </c>
      <c r="S1580" s="403" t="s">
        <v>16838</v>
      </c>
      <c r="T1580" s="403" t="s">
        <v>16838</v>
      </c>
      <c r="U1580" s="403"/>
      <c r="V1580" s="403" t="s">
        <v>23024</v>
      </c>
      <c r="W1580" s="403" t="s">
        <v>23024</v>
      </c>
      <c r="X1580" s="403" t="s">
        <v>23024</v>
      </c>
      <c r="Y1580" s="403" t="s">
        <v>23024</v>
      </c>
    </row>
    <row r="1581" spans="1:25">
      <c r="A1581" s="363">
        <f t="shared" si="199"/>
        <v>1580</v>
      </c>
      <c r="B1581" s="363" t="str">
        <f t="shared" si="192"/>
        <v>44</v>
      </c>
      <c r="C1581" s="405" t="str">
        <f t="shared" si="193"/>
        <v>第013122号</v>
      </c>
      <c r="D1581" s="405" t="str">
        <f t="shared" si="194"/>
        <v>（株）織部工務店</v>
      </c>
      <c r="E1581" s="405" t="str">
        <f t="shared" si="195"/>
        <v>代表取締役</v>
      </c>
      <c r="F1581" s="405" t="str">
        <f t="shared" si="196"/>
        <v>堀　智二</v>
      </c>
      <c r="G1581" s="405" t="str">
        <f t="shared" si="197"/>
        <v>主たる営業所</v>
      </c>
      <c r="H1581" s="405" t="str">
        <f t="shared" si="198"/>
        <v>大分市大字三芳１０４１－１</v>
      </c>
      <c r="L1581" s="403" t="s">
        <v>11066</v>
      </c>
      <c r="M1581" s="403" t="s">
        <v>11067</v>
      </c>
      <c r="N1581" s="403" t="s">
        <v>4341</v>
      </c>
      <c r="O1581" s="403" t="s">
        <v>7084</v>
      </c>
      <c r="P1581" s="403" t="s">
        <v>19952</v>
      </c>
      <c r="Q1581" s="403" t="s">
        <v>7492</v>
      </c>
      <c r="R1581" s="403" t="s">
        <v>19953</v>
      </c>
      <c r="S1581" s="403" t="s">
        <v>16839</v>
      </c>
      <c r="T1581" s="403" t="s">
        <v>16840</v>
      </c>
      <c r="U1581" s="403"/>
      <c r="V1581" s="403" t="s">
        <v>23024</v>
      </c>
      <c r="W1581" s="403" t="s">
        <v>23024</v>
      </c>
      <c r="X1581" s="403" t="s">
        <v>23024</v>
      </c>
      <c r="Y1581" s="403" t="s">
        <v>23024</v>
      </c>
    </row>
    <row r="1582" spans="1:25">
      <c r="A1582" s="363">
        <f t="shared" si="199"/>
        <v>1581</v>
      </c>
      <c r="B1582" s="363" t="str">
        <f t="shared" si="192"/>
        <v>44</v>
      </c>
      <c r="C1582" s="405" t="str">
        <f t="shared" si="193"/>
        <v>第013145号</v>
      </c>
      <c r="D1582" s="405" t="str">
        <f t="shared" si="194"/>
        <v>（株）ＤＡＩ　ＴＷＯ</v>
      </c>
      <c r="E1582" s="405" t="str">
        <f t="shared" si="195"/>
        <v>代表取締役</v>
      </c>
      <c r="F1582" s="405" t="str">
        <f t="shared" si="196"/>
        <v>栗林　大介</v>
      </c>
      <c r="G1582" s="405" t="str">
        <f t="shared" si="197"/>
        <v>主たる営業所</v>
      </c>
      <c r="H1582" s="405" t="str">
        <f t="shared" si="198"/>
        <v>別府市大字鶴見２９９８－７</v>
      </c>
      <c r="L1582" s="403" t="s">
        <v>11068</v>
      </c>
      <c r="M1582" s="403" t="s">
        <v>11069</v>
      </c>
      <c r="N1582" s="403" t="s">
        <v>5291</v>
      </c>
      <c r="O1582" s="403" t="s">
        <v>7084</v>
      </c>
      <c r="P1582" s="403" t="s">
        <v>4342</v>
      </c>
      <c r="Q1582" s="403" t="s">
        <v>9177</v>
      </c>
      <c r="R1582" s="403" t="s">
        <v>19954</v>
      </c>
      <c r="S1582" s="403" t="s">
        <v>16841</v>
      </c>
      <c r="T1582" s="403" t="s">
        <v>16842</v>
      </c>
      <c r="U1582" s="403"/>
      <c r="V1582" s="403" t="s">
        <v>23024</v>
      </c>
      <c r="W1582" s="403" t="s">
        <v>23024</v>
      </c>
      <c r="X1582" s="403" t="s">
        <v>23024</v>
      </c>
      <c r="Y1582" s="403" t="s">
        <v>23024</v>
      </c>
    </row>
    <row r="1583" spans="1:25">
      <c r="A1583" s="363">
        <f t="shared" si="199"/>
        <v>1582</v>
      </c>
      <c r="B1583" s="363" t="str">
        <f t="shared" si="192"/>
        <v>44</v>
      </c>
      <c r="C1583" s="405" t="str">
        <f t="shared" si="193"/>
        <v>第013151号</v>
      </c>
      <c r="D1583" s="405" t="str">
        <f t="shared" si="194"/>
        <v>藤原建築</v>
      </c>
      <c r="E1583" s="405" t="str">
        <f t="shared" si="195"/>
        <v>事業主</v>
      </c>
      <c r="F1583" s="405" t="str">
        <f t="shared" si="196"/>
        <v>藤原　英則</v>
      </c>
      <c r="G1583" s="405" t="str">
        <f t="shared" si="197"/>
        <v>主たる営業所</v>
      </c>
      <c r="H1583" s="405" t="str">
        <f t="shared" si="198"/>
        <v>日田市大字田島４８５－３</v>
      </c>
      <c r="L1583" s="403" t="s">
        <v>11070</v>
      </c>
      <c r="M1583" s="403" t="s">
        <v>11071</v>
      </c>
      <c r="N1583" s="403" t="s">
        <v>4343</v>
      </c>
      <c r="O1583" s="403" t="s">
        <v>7088</v>
      </c>
      <c r="P1583" s="403" t="s">
        <v>4344</v>
      </c>
      <c r="Q1583" s="403" t="s">
        <v>11072</v>
      </c>
      <c r="R1583" s="403" t="s">
        <v>19955</v>
      </c>
      <c r="S1583" s="403" t="s">
        <v>16843</v>
      </c>
      <c r="T1583" s="403" t="s">
        <v>16843</v>
      </c>
      <c r="U1583" s="403"/>
      <c r="V1583" s="403" t="s">
        <v>23024</v>
      </c>
      <c r="W1583" s="403" t="s">
        <v>23024</v>
      </c>
      <c r="X1583" s="403" t="s">
        <v>23024</v>
      </c>
      <c r="Y1583" s="403" t="s">
        <v>23024</v>
      </c>
    </row>
    <row r="1584" spans="1:25">
      <c r="A1584" s="363">
        <f t="shared" si="199"/>
        <v>1583</v>
      </c>
      <c r="B1584" s="363" t="str">
        <f t="shared" si="192"/>
        <v>44</v>
      </c>
      <c r="C1584" s="405" t="str">
        <f t="shared" si="193"/>
        <v>第013157号</v>
      </c>
      <c r="D1584" s="405" t="str">
        <f t="shared" si="194"/>
        <v>（株）天童</v>
      </c>
      <c r="E1584" s="405" t="str">
        <f t="shared" si="195"/>
        <v>代表取締役</v>
      </c>
      <c r="F1584" s="405" t="str">
        <f t="shared" si="196"/>
        <v>釘宮　薫</v>
      </c>
      <c r="G1584" s="405" t="str">
        <f t="shared" si="197"/>
        <v>主たる営業所</v>
      </c>
      <c r="H1584" s="405" t="str">
        <f t="shared" si="198"/>
        <v>豊後大野市大野町大原６３４－２</v>
      </c>
      <c r="L1584" s="403" t="s">
        <v>11073</v>
      </c>
      <c r="M1584" s="403" t="s">
        <v>11074</v>
      </c>
      <c r="N1584" s="403" t="s">
        <v>4345</v>
      </c>
      <c r="O1584" s="403" t="s">
        <v>7084</v>
      </c>
      <c r="P1584" s="403" t="s">
        <v>4346</v>
      </c>
      <c r="Q1584" s="403" t="s">
        <v>7902</v>
      </c>
      <c r="R1584" s="403" t="s">
        <v>19956</v>
      </c>
      <c r="S1584" s="403" t="s">
        <v>16844</v>
      </c>
      <c r="T1584" s="403" t="s">
        <v>16845</v>
      </c>
      <c r="U1584" s="403"/>
      <c r="V1584" s="403" t="s">
        <v>23024</v>
      </c>
      <c r="W1584" s="403" t="s">
        <v>23024</v>
      </c>
      <c r="X1584" s="403" t="s">
        <v>23024</v>
      </c>
      <c r="Y1584" s="403" t="s">
        <v>23024</v>
      </c>
    </row>
    <row r="1585" spans="1:25">
      <c r="A1585" s="363">
        <f t="shared" si="199"/>
        <v>1584</v>
      </c>
      <c r="B1585" s="363" t="str">
        <f t="shared" si="192"/>
        <v>44</v>
      </c>
      <c r="C1585" s="405" t="str">
        <f t="shared" si="193"/>
        <v>第013162号</v>
      </c>
      <c r="D1585" s="405" t="str">
        <f t="shared" si="194"/>
        <v>（有）スギショー</v>
      </c>
      <c r="E1585" s="405" t="str">
        <f t="shared" si="195"/>
        <v>代表取締役</v>
      </c>
      <c r="F1585" s="405" t="str">
        <f t="shared" si="196"/>
        <v>杉田　康</v>
      </c>
      <c r="G1585" s="405" t="str">
        <f t="shared" si="197"/>
        <v>主たる営業所</v>
      </c>
      <c r="H1585" s="405" t="str">
        <f t="shared" si="198"/>
        <v>由布市湯布院町下湯平２３９８</v>
      </c>
      <c r="L1585" s="403" t="s">
        <v>11075</v>
      </c>
      <c r="M1585" s="403" t="s">
        <v>11076</v>
      </c>
      <c r="N1585" s="403" t="s">
        <v>4347</v>
      </c>
      <c r="O1585" s="403" t="s">
        <v>7084</v>
      </c>
      <c r="P1585" s="403" t="s">
        <v>4348</v>
      </c>
      <c r="Q1585" s="403" t="s">
        <v>7557</v>
      </c>
      <c r="R1585" s="403" t="s">
        <v>5654</v>
      </c>
      <c r="S1585" s="403" t="s">
        <v>16846</v>
      </c>
      <c r="T1585" s="403" t="s">
        <v>16847</v>
      </c>
      <c r="U1585" s="403"/>
      <c r="V1585" s="403" t="s">
        <v>23024</v>
      </c>
      <c r="W1585" s="403" t="s">
        <v>23024</v>
      </c>
      <c r="X1585" s="403" t="s">
        <v>23024</v>
      </c>
      <c r="Y1585" s="403" t="s">
        <v>23024</v>
      </c>
    </row>
    <row r="1586" spans="1:25">
      <c r="A1586" s="363">
        <f t="shared" si="199"/>
        <v>1585</v>
      </c>
      <c r="B1586" s="363" t="str">
        <f t="shared" si="192"/>
        <v>44</v>
      </c>
      <c r="C1586" s="405" t="str">
        <f t="shared" si="193"/>
        <v>第013163号</v>
      </c>
      <c r="D1586" s="405" t="str">
        <f t="shared" si="194"/>
        <v>（株）晃陽建設工業</v>
      </c>
      <c r="E1586" s="405" t="str">
        <f t="shared" si="195"/>
        <v>代表取締役</v>
      </c>
      <c r="F1586" s="405" t="str">
        <f t="shared" si="196"/>
        <v>大久保　陽介</v>
      </c>
      <c r="G1586" s="405" t="str">
        <f t="shared" si="197"/>
        <v>主たる営業所</v>
      </c>
      <c r="H1586" s="405" t="str">
        <f t="shared" si="198"/>
        <v>大分市大字片島１２１５－２</v>
      </c>
      <c r="L1586" s="403" t="s">
        <v>11077</v>
      </c>
      <c r="M1586" s="403" t="s">
        <v>11078</v>
      </c>
      <c r="N1586" s="403" t="s">
        <v>4349</v>
      </c>
      <c r="O1586" s="403" t="s">
        <v>7084</v>
      </c>
      <c r="P1586" s="403" t="s">
        <v>4350</v>
      </c>
      <c r="Q1586" s="403" t="s">
        <v>8687</v>
      </c>
      <c r="R1586" s="403" t="s">
        <v>19957</v>
      </c>
      <c r="S1586" s="403" t="s">
        <v>16848</v>
      </c>
      <c r="T1586" s="403" t="s">
        <v>16849</v>
      </c>
      <c r="U1586" s="403"/>
      <c r="V1586" s="403" t="s">
        <v>23024</v>
      </c>
      <c r="W1586" s="403" t="s">
        <v>23024</v>
      </c>
      <c r="X1586" s="403" t="s">
        <v>23024</v>
      </c>
      <c r="Y1586" s="403" t="s">
        <v>23024</v>
      </c>
    </row>
    <row r="1587" spans="1:25">
      <c r="A1587" s="363">
        <f t="shared" si="199"/>
        <v>1586</v>
      </c>
      <c r="B1587" s="363" t="str">
        <f t="shared" si="192"/>
        <v>44</v>
      </c>
      <c r="C1587" s="405" t="str">
        <f t="shared" si="193"/>
        <v>第013174号</v>
      </c>
      <c r="D1587" s="405" t="str">
        <f t="shared" si="194"/>
        <v>（株）松森組</v>
      </c>
      <c r="E1587" s="405" t="str">
        <f t="shared" si="195"/>
        <v>代表取締役</v>
      </c>
      <c r="F1587" s="405" t="str">
        <f t="shared" si="196"/>
        <v>松森　法和</v>
      </c>
      <c r="G1587" s="405" t="str">
        <f t="shared" si="197"/>
        <v>主たる営業所</v>
      </c>
      <c r="H1587" s="405" t="str">
        <f t="shared" si="198"/>
        <v>佐伯市蒲江大字森崎浦３７１－１</v>
      </c>
      <c r="L1587" s="403" t="s">
        <v>11079</v>
      </c>
      <c r="M1587" s="403" t="s">
        <v>11080</v>
      </c>
      <c r="N1587" s="403" t="s">
        <v>4351</v>
      </c>
      <c r="O1587" s="403" t="s">
        <v>7084</v>
      </c>
      <c r="P1587" s="403" t="s">
        <v>4352</v>
      </c>
      <c r="Q1587" s="403" t="s">
        <v>10369</v>
      </c>
      <c r="R1587" s="403" t="s">
        <v>19958</v>
      </c>
      <c r="S1587" s="403" t="s">
        <v>16850</v>
      </c>
      <c r="T1587" s="403" t="s">
        <v>16850</v>
      </c>
      <c r="U1587" s="403"/>
      <c r="V1587" s="403" t="s">
        <v>23024</v>
      </c>
      <c r="W1587" s="403" t="s">
        <v>23024</v>
      </c>
      <c r="X1587" s="403" t="s">
        <v>23024</v>
      </c>
      <c r="Y1587" s="403" t="s">
        <v>23024</v>
      </c>
    </row>
    <row r="1588" spans="1:25">
      <c r="A1588" s="363">
        <f t="shared" si="199"/>
        <v>1587</v>
      </c>
      <c r="B1588" s="363" t="str">
        <f t="shared" si="192"/>
        <v>44</v>
      </c>
      <c r="C1588" s="405" t="str">
        <f t="shared" si="193"/>
        <v>第013175号</v>
      </c>
      <c r="D1588" s="405" t="str">
        <f t="shared" si="194"/>
        <v>矢野建材工業（株）</v>
      </c>
      <c r="E1588" s="405" t="str">
        <f t="shared" si="195"/>
        <v>代表取締役</v>
      </c>
      <c r="F1588" s="405" t="str">
        <f t="shared" si="196"/>
        <v>矢野　伸二</v>
      </c>
      <c r="G1588" s="405" t="str">
        <f t="shared" si="197"/>
        <v>主たる営業所</v>
      </c>
      <c r="H1588" s="405" t="str">
        <f t="shared" si="198"/>
        <v>佐伯市弥生大字床木２９－２</v>
      </c>
      <c r="L1588" s="403" t="s">
        <v>11081</v>
      </c>
      <c r="M1588" s="403" t="s">
        <v>11082</v>
      </c>
      <c r="N1588" s="403" t="s">
        <v>4353</v>
      </c>
      <c r="O1588" s="403" t="s">
        <v>7084</v>
      </c>
      <c r="P1588" s="403" t="s">
        <v>4354</v>
      </c>
      <c r="Q1588" s="403" t="s">
        <v>10679</v>
      </c>
      <c r="R1588" s="403" t="s">
        <v>19959</v>
      </c>
      <c r="S1588" s="403" t="s">
        <v>16851</v>
      </c>
      <c r="T1588" s="403" t="s">
        <v>16852</v>
      </c>
      <c r="U1588" s="403"/>
      <c r="V1588" s="403" t="s">
        <v>23024</v>
      </c>
      <c r="W1588" s="403" t="s">
        <v>23024</v>
      </c>
      <c r="X1588" s="403" t="s">
        <v>23024</v>
      </c>
      <c r="Y1588" s="403" t="s">
        <v>23024</v>
      </c>
    </row>
    <row r="1589" spans="1:25">
      <c r="A1589" s="363">
        <f t="shared" si="199"/>
        <v>1588</v>
      </c>
      <c r="B1589" s="363" t="str">
        <f t="shared" si="192"/>
        <v>44</v>
      </c>
      <c r="C1589" s="405" t="str">
        <f t="shared" si="193"/>
        <v>第013194号</v>
      </c>
      <c r="D1589" s="405" t="str">
        <f t="shared" si="194"/>
        <v>（有）田島平建設工業</v>
      </c>
      <c r="E1589" s="405" t="str">
        <f t="shared" si="195"/>
        <v>取締役</v>
      </c>
      <c r="F1589" s="405" t="str">
        <f t="shared" si="196"/>
        <v>田島　平</v>
      </c>
      <c r="G1589" s="405" t="str">
        <f t="shared" si="197"/>
        <v>主たる営業所</v>
      </c>
      <c r="H1589" s="405" t="str">
        <f t="shared" si="198"/>
        <v>大分市大津町１－５７</v>
      </c>
      <c r="L1589" s="403" t="s">
        <v>11083</v>
      </c>
      <c r="M1589" s="403" t="s">
        <v>11084</v>
      </c>
      <c r="N1589" s="403" t="s">
        <v>4356</v>
      </c>
      <c r="O1589" s="403" t="s">
        <v>7085</v>
      </c>
      <c r="P1589" s="403" t="s">
        <v>4357</v>
      </c>
      <c r="Q1589" s="403" t="s">
        <v>11046</v>
      </c>
      <c r="R1589" s="403" t="s">
        <v>19960</v>
      </c>
      <c r="S1589" s="403" t="s">
        <v>16853</v>
      </c>
      <c r="T1589" s="403" t="s">
        <v>16854</v>
      </c>
      <c r="U1589" s="403"/>
      <c r="V1589" s="403" t="s">
        <v>23024</v>
      </c>
      <c r="W1589" s="403" t="s">
        <v>23024</v>
      </c>
      <c r="X1589" s="403" t="s">
        <v>23024</v>
      </c>
      <c r="Y1589" s="403" t="s">
        <v>23024</v>
      </c>
    </row>
    <row r="1590" spans="1:25">
      <c r="A1590" s="363">
        <f t="shared" si="199"/>
        <v>1589</v>
      </c>
      <c r="B1590" s="363" t="str">
        <f t="shared" si="192"/>
        <v>44</v>
      </c>
      <c r="C1590" s="405" t="str">
        <f t="shared" si="193"/>
        <v>第013216号</v>
      </c>
      <c r="D1590" s="405" t="str">
        <f t="shared" si="194"/>
        <v>（株）電操技研</v>
      </c>
      <c r="E1590" s="405" t="str">
        <f t="shared" si="195"/>
        <v>代表取締役</v>
      </c>
      <c r="F1590" s="405" t="str">
        <f t="shared" si="196"/>
        <v>佐賀　久善</v>
      </c>
      <c r="G1590" s="405" t="str">
        <f t="shared" si="197"/>
        <v>主たる営業所</v>
      </c>
      <c r="H1590" s="405" t="str">
        <f t="shared" si="198"/>
        <v>大分市大字三佐２４０５－５</v>
      </c>
      <c r="L1590" s="403" t="s">
        <v>11085</v>
      </c>
      <c r="M1590" s="403" t="s">
        <v>11086</v>
      </c>
      <c r="N1590" s="403" t="s">
        <v>4358</v>
      </c>
      <c r="O1590" s="403" t="s">
        <v>7084</v>
      </c>
      <c r="P1590" s="403" t="s">
        <v>4359</v>
      </c>
      <c r="Q1590" s="403" t="s">
        <v>7413</v>
      </c>
      <c r="R1590" s="403" t="s">
        <v>19961</v>
      </c>
      <c r="S1590" s="403" t="s">
        <v>16855</v>
      </c>
      <c r="T1590" s="403" t="s">
        <v>16856</v>
      </c>
      <c r="U1590" s="403"/>
      <c r="V1590" s="403" t="s">
        <v>23024</v>
      </c>
      <c r="W1590" s="403" t="s">
        <v>23024</v>
      </c>
      <c r="X1590" s="403" t="s">
        <v>23024</v>
      </c>
      <c r="Y1590" s="403" t="s">
        <v>23024</v>
      </c>
    </row>
    <row r="1591" spans="1:25">
      <c r="A1591" s="363">
        <f t="shared" si="199"/>
        <v>1590</v>
      </c>
      <c r="B1591" s="363" t="str">
        <f t="shared" si="192"/>
        <v>44</v>
      </c>
      <c r="C1591" s="405" t="str">
        <f t="shared" si="193"/>
        <v>第013219号</v>
      </c>
      <c r="D1591" s="405" t="str">
        <f t="shared" si="194"/>
        <v>（有）ユーズサービス</v>
      </c>
      <c r="E1591" s="405" t="str">
        <f t="shared" si="195"/>
        <v>代表取締役</v>
      </c>
      <c r="F1591" s="405" t="str">
        <f t="shared" si="196"/>
        <v>佐藤　誕</v>
      </c>
      <c r="G1591" s="405" t="str">
        <f t="shared" si="197"/>
        <v>主たる営業所</v>
      </c>
      <c r="H1591" s="405" t="str">
        <f t="shared" si="198"/>
        <v>大分市大字皆春２５９－２０</v>
      </c>
      <c r="L1591" s="403" t="s">
        <v>11087</v>
      </c>
      <c r="M1591" s="403" t="s">
        <v>11088</v>
      </c>
      <c r="N1591" s="403" t="s">
        <v>4360</v>
      </c>
      <c r="O1591" s="403" t="s">
        <v>7084</v>
      </c>
      <c r="P1591" s="403" t="s">
        <v>4361</v>
      </c>
      <c r="Q1591" s="403" t="s">
        <v>7478</v>
      </c>
      <c r="R1591" s="403" t="s">
        <v>19962</v>
      </c>
      <c r="S1591" s="403" t="s">
        <v>16857</v>
      </c>
      <c r="T1591" s="403" t="s">
        <v>16858</v>
      </c>
      <c r="U1591" s="403"/>
      <c r="V1591" s="403" t="s">
        <v>23024</v>
      </c>
      <c r="W1591" s="403" t="s">
        <v>23024</v>
      </c>
      <c r="X1591" s="403" t="s">
        <v>23024</v>
      </c>
      <c r="Y1591" s="403" t="s">
        <v>23024</v>
      </c>
    </row>
    <row r="1592" spans="1:25">
      <c r="A1592" s="363">
        <f t="shared" si="199"/>
        <v>1591</v>
      </c>
      <c r="B1592" s="363" t="str">
        <f t="shared" si="192"/>
        <v>44</v>
      </c>
      <c r="C1592" s="405" t="str">
        <f t="shared" si="193"/>
        <v>第013223号</v>
      </c>
      <c r="D1592" s="405" t="str">
        <f t="shared" si="194"/>
        <v>（株）苑樹</v>
      </c>
      <c r="E1592" s="405" t="str">
        <f t="shared" si="195"/>
        <v>代表取締役</v>
      </c>
      <c r="F1592" s="405" t="str">
        <f t="shared" si="196"/>
        <v>三浦　正樹</v>
      </c>
      <c r="G1592" s="405" t="str">
        <f t="shared" si="197"/>
        <v>主たる営業所</v>
      </c>
      <c r="H1592" s="405" t="str">
        <f t="shared" si="198"/>
        <v>国東市国東町浜崎４７８－１</v>
      </c>
      <c r="L1592" s="403" t="s">
        <v>11089</v>
      </c>
      <c r="M1592" s="403" t="s">
        <v>11090</v>
      </c>
      <c r="N1592" s="403" t="s">
        <v>4362</v>
      </c>
      <c r="O1592" s="403" t="s">
        <v>7084</v>
      </c>
      <c r="P1592" s="403" t="s">
        <v>4363</v>
      </c>
      <c r="Q1592" s="403" t="s">
        <v>11091</v>
      </c>
      <c r="R1592" s="403" t="s">
        <v>19963</v>
      </c>
      <c r="S1592" s="403" t="s">
        <v>16859</v>
      </c>
      <c r="T1592" s="403" t="s">
        <v>16860</v>
      </c>
      <c r="U1592" s="403"/>
      <c r="V1592" s="403" t="s">
        <v>23024</v>
      </c>
      <c r="W1592" s="403" t="s">
        <v>23024</v>
      </c>
      <c r="X1592" s="403" t="s">
        <v>23024</v>
      </c>
      <c r="Y1592" s="403" t="s">
        <v>23024</v>
      </c>
    </row>
    <row r="1593" spans="1:25">
      <c r="A1593" s="363">
        <f t="shared" si="199"/>
        <v>1592</v>
      </c>
      <c r="B1593" s="363" t="str">
        <f t="shared" si="192"/>
        <v>44</v>
      </c>
      <c r="C1593" s="405" t="str">
        <f t="shared" si="193"/>
        <v>第013225号</v>
      </c>
      <c r="D1593" s="405" t="str">
        <f t="shared" si="194"/>
        <v>（株）大分大栄</v>
      </c>
      <c r="E1593" s="405" t="str">
        <f t="shared" si="195"/>
        <v>代表取締役</v>
      </c>
      <c r="F1593" s="405" t="str">
        <f t="shared" si="196"/>
        <v>小關　新雄</v>
      </c>
      <c r="G1593" s="405" t="str">
        <f t="shared" si="197"/>
        <v>主たる営業所</v>
      </c>
      <c r="H1593" s="405" t="str">
        <f t="shared" si="198"/>
        <v>宇佐市大字宮熊３５８－１</v>
      </c>
      <c r="L1593" s="403" t="s">
        <v>11092</v>
      </c>
      <c r="M1593" s="403" t="s">
        <v>11093</v>
      </c>
      <c r="N1593" s="403" t="s">
        <v>4364</v>
      </c>
      <c r="O1593" s="403" t="s">
        <v>7084</v>
      </c>
      <c r="P1593" s="403" t="s">
        <v>19964</v>
      </c>
      <c r="Q1593" s="403" t="s">
        <v>11094</v>
      </c>
      <c r="R1593" s="403" t="s">
        <v>19965</v>
      </c>
      <c r="S1593" s="403" t="s">
        <v>16861</v>
      </c>
      <c r="T1593" s="403" t="s">
        <v>16862</v>
      </c>
      <c r="U1593" s="403"/>
      <c r="V1593" s="403" t="s">
        <v>23024</v>
      </c>
      <c r="W1593" s="403" t="s">
        <v>23024</v>
      </c>
      <c r="X1593" s="403" t="s">
        <v>23024</v>
      </c>
      <c r="Y1593" s="403" t="s">
        <v>23024</v>
      </c>
    </row>
    <row r="1594" spans="1:25">
      <c r="A1594" s="363">
        <f t="shared" si="199"/>
        <v>1593</v>
      </c>
      <c r="B1594" s="363" t="str">
        <f t="shared" si="192"/>
        <v>44</v>
      </c>
      <c r="C1594" s="405" t="str">
        <f t="shared" si="193"/>
        <v>第013234号</v>
      </c>
      <c r="D1594" s="405" t="str">
        <f t="shared" si="194"/>
        <v>（株）星和工業</v>
      </c>
      <c r="E1594" s="405" t="str">
        <f t="shared" si="195"/>
        <v>代表取締役</v>
      </c>
      <c r="F1594" s="405" t="str">
        <f t="shared" si="196"/>
        <v>曽根崎　一</v>
      </c>
      <c r="G1594" s="405" t="str">
        <f t="shared" si="197"/>
        <v>主たる営業所</v>
      </c>
      <c r="H1594" s="405" t="str">
        <f t="shared" si="198"/>
        <v>由布市挾間町北方２７０－１</v>
      </c>
      <c r="L1594" s="403" t="s">
        <v>11095</v>
      </c>
      <c r="M1594" s="403" t="s">
        <v>11096</v>
      </c>
      <c r="N1594" s="403" t="s">
        <v>4366</v>
      </c>
      <c r="O1594" s="403" t="s">
        <v>7084</v>
      </c>
      <c r="P1594" s="403" t="s">
        <v>5325</v>
      </c>
      <c r="Q1594" s="403" t="s">
        <v>10307</v>
      </c>
      <c r="R1594" s="403" t="s">
        <v>19966</v>
      </c>
      <c r="S1594" s="403" t="s">
        <v>16863</v>
      </c>
      <c r="T1594" s="403" t="s">
        <v>16863</v>
      </c>
      <c r="U1594" s="403"/>
      <c r="V1594" s="403" t="s">
        <v>23024</v>
      </c>
      <c r="W1594" s="403" t="s">
        <v>23024</v>
      </c>
      <c r="X1594" s="403" t="s">
        <v>23024</v>
      </c>
      <c r="Y1594" s="403" t="s">
        <v>23024</v>
      </c>
    </row>
    <row r="1595" spans="1:25">
      <c r="A1595" s="363">
        <f t="shared" si="199"/>
        <v>1594</v>
      </c>
      <c r="B1595" s="363" t="str">
        <f t="shared" si="192"/>
        <v>44</v>
      </c>
      <c r="C1595" s="405" t="str">
        <f t="shared" si="193"/>
        <v>第013238号</v>
      </c>
      <c r="D1595" s="405" t="str">
        <f t="shared" si="194"/>
        <v>（株）ＳＡＮＥｉ</v>
      </c>
      <c r="E1595" s="405" t="str">
        <f t="shared" si="195"/>
        <v>代表取締役</v>
      </c>
      <c r="F1595" s="405" t="str">
        <f t="shared" si="196"/>
        <v>下平　貴之</v>
      </c>
      <c r="G1595" s="405" t="str">
        <f t="shared" si="197"/>
        <v>主たる営業所</v>
      </c>
      <c r="H1595" s="405" t="str">
        <f t="shared" si="198"/>
        <v>大分市志村１－４－７</v>
      </c>
      <c r="L1595" s="403" t="s">
        <v>11097</v>
      </c>
      <c r="M1595" s="403" t="s">
        <v>8434</v>
      </c>
      <c r="N1595" s="403" t="s">
        <v>4367</v>
      </c>
      <c r="O1595" s="403" t="s">
        <v>7084</v>
      </c>
      <c r="P1595" s="403" t="s">
        <v>5267</v>
      </c>
      <c r="Q1595" s="403" t="s">
        <v>11098</v>
      </c>
      <c r="R1595" s="403" t="s">
        <v>19967</v>
      </c>
      <c r="S1595" s="403" t="s">
        <v>16864</v>
      </c>
      <c r="T1595" s="403" t="s">
        <v>16865</v>
      </c>
      <c r="U1595" s="403"/>
      <c r="V1595" s="403" t="s">
        <v>23024</v>
      </c>
      <c r="W1595" s="403" t="s">
        <v>23024</v>
      </c>
      <c r="X1595" s="403" t="s">
        <v>23024</v>
      </c>
      <c r="Y1595" s="403" t="s">
        <v>23024</v>
      </c>
    </row>
    <row r="1596" spans="1:25">
      <c r="A1596" s="363">
        <f t="shared" si="199"/>
        <v>1595</v>
      </c>
      <c r="B1596" s="363" t="str">
        <f t="shared" si="192"/>
        <v>44</v>
      </c>
      <c r="C1596" s="405" t="str">
        <f t="shared" si="193"/>
        <v>第013246号</v>
      </c>
      <c r="D1596" s="405" t="str">
        <f t="shared" si="194"/>
        <v>（株）センコーロード</v>
      </c>
      <c r="E1596" s="405" t="str">
        <f t="shared" si="195"/>
        <v>代表取締役</v>
      </c>
      <c r="F1596" s="405" t="str">
        <f t="shared" si="196"/>
        <v>阿南　宣弘</v>
      </c>
      <c r="G1596" s="405" t="str">
        <f t="shared" si="197"/>
        <v>主たる営業所</v>
      </c>
      <c r="H1596" s="405" t="str">
        <f t="shared" si="198"/>
        <v>大分市大字丹生１９３－６</v>
      </c>
      <c r="L1596" s="403" t="s">
        <v>11099</v>
      </c>
      <c r="M1596" s="403" t="s">
        <v>11100</v>
      </c>
      <c r="N1596" s="403" t="s">
        <v>4368</v>
      </c>
      <c r="O1596" s="403" t="s">
        <v>7084</v>
      </c>
      <c r="P1596" s="403" t="s">
        <v>4017</v>
      </c>
      <c r="Q1596" s="403" t="s">
        <v>7472</v>
      </c>
      <c r="R1596" s="403" t="s">
        <v>19785</v>
      </c>
      <c r="S1596" s="403" t="s">
        <v>16866</v>
      </c>
      <c r="T1596" s="403" t="s">
        <v>16867</v>
      </c>
      <c r="U1596" s="403"/>
      <c r="V1596" s="403" t="s">
        <v>23024</v>
      </c>
      <c r="W1596" s="403" t="s">
        <v>23024</v>
      </c>
      <c r="X1596" s="403" t="s">
        <v>23024</v>
      </c>
      <c r="Y1596" s="403" t="s">
        <v>23024</v>
      </c>
    </row>
    <row r="1597" spans="1:25">
      <c r="A1597" s="363">
        <f t="shared" si="199"/>
        <v>1596</v>
      </c>
      <c r="B1597" s="363" t="str">
        <f t="shared" si="192"/>
        <v>44</v>
      </c>
      <c r="C1597" s="405" t="str">
        <f t="shared" si="193"/>
        <v>第013260号</v>
      </c>
      <c r="D1597" s="405" t="str">
        <f t="shared" si="194"/>
        <v>（株）アーステック</v>
      </c>
      <c r="E1597" s="405" t="str">
        <f t="shared" si="195"/>
        <v>代表取締役</v>
      </c>
      <c r="F1597" s="405" t="str">
        <f t="shared" si="196"/>
        <v>梅木　壮一郎</v>
      </c>
      <c r="G1597" s="405" t="str">
        <f t="shared" si="197"/>
        <v>主たる営業所</v>
      </c>
      <c r="H1597" s="405" t="str">
        <f t="shared" si="198"/>
        <v>大分市大字小野鶴７２６－１</v>
      </c>
      <c r="L1597" s="403" t="s">
        <v>11101</v>
      </c>
      <c r="M1597" s="403" t="s">
        <v>11102</v>
      </c>
      <c r="N1597" s="403" t="s">
        <v>4369</v>
      </c>
      <c r="O1597" s="403" t="s">
        <v>7084</v>
      </c>
      <c r="P1597" s="403" t="s">
        <v>4370</v>
      </c>
      <c r="Q1597" s="403" t="s">
        <v>8283</v>
      </c>
      <c r="R1597" s="403" t="s">
        <v>19968</v>
      </c>
      <c r="S1597" s="403" t="s">
        <v>16868</v>
      </c>
      <c r="T1597" s="403" t="s">
        <v>16869</v>
      </c>
      <c r="U1597" s="403"/>
      <c r="V1597" s="403" t="s">
        <v>23024</v>
      </c>
      <c r="W1597" s="403" t="s">
        <v>23024</v>
      </c>
      <c r="X1597" s="403" t="s">
        <v>23024</v>
      </c>
      <c r="Y1597" s="403" t="s">
        <v>23024</v>
      </c>
    </row>
    <row r="1598" spans="1:25">
      <c r="A1598" s="363">
        <f t="shared" si="199"/>
        <v>1597</v>
      </c>
      <c r="B1598" s="363" t="str">
        <f t="shared" si="192"/>
        <v>44</v>
      </c>
      <c r="C1598" s="405" t="str">
        <f t="shared" si="193"/>
        <v>第013262号</v>
      </c>
      <c r="D1598" s="405" t="str">
        <f t="shared" si="194"/>
        <v>日本電気保安（株）</v>
      </c>
      <c r="E1598" s="405" t="str">
        <f t="shared" si="195"/>
        <v>代表取締役</v>
      </c>
      <c r="F1598" s="405" t="str">
        <f t="shared" si="196"/>
        <v>米澤　貴史</v>
      </c>
      <c r="G1598" s="405" t="str">
        <f t="shared" si="197"/>
        <v>主たる営業所</v>
      </c>
      <c r="H1598" s="405" t="str">
        <f t="shared" si="198"/>
        <v>佐伯市中村南町９－１０</v>
      </c>
      <c r="L1598" s="403" t="s">
        <v>11103</v>
      </c>
      <c r="M1598" s="403" t="s">
        <v>11104</v>
      </c>
      <c r="N1598" s="403" t="s">
        <v>4371</v>
      </c>
      <c r="O1598" s="403" t="s">
        <v>7084</v>
      </c>
      <c r="P1598" s="403" t="s">
        <v>19969</v>
      </c>
      <c r="Q1598" s="403" t="s">
        <v>19970</v>
      </c>
      <c r="R1598" s="403" t="s">
        <v>19971</v>
      </c>
      <c r="S1598" s="403" t="s">
        <v>16870</v>
      </c>
      <c r="T1598" s="403" t="s">
        <v>16871</v>
      </c>
      <c r="U1598" s="403"/>
      <c r="V1598" s="403" t="s">
        <v>23024</v>
      </c>
      <c r="W1598" s="403" t="s">
        <v>23024</v>
      </c>
      <c r="X1598" s="403" t="s">
        <v>23024</v>
      </c>
      <c r="Y1598" s="403" t="s">
        <v>23024</v>
      </c>
    </row>
    <row r="1599" spans="1:25">
      <c r="A1599" s="363">
        <f t="shared" si="199"/>
        <v>1598</v>
      </c>
      <c r="B1599" s="363" t="str">
        <f t="shared" si="192"/>
        <v>44</v>
      </c>
      <c r="C1599" s="405" t="str">
        <f t="shared" si="193"/>
        <v>第013265号</v>
      </c>
      <c r="D1599" s="405" t="str">
        <f t="shared" si="194"/>
        <v>（株）ＨＥＩＷＡ</v>
      </c>
      <c r="E1599" s="405" t="str">
        <f t="shared" si="195"/>
        <v>代表取締役</v>
      </c>
      <c r="F1599" s="405" t="str">
        <f t="shared" si="196"/>
        <v>吉藤　喜久子</v>
      </c>
      <c r="G1599" s="405" t="str">
        <f t="shared" si="197"/>
        <v>主たる営業所</v>
      </c>
      <c r="H1599" s="405" t="str">
        <f t="shared" si="198"/>
        <v>佐伯市鶴岡町２－５－３９</v>
      </c>
      <c r="L1599" s="403" t="s">
        <v>11105</v>
      </c>
      <c r="M1599" s="403" t="s">
        <v>11106</v>
      </c>
      <c r="N1599" s="403" t="s">
        <v>4372</v>
      </c>
      <c r="O1599" s="403" t="s">
        <v>7084</v>
      </c>
      <c r="P1599" s="403" t="s">
        <v>4373</v>
      </c>
      <c r="Q1599" s="403" t="s">
        <v>7867</v>
      </c>
      <c r="R1599" s="403" t="s">
        <v>18734</v>
      </c>
      <c r="S1599" s="403" t="s">
        <v>16872</v>
      </c>
      <c r="T1599" s="403" t="s">
        <v>16872</v>
      </c>
      <c r="U1599" s="403"/>
      <c r="V1599" s="403" t="s">
        <v>23024</v>
      </c>
      <c r="W1599" s="403" t="s">
        <v>23024</v>
      </c>
      <c r="X1599" s="403" t="s">
        <v>23024</v>
      </c>
      <c r="Y1599" s="403" t="s">
        <v>23024</v>
      </c>
    </row>
    <row r="1600" spans="1:25">
      <c r="A1600" s="363">
        <f t="shared" si="199"/>
        <v>1599</v>
      </c>
      <c r="B1600" s="363" t="str">
        <f t="shared" si="192"/>
        <v>44</v>
      </c>
      <c r="C1600" s="405" t="str">
        <f t="shared" si="193"/>
        <v>第013268号</v>
      </c>
      <c r="D1600" s="405" t="str">
        <f t="shared" si="194"/>
        <v>上栄企画（株）</v>
      </c>
      <c r="E1600" s="405" t="str">
        <f t="shared" si="195"/>
        <v>代表取締役</v>
      </c>
      <c r="F1600" s="405" t="str">
        <f t="shared" si="196"/>
        <v>木野　栄俊</v>
      </c>
      <c r="G1600" s="405" t="str">
        <f t="shared" si="197"/>
        <v>主たる営業所</v>
      </c>
      <c r="H1600" s="405" t="str">
        <f t="shared" si="198"/>
        <v>大分市大字小野鶴７８１－２</v>
      </c>
      <c r="L1600" s="403" t="s">
        <v>11107</v>
      </c>
      <c r="M1600" s="403" t="s">
        <v>11108</v>
      </c>
      <c r="N1600" s="403" t="s">
        <v>4374</v>
      </c>
      <c r="O1600" s="403" t="s">
        <v>7084</v>
      </c>
      <c r="P1600" s="403" t="s">
        <v>4375</v>
      </c>
      <c r="Q1600" s="403" t="s">
        <v>8283</v>
      </c>
      <c r="R1600" s="403" t="s">
        <v>19972</v>
      </c>
      <c r="S1600" s="403" t="s">
        <v>16873</v>
      </c>
      <c r="T1600" s="403" t="s">
        <v>16874</v>
      </c>
      <c r="U1600" s="403"/>
      <c r="V1600" s="403" t="s">
        <v>23024</v>
      </c>
      <c r="W1600" s="403" t="s">
        <v>23024</v>
      </c>
      <c r="X1600" s="403" t="s">
        <v>23024</v>
      </c>
      <c r="Y1600" s="403" t="s">
        <v>23024</v>
      </c>
    </row>
    <row r="1601" spans="1:25">
      <c r="A1601" s="363">
        <f t="shared" si="199"/>
        <v>1600</v>
      </c>
      <c r="B1601" s="363" t="str">
        <f t="shared" si="192"/>
        <v>44</v>
      </c>
      <c r="C1601" s="405" t="str">
        <f t="shared" si="193"/>
        <v>第013270号</v>
      </c>
      <c r="D1601" s="405" t="str">
        <f t="shared" si="194"/>
        <v>ＥＲテクノ（株）</v>
      </c>
      <c r="E1601" s="405" t="str">
        <f t="shared" si="195"/>
        <v>代表取締役</v>
      </c>
      <c r="F1601" s="405" t="str">
        <f t="shared" si="196"/>
        <v>猪野　誠二郎</v>
      </c>
      <c r="G1601" s="405" t="str">
        <f t="shared" si="197"/>
        <v>主たる営業所</v>
      </c>
      <c r="H1601" s="405" t="str">
        <f t="shared" si="198"/>
        <v>大分市大字牧９６８－１</v>
      </c>
      <c r="L1601" s="403" t="s">
        <v>11109</v>
      </c>
      <c r="M1601" s="403" t="s">
        <v>11110</v>
      </c>
      <c r="N1601" s="403" t="s">
        <v>4376</v>
      </c>
      <c r="O1601" s="403" t="s">
        <v>7084</v>
      </c>
      <c r="P1601" s="403" t="s">
        <v>4377</v>
      </c>
      <c r="Q1601" s="403" t="s">
        <v>11111</v>
      </c>
      <c r="R1601" s="403" t="s">
        <v>19973</v>
      </c>
      <c r="S1601" s="403" t="s">
        <v>16875</v>
      </c>
      <c r="T1601" s="403" t="s">
        <v>16875</v>
      </c>
      <c r="U1601" s="403"/>
      <c r="V1601" s="403" t="s">
        <v>23024</v>
      </c>
      <c r="W1601" s="403" t="s">
        <v>23024</v>
      </c>
      <c r="X1601" s="403" t="s">
        <v>23024</v>
      </c>
      <c r="Y1601" s="403" t="s">
        <v>23024</v>
      </c>
    </row>
    <row r="1602" spans="1:25">
      <c r="A1602" s="363">
        <f t="shared" si="199"/>
        <v>1601</v>
      </c>
      <c r="B1602" s="363" t="str">
        <f t="shared" ref="B1602:B1665" si="200">LEFT(L1602,2)</f>
        <v>44</v>
      </c>
      <c r="C1602" s="405" t="str">
        <f t="shared" ref="C1602:C1665" si="201">IF(B1602="","","第"&amp;RIGHT(L1602,6)&amp;"号")</f>
        <v>第013271号</v>
      </c>
      <c r="D1602" s="405" t="str">
        <f t="shared" ref="D1602:D1665" si="202">N1602</f>
        <v>（株）トラスト</v>
      </c>
      <c r="E1602" s="405" t="str">
        <f t="shared" ref="E1602:E1665" si="203">IF(V1602="　",O1602,"")</f>
        <v>代表取締役</v>
      </c>
      <c r="F1602" s="405" t="str">
        <f t="shared" ref="F1602:F1665" si="204">IF(V1602="　",P1602,W1602)</f>
        <v>水本　安士</v>
      </c>
      <c r="G1602" s="405" t="str">
        <f t="shared" ref="G1602:G1665" si="205">IF(V1602="　","主たる営業所",V1602)</f>
        <v>主たる営業所</v>
      </c>
      <c r="H1602" s="405" t="str">
        <f t="shared" ref="H1602:H1665" si="206">IF(V1602="　",R1602,Y1602)</f>
        <v>大分市原新町６－１５</v>
      </c>
      <c r="L1602" s="403" t="s">
        <v>11112</v>
      </c>
      <c r="M1602" s="403" t="s">
        <v>11113</v>
      </c>
      <c r="N1602" s="403" t="s">
        <v>4378</v>
      </c>
      <c r="O1602" s="403" t="s">
        <v>7084</v>
      </c>
      <c r="P1602" s="403" t="s">
        <v>4379</v>
      </c>
      <c r="Q1602" s="403" t="s">
        <v>7582</v>
      </c>
      <c r="R1602" s="403" t="s">
        <v>19974</v>
      </c>
      <c r="S1602" s="403" t="s">
        <v>16876</v>
      </c>
      <c r="T1602" s="403" t="s">
        <v>16877</v>
      </c>
      <c r="U1602" s="403"/>
      <c r="V1602" s="403" t="s">
        <v>23024</v>
      </c>
      <c r="W1602" s="403" t="s">
        <v>23024</v>
      </c>
      <c r="X1602" s="403" t="s">
        <v>23024</v>
      </c>
      <c r="Y1602" s="403" t="s">
        <v>23024</v>
      </c>
    </row>
    <row r="1603" spans="1:25">
      <c r="A1603" s="363">
        <f t="shared" ref="A1603:A1666" si="207">IF(B1603="","",A1602+1)</f>
        <v>1602</v>
      </c>
      <c r="B1603" s="363" t="str">
        <f t="shared" si="200"/>
        <v>44</v>
      </c>
      <c r="C1603" s="405" t="str">
        <f t="shared" si="201"/>
        <v>第013277号</v>
      </c>
      <c r="D1603" s="405" t="str">
        <f t="shared" si="202"/>
        <v>ジェイコム大分エンジニアリング（株）</v>
      </c>
      <c r="E1603" s="405" t="str">
        <f t="shared" si="203"/>
        <v>代表取締役</v>
      </c>
      <c r="F1603" s="405" t="str">
        <f t="shared" si="204"/>
        <v>小森　智幸</v>
      </c>
      <c r="G1603" s="405" t="str">
        <f t="shared" si="205"/>
        <v>主たる営業所</v>
      </c>
      <c r="H1603" s="405" t="str">
        <f t="shared" si="206"/>
        <v>大分市大字旦野原９１０－５８</v>
      </c>
      <c r="L1603" s="403" t="s">
        <v>11114</v>
      </c>
      <c r="M1603" s="403" t="s">
        <v>11115</v>
      </c>
      <c r="N1603" s="403" t="s">
        <v>4380</v>
      </c>
      <c r="O1603" s="403" t="s">
        <v>7084</v>
      </c>
      <c r="P1603" s="403" t="s">
        <v>19975</v>
      </c>
      <c r="Q1603" s="403" t="s">
        <v>11116</v>
      </c>
      <c r="R1603" s="403" t="s">
        <v>19976</v>
      </c>
      <c r="S1603" s="403" t="s">
        <v>16878</v>
      </c>
      <c r="T1603" s="403" t="s">
        <v>16879</v>
      </c>
      <c r="U1603" s="403"/>
      <c r="V1603" s="403" t="s">
        <v>23024</v>
      </c>
      <c r="W1603" s="403" t="s">
        <v>23024</v>
      </c>
      <c r="X1603" s="403" t="s">
        <v>23024</v>
      </c>
      <c r="Y1603" s="403" t="s">
        <v>23024</v>
      </c>
    </row>
    <row r="1604" spans="1:25">
      <c r="A1604" s="363">
        <f t="shared" si="207"/>
        <v>1603</v>
      </c>
      <c r="B1604" s="363" t="str">
        <f t="shared" si="200"/>
        <v>44</v>
      </c>
      <c r="C1604" s="405" t="str">
        <f t="shared" si="201"/>
        <v>第013284号</v>
      </c>
      <c r="D1604" s="405" t="str">
        <f t="shared" si="202"/>
        <v>新田造園</v>
      </c>
      <c r="E1604" s="405" t="str">
        <f t="shared" si="203"/>
        <v>代表</v>
      </c>
      <c r="F1604" s="405" t="str">
        <f t="shared" si="204"/>
        <v>新田　活己</v>
      </c>
      <c r="G1604" s="405" t="str">
        <f t="shared" si="205"/>
        <v>主たる営業所</v>
      </c>
      <c r="H1604" s="405" t="str">
        <f t="shared" si="206"/>
        <v>速見郡日出町川崎５８５４－２０１</v>
      </c>
      <c r="L1604" s="403" t="s">
        <v>11117</v>
      </c>
      <c r="M1604" s="403" t="s">
        <v>11118</v>
      </c>
      <c r="N1604" s="403" t="s">
        <v>4381</v>
      </c>
      <c r="O1604" s="403" t="s">
        <v>7091</v>
      </c>
      <c r="P1604" s="403" t="s">
        <v>4382</v>
      </c>
      <c r="Q1604" s="403" t="s">
        <v>7590</v>
      </c>
      <c r="R1604" s="403" t="s">
        <v>19977</v>
      </c>
      <c r="S1604" s="403" t="s">
        <v>16880</v>
      </c>
      <c r="T1604" s="403" t="s">
        <v>16880</v>
      </c>
      <c r="U1604" s="403"/>
      <c r="V1604" s="403" t="s">
        <v>23024</v>
      </c>
      <c r="W1604" s="403" t="s">
        <v>23024</v>
      </c>
      <c r="X1604" s="403" t="s">
        <v>23024</v>
      </c>
      <c r="Y1604" s="403" t="s">
        <v>23024</v>
      </c>
    </row>
    <row r="1605" spans="1:25">
      <c r="A1605" s="363">
        <f t="shared" si="207"/>
        <v>1604</v>
      </c>
      <c r="B1605" s="363" t="str">
        <f t="shared" si="200"/>
        <v>44</v>
      </c>
      <c r="C1605" s="405" t="str">
        <f t="shared" si="201"/>
        <v>第013285号</v>
      </c>
      <c r="D1605" s="405" t="str">
        <f t="shared" si="202"/>
        <v>（株）広伸</v>
      </c>
      <c r="E1605" s="405" t="str">
        <f t="shared" si="203"/>
        <v>代表取締役</v>
      </c>
      <c r="F1605" s="405" t="str">
        <f t="shared" si="204"/>
        <v>阿南　剛志</v>
      </c>
      <c r="G1605" s="405" t="str">
        <f t="shared" si="205"/>
        <v>主たる営業所</v>
      </c>
      <c r="H1605" s="405" t="str">
        <f t="shared" si="206"/>
        <v>豊後大野市三重町芦刈２８６－６</v>
      </c>
      <c r="L1605" s="403" t="s">
        <v>11119</v>
      </c>
      <c r="M1605" s="403" t="s">
        <v>11120</v>
      </c>
      <c r="N1605" s="403" t="s">
        <v>4383</v>
      </c>
      <c r="O1605" s="403" t="s">
        <v>7084</v>
      </c>
      <c r="P1605" s="403" t="s">
        <v>4384</v>
      </c>
      <c r="Q1605" s="403" t="s">
        <v>10560</v>
      </c>
      <c r="R1605" s="403" t="s">
        <v>19978</v>
      </c>
      <c r="S1605" s="403" t="s">
        <v>16881</v>
      </c>
      <c r="T1605" s="403" t="s">
        <v>16881</v>
      </c>
      <c r="U1605" s="403"/>
      <c r="V1605" s="403" t="s">
        <v>23024</v>
      </c>
      <c r="W1605" s="403" t="s">
        <v>23024</v>
      </c>
      <c r="X1605" s="403" t="s">
        <v>23024</v>
      </c>
      <c r="Y1605" s="403" t="s">
        <v>23024</v>
      </c>
    </row>
    <row r="1606" spans="1:25">
      <c r="A1606" s="363">
        <f t="shared" si="207"/>
        <v>1605</v>
      </c>
      <c r="B1606" s="363" t="str">
        <f t="shared" si="200"/>
        <v>44</v>
      </c>
      <c r="C1606" s="405" t="str">
        <f t="shared" si="201"/>
        <v>第013288号</v>
      </c>
      <c r="D1606" s="405" t="str">
        <f t="shared" si="202"/>
        <v>前成工業（株）</v>
      </c>
      <c r="E1606" s="405" t="str">
        <f t="shared" si="203"/>
        <v>代表取締役</v>
      </c>
      <c r="F1606" s="405" t="str">
        <f t="shared" si="204"/>
        <v>前川　誠</v>
      </c>
      <c r="G1606" s="405" t="str">
        <f t="shared" si="205"/>
        <v>主たる営業所</v>
      </c>
      <c r="H1606" s="405" t="str">
        <f t="shared" si="206"/>
        <v>由布市庄内町櫟木７２０－７</v>
      </c>
      <c r="L1606" s="403" t="s">
        <v>11121</v>
      </c>
      <c r="M1606" s="403" t="s">
        <v>11122</v>
      </c>
      <c r="N1606" s="403" t="s">
        <v>4385</v>
      </c>
      <c r="O1606" s="403" t="s">
        <v>7084</v>
      </c>
      <c r="P1606" s="403" t="s">
        <v>4386</v>
      </c>
      <c r="Q1606" s="403" t="s">
        <v>11123</v>
      </c>
      <c r="R1606" s="403" t="s">
        <v>19979</v>
      </c>
      <c r="S1606" s="403" t="s">
        <v>16882</v>
      </c>
      <c r="T1606" s="403" t="s">
        <v>16883</v>
      </c>
      <c r="U1606" s="403"/>
      <c r="V1606" s="403" t="s">
        <v>23024</v>
      </c>
      <c r="W1606" s="403" t="s">
        <v>23024</v>
      </c>
      <c r="X1606" s="403" t="s">
        <v>23024</v>
      </c>
      <c r="Y1606" s="403" t="s">
        <v>23024</v>
      </c>
    </row>
    <row r="1607" spans="1:25">
      <c r="A1607" s="363">
        <f t="shared" si="207"/>
        <v>1606</v>
      </c>
      <c r="B1607" s="363" t="str">
        <f t="shared" si="200"/>
        <v>44</v>
      </c>
      <c r="C1607" s="405" t="str">
        <f t="shared" si="201"/>
        <v>第013293号</v>
      </c>
      <c r="D1607" s="405" t="str">
        <f t="shared" si="202"/>
        <v>（株）九州アースワークス</v>
      </c>
      <c r="E1607" s="405" t="str">
        <f t="shared" si="203"/>
        <v>代表取締役</v>
      </c>
      <c r="F1607" s="405" t="str">
        <f t="shared" si="204"/>
        <v>橋本　潤</v>
      </c>
      <c r="G1607" s="405" t="str">
        <f t="shared" si="205"/>
        <v>主たる営業所</v>
      </c>
      <c r="H1607" s="405" t="str">
        <f t="shared" si="206"/>
        <v>大分市大字永興１４５４－１</v>
      </c>
      <c r="L1607" s="403" t="s">
        <v>11124</v>
      </c>
      <c r="M1607" s="403" t="s">
        <v>11125</v>
      </c>
      <c r="N1607" s="403" t="s">
        <v>4387</v>
      </c>
      <c r="O1607" s="403" t="s">
        <v>7084</v>
      </c>
      <c r="P1607" s="403" t="s">
        <v>4388</v>
      </c>
      <c r="Q1607" s="403" t="s">
        <v>7446</v>
      </c>
      <c r="R1607" s="403" t="s">
        <v>19980</v>
      </c>
      <c r="S1607" s="403" t="s">
        <v>16884</v>
      </c>
      <c r="T1607" s="403" t="s">
        <v>16885</v>
      </c>
      <c r="U1607" s="403"/>
      <c r="V1607" s="403" t="s">
        <v>23024</v>
      </c>
      <c r="W1607" s="403" t="s">
        <v>23024</v>
      </c>
      <c r="X1607" s="403" t="s">
        <v>23024</v>
      </c>
      <c r="Y1607" s="403" t="s">
        <v>23024</v>
      </c>
    </row>
    <row r="1608" spans="1:25">
      <c r="A1608" s="363">
        <f t="shared" si="207"/>
        <v>1607</v>
      </c>
      <c r="B1608" s="363" t="str">
        <f t="shared" si="200"/>
        <v>44</v>
      </c>
      <c r="C1608" s="405" t="str">
        <f t="shared" si="201"/>
        <v>第013297号</v>
      </c>
      <c r="D1608" s="405" t="str">
        <f t="shared" si="202"/>
        <v>高村鉄工所</v>
      </c>
      <c r="E1608" s="405" t="str">
        <f t="shared" si="203"/>
        <v>事業主</v>
      </c>
      <c r="F1608" s="405" t="str">
        <f t="shared" si="204"/>
        <v>高村　健児</v>
      </c>
      <c r="G1608" s="405" t="str">
        <f t="shared" si="205"/>
        <v>主たる営業所</v>
      </c>
      <c r="H1608" s="405" t="str">
        <f t="shared" si="206"/>
        <v>日田市大山町西大山４７４９－１</v>
      </c>
      <c r="L1608" s="403" t="s">
        <v>11126</v>
      </c>
      <c r="M1608" s="403" t="s">
        <v>11127</v>
      </c>
      <c r="N1608" s="403" t="s">
        <v>4389</v>
      </c>
      <c r="O1608" s="403" t="s">
        <v>7088</v>
      </c>
      <c r="P1608" s="403" t="s">
        <v>4390</v>
      </c>
      <c r="Q1608" s="403" t="s">
        <v>8983</v>
      </c>
      <c r="R1608" s="403" t="s">
        <v>19981</v>
      </c>
      <c r="S1608" s="403" t="s">
        <v>16886</v>
      </c>
      <c r="T1608" s="403" t="s">
        <v>16887</v>
      </c>
      <c r="U1608" s="403"/>
      <c r="V1608" s="403" t="s">
        <v>23024</v>
      </c>
      <c r="W1608" s="403" t="s">
        <v>23024</v>
      </c>
      <c r="X1608" s="403" t="s">
        <v>23024</v>
      </c>
      <c r="Y1608" s="403" t="s">
        <v>23024</v>
      </c>
    </row>
    <row r="1609" spans="1:25">
      <c r="A1609" s="363">
        <f t="shared" si="207"/>
        <v>1608</v>
      </c>
      <c r="B1609" s="363" t="str">
        <f t="shared" si="200"/>
        <v>44</v>
      </c>
      <c r="C1609" s="405" t="str">
        <f t="shared" si="201"/>
        <v>第013301号</v>
      </c>
      <c r="D1609" s="405" t="str">
        <f t="shared" si="202"/>
        <v>（株）楠商店</v>
      </c>
      <c r="E1609" s="405" t="str">
        <f t="shared" si="203"/>
        <v>代表取締役</v>
      </c>
      <c r="F1609" s="405" t="str">
        <f t="shared" si="204"/>
        <v>曽根田　敏治</v>
      </c>
      <c r="G1609" s="405" t="str">
        <f t="shared" si="205"/>
        <v>主たる営業所</v>
      </c>
      <c r="H1609" s="405" t="str">
        <f t="shared" si="206"/>
        <v>佐伯市中村北町１－２５</v>
      </c>
      <c r="L1609" s="403" t="s">
        <v>11128</v>
      </c>
      <c r="M1609" s="403" t="s">
        <v>11129</v>
      </c>
      <c r="N1609" s="403" t="s">
        <v>4391</v>
      </c>
      <c r="O1609" s="403" t="s">
        <v>7084</v>
      </c>
      <c r="P1609" s="403" t="s">
        <v>4392</v>
      </c>
      <c r="Q1609" s="403" t="s">
        <v>7853</v>
      </c>
      <c r="R1609" s="403" t="s">
        <v>19982</v>
      </c>
      <c r="S1609" s="403" t="s">
        <v>16888</v>
      </c>
      <c r="T1609" s="403" t="s">
        <v>16889</v>
      </c>
      <c r="U1609" s="403"/>
      <c r="V1609" s="403" t="s">
        <v>23024</v>
      </c>
      <c r="W1609" s="403" t="s">
        <v>23024</v>
      </c>
      <c r="X1609" s="403" t="s">
        <v>23024</v>
      </c>
      <c r="Y1609" s="403" t="s">
        <v>23024</v>
      </c>
    </row>
    <row r="1610" spans="1:25">
      <c r="A1610" s="363">
        <f t="shared" si="207"/>
        <v>1609</v>
      </c>
      <c r="B1610" s="363" t="str">
        <f t="shared" si="200"/>
        <v>44</v>
      </c>
      <c r="C1610" s="405" t="str">
        <f t="shared" si="201"/>
        <v>第013303号</v>
      </c>
      <c r="D1610" s="405" t="str">
        <f t="shared" si="202"/>
        <v>徳新工業（株）</v>
      </c>
      <c r="E1610" s="405" t="str">
        <f t="shared" si="203"/>
        <v>代表取締役</v>
      </c>
      <c r="F1610" s="405" t="str">
        <f t="shared" si="204"/>
        <v>新納　はつみ</v>
      </c>
      <c r="G1610" s="405" t="str">
        <f t="shared" si="205"/>
        <v>主たる営業所</v>
      </c>
      <c r="H1610" s="405" t="str">
        <f t="shared" si="206"/>
        <v>津久見市大字津久見７８９４</v>
      </c>
      <c r="L1610" s="403" t="s">
        <v>11130</v>
      </c>
      <c r="M1610" s="403" t="s">
        <v>11131</v>
      </c>
      <c r="N1610" s="403" t="s">
        <v>4393</v>
      </c>
      <c r="O1610" s="403" t="s">
        <v>7084</v>
      </c>
      <c r="P1610" s="403" t="s">
        <v>4394</v>
      </c>
      <c r="Q1610" s="403" t="s">
        <v>7319</v>
      </c>
      <c r="R1610" s="403" t="s">
        <v>5526</v>
      </c>
      <c r="S1610" s="403" t="s">
        <v>16890</v>
      </c>
      <c r="T1610" s="403" t="s">
        <v>15526</v>
      </c>
      <c r="U1610" s="403"/>
      <c r="V1610" s="403" t="s">
        <v>23024</v>
      </c>
      <c r="W1610" s="403" t="s">
        <v>23024</v>
      </c>
      <c r="X1610" s="403" t="s">
        <v>23024</v>
      </c>
      <c r="Y1610" s="403" t="s">
        <v>23024</v>
      </c>
    </row>
    <row r="1611" spans="1:25">
      <c r="A1611" s="363">
        <f t="shared" si="207"/>
        <v>1610</v>
      </c>
      <c r="B1611" s="363" t="str">
        <f t="shared" si="200"/>
        <v>44</v>
      </c>
      <c r="C1611" s="405" t="str">
        <f t="shared" si="201"/>
        <v>第013304号</v>
      </c>
      <c r="D1611" s="405" t="str">
        <f t="shared" si="202"/>
        <v>（有）ゴトーシステムサービス</v>
      </c>
      <c r="E1611" s="405" t="str">
        <f t="shared" si="203"/>
        <v>代表取締役</v>
      </c>
      <c r="F1611" s="405" t="str">
        <f t="shared" si="204"/>
        <v>後藤　力</v>
      </c>
      <c r="G1611" s="405" t="str">
        <f t="shared" si="205"/>
        <v>主たる営業所</v>
      </c>
      <c r="H1611" s="405" t="str">
        <f t="shared" si="206"/>
        <v>別府市南立石生目町３－１</v>
      </c>
      <c r="L1611" s="403" t="s">
        <v>11132</v>
      </c>
      <c r="M1611" s="403" t="s">
        <v>11133</v>
      </c>
      <c r="N1611" s="403" t="s">
        <v>4395</v>
      </c>
      <c r="O1611" s="403" t="s">
        <v>7084</v>
      </c>
      <c r="P1611" s="403" t="s">
        <v>19983</v>
      </c>
      <c r="Q1611" s="403" t="s">
        <v>9428</v>
      </c>
      <c r="R1611" s="403" t="s">
        <v>19984</v>
      </c>
      <c r="S1611" s="403" t="s">
        <v>16891</v>
      </c>
      <c r="T1611" s="403" t="s">
        <v>16892</v>
      </c>
      <c r="U1611" s="403"/>
      <c r="V1611" s="403" t="s">
        <v>23024</v>
      </c>
      <c r="W1611" s="403" t="s">
        <v>23024</v>
      </c>
      <c r="X1611" s="403" t="s">
        <v>23024</v>
      </c>
      <c r="Y1611" s="403" t="s">
        <v>23024</v>
      </c>
    </row>
    <row r="1612" spans="1:25">
      <c r="A1612" s="363">
        <f t="shared" si="207"/>
        <v>1611</v>
      </c>
      <c r="B1612" s="363" t="str">
        <f t="shared" si="200"/>
        <v>44</v>
      </c>
      <c r="C1612" s="405" t="str">
        <f t="shared" si="201"/>
        <v>第013310号</v>
      </c>
      <c r="D1612" s="405" t="str">
        <f t="shared" si="202"/>
        <v>（株）三信工業</v>
      </c>
      <c r="E1612" s="405" t="str">
        <f t="shared" si="203"/>
        <v>代表取締役社長</v>
      </c>
      <c r="F1612" s="405" t="str">
        <f t="shared" si="204"/>
        <v>桑原　健</v>
      </c>
      <c r="G1612" s="405" t="str">
        <f t="shared" si="205"/>
        <v>主たる営業所</v>
      </c>
      <c r="H1612" s="405" t="str">
        <f t="shared" si="206"/>
        <v>大分市新貝１２－１</v>
      </c>
      <c r="L1612" s="403" t="s">
        <v>11134</v>
      </c>
      <c r="M1612" s="403" t="s">
        <v>11135</v>
      </c>
      <c r="N1612" s="403" t="s">
        <v>4396</v>
      </c>
      <c r="O1612" s="403" t="s">
        <v>7083</v>
      </c>
      <c r="P1612" s="403" t="s">
        <v>4397</v>
      </c>
      <c r="Q1612" s="403" t="s">
        <v>7325</v>
      </c>
      <c r="R1612" s="403" t="s">
        <v>19985</v>
      </c>
      <c r="S1612" s="403" t="s">
        <v>16893</v>
      </c>
      <c r="T1612" s="403" t="s">
        <v>16894</v>
      </c>
      <c r="U1612" s="403"/>
      <c r="V1612" s="403" t="s">
        <v>23024</v>
      </c>
      <c r="W1612" s="403" t="s">
        <v>23024</v>
      </c>
      <c r="X1612" s="403" t="s">
        <v>23024</v>
      </c>
      <c r="Y1612" s="403" t="s">
        <v>23024</v>
      </c>
    </row>
    <row r="1613" spans="1:25">
      <c r="A1613" s="363">
        <f t="shared" si="207"/>
        <v>1612</v>
      </c>
      <c r="B1613" s="363" t="str">
        <f t="shared" si="200"/>
        <v>44</v>
      </c>
      <c r="C1613" s="405" t="str">
        <f t="shared" si="201"/>
        <v>第013316号</v>
      </c>
      <c r="D1613" s="405" t="str">
        <f t="shared" si="202"/>
        <v>（株）大分第一ラック工業</v>
      </c>
      <c r="E1613" s="405" t="str">
        <f t="shared" si="203"/>
        <v>代表取締役</v>
      </c>
      <c r="F1613" s="405" t="str">
        <f t="shared" si="204"/>
        <v>清川　忠司</v>
      </c>
      <c r="G1613" s="405" t="str">
        <f t="shared" si="205"/>
        <v>主たる営業所</v>
      </c>
      <c r="H1613" s="405" t="str">
        <f t="shared" si="206"/>
        <v>別府市大字野田１３７－１</v>
      </c>
      <c r="L1613" s="403" t="s">
        <v>11136</v>
      </c>
      <c r="M1613" s="403" t="s">
        <v>11137</v>
      </c>
      <c r="N1613" s="403" t="s">
        <v>4398</v>
      </c>
      <c r="O1613" s="403" t="s">
        <v>7084</v>
      </c>
      <c r="P1613" s="403" t="s">
        <v>4399</v>
      </c>
      <c r="Q1613" s="403" t="s">
        <v>8366</v>
      </c>
      <c r="R1613" s="403" t="s">
        <v>19986</v>
      </c>
      <c r="S1613" s="403" t="s">
        <v>16895</v>
      </c>
      <c r="T1613" s="403" t="s">
        <v>16896</v>
      </c>
      <c r="U1613" s="403"/>
      <c r="V1613" s="403" t="s">
        <v>23024</v>
      </c>
      <c r="W1613" s="403" t="s">
        <v>23024</v>
      </c>
      <c r="X1613" s="403" t="s">
        <v>23024</v>
      </c>
      <c r="Y1613" s="403" t="s">
        <v>23024</v>
      </c>
    </row>
    <row r="1614" spans="1:25">
      <c r="A1614" s="363">
        <f t="shared" si="207"/>
        <v>1613</v>
      </c>
      <c r="B1614" s="363" t="str">
        <f t="shared" si="200"/>
        <v>44</v>
      </c>
      <c r="C1614" s="405" t="str">
        <f t="shared" si="201"/>
        <v>第013319号</v>
      </c>
      <c r="D1614" s="405" t="str">
        <f t="shared" si="202"/>
        <v>（株）みえ建設</v>
      </c>
      <c r="E1614" s="405" t="str">
        <f t="shared" si="203"/>
        <v>代表取締役</v>
      </c>
      <c r="F1614" s="405" t="str">
        <f t="shared" si="204"/>
        <v>芦刈　憲一</v>
      </c>
      <c r="G1614" s="405" t="str">
        <f t="shared" si="205"/>
        <v>主たる営業所</v>
      </c>
      <c r="H1614" s="405" t="str">
        <f t="shared" si="206"/>
        <v>豊後大野市三重町芦刈４８１－５</v>
      </c>
      <c r="L1614" s="403" t="s">
        <v>11138</v>
      </c>
      <c r="M1614" s="403" t="s">
        <v>11139</v>
      </c>
      <c r="N1614" s="403" t="s">
        <v>4400</v>
      </c>
      <c r="O1614" s="403" t="s">
        <v>7084</v>
      </c>
      <c r="P1614" s="403" t="s">
        <v>4401</v>
      </c>
      <c r="Q1614" s="403" t="s">
        <v>10560</v>
      </c>
      <c r="R1614" s="403" t="s">
        <v>19987</v>
      </c>
      <c r="S1614" s="403" t="s">
        <v>16897</v>
      </c>
      <c r="T1614" s="403" t="s">
        <v>16429</v>
      </c>
      <c r="U1614" s="403"/>
      <c r="V1614" s="403" t="s">
        <v>23024</v>
      </c>
      <c r="W1614" s="403" t="s">
        <v>23024</v>
      </c>
      <c r="X1614" s="403" t="s">
        <v>23024</v>
      </c>
      <c r="Y1614" s="403" t="s">
        <v>23024</v>
      </c>
    </row>
    <row r="1615" spans="1:25">
      <c r="A1615" s="363">
        <f t="shared" si="207"/>
        <v>1614</v>
      </c>
      <c r="B1615" s="363" t="str">
        <f t="shared" si="200"/>
        <v>44</v>
      </c>
      <c r="C1615" s="405" t="str">
        <f t="shared" si="201"/>
        <v>第013320号</v>
      </c>
      <c r="D1615" s="405" t="str">
        <f t="shared" si="202"/>
        <v>（株）リエンプロ</v>
      </c>
      <c r="E1615" s="405" t="str">
        <f t="shared" si="203"/>
        <v>代表取締役</v>
      </c>
      <c r="F1615" s="405" t="str">
        <f t="shared" si="204"/>
        <v>藤田　幸三</v>
      </c>
      <c r="G1615" s="405" t="str">
        <f t="shared" si="205"/>
        <v>主たる営業所</v>
      </c>
      <c r="H1615" s="405" t="str">
        <f t="shared" si="206"/>
        <v>佐伯市鶴岡町３－２－１０</v>
      </c>
      <c r="L1615" s="403" t="s">
        <v>11140</v>
      </c>
      <c r="M1615" s="403" t="s">
        <v>11141</v>
      </c>
      <c r="N1615" s="403" t="s">
        <v>4402</v>
      </c>
      <c r="O1615" s="403" t="s">
        <v>7084</v>
      </c>
      <c r="P1615" s="403" t="s">
        <v>4403</v>
      </c>
      <c r="Q1615" s="403" t="s">
        <v>7867</v>
      </c>
      <c r="R1615" s="403" t="s">
        <v>19988</v>
      </c>
      <c r="S1615" s="403" t="s">
        <v>16898</v>
      </c>
      <c r="T1615" s="403" t="s">
        <v>16899</v>
      </c>
      <c r="U1615" s="403"/>
      <c r="V1615" s="403" t="s">
        <v>23024</v>
      </c>
      <c r="W1615" s="403" t="s">
        <v>23024</v>
      </c>
      <c r="X1615" s="403" t="s">
        <v>23024</v>
      </c>
      <c r="Y1615" s="403" t="s">
        <v>23024</v>
      </c>
    </row>
    <row r="1616" spans="1:25">
      <c r="A1616" s="363">
        <f t="shared" si="207"/>
        <v>1615</v>
      </c>
      <c r="B1616" s="363" t="str">
        <f t="shared" si="200"/>
        <v>44</v>
      </c>
      <c r="C1616" s="405" t="str">
        <f t="shared" si="201"/>
        <v>第013321号</v>
      </c>
      <c r="D1616" s="405" t="str">
        <f t="shared" si="202"/>
        <v>（株）一原産業</v>
      </c>
      <c r="E1616" s="405" t="str">
        <f t="shared" si="203"/>
        <v>代表取締役</v>
      </c>
      <c r="F1616" s="405" t="str">
        <f t="shared" si="204"/>
        <v>一原　哲</v>
      </c>
      <c r="G1616" s="405" t="str">
        <f t="shared" si="205"/>
        <v>主たる営業所</v>
      </c>
      <c r="H1616" s="405" t="str">
        <f t="shared" si="206"/>
        <v>大分市萩原４－１１－９</v>
      </c>
      <c r="L1616" s="403" t="s">
        <v>11142</v>
      </c>
      <c r="M1616" s="403" t="s">
        <v>11143</v>
      </c>
      <c r="N1616" s="403" t="s">
        <v>4404</v>
      </c>
      <c r="O1616" s="403" t="s">
        <v>7084</v>
      </c>
      <c r="P1616" s="403" t="s">
        <v>4405</v>
      </c>
      <c r="Q1616" s="403" t="s">
        <v>7394</v>
      </c>
      <c r="R1616" s="403" t="s">
        <v>19989</v>
      </c>
      <c r="S1616" s="403" t="s">
        <v>16900</v>
      </c>
      <c r="T1616" s="403" t="s">
        <v>16901</v>
      </c>
      <c r="U1616" s="403"/>
      <c r="V1616" s="403" t="s">
        <v>23024</v>
      </c>
      <c r="W1616" s="403" t="s">
        <v>23024</v>
      </c>
      <c r="X1616" s="403" t="s">
        <v>23024</v>
      </c>
      <c r="Y1616" s="403" t="s">
        <v>23024</v>
      </c>
    </row>
    <row r="1617" spans="1:25">
      <c r="A1617" s="363">
        <f t="shared" si="207"/>
        <v>1616</v>
      </c>
      <c r="B1617" s="363" t="str">
        <f t="shared" si="200"/>
        <v>44</v>
      </c>
      <c r="C1617" s="405" t="str">
        <f t="shared" si="201"/>
        <v>第013323号</v>
      </c>
      <c r="D1617" s="405" t="str">
        <f t="shared" si="202"/>
        <v>大分アスリード（株）</v>
      </c>
      <c r="E1617" s="405" t="str">
        <f t="shared" si="203"/>
        <v>代表取締役</v>
      </c>
      <c r="F1617" s="405" t="str">
        <f t="shared" si="204"/>
        <v>首藤　宏之</v>
      </c>
      <c r="G1617" s="405" t="str">
        <f t="shared" si="205"/>
        <v>主たる営業所</v>
      </c>
      <c r="H1617" s="405" t="str">
        <f t="shared" si="206"/>
        <v>大分市大字上宗方２４８－７</v>
      </c>
      <c r="L1617" s="403" t="s">
        <v>11144</v>
      </c>
      <c r="M1617" s="403" t="s">
        <v>11145</v>
      </c>
      <c r="N1617" s="403" t="s">
        <v>4406</v>
      </c>
      <c r="O1617" s="403" t="s">
        <v>7084</v>
      </c>
      <c r="P1617" s="403" t="s">
        <v>4407</v>
      </c>
      <c r="Q1617" s="403" t="s">
        <v>8655</v>
      </c>
      <c r="R1617" s="403" t="s">
        <v>19990</v>
      </c>
      <c r="S1617" s="403" t="s">
        <v>16902</v>
      </c>
      <c r="T1617" s="403" t="s">
        <v>16903</v>
      </c>
      <c r="U1617" s="403"/>
      <c r="V1617" s="403" t="s">
        <v>23024</v>
      </c>
      <c r="W1617" s="403" t="s">
        <v>23024</v>
      </c>
      <c r="X1617" s="403" t="s">
        <v>23024</v>
      </c>
      <c r="Y1617" s="403" t="s">
        <v>23024</v>
      </c>
    </row>
    <row r="1618" spans="1:25">
      <c r="A1618" s="363">
        <f t="shared" si="207"/>
        <v>1617</v>
      </c>
      <c r="B1618" s="363" t="str">
        <f t="shared" si="200"/>
        <v>44</v>
      </c>
      <c r="C1618" s="405" t="str">
        <f t="shared" si="201"/>
        <v>第013328号</v>
      </c>
      <c r="D1618" s="405" t="str">
        <f t="shared" si="202"/>
        <v>（株）石川建設工業</v>
      </c>
      <c r="E1618" s="405" t="str">
        <f t="shared" si="203"/>
        <v>代表取締役</v>
      </c>
      <c r="F1618" s="405" t="str">
        <f t="shared" si="204"/>
        <v>池邉　大輔</v>
      </c>
      <c r="G1618" s="405" t="str">
        <f t="shared" si="205"/>
        <v>主たる営業所</v>
      </c>
      <c r="H1618" s="405" t="str">
        <f t="shared" si="206"/>
        <v>大分市横塚２－１－３７</v>
      </c>
      <c r="L1618" s="403" t="s">
        <v>11146</v>
      </c>
      <c r="M1618" s="403" t="s">
        <v>11147</v>
      </c>
      <c r="N1618" s="403" t="s">
        <v>4408</v>
      </c>
      <c r="O1618" s="403" t="s">
        <v>7084</v>
      </c>
      <c r="P1618" s="403" t="s">
        <v>4409</v>
      </c>
      <c r="Q1618" s="403" t="s">
        <v>11148</v>
      </c>
      <c r="R1618" s="403" t="s">
        <v>19991</v>
      </c>
      <c r="S1618" s="403" t="s">
        <v>16904</v>
      </c>
      <c r="T1618" s="403" t="s">
        <v>16905</v>
      </c>
      <c r="U1618" s="403"/>
      <c r="V1618" s="403" t="s">
        <v>23024</v>
      </c>
      <c r="W1618" s="403" t="s">
        <v>23024</v>
      </c>
      <c r="X1618" s="403" t="s">
        <v>23024</v>
      </c>
      <c r="Y1618" s="403" t="s">
        <v>23024</v>
      </c>
    </row>
    <row r="1619" spans="1:25">
      <c r="A1619" s="363">
        <f t="shared" si="207"/>
        <v>1618</v>
      </c>
      <c r="B1619" s="363" t="str">
        <f t="shared" si="200"/>
        <v>44</v>
      </c>
      <c r="C1619" s="405" t="str">
        <f t="shared" si="201"/>
        <v>第013343号</v>
      </c>
      <c r="D1619" s="405" t="str">
        <f t="shared" si="202"/>
        <v>（株）匠研工業</v>
      </c>
      <c r="E1619" s="405" t="str">
        <f t="shared" si="203"/>
        <v>代表取締役</v>
      </c>
      <c r="F1619" s="405" t="str">
        <f t="shared" si="204"/>
        <v>鹿田　研二</v>
      </c>
      <c r="G1619" s="405" t="str">
        <f t="shared" si="205"/>
        <v>主たる営業所</v>
      </c>
      <c r="H1619" s="405" t="str">
        <f t="shared" si="206"/>
        <v>大分市賀来南１－１－３</v>
      </c>
      <c r="L1619" s="403" t="s">
        <v>11149</v>
      </c>
      <c r="M1619" s="403" t="s">
        <v>11150</v>
      </c>
      <c r="N1619" s="403" t="s">
        <v>4410</v>
      </c>
      <c r="O1619" s="403" t="s">
        <v>7084</v>
      </c>
      <c r="P1619" s="403" t="s">
        <v>4411</v>
      </c>
      <c r="Q1619" s="403" t="s">
        <v>8792</v>
      </c>
      <c r="R1619" s="403" t="s">
        <v>19992</v>
      </c>
      <c r="S1619" s="403" t="s">
        <v>16906</v>
      </c>
      <c r="T1619" s="403" t="s">
        <v>16907</v>
      </c>
      <c r="U1619" s="403"/>
      <c r="V1619" s="403" t="s">
        <v>23024</v>
      </c>
      <c r="W1619" s="403" t="s">
        <v>23024</v>
      </c>
      <c r="X1619" s="403" t="s">
        <v>23024</v>
      </c>
      <c r="Y1619" s="403" t="s">
        <v>23024</v>
      </c>
    </row>
    <row r="1620" spans="1:25">
      <c r="A1620" s="363">
        <f t="shared" si="207"/>
        <v>1619</v>
      </c>
      <c r="B1620" s="363" t="str">
        <f t="shared" si="200"/>
        <v>44</v>
      </c>
      <c r="C1620" s="405" t="str">
        <f t="shared" si="201"/>
        <v>第013344号</v>
      </c>
      <c r="D1620" s="405" t="str">
        <f t="shared" si="202"/>
        <v>（株）森電設</v>
      </c>
      <c r="E1620" s="405" t="str">
        <f t="shared" si="203"/>
        <v>代表取締役</v>
      </c>
      <c r="F1620" s="405" t="str">
        <f t="shared" si="204"/>
        <v>森　幸治</v>
      </c>
      <c r="G1620" s="405" t="str">
        <f t="shared" si="205"/>
        <v>主たる営業所</v>
      </c>
      <c r="H1620" s="405" t="str">
        <f t="shared" si="206"/>
        <v>玖珠郡九重町大字田野１６２４－９４</v>
      </c>
      <c r="L1620" s="403" t="s">
        <v>11151</v>
      </c>
      <c r="M1620" s="403" t="s">
        <v>11152</v>
      </c>
      <c r="N1620" s="403" t="s">
        <v>4412</v>
      </c>
      <c r="O1620" s="403" t="s">
        <v>7084</v>
      </c>
      <c r="P1620" s="403" t="s">
        <v>4413</v>
      </c>
      <c r="Q1620" s="403" t="s">
        <v>7980</v>
      </c>
      <c r="R1620" s="403" t="s">
        <v>19993</v>
      </c>
      <c r="S1620" s="403" t="s">
        <v>16908</v>
      </c>
      <c r="T1620" s="403" t="s">
        <v>16909</v>
      </c>
      <c r="U1620" s="403"/>
      <c r="V1620" s="403" t="s">
        <v>23024</v>
      </c>
      <c r="W1620" s="403" t="s">
        <v>23024</v>
      </c>
      <c r="X1620" s="403" t="s">
        <v>23024</v>
      </c>
      <c r="Y1620" s="403" t="s">
        <v>23024</v>
      </c>
    </row>
    <row r="1621" spans="1:25">
      <c r="A1621" s="363">
        <f t="shared" si="207"/>
        <v>1620</v>
      </c>
      <c r="B1621" s="363" t="str">
        <f t="shared" si="200"/>
        <v>44</v>
      </c>
      <c r="C1621" s="405" t="str">
        <f t="shared" si="201"/>
        <v>第013346号</v>
      </c>
      <c r="D1621" s="405" t="str">
        <f t="shared" si="202"/>
        <v>（株）共栄</v>
      </c>
      <c r="E1621" s="405" t="str">
        <f t="shared" si="203"/>
        <v>代表取締役</v>
      </c>
      <c r="F1621" s="405" t="str">
        <f t="shared" si="204"/>
        <v>坂本　広人</v>
      </c>
      <c r="G1621" s="405" t="str">
        <f t="shared" si="205"/>
        <v>主たる営業所</v>
      </c>
      <c r="H1621" s="405" t="str">
        <f t="shared" si="206"/>
        <v>宇佐市大字江須賀１２５９－１</v>
      </c>
      <c r="L1621" s="403" t="s">
        <v>11153</v>
      </c>
      <c r="M1621" s="403" t="s">
        <v>11154</v>
      </c>
      <c r="N1621" s="403" t="s">
        <v>4414</v>
      </c>
      <c r="O1621" s="403" t="s">
        <v>7084</v>
      </c>
      <c r="P1621" s="403" t="s">
        <v>4415</v>
      </c>
      <c r="Q1621" s="403" t="s">
        <v>8133</v>
      </c>
      <c r="R1621" s="403" t="s">
        <v>19994</v>
      </c>
      <c r="S1621" s="403" t="s">
        <v>16910</v>
      </c>
      <c r="T1621" s="403" t="s">
        <v>16911</v>
      </c>
      <c r="U1621" s="403"/>
      <c r="V1621" s="403" t="s">
        <v>23024</v>
      </c>
      <c r="W1621" s="403" t="s">
        <v>23024</v>
      </c>
      <c r="X1621" s="403" t="s">
        <v>23024</v>
      </c>
      <c r="Y1621" s="403" t="s">
        <v>23024</v>
      </c>
    </row>
    <row r="1622" spans="1:25">
      <c r="A1622" s="363">
        <f t="shared" si="207"/>
        <v>1621</v>
      </c>
      <c r="B1622" s="363" t="str">
        <f t="shared" si="200"/>
        <v>44</v>
      </c>
      <c r="C1622" s="405" t="str">
        <f t="shared" si="201"/>
        <v>第013362号</v>
      </c>
      <c r="D1622" s="405" t="str">
        <f t="shared" si="202"/>
        <v>（株）日本テック</v>
      </c>
      <c r="E1622" s="405" t="str">
        <f t="shared" si="203"/>
        <v>代表取締役</v>
      </c>
      <c r="F1622" s="405" t="str">
        <f t="shared" si="204"/>
        <v>日隈　征二</v>
      </c>
      <c r="G1622" s="405" t="str">
        <f t="shared" si="205"/>
        <v>主たる営業所</v>
      </c>
      <c r="H1622" s="405" t="str">
        <f t="shared" si="206"/>
        <v>日田市田島２－２６６－１大幸ビル１階５号</v>
      </c>
      <c r="L1622" s="403" t="s">
        <v>11155</v>
      </c>
      <c r="M1622" s="403" t="s">
        <v>11156</v>
      </c>
      <c r="N1622" s="403" t="s">
        <v>4416</v>
      </c>
      <c r="O1622" s="403" t="s">
        <v>7084</v>
      </c>
      <c r="P1622" s="403" t="s">
        <v>4417</v>
      </c>
      <c r="Q1622" s="403" t="s">
        <v>8022</v>
      </c>
      <c r="R1622" s="403" t="s">
        <v>19995</v>
      </c>
      <c r="S1622" s="403" t="s">
        <v>16912</v>
      </c>
      <c r="T1622" s="403" t="s">
        <v>16913</v>
      </c>
      <c r="U1622" s="403"/>
      <c r="V1622" s="403" t="s">
        <v>23024</v>
      </c>
      <c r="W1622" s="403" t="s">
        <v>23024</v>
      </c>
      <c r="X1622" s="403" t="s">
        <v>23024</v>
      </c>
      <c r="Y1622" s="403" t="s">
        <v>23024</v>
      </c>
    </row>
    <row r="1623" spans="1:25">
      <c r="A1623" s="363">
        <f t="shared" si="207"/>
        <v>1622</v>
      </c>
      <c r="B1623" s="363" t="str">
        <f t="shared" si="200"/>
        <v>44</v>
      </c>
      <c r="C1623" s="405" t="str">
        <f t="shared" si="201"/>
        <v>第013374号</v>
      </c>
      <c r="D1623" s="405" t="str">
        <f t="shared" si="202"/>
        <v>（株）ダイプロ北部販売</v>
      </c>
      <c r="E1623" s="405" t="str">
        <f t="shared" si="203"/>
        <v>代表取締役</v>
      </c>
      <c r="F1623" s="405" t="str">
        <f t="shared" si="204"/>
        <v>川上　俊作</v>
      </c>
      <c r="G1623" s="405" t="str">
        <f t="shared" si="205"/>
        <v>主たる営業所</v>
      </c>
      <c r="H1623" s="405" t="str">
        <f t="shared" si="206"/>
        <v>宇佐市大字山下１４９０－１</v>
      </c>
      <c r="L1623" s="403" t="s">
        <v>11157</v>
      </c>
      <c r="M1623" s="403" t="s">
        <v>11158</v>
      </c>
      <c r="N1623" s="403" t="s">
        <v>4418</v>
      </c>
      <c r="O1623" s="403" t="s">
        <v>7084</v>
      </c>
      <c r="P1623" s="403" t="s">
        <v>4419</v>
      </c>
      <c r="Q1623" s="403" t="s">
        <v>8161</v>
      </c>
      <c r="R1623" s="403" t="s">
        <v>19996</v>
      </c>
      <c r="S1623" s="403" t="s">
        <v>16914</v>
      </c>
      <c r="T1623" s="403" t="s">
        <v>16915</v>
      </c>
      <c r="U1623" s="403"/>
      <c r="V1623" s="403" t="s">
        <v>23024</v>
      </c>
      <c r="W1623" s="403" t="s">
        <v>23024</v>
      </c>
      <c r="X1623" s="403" t="s">
        <v>23024</v>
      </c>
      <c r="Y1623" s="403" t="s">
        <v>23024</v>
      </c>
    </row>
    <row r="1624" spans="1:25">
      <c r="A1624" s="363">
        <f t="shared" si="207"/>
        <v>1623</v>
      </c>
      <c r="B1624" s="363" t="str">
        <f t="shared" si="200"/>
        <v>44</v>
      </c>
      <c r="C1624" s="405" t="str">
        <f t="shared" si="201"/>
        <v>第013378号</v>
      </c>
      <c r="D1624" s="405" t="str">
        <f t="shared" si="202"/>
        <v>（株）ＤＥＮＳＨＩＮ</v>
      </c>
      <c r="E1624" s="405" t="str">
        <f t="shared" si="203"/>
        <v>代表取締役</v>
      </c>
      <c r="F1624" s="405" t="str">
        <f t="shared" si="204"/>
        <v>樋田　佳胤</v>
      </c>
      <c r="G1624" s="405" t="str">
        <f t="shared" si="205"/>
        <v>主たる営業所</v>
      </c>
      <c r="H1624" s="405" t="str">
        <f t="shared" si="206"/>
        <v>中津市三光臼木７９１－１</v>
      </c>
      <c r="L1624" s="403" t="s">
        <v>11159</v>
      </c>
      <c r="M1624" s="403" t="s">
        <v>11160</v>
      </c>
      <c r="N1624" s="403" t="s">
        <v>4420</v>
      </c>
      <c r="O1624" s="403" t="s">
        <v>7084</v>
      </c>
      <c r="P1624" s="403" t="s">
        <v>19997</v>
      </c>
      <c r="Q1624" s="403" t="s">
        <v>9237</v>
      </c>
      <c r="R1624" s="403" t="s">
        <v>19998</v>
      </c>
      <c r="S1624" s="403" t="s">
        <v>16916</v>
      </c>
      <c r="T1624" s="403" t="s">
        <v>16916</v>
      </c>
      <c r="U1624" s="403"/>
      <c r="V1624" s="403" t="s">
        <v>23024</v>
      </c>
      <c r="W1624" s="403" t="s">
        <v>23024</v>
      </c>
      <c r="X1624" s="403" t="s">
        <v>23024</v>
      </c>
      <c r="Y1624" s="403" t="s">
        <v>23024</v>
      </c>
    </row>
    <row r="1625" spans="1:25">
      <c r="A1625" s="363">
        <f t="shared" si="207"/>
        <v>1624</v>
      </c>
      <c r="B1625" s="363" t="str">
        <f t="shared" si="200"/>
        <v>44</v>
      </c>
      <c r="C1625" s="405" t="str">
        <f t="shared" si="201"/>
        <v>第013382号</v>
      </c>
      <c r="D1625" s="405" t="str">
        <f t="shared" si="202"/>
        <v>（株）大成組</v>
      </c>
      <c r="E1625" s="405" t="str">
        <f t="shared" si="203"/>
        <v>代表取締役</v>
      </c>
      <c r="F1625" s="405" t="str">
        <f t="shared" si="204"/>
        <v>中村　法雄</v>
      </c>
      <c r="G1625" s="405" t="str">
        <f t="shared" si="205"/>
        <v>主たる営業所</v>
      </c>
      <c r="H1625" s="405" t="str">
        <f t="shared" si="206"/>
        <v>大分市大字横尾３７３３－１</v>
      </c>
      <c r="L1625" s="403" t="s">
        <v>11161</v>
      </c>
      <c r="M1625" s="403" t="s">
        <v>11162</v>
      </c>
      <c r="N1625" s="403" t="s">
        <v>4421</v>
      </c>
      <c r="O1625" s="403" t="s">
        <v>7084</v>
      </c>
      <c r="P1625" s="403" t="s">
        <v>4422</v>
      </c>
      <c r="Q1625" s="403" t="s">
        <v>7357</v>
      </c>
      <c r="R1625" s="403" t="s">
        <v>19999</v>
      </c>
      <c r="S1625" s="403" t="s">
        <v>16917</v>
      </c>
      <c r="T1625" s="403" t="s">
        <v>16918</v>
      </c>
      <c r="U1625" s="403"/>
      <c r="V1625" s="403" t="s">
        <v>23024</v>
      </c>
      <c r="W1625" s="403" t="s">
        <v>23024</v>
      </c>
      <c r="X1625" s="403" t="s">
        <v>23024</v>
      </c>
      <c r="Y1625" s="403" t="s">
        <v>23024</v>
      </c>
    </row>
    <row r="1626" spans="1:25">
      <c r="A1626" s="363">
        <f t="shared" si="207"/>
        <v>1625</v>
      </c>
      <c r="B1626" s="363" t="str">
        <f t="shared" si="200"/>
        <v>44</v>
      </c>
      <c r="C1626" s="405" t="str">
        <f t="shared" si="201"/>
        <v>第013388号</v>
      </c>
      <c r="D1626" s="405" t="str">
        <f t="shared" si="202"/>
        <v>高山水理工業（株）</v>
      </c>
      <c r="E1626" s="405" t="str">
        <f t="shared" si="203"/>
        <v>代表取締役</v>
      </c>
      <c r="F1626" s="405" t="str">
        <f t="shared" si="204"/>
        <v>高山　真</v>
      </c>
      <c r="G1626" s="405" t="str">
        <f t="shared" si="205"/>
        <v>主たる営業所</v>
      </c>
      <c r="H1626" s="405" t="str">
        <f t="shared" si="206"/>
        <v>津久見市港町２－１９</v>
      </c>
      <c r="L1626" s="403" t="s">
        <v>11163</v>
      </c>
      <c r="M1626" s="403" t="s">
        <v>11164</v>
      </c>
      <c r="N1626" s="403" t="s">
        <v>4423</v>
      </c>
      <c r="O1626" s="403" t="s">
        <v>7084</v>
      </c>
      <c r="P1626" s="403" t="s">
        <v>4424</v>
      </c>
      <c r="Q1626" s="403" t="s">
        <v>7824</v>
      </c>
      <c r="R1626" s="403" t="s">
        <v>20000</v>
      </c>
      <c r="S1626" s="403" t="s">
        <v>16919</v>
      </c>
      <c r="T1626" s="403" t="s">
        <v>16920</v>
      </c>
      <c r="U1626" s="403"/>
      <c r="V1626" s="403" t="s">
        <v>23024</v>
      </c>
      <c r="W1626" s="403" t="s">
        <v>23024</v>
      </c>
      <c r="X1626" s="403" t="s">
        <v>23024</v>
      </c>
      <c r="Y1626" s="403" t="s">
        <v>23024</v>
      </c>
    </row>
    <row r="1627" spans="1:25">
      <c r="A1627" s="363">
        <f t="shared" si="207"/>
        <v>1626</v>
      </c>
      <c r="B1627" s="363" t="str">
        <f t="shared" si="200"/>
        <v>44</v>
      </c>
      <c r="C1627" s="405" t="str">
        <f t="shared" si="201"/>
        <v>第013394号</v>
      </c>
      <c r="D1627" s="405" t="str">
        <f t="shared" si="202"/>
        <v>（有）共成工業</v>
      </c>
      <c r="E1627" s="405" t="str">
        <f t="shared" si="203"/>
        <v>代表取締役</v>
      </c>
      <c r="F1627" s="405" t="str">
        <f t="shared" si="204"/>
        <v>末松　潤一</v>
      </c>
      <c r="G1627" s="405" t="str">
        <f t="shared" si="205"/>
        <v>主たる営業所</v>
      </c>
      <c r="H1627" s="405" t="str">
        <f t="shared" si="206"/>
        <v>大分市青崎２－３０２</v>
      </c>
      <c r="L1627" s="403" t="s">
        <v>11165</v>
      </c>
      <c r="M1627" s="403" t="s">
        <v>11166</v>
      </c>
      <c r="N1627" s="403" t="s">
        <v>4425</v>
      </c>
      <c r="O1627" s="403" t="s">
        <v>7084</v>
      </c>
      <c r="P1627" s="403" t="s">
        <v>4426</v>
      </c>
      <c r="Q1627" s="403" t="s">
        <v>7528</v>
      </c>
      <c r="R1627" s="403" t="s">
        <v>20001</v>
      </c>
      <c r="S1627" s="403" t="s">
        <v>16921</v>
      </c>
      <c r="T1627" s="403" t="s">
        <v>20002</v>
      </c>
      <c r="U1627" s="403"/>
      <c r="V1627" s="403" t="s">
        <v>23024</v>
      </c>
      <c r="W1627" s="403" t="s">
        <v>23024</v>
      </c>
      <c r="X1627" s="403" t="s">
        <v>23024</v>
      </c>
      <c r="Y1627" s="403" t="s">
        <v>23024</v>
      </c>
    </row>
    <row r="1628" spans="1:25">
      <c r="A1628" s="363">
        <f t="shared" si="207"/>
        <v>1627</v>
      </c>
      <c r="B1628" s="363" t="str">
        <f t="shared" si="200"/>
        <v>44</v>
      </c>
      <c r="C1628" s="405" t="str">
        <f t="shared" si="201"/>
        <v>第013395号</v>
      </c>
      <c r="D1628" s="405" t="str">
        <f t="shared" si="202"/>
        <v>匠技建工業（株）</v>
      </c>
      <c r="E1628" s="405" t="str">
        <f t="shared" si="203"/>
        <v>代表取締役</v>
      </c>
      <c r="F1628" s="405" t="str">
        <f t="shared" si="204"/>
        <v>榎田　道代</v>
      </c>
      <c r="G1628" s="405" t="str">
        <f t="shared" si="205"/>
        <v>主たる営業所</v>
      </c>
      <c r="H1628" s="405" t="str">
        <f t="shared" si="206"/>
        <v>宇佐市大字住江６３５</v>
      </c>
      <c r="L1628" s="403" t="s">
        <v>11167</v>
      </c>
      <c r="M1628" s="403" t="s">
        <v>11168</v>
      </c>
      <c r="N1628" s="403" t="s">
        <v>4427</v>
      </c>
      <c r="O1628" s="403" t="s">
        <v>7084</v>
      </c>
      <c r="P1628" s="403" t="s">
        <v>20003</v>
      </c>
      <c r="Q1628" s="403" t="s">
        <v>10389</v>
      </c>
      <c r="R1628" s="403" t="s">
        <v>5655</v>
      </c>
      <c r="S1628" s="403" t="s">
        <v>16922</v>
      </c>
      <c r="T1628" s="403" t="s">
        <v>16923</v>
      </c>
      <c r="U1628" s="403"/>
      <c r="V1628" s="403" t="s">
        <v>23024</v>
      </c>
      <c r="W1628" s="403" t="s">
        <v>23024</v>
      </c>
      <c r="X1628" s="403" t="s">
        <v>23024</v>
      </c>
      <c r="Y1628" s="403" t="s">
        <v>23024</v>
      </c>
    </row>
    <row r="1629" spans="1:25">
      <c r="A1629" s="363">
        <f t="shared" si="207"/>
        <v>1628</v>
      </c>
      <c r="B1629" s="363" t="str">
        <f t="shared" si="200"/>
        <v>44</v>
      </c>
      <c r="C1629" s="405" t="str">
        <f t="shared" si="201"/>
        <v>第013400号</v>
      </c>
      <c r="D1629" s="405" t="str">
        <f t="shared" si="202"/>
        <v>（有）堅征緑地</v>
      </c>
      <c r="E1629" s="405" t="str">
        <f t="shared" si="203"/>
        <v>代表取締役</v>
      </c>
      <c r="F1629" s="405" t="str">
        <f t="shared" si="204"/>
        <v>関　悦子</v>
      </c>
      <c r="G1629" s="405" t="str">
        <f t="shared" si="205"/>
        <v>主たる営業所</v>
      </c>
      <c r="H1629" s="405" t="str">
        <f t="shared" si="206"/>
        <v>佐伯市大字長谷７００４－１</v>
      </c>
      <c r="L1629" s="403" t="s">
        <v>11169</v>
      </c>
      <c r="M1629" s="403" t="s">
        <v>11170</v>
      </c>
      <c r="N1629" s="403" t="s">
        <v>4428</v>
      </c>
      <c r="O1629" s="403" t="s">
        <v>7084</v>
      </c>
      <c r="P1629" s="403" t="s">
        <v>5268</v>
      </c>
      <c r="Q1629" s="403" t="s">
        <v>8479</v>
      </c>
      <c r="R1629" s="403" t="s">
        <v>20004</v>
      </c>
      <c r="S1629" s="403" t="s">
        <v>16924</v>
      </c>
      <c r="T1629" s="403" t="s">
        <v>14745</v>
      </c>
      <c r="U1629" s="403"/>
      <c r="V1629" s="403" t="s">
        <v>23024</v>
      </c>
      <c r="W1629" s="403" t="s">
        <v>23024</v>
      </c>
      <c r="X1629" s="403" t="s">
        <v>23024</v>
      </c>
      <c r="Y1629" s="403" t="s">
        <v>23024</v>
      </c>
    </row>
    <row r="1630" spans="1:25">
      <c r="A1630" s="363">
        <f t="shared" si="207"/>
        <v>1629</v>
      </c>
      <c r="B1630" s="363" t="str">
        <f t="shared" si="200"/>
        <v>44</v>
      </c>
      <c r="C1630" s="405" t="str">
        <f t="shared" si="201"/>
        <v>第013411号</v>
      </c>
      <c r="D1630" s="405" t="str">
        <f t="shared" si="202"/>
        <v>Ｃ．Ｒ．Ｔ（株）</v>
      </c>
      <c r="E1630" s="405" t="str">
        <f t="shared" si="203"/>
        <v>代表取締役</v>
      </c>
      <c r="F1630" s="405" t="str">
        <f t="shared" si="204"/>
        <v>手嶋　美量</v>
      </c>
      <c r="G1630" s="405" t="str">
        <f t="shared" si="205"/>
        <v>主たる営業所</v>
      </c>
      <c r="H1630" s="405" t="str">
        <f t="shared" si="206"/>
        <v>大分市王子南町２－２４　アルバＣ．Ｒ．Ｔ２Ｆ</v>
      </c>
      <c r="L1630" s="403" t="s">
        <v>11171</v>
      </c>
      <c r="M1630" s="403" t="s">
        <v>11172</v>
      </c>
      <c r="N1630" s="403" t="s">
        <v>4429</v>
      </c>
      <c r="O1630" s="403" t="s">
        <v>7084</v>
      </c>
      <c r="P1630" s="403" t="s">
        <v>4430</v>
      </c>
      <c r="Q1630" s="403" t="s">
        <v>11173</v>
      </c>
      <c r="R1630" s="403" t="s">
        <v>20005</v>
      </c>
      <c r="S1630" s="403" t="s">
        <v>16925</v>
      </c>
      <c r="T1630" s="403" t="s">
        <v>16926</v>
      </c>
      <c r="U1630" s="403"/>
      <c r="V1630" s="403" t="s">
        <v>23024</v>
      </c>
      <c r="W1630" s="403" t="s">
        <v>23024</v>
      </c>
      <c r="X1630" s="403" t="s">
        <v>23024</v>
      </c>
      <c r="Y1630" s="403" t="s">
        <v>23024</v>
      </c>
    </row>
    <row r="1631" spans="1:25">
      <c r="A1631" s="363">
        <f t="shared" si="207"/>
        <v>1630</v>
      </c>
      <c r="B1631" s="363" t="str">
        <f t="shared" si="200"/>
        <v>44</v>
      </c>
      <c r="C1631" s="405" t="str">
        <f t="shared" si="201"/>
        <v>第013412号</v>
      </c>
      <c r="D1631" s="405" t="str">
        <f t="shared" si="202"/>
        <v>（有）宝来興産</v>
      </c>
      <c r="E1631" s="405" t="str">
        <f t="shared" si="203"/>
        <v>代表取締役</v>
      </c>
      <c r="F1631" s="405" t="str">
        <f t="shared" si="204"/>
        <v>森永　義幸</v>
      </c>
      <c r="G1631" s="405" t="str">
        <f t="shared" si="205"/>
        <v>主たる営業所</v>
      </c>
      <c r="H1631" s="405" t="str">
        <f t="shared" si="206"/>
        <v>豊後高田市草地３２２５－５</v>
      </c>
      <c r="L1631" s="403" t="s">
        <v>11174</v>
      </c>
      <c r="M1631" s="403" t="s">
        <v>11175</v>
      </c>
      <c r="N1631" s="403" t="s">
        <v>4431</v>
      </c>
      <c r="O1631" s="403" t="s">
        <v>7084</v>
      </c>
      <c r="P1631" s="403" t="s">
        <v>4432</v>
      </c>
      <c r="Q1631" s="403" t="s">
        <v>10353</v>
      </c>
      <c r="R1631" s="403" t="s">
        <v>20006</v>
      </c>
      <c r="S1631" s="403" t="s">
        <v>16927</v>
      </c>
      <c r="T1631" s="403" t="s">
        <v>16928</v>
      </c>
      <c r="U1631" s="403"/>
      <c r="V1631" s="403" t="s">
        <v>23024</v>
      </c>
      <c r="W1631" s="403" t="s">
        <v>23024</v>
      </c>
      <c r="X1631" s="403" t="s">
        <v>23024</v>
      </c>
      <c r="Y1631" s="403" t="s">
        <v>23024</v>
      </c>
    </row>
    <row r="1632" spans="1:25">
      <c r="A1632" s="363">
        <f t="shared" si="207"/>
        <v>1631</v>
      </c>
      <c r="B1632" s="363" t="str">
        <f t="shared" si="200"/>
        <v>44</v>
      </c>
      <c r="C1632" s="405" t="str">
        <f t="shared" si="201"/>
        <v>第013416号</v>
      </c>
      <c r="D1632" s="405" t="str">
        <f t="shared" si="202"/>
        <v>東建産業（株）</v>
      </c>
      <c r="E1632" s="405" t="str">
        <f t="shared" si="203"/>
        <v>代表取締役</v>
      </c>
      <c r="F1632" s="405" t="str">
        <f t="shared" si="204"/>
        <v>東藤　恵子</v>
      </c>
      <c r="G1632" s="405" t="str">
        <f t="shared" si="205"/>
        <v>主たる営業所</v>
      </c>
      <c r="H1632" s="405" t="str">
        <f t="shared" si="206"/>
        <v>豊後大野市朝地町下野１６４３－１</v>
      </c>
      <c r="L1632" s="403" t="s">
        <v>11176</v>
      </c>
      <c r="M1632" s="403" t="s">
        <v>11177</v>
      </c>
      <c r="N1632" s="403" t="s">
        <v>4433</v>
      </c>
      <c r="O1632" s="403" t="s">
        <v>7084</v>
      </c>
      <c r="P1632" s="403" t="s">
        <v>4434</v>
      </c>
      <c r="Q1632" s="403" t="s">
        <v>8062</v>
      </c>
      <c r="R1632" s="403" t="s">
        <v>19778</v>
      </c>
      <c r="S1632" s="403" t="s">
        <v>16929</v>
      </c>
      <c r="T1632" s="403" t="s">
        <v>16516</v>
      </c>
      <c r="U1632" s="403"/>
      <c r="V1632" s="403" t="s">
        <v>23024</v>
      </c>
      <c r="W1632" s="403" t="s">
        <v>23024</v>
      </c>
      <c r="X1632" s="403" t="s">
        <v>23024</v>
      </c>
      <c r="Y1632" s="403" t="s">
        <v>23024</v>
      </c>
    </row>
    <row r="1633" spans="1:25">
      <c r="A1633" s="363">
        <f t="shared" si="207"/>
        <v>1632</v>
      </c>
      <c r="B1633" s="363" t="str">
        <f t="shared" si="200"/>
        <v>44</v>
      </c>
      <c r="C1633" s="405" t="str">
        <f t="shared" si="201"/>
        <v>第013424号</v>
      </c>
      <c r="D1633" s="405" t="str">
        <f t="shared" si="202"/>
        <v>（有）ベストハウス</v>
      </c>
      <c r="E1633" s="405" t="str">
        <f t="shared" si="203"/>
        <v>代表取締役</v>
      </c>
      <c r="F1633" s="405" t="str">
        <f t="shared" si="204"/>
        <v>飯田　伸次</v>
      </c>
      <c r="G1633" s="405" t="str">
        <f t="shared" si="205"/>
        <v>主たる営業所</v>
      </c>
      <c r="H1633" s="405" t="str">
        <f t="shared" si="206"/>
        <v>佐伯市向島１－５－３２</v>
      </c>
      <c r="L1633" s="403" t="s">
        <v>11178</v>
      </c>
      <c r="M1633" s="403" t="s">
        <v>11179</v>
      </c>
      <c r="N1633" s="403" t="s">
        <v>4435</v>
      </c>
      <c r="O1633" s="403" t="s">
        <v>7084</v>
      </c>
      <c r="P1633" s="403" t="s">
        <v>4436</v>
      </c>
      <c r="Q1633" s="403" t="s">
        <v>8505</v>
      </c>
      <c r="R1633" s="403" t="s">
        <v>20007</v>
      </c>
      <c r="S1633" s="403" t="s">
        <v>16930</v>
      </c>
      <c r="T1633" s="403" t="s">
        <v>16931</v>
      </c>
      <c r="U1633" s="403"/>
      <c r="V1633" s="403" t="s">
        <v>23024</v>
      </c>
      <c r="W1633" s="403" t="s">
        <v>23024</v>
      </c>
      <c r="X1633" s="403" t="s">
        <v>23024</v>
      </c>
      <c r="Y1633" s="403" t="s">
        <v>23024</v>
      </c>
    </row>
    <row r="1634" spans="1:25">
      <c r="A1634" s="363">
        <f t="shared" si="207"/>
        <v>1633</v>
      </c>
      <c r="B1634" s="363" t="str">
        <f t="shared" si="200"/>
        <v>44</v>
      </c>
      <c r="C1634" s="405" t="str">
        <f t="shared" si="201"/>
        <v>第013431号</v>
      </c>
      <c r="D1634" s="405" t="str">
        <f t="shared" si="202"/>
        <v>ａｉｕ（株）</v>
      </c>
      <c r="E1634" s="405" t="str">
        <f t="shared" si="203"/>
        <v>代表取締役</v>
      </c>
      <c r="F1634" s="405" t="str">
        <f t="shared" si="204"/>
        <v>本杉　和子</v>
      </c>
      <c r="G1634" s="405" t="str">
        <f t="shared" si="205"/>
        <v>主たる営業所</v>
      </c>
      <c r="H1634" s="405" t="str">
        <f t="shared" si="206"/>
        <v>佐伯市上灘９８０４－２５</v>
      </c>
      <c r="L1634" s="403" t="s">
        <v>11180</v>
      </c>
      <c r="M1634" s="403" t="s">
        <v>11181</v>
      </c>
      <c r="N1634" s="403" t="s">
        <v>4437</v>
      </c>
      <c r="O1634" s="403" t="s">
        <v>7084</v>
      </c>
      <c r="P1634" s="403" t="s">
        <v>4438</v>
      </c>
      <c r="Q1634" s="403" t="s">
        <v>8527</v>
      </c>
      <c r="R1634" s="403" t="s">
        <v>20008</v>
      </c>
      <c r="S1634" s="403" t="s">
        <v>16932</v>
      </c>
      <c r="T1634" s="403" t="s">
        <v>16932</v>
      </c>
      <c r="U1634" s="403"/>
      <c r="V1634" s="403" t="s">
        <v>23024</v>
      </c>
      <c r="W1634" s="403" t="s">
        <v>23024</v>
      </c>
      <c r="X1634" s="403" t="s">
        <v>23024</v>
      </c>
      <c r="Y1634" s="403" t="s">
        <v>23024</v>
      </c>
    </row>
    <row r="1635" spans="1:25">
      <c r="A1635" s="363">
        <f t="shared" si="207"/>
        <v>1634</v>
      </c>
      <c r="B1635" s="363" t="str">
        <f t="shared" si="200"/>
        <v>44</v>
      </c>
      <c r="C1635" s="405" t="str">
        <f t="shared" si="201"/>
        <v>第013437号</v>
      </c>
      <c r="D1635" s="405" t="str">
        <f t="shared" si="202"/>
        <v>（株）万福工業</v>
      </c>
      <c r="E1635" s="405" t="str">
        <f t="shared" si="203"/>
        <v>代表取締役</v>
      </c>
      <c r="F1635" s="405" t="str">
        <f t="shared" si="204"/>
        <v>平原　剛</v>
      </c>
      <c r="G1635" s="405" t="str">
        <f t="shared" si="205"/>
        <v>主たる営業所</v>
      </c>
      <c r="H1635" s="405" t="str">
        <f t="shared" si="206"/>
        <v>中津市大字犬丸５４－３</v>
      </c>
      <c r="L1635" s="403" t="s">
        <v>11182</v>
      </c>
      <c r="M1635" s="403" t="s">
        <v>11183</v>
      </c>
      <c r="N1635" s="403" t="s">
        <v>4439</v>
      </c>
      <c r="O1635" s="403" t="s">
        <v>7084</v>
      </c>
      <c r="P1635" s="403" t="s">
        <v>4440</v>
      </c>
      <c r="Q1635" s="403" t="s">
        <v>9242</v>
      </c>
      <c r="R1635" s="403" t="s">
        <v>20009</v>
      </c>
      <c r="S1635" s="403" t="s">
        <v>16933</v>
      </c>
      <c r="T1635" s="403" t="s">
        <v>16934</v>
      </c>
      <c r="U1635" s="403"/>
      <c r="V1635" s="403" t="s">
        <v>23024</v>
      </c>
      <c r="W1635" s="403" t="s">
        <v>23024</v>
      </c>
      <c r="X1635" s="403" t="s">
        <v>23024</v>
      </c>
      <c r="Y1635" s="403" t="s">
        <v>23024</v>
      </c>
    </row>
    <row r="1636" spans="1:25">
      <c r="A1636" s="363">
        <f t="shared" si="207"/>
        <v>1635</v>
      </c>
      <c r="B1636" s="363" t="str">
        <f t="shared" si="200"/>
        <v>44</v>
      </c>
      <c r="C1636" s="405" t="str">
        <f t="shared" si="201"/>
        <v>第013439号</v>
      </c>
      <c r="D1636" s="405" t="str">
        <f t="shared" si="202"/>
        <v>（株）シナジー</v>
      </c>
      <c r="E1636" s="405" t="str">
        <f t="shared" si="203"/>
        <v>代表取締役</v>
      </c>
      <c r="F1636" s="405" t="str">
        <f t="shared" si="204"/>
        <v>大野　陽平</v>
      </c>
      <c r="G1636" s="405" t="str">
        <f t="shared" si="205"/>
        <v>主たる営業所</v>
      </c>
      <c r="H1636" s="405" t="str">
        <f t="shared" si="206"/>
        <v>大分市大字中戸次４３９３</v>
      </c>
      <c r="L1636" s="403" t="s">
        <v>11184</v>
      </c>
      <c r="M1636" s="403" t="s">
        <v>11185</v>
      </c>
      <c r="N1636" s="403" t="s">
        <v>4441</v>
      </c>
      <c r="O1636" s="403" t="s">
        <v>7084</v>
      </c>
      <c r="P1636" s="403" t="s">
        <v>4442</v>
      </c>
      <c r="Q1636" s="403" t="s">
        <v>7531</v>
      </c>
      <c r="R1636" s="403" t="s">
        <v>5656</v>
      </c>
      <c r="S1636" s="403" t="s">
        <v>16935</v>
      </c>
      <c r="T1636" s="403" t="s">
        <v>16936</v>
      </c>
      <c r="U1636" s="403"/>
      <c r="V1636" s="403" t="s">
        <v>23024</v>
      </c>
      <c r="W1636" s="403" t="s">
        <v>23024</v>
      </c>
      <c r="X1636" s="403" t="s">
        <v>23024</v>
      </c>
      <c r="Y1636" s="403" t="s">
        <v>23024</v>
      </c>
    </row>
    <row r="1637" spans="1:25">
      <c r="A1637" s="363">
        <f t="shared" si="207"/>
        <v>1636</v>
      </c>
      <c r="B1637" s="363" t="str">
        <f t="shared" si="200"/>
        <v>44</v>
      </c>
      <c r="C1637" s="405" t="str">
        <f t="shared" si="201"/>
        <v>第013440号</v>
      </c>
      <c r="D1637" s="405" t="str">
        <f t="shared" si="202"/>
        <v>（株）春道塗装</v>
      </c>
      <c r="E1637" s="405" t="str">
        <f t="shared" si="203"/>
        <v>代表取締役</v>
      </c>
      <c r="F1637" s="405" t="str">
        <f t="shared" si="204"/>
        <v>野尻　春一</v>
      </c>
      <c r="G1637" s="405" t="str">
        <f t="shared" si="205"/>
        <v>主たる営業所</v>
      </c>
      <c r="H1637" s="405" t="str">
        <f t="shared" si="206"/>
        <v>大分市三川下１－３－２３</v>
      </c>
      <c r="L1637" s="403" t="s">
        <v>11186</v>
      </c>
      <c r="M1637" s="403" t="s">
        <v>11187</v>
      </c>
      <c r="N1637" s="403" t="s">
        <v>4443</v>
      </c>
      <c r="O1637" s="403" t="s">
        <v>7084</v>
      </c>
      <c r="P1637" s="403" t="s">
        <v>20010</v>
      </c>
      <c r="Q1637" s="403" t="s">
        <v>8638</v>
      </c>
      <c r="R1637" s="403" t="s">
        <v>20011</v>
      </c>
      <c r="S1637" s="403" t="s">
        <v>16937</v>
      </c>
      <c r="T1637" s="403" t="s">
        <v>16938</v>
      </c>
      <c r="U1637" s="403"/>
      <c r="V1637" s="403" t="s">
        <v>23024</v>
      </c>
      <c r="W1637" s="403" t="s">
        <v>23024</v>
      </c>
      <c r="X1637" s="403" t="s">
        <v>23024</v>
      </c>
      <c r="Y1637" s="403" t="s">
        <v>23024</v>
      </c>
    </row>
    <row r="1638" spans="1:25">
      <c r="A1638" s="363">
        <f t="shared" si="207"/>
        <v>1637</v>
      </c>
      <c r="B1638" s="363" t="str">
        <f t="shared" si="200"/>
        <v>44</v>
      </c>
      <c r="C1638" s="405" t="str">
        <f t="shared" si="201"/>
        <v>第013448号</v>
      </c>
      <c r="D1638" s="405" t="str">
        <f t="shared" si="202"/>
        <v>（株）エイゼン</v>
      </c>
      <c r="E1638" s="405" t="str">
        <f t="shared" si="203"/>
        <v>代表取締役</v>
      </c>
      <c r="F1638" s="405" t="str">
        <f t="shared" si="204"/>
        <v>池邑　砂織</v>
      </c>
      <c r="G1638" s="405" t="str">
        <f t="shared" si="205"/>
        <v>主たる営業所</v>
      </c>
      <c r="H1638" s="405" t="str">
        <f t="shared" si="206"/>
        <v>大分市大字千歳１８４５</v>
      </c>
      <c r="L1638" s="403" t="s">
        <v>11189</v>
      </c>
      <c r="M1638" s="403" t="s">
        <v>11190</v>
      </c>
      <c r="N1638" s="403" t="s">
        <v>4446</v>
      </c>
      <c r="O1638" s="403" t="s">
        <v>7084</v>
      </c>
      <c r="P1638" s="403" t="s">
        <v>4447</v>
      </c>
      <c r="Q1638" s="403" t="s">
        <v>11191</v>
      </c>
      <c r="R1638" s="403" t="s">
        <v>5657</v>
      </c>
      <c r="S1638" s="403" t="s">
        <v>16243</v>
      </c>
      <c r="T1638" s="403" t="s">
        <v>16243</v>
      </c>
      <c r="U1638" s="403"/>
      <c r="V1638" s="403" t="s">
        <v>23024</v>
      </c>
      <c r="W1638" s="403" t="s">
        <v>23024</v>
      </c>
      <c r="X1638" s="403" t="s">
        <v>23024</v>
      </c>
      <c r="Y1638" s="403" t="s">
        <v>23024</v>
      </c>
    </row>
    <row r="1639" spans="1:25">
      <c r="A1639" s="363">
        <f t="shared" si="207"/>
        <v>1638</v>
      </c>
      <c r="B1639" s="363" t="str">
        <f t="shared" si="200"/>
        <v>44</v>
      </c>
      <c r="C1639" s="405" t="str">
        <f t="shared" si="201"/>
        <v>第013450号</v>
      </c>
      <c r="D1639" s="405" t="str">
        <f t="shared" si="202"/>
        <v>（株）ＴＳＩテックス</v>
      </c>
      <c r="E1639" s="405" t="str">
        <f t="shared" si="203"/>
        <v>代表取締役</v>
      </c>
      <c r="F1639" s="405" t="str">
        <f t="shared" si="204"/>
        <v>高田　篤</v>
      </c>
      <c r="G1639" s="405" t="str">
        <f t="shared" si="205"/>
        <v>主たる営業所</v>
      </c>
      <c r="H1639" s="405" t="str">
        <f t="shared" si="206"/>
        <v>大分市青崎１－３－３９</v>
      </c>
      <c r="L1639" s="404" t="s">
        <v>11192</v>
      </c>
      <c r="M1639" s="404" t="s">
        <v>11193</v>
      </c>
      <c r="N1639" s="404" t="s">
        <v>4448</v>
      </c>
      <c r="O1639" s="404" t="s">
        <v>7084</v>
      </c>
      <c r="P1639" s="404" t="s">
        <v>20012</v>
      </c>
      <c r="Q1639" s="404" t="s">
        <v>7528</v>
      </c>
      <c r="R1639" s="404" t="s">
        <v>20013</v>
      </c>
      <c r="S1639" s="404" t="s">
        <v>16939</v>
      </c>
      <c r="T1639" s="404" t="s">
        <v>16940</v>
      </c>
      <c r="U1639" s="404"/>
      <c r="V1639" s="404" t="s">
        <v>23024</v>
      </c>
      <c r="W1639" s="404" t="s">
        <v>23024</v>
      </c>
      <c r="X1639" s="404" t="s">
        <v>23024</v>
      </c>
      <c r="Y1639" s="404" t="s">
        <v>23024</v>
      </c>
    </row>
    <row r="1640" spans="1:25">
      <c r="A1640" s="363">
        <f t="shared" si="207"/>
        <v>1639</v>
      </c>
      <c r="B1640" s="363" t="str">
        <f t="shared" si="200"/>
        <v>44</v>
      </c>
      <c r="C1640" s="405" t="str">
        <f t="shared" si="201"/>
        <v>第013456号</v>
      </c>
      <c r="D1640" s="405" t="str">
        <f t="shared" si="202"/>
        <v>（有）恵大</v>
      </c>
      <c r="E1640" s="405" t="str">
        <f t="shared" si="203"/>
        <v>代表取締役</v>
      </c>
      <c r="F1640" s="405" t="str">
        <f t="shared" si="204"/>
        <v>円本　正忠</v>
      </c>
      <c r="G1640" s="405" t="str">
        <f t="shared" si="205"/>
        <v>主たる営業所</v>
      </c>
      <c r="H1640" s="405" t="str">
        <f t="shared" si="206"/>
        <v>竹田市大字入田１７－２</v>
      </c>
      <c r="L1640" s="402" t="s">
        <v>11194</v>
      </c>
      <c r="M1640" s="402" t="s">
        <v>11195</v>
      </c>
      <c r="N1640" s="402" t="s">
        <v>4449</v>
      </c>
      <c r="O1640" s="402" t="s">
        <v>7084</v>
      </c>
      <c r="P1640" s="402" t="s">
        <v>4450</v>
      </c>
      <c r="Q1640" s="402" t="s">
        <v>10684</v>
      </c>
      <c r="R1640" s="402" t="s">
        <v>20014</v>
      </c>
      <c r="S1640" s="402" t="s">
        <v>16941</v>
      </c>
      <c r="T1640" s="402" t="s">
        <v>16942</v>
      </c>
      <c r="U1640" s="402"/>
      <c r="V1640" s="402" t="s">
        <v>23024</v>
      </c>
      <c r="W1640" s="402" t="s">
        <v>23024</v>
      </c>
      <c r="X1640" s="402" t="s">
        <v>23024</v>
      </c>
      <c r="Y1640" s="402" t="s">
        <v>23024</v>
      </c>
    </row>
    <row r="1641" spans="1:25">
      <c r="A1641" s="363">
        <f t="shared" si="207"/>
        <v>1640</v>
      </c>
      <c r="B1641" s="363" t="str">
        <f t="shared" si="200"/>
        <v>44</v>
      </c>
      <c r="C1641" s="405" t="str">
        <f t="shared" si="201"/>
        <v>第013457号</v>
      </c>
      <c r="D1641" s="405" t="str">
        <f t="shared" si="202"/>
        <v>アイテクノ（株）</v>
      </c>
      <c r="E1641" s="405" t="str">
        <f t="shared" si="203"/>
        <v>代表取締役</v>
      </c>
      <c r="F1641" s="405" t="str">
        <f t="shared" si="204"/>
        <v>中川　緑</v>
      </c>
      <c r="G1641" s="405" t="str">
        <f t="shared" si="205"/>
        <v>主たる営業所</v>
      </c>
      <c r="H1641" s="405" t="str">
        <f t="shared" si="206"/>
        <v>大分市大字片島１３６８－５</v>
      </c>
      <c r="L1641" s="403" t="s">
        <v>11196</v>
      </c>
      <c r="M1641" s="403" t="s">
        <v>20015</v>
      </c>
      <c r="N1641" s="403" t="s">
        <v>20016</v>
      </c>
      <c r="O1641" s="403" t="s">
        <v>7084</v>
      </c>
      <c r="P1641" s="403" t="s">
        <v>4451</v>
      </c>
      <c r="Q1641" s="403" t="s">
        <v>8687</v>
      </c>
      <c r="R1641" s="403" t="s">
        <v>20017</v>
      </c>
      <c r="S1641" s="403" t="s">
        <v>20018</v>
      </c>
      <c r="T1641" s="403" t="s">
        <v>20019</v>
      </c>
      <c r="U1641" s="403"/>
      <c r="V1641" s="403" t="s">
        <v>23024</v>
      </c>
      <c r="W1641" s="403" t="s">
        <v>23024</v>
      </c>
      <c r="X1641" s="403" t="s">
        <v>23024</v>
      </c>
      <c r="Y1641" s="403" t="s">
        <v>23024</v>
      </c>
    </row>
    <row r="1642" spans="1:25">
      <c r="A1642" s="363">
        <f t="shared" si="207"/>
        <v>1641</v>
      </c>
      <c r="B1642" s="363" t="str">
        <f t="shared" si="200"/>
        <v>44</v>
      </c>
      <c r="C1642" s="405" t="str">
        <f t="shared" si="201"/>
        <v>第013458号</v>
      </c>
      <c r="D1642" s="405" t="str">
        <f t="shared" si="202"/>
        <v>（株）ＩＴＯ建工</v>
      </c>
      <c r="E1642" s="405" t="str">
        <f t="shared" si="203"/>
        <v>代表取締役</v>
      </c>
      <c r="F1642" s="405" t="str">
        <f t="shared" si="204"/>
        <v>伊藤　宗吾</v>
      </c>
      <c r="G1642" s="405" t="str">
        <f t="shared" si="205"/>
        <v>主たる営業所</v>
      </c>
      <c r="H1642" s="405" t="str">
        <f t="shared" si="206"/>
        <v>速見郡日出町大字大神２１６１－４５</v>
      </c>
      <c r="L1642" s="403" t="s">
        <v>11197</v>
      </c>
      <c r="M1642" s="403" t="s">
        <v>11198</v>
      </c>
      <c r="N1642" s="403" t="s">
        <v>4452</v>
      </c>
      <c r="O1642" s="403" t="s">
        <v>7084</v>
      </c>
      <c r="P1642" s="403" t="s">
        <v>3922</v>
      </c>
      <c r="Q1642" s="403" t="s">
        <v>8382</v>
      </c>
      <c r="R1642" s="403" t="s">
        <v>20020</v>
      </c>
      <c r="S1642" s="403" t="s">
        <v>16943</v>
      </c>
      <c r="T1642" s="403" t="s">
        <v>16944</v>
      </c>
      <c r="U1642" s="403"/>
      <c r="V1642" s="403" t="s">
        <v>23024</v>
      </c>
      <c r="W1642" s="403" t="s">
        <v>23024</v>
      </c>
      <c r="X1642" s="403" t="s">
        <v>23024</v>
      </c>
      <c r="Y1642" s="403" t="s">
        <v>23024</v>
      </c>
    </row>
    <row r="1643" spans="1:25">
      <c r="A1643" s="363">
        <f t="shared" si="207"/>
        <v>1642</v>
      </c>
      <c r="B1643" s="363" t="str">
        <f t="shared" si="200"/>
        <v>44</v>
      </c>
      <c r="C1643" s="405" t="str">
        <f t="shared" si="201"/>
        <v>第013462号</v>
      </c>
      <c r="D1643" s="405" t="str">
        <f t="shared" si="202"/>
        <v>長幸建設（株）</v>
      </c>
      <c r="E1643" s="405" t="str">
        <f t="shared" si="203"/>
        <v>代表取締役</v>
      </c>
      <c r="F1643" s="405" t="str">
        <f t="shared" si="204"/>
        <v>長野　勝行</v>
      </c>
      <c r="G1643" s="405" t="str">
        <f t="shared" si="205"/>
        <v>主たる営業所</v>
      </c>
      <c r="H1643" s="405" t="str">
        <f t="shared" si="206"/>
        <v>別府市小倉町３３－１</v>
      </c>
      <c r="L1643" s="403" t="s">
        <v>11199</v>
      </c>
      <c r="M1643" s="403" t="s">
        <v>11200</v>
      </c>
      <c r="N1643" s="403" t="s">
        <v>4453</v>
      </c>
      <c r="O1643" s="403" t="s">
        <v>7084</v>
      </c>
      <c r="P1643" s="403" t="s">
        <v>4454</v>
      </c>
      <c r="Q1643" s="403" t="s">
        <v>7625</v>
      </c>
      <c r="R1643" s="403" t="s">
        <v>20021</v>
      </c>
      <c r="S1643" s="403" t="s">
        <v>16945</v>
      </c>
      <c r="T1643" s="403" t="s">
        <v>16946</v>
      </c>
      <c r="U1643" s="403"/>
      <c r="V1643" s="403" t="s">
        <v>23024</v>
      </c>
      <c r="W1643" s="403" t="s">
        <v>23024</v>
      </c>
      <c r="X1643" s="403" t="s">
        <v>23024</v>
      </c>
      <c r="Y1643" s="403" t="s">
        <v>23024</v>
      </c>
    </row>
    <row r="1644" spans="1:25">
      <c r="A1644" s="363">
        <f t="shared" si="207"/>
        <v>1643</v>
      </c>
      <c r="B1644" s="363" t="str">
        <f t="shared" si="200"/>
        <v>44</v>
      </c>
      <c r="C1644" s="405" t="str">
        <f t="shared" si="201"/>
        <v>第013471号</v>
      </c>
      <c r="D1644" s="405" t="str">
        <f t="shared" si="202"/>
        <v>竜伸建設工業（株）</v>
      </c>
      <c r="E1644" s="405" t="str">
        <f t="shared" si="203"/>
        <v>代表取締役</v>
      </c>
      <c r="F1644" s="405" t="str">
        <f t="shared" si="204"/>
        <v>竜田　幸一</v>
      </c>
      <c r="G1644" s="405" t="str">
        <f t="shared" si="205"/>
        <v>主たる営業所</v>
      </c>
      <c r="H1644" s="405" t="str">
        <f t="shared" si="206"/>
        <v>大分市須賀２－５－３８</v>
      </c>
      <c r="L1644" s="403" t="s">
        <v>11201</v>
      </c>
      <c r="M1644" s="403" t="s">
        <v>11202</v>
      </c>
      <c r="N1644" s="403" t="s">
        <v>4455</v>
      </c>
      <c r="O1644" s="403" t="s">
        <v>7084</v>
      </c>
      <c r="P1644" s="403" t="s">
        <v>4456</v>
      </c>
      <c r="Q1644" s="403" t="s">
        <v>9872</v>
      </c>
      <c r="R1644" s="403" t="s">
        <v>20022</v>
      </c>
      <c r="S1644" s="403" t="s">
        <v>16947</v>
      </c>
      <c r="T1644" s="403" t="s">
        <v>16948</v>
      </c>
      <c r="U1644" s="403"/>
      <c r="V1644" s="403" t="s">
        <v>23024</v>
      </c>
      <c r="W1644" s="403" t="s">
        <v>23024</v>
      </c>
      <c r="X1644" s="403" t="s">
        <v>23024</v>
      </c>
      <c r="Y1644" s="403" t="s">
        <v>23024</v>
      </c>
    </row>
    <row r="1645" spans="1:25">
      <c r="A1645" s="363">
        <f t="shared" si="207"/>
        <v>1644</v>
      </c>
      <c r="B1645" s="363" t="str">
        <f t="shared" si="200"/>
        <v>44</v>
      </c>
      <c r="C1645" s="405" t="str">
        <f t="shared" si="201"/>
        <v>第013474号</v>
      </c>
      <c r="D1645" s="405" t="str">
        <f t="shared" si="202"/>
        <v>九州環境管理（株）</v>
      </c>
      <c r="E1645" s="405" t="str">
        <f t="shared" si="203"/>
        <v>代表取締役</v>
      </c>
      <c r="F1645" s="405" t="str">
        <f t="shared" si="204"/>
        <v>川野　剛</v>
      </c>
      <c r="G1645" s="405" t="str">
        <f t="shared" si="205"/>
        <v>主たる営業所</v>
      </c>
      <c r="H1645" s="405" t="str">
        <f t="shared" si="206"/>
        <v>大分市豊海四丁目１９９４－２１８</v>
      </c>
      <c r="L1645" s="403" t="s">
        <v>11203</v>
      </c>
      <c r="M1645" s="403" t="s">
        <v>11204</v>
      </c>
      <c r="N1645" s="403" t="s">
        <v>4457</v>
      </c>
      <c r="O1645" s="403" t="s">
        <v>7084</v>
      </c>
      <c r="P1645" s="403" t="s">
        <v>4458</v>
      </c>
      <c r="Q1645" s="403" t="s">
        <v>7285</v>
      </c>
      <c r="R1645" s="403" t="s">
        <v>20023</v>
      </c>
      <c r="S1645" s="403" t="s">
        <v>16949</v>
      </c>
      <c r="T1645" s="403" t="s">
        <v>16950</v>
      </c>
      <c r="U1645" s="403"/>
      <c r="V1645" s="403" t="s">
        <v>23024</v>
      </c>
      <c r="W1645" s="403" t="s">
        <v>23024</v>
      </c>
      <c r="X1645" s="403" t="s">
        <v>23024</v>
      </c>
      <c r="Y1645" s="403" t="s">
        <v>23024</v>
      </c>
    </row>
    <row r="1646" spans="1:25">
      <c r="A1646" s="363">
        <f t="shared" si="207"/>
        <v>1645</v>
      </c>
      <c r="B1646" s="363" t="str">
        <f t="shared" si="200"/>
        <v>44</v>
      </c>
      <c r="C1646" s="405" t="str">
        <f t="shared" si="201"/>
        <v>第013491号</v>
      </c>
      <c r="D1646" s="405" t="str">
        <f t="shared" si="202"/>
        <v>（株）王座</v>
      </c>
      <c r="E1646" s="405" t="str">
        <f t="shared" si="203"/>
        <v>代表取締役</v>
      </c>
      <c r="F1646" s="405" t="str">
        <f t="shared" si="204"/>
        <v>古家　ひろ子</v>
      </c>
      <c r="G1646" s="405" t="str">
        <f t="shared" si="205"/>
        <v>主たる営業所</v>
      </c>
      <c r="H1646" s="405" t="str">
        <f t="shared" si="206"/>
        <v>臼杵市大字稲田２５２５</v>
      </c>
      <c r="L1646" s="403" t="s">
        <v>11205</v>
      </c>
      <c r="M1646" s="403" t="s">
        <v>11206</v>
      </c>
      <c r="N1646" s="403" t="s">
        <v>4459</v>
      </c>
      <c r="O1646" s="403" t="s">
        <v>7084</v>
      </c>
      <c r="P1646" s="403" t="s">
        <v>4460</v>
      </c>
      <c r="Q1646" s="403" t="s">
        <v>11207</v>
      </c>
      <c r="R1646" s="403" t="s">
        <v>5658</v>
      </c>
      <c r="S1646" s="403" t="s">
        <v>16951</v>
      </c>
      <c r="T1646" s="403" t="s">
        <v>16952</v>
      </c>
      <c r="U1646" s="403"/>
      <c r="V1646" s="403" t="s">
        <v>23024</v>
      </c>
      <c r="W1646" s="403" t="s">
        <v>23024</v>
      </c>
      <c r="X1646" s="403" t="s">
        <v>23024</v>
      </c>
      <c r="Y1646" s="403" t="s">
        <v>23024</v>
      </c>
    </row>
    <row r="1647" spans="1:25">
      <c r="A1647" s="363">
        <f t="shared" si="207"/>
        <v>1646</v>
      </c>
      <c r="B1647" s="363" t="str">
        <f t="shared" si="200"/>
        <v>44</v>
      </c>
      <c r="C1647" s="405" t="str">
        <f t="shared" si="201"/>
        <v>第013501号</v>
      </c>
      <c r="D1647" s="405" t="str">
        <f t="shared" si="202"/>
        <v>（株）日栄</v>
      </c>
      <c r="E1647" s="405" t="str">
        <f t="shared" si="203"/>
        <v>代表取締役</v>
      </c>
      <c r="F1647" s="405" t="str">
        <f t="shared" si="204"/>
        <v>河上　徹治</v>
      </c>
      <c r="G1647" s="405" t="str">
        <f t="shared" si="205"/>
        <v>主たる営業所</v>
      </c>
      <c r="H1647" s="405" t="str">
        <f t="shared" si="206"/>
        <v>大分市乙津町８－８</v>
      </c>
      <c r="L1647" s="403" t="s">
        <v>11208</v>
      </c>
      <c r="M1647" s="403" t="s">
        <v>11209</v>
      </c>
      <c r="N1647" s="403" t="s">
        <v>4461</v>
      </c>
      <c r="O1647" s="403" t="s">
        <v>7084</v>
      </c>
      <c r="P1647" s="403" t="s">
        <v>4462</v>
      </c>
      <c r="Q1647" s="403" t="s">
        <v>9672</v>
      </c>
      <c r="R1647" s="403" t="s">
        <v>20024</v>
      </c>
      <c r="S1647" s="403" t="s">
        <v>16953</v>
      </c>
      <c r="T1647" s="403" t="s">
        <v>16954</v>
      </c>
      <c r="U1647" s="403"/>
      <c r="V1647" s="403" t="s">
        <v>23024</v>
      </c>
      <c r="W1647" s="403" t="s">
        <v>23024</v>
      </c>
      <c r="X1647" s="403" t="s">
        <v>23024</v>
      </c>
      <c r="Y1647" s="403" t="s">
        <v>23024</v>
      </c>
    </row>
    <row r="1648" spans="1:25">
      <c r="A1648" s="363">
        <f t="shared" si="207"/>
        <v>1647</v>
      </c>
      <c r="B1648" s="363" t="str">
        <f t="shared" si="200"/>
        <v>44</v>
      </c>
      <c r="C1648" s="405" t="str">
        <f t="shared" si="201"/>
        <v>第013508号</v>
      </c>
      <c r="D1648" s="405" t="str">
        <f t="shared" si="202"/>
        <v>（株）グリーンサービス藤野造園</v>
      </c>
      <c r="E1648" s="405" t="str">
        <f t="shared" si="203"/>
        <v>代表取締役</v>
      </c>
      <c r="F1648" s="405" t="str">
        <f t="shared" si="204"/>
        <v>藤野　次男</v>
      </c>
      <c r="G1648" s="405" t="str">
        <f t="shared" si="205"/>
        <v>主たる営業所</v>
      </c>
      <c r="H1648" s="405" t="str">
        <f t="shared" si="206"/>
        <v>玖珠郡玖珠町大字綾垣１０２８</v>
      </c>
      <c r="L1648" s="403" t="s">
        <v>11210</v>
      </c>
      <c r="M1648" s="403" t="s">
        <v>11211</v>
      </c>
      <c r="N1648" s="403" t="s">
        <v>4463</v>
      </c>
      <c r="O1648" s="403" t="s">
        <v>7084</v>
      </c>
      <c r="P1648" s="403" t="s">
        <v>4464</v>
      </c>
      <c r="Q1648" s="403" t="s">
        <v>7996</v>
      </c>
      <c r="R1648" s="403" t="s">
        <v>5659</v>
      </c>
      <c r="S1648" s="403" t="s">
        <v>16955</v>
      </c>
      <c r="T1648" s="403" t="s">
        <v>16956</v>
      </c>
      <c r="U1648" s="403"/>
      <c r="V1648" s="403" t="s">
        <v>23024</v>
      </c>
      <c r="W1648" s="403" t="s">
        <v>23024</v>
      </c>
      <c r="X1648" s="403" t="s">
        <v>23024</v>
      </c>
      <c r="Y1648" s="403" t="s">
        <v>23024</v>
      </c>
    </row>
    <row r="1649" spans="1:25">
      <c r="A1649" s="363">
        <f t="shared" si="207"/>
        <v>1648</v>
      </c>
      <c r="B1649" s="363" t="str">
        <f t="shared" si="200"/>
        <v>44</v>
      </c>
      <c r="C1649" s="405" t="str">
        <f t="shared" si="201"/>
        <v>第013513号</v>
      </c>
      <c r="D1649" s="405" t="str">
        <f t="shared" si="202"/>
        <v>（株）コーナン</v>
      </c>
      <c r="E1649" s="405" t="str">
        <f t="shared" si="203"/>
        <v>代表取締役</v>
      </c>
      <c r="F1649" s="405" t="str">
        <f t="shared" si="204"/>
        <v>柴山　博展</v>
      </c>
      <c r="G1649" s="405" t="str">
        <f t="shared" si="205"/>
        <v>主たる営業所</v>
      </c>
      <c r="H1649" s="405" t="str">
        <f t="shared" si="206"/>
        <v>別府市浜脇１－４０７６－８</v>
      </c>
      <c r="L1649" s="403" t="s">
        <v>11212</v>
      </c>
      <c r="M1649" s="403" t="s">
        <v>11213</v>
      </c>
      <c r="N1649" s="403" t="s">
        <v>4465</v>
      </c>
      <c r="O1649" s="403" t="s">
        <v>7084</v>
      </c>
      <c r="P1649" s="403" t="s">
        <v>4466</v>
      </c>
      <c r="Q1649" s="403" t="s">
        <v>11214</v>
      </c>
      <c r="R1649" s="403" t="s">
        <v>20025</v>
      </c>
      <c r="S1649" s="403" t="s">
        <v>16957</v>
      </c>
      <c r="T1649" s="403" t="s">
        <v>16958</v>
      </c>
      <c r="U1649" s="403"/>
      <c r="V1649" s="403" t="s">
        <v>23024</v>
      </c>
      <c r="W1649" s="403" t="s">
        <v>23024</v>
      </c>
      <c r="X1649" s="403" t="s">
        <v>23024</v>
      </c>
      <c r="Y1649" s="403" t="s">
        <v>23024</v>
      </c>
    </row>
    <row r="1650" spans="1:25">
      <c r="A1650" s="363">
        <f t="shared" si="207"/>
        <v>1649</v>
      </c>
      <c r="B1650" s="363" t="str">
        <f t="shared" si="200"/>
        <v>44</v>
      </c>
      <c r="C1650" s="405" t="str">
        <f t="shared" si="201"/>
        <v>第013516号</v>
      </c>
      <c r="D1650" s="405" t="str">
        <f t="shared" si="202"/>
        <v>（株）みらいテクノロジー</v>
      </c>
      <c r="E1650" s="405" t="str">
        <f t="shared" si="203"/>
        <v>代表取締役</v>
      </c>
      <c r="F1650" s="405" t="str">
        <f t="shared" si="204"/>
        <v>清水　哲則</v>
      </c>
      <c r="G1650" s="405" t="str">
        <f t="shared" si="205"/>
        <v>主たる営業所</v>
      </c>
      <c r="H1650" s="405" t="str">
        <f t="shared" si="206"/>
        <v>大分市須賀１－１－２６</v>
      </c>
      <c r="L1650" s="403" t="s">
        <v>11215</v>
      </c>
      <c r="M1650" s="403" t="s">
        <v>11216</v>
      </c>
      <c r="N1650" s="403" t="s">
        <v>4467</v>
      </c>
      <c r="O1650" s="403" t="s">
        <v>7084</v>
      </c>
      <c r="P1650" s="403" t="s">
        <v>20026</v>
      </c>
      <c r="Q1650" s="403" t="s">
        <v>9872</v>
      </c>
      <c r="R1650" s="403" t="s">
        <v>20027</v>
      </c>
      <c r="S1650" s="403" t="s">
        <v>16959</v>
      </c>
      <c r="T1650" s="403" t="s">
        <v>16960</v>
      </c>
      <c r="U1650" s="403"/>
      <c r="V1650" s="403" t="s">
        <v>23024</v>
      </c>
      <c r="W1650" s="403" t="s">
        <v>23024</v>
      </c>
      <c r="X1650" s="403" t="s">
        <v>23024</v>
      </c>
      <c r="Y1650" s="403" t="s">
        <v>23024</v>
      </c>
    </row>
    <row r="1651" spans="1:25">
      <c r="A1651" s="363">
        <f t="shared" si="207"/>
        <v>1650</v>
      </c>
      <c r="B1651" s="363" t="str">
        <f t="shared" si="200"/>
        <v>44</v>
      </c>
      <c r="C1651" s="405" t="str">
        <f t="shared" si="201"/>
        <v>第013518号</v>
      </c>
      <c r="D1651" s="405" t="str">
        <f t="shared" si="202"/>
        <v>（株）Ｌｉｎｅｗｏｏｄ</v>
      </c>
      <c r="E1651" s="405" t="str">
        <f t="shared" si="203"/>
        <v>代表取締役</v>
      </c>
      <c r="F1651" s="405" t="str">
        <f t="shared" si="204"/>
        <v>中島　眞知児</v>
      </c>
      <c r="G1651" s="405" t="str">
        <f t="shared" si="205"/>
        <v>主たる営業所</v>
      </c>
      <c r="H1651" s="405" t="str">
        <f t="shared" si="206"/>
        <v>大分市大字市５５０－１</v>
      </c>
      <c r="L1651" s="403" t="s">
        <v>11217</v>
      </c>
      <c r="M1651" s="403" t="s">
        <v>11218</v>
      </c>
      <c r="N1651" s="403" t="s">
        <v>4468</v>
      </c>
      <c r="O1651" s="403" t="s">
        <v>7084</v>
      </c>
      <c r="P1651" s="403" t="s">
        <v>4469</v>
      </c>
      <c r="Q1651" s="403" t="s">
        <v>11219</v>
      </c>
      <c r="R1651" s="403" t="s">
        <v>20028</v>
      </c>
      <c r="S1651" s="403" t="s">
        <v>16961</v>
      </c>
      <c r="T1651" s="403" t="s">
        <v>16962</v>
      </c>
      <c r="U1651" s="403"/>
      <c r="V1651" s="403" t="s">
        <v>23024</v>
      </c>
      <c r="W1651" s="403" t="s">
        <v>23024</v>
      </c>
      <c r="X1651" s="403" t="s">
        <v>23024</v>
      </c>
      <c r="Y1651" s="403" t="s">
        <v>23024</v>
      </c>
    </row>
    <row r="1652" spans="1:25">
      <c r="A1652" s="363">
        <f t="shared" si="207"/>
        <v>1651</v>
      </c>
      <c r="B1652" s="363" t="str">
        <f t="shared" si="200"/>
        <v>44</v>
      </c>
      <c r="C1652" s="405" t="str">
        <f t="shared" si="201"/>
        <v>第013521号</v>
      </c>
      <c r="D1652" s="405" t="str">
        <f t="shared" si="202"/>
        <v>（株）原田建設</v>
      </c>
      <c r="E1652" s="405" t="str">
        <f t="shared" si="203"/>
        <v>代表取締役</v>
      </c>
      <c r="F1652" s="405" t="str">
        <f t="shared" si="204"/>
        <v>原田　勝彦</v>
      </c>
      <c r="G1652" s="405" t="str">
        <f t="shared" si="205"/>
        <v>主たる営業所</v>
      </c>
      <c r="H1652" s="405" t="str">
        <f t="shared" si="206"/>
        <v>中津市豊田町１－１１</v>
      </c>
      <c r="L1652" s="403" t="s">
        <v>11220</v>
      </c>
      <c r="M1652" s="403" t="s">
        <v>11221</v>
      </c>
      <c r="N1652" s="403" t="s">
        <v>4470</v>
      </c>
      <c r="O1652" s="403" t="s">
        <v>7084</v>
      </c>
      <c r="P1652" s="403" t="s">
        <v>4471</v>
      </c>
      <c r="Q1652" s="403" t="s">
        <v>9478</v>
      </c>
      <c r="R1652" s="403" t="s">
        <v>20029</v>
      </c>
      <c r="S1652" s="403" t="s">
        <v>16963</v>
      </c>
      <c r="T1652" s="403" t="s">
        <v>16964</v>
      </c>
      <c r="U1652" s="403"/>
      <c r="V1652" s="403" t="s">
        <v>23024</v>
      </c>
      <c r="W1652" s="403" t="s">
        <v>23024</v>
      </c>
      <c r="X1652" s="403" t="s">
        <v>23024</v>
      </c>
      <c r="Y1652" s="403" t="s">
        <v>23024</v>
      </c>
    </row>
    <row r="1653" spans="1:25">
      <c r="A1653" s="363">
        <f t="shared" si="207"/>
        <v>1652</v>
      </c>
      <c r="B1653" s="363" t="str">
        <f t="shared" si="200"/>
        <v>44</v>
      </c>
      <c r="C1653" s="405" t="str">
        <f t="shared" si="201"/>
        <v>第013524号</v>
      </c>
      <c r="D1653" s="405" t="str">
        <f t="shared" si="202"/>
        <v>（有）南部開発</v>
      </c>
      <c r="E1653" s="405" t="str">
        <f t="shared" si="203"/>
        <v>取締役</v>
      </c>
      <c r="F1653" s="405" t="str">
        <f t="shared" si="204"/>
        <v>大屋　憲一</v>
      </c>
      <c r="G1653" s="405" t="str">
        <f t="shared" si="205"/>
        <v>主たる営業所</v>
      </c>
      <c r="H1653" s="405" t="str">
        <f t="shared" si="206"/>
        <v>豊後大野市三重町菅生１－２０１</v>
      </c>
      <c r="L1653" s="403" t="s">
        <v>11222</v>
      </c>
      <c r="M1653" s="403" t="s">
        <v>11223</v>
      </c>
      <c r="N1653" s="403" t="s">
        <v>4472</v>
      </c>
      <c r="O1653" s="403" t="s">
        <v>7085</v>
      </c>
      <c r="P1653" s="403" t="s">
        <v>5270</v>
      </c>
      <c r="Q1653" s="403" t="s">
        <v>7896</v>
      </c>
      <c r="R1653" s="403" t="s">
        <v>20030</v>
      </c>
      <c r="S1653" s="403" t="s">
        <v>16965</v>
      </c>
      <c r="T1653" s="403" t="s">
        <v>16966</v>
      </c>
      <c r="U1653" s="403"/>
      <c r="V1653" s="403" t="s">
        <v>23024</v>
      </c>
      <c r="W1653" s="403" t="s">
        <v>23024</v>
      </c>
      <c r="X1653" s="403" t="s">
        <v>23024</v>
      </c>
      <c r="Y1653" s="403" t="s">
        <v>23024</v>
      </c>
    </row>
    <row r="1654" spans="1:25">
      <c r="A1654" s="363">
        <f t="shared" si="207"/>
        <v>1653</v>
      </c>
      <c r="B1654" s="363" t="str">
        <f t="shared" si="200"/>
        <v>44</v>
      </c>
      <c r="C1654" s="405" t="str">
        <f t="shared" si="201"/>
        <v>第013528号</v>
      </c>
      <c r="D1654" s="405" t="str">
        <f t="shared" si="202"/>
        <v>（株）城全</v>
      </c>
      <c r="E1654" s="405" t="str">
        <f t="shared" si="203"/>
        <v>代表取締役</v>
      </c>
      <c r="F1654" s="405" t="str">
        <f t="shared" si="204"/>
        <v>城全　将孝</v>
      </c>
      <c r="G1654" s="405" t="str">
        <f t="shared" si="205"/>
        <v>主たる営業所</v>
      </c>
      <c r="H1654" s="405" t="str">
        <f t="shared" si="206"/>
        <v>日田市大字高瀬１２４４</v>
      </c>
      <c r="L1654" s="403" t="s">
        <v>11224</v>
      </c>
      <c r="M1654" s="403" t="s">
        <v>11225</v>
      </c>
      <c r="N1654" s="403" t="s">
        <v>4473</v>
      </c>
      <c r="O1654" s="403" t="s">
        <v>7084</v>
      </c>
      <c r="P1654" s="403" t="s">
        <v>20031</v>
      </c>
      <c r="Q1654" s="403" t="s">
        <v>7297</v>
      </c>
      <c r="R1654" s="403" t="s">
        <v>5660</v>
      </c>
      <c r="S1654" s="403" t="s">
        <v>16967</v>
      </c>
      <c r="T1654" s="403" t="s">
        <v>16968</v>
      </c>
      <c r="U1654" s="403"/>
      <c r="V1654" s="403" t="s">
        <v>23024</v>
      </c>
      <c r="W1654" s="403" t="s">
        <v>23024</v>
      </c>
      <c r="X1654" s="403" t="s">
        <v>23024</v>
      </c>
      <c r="Y1654" s="403" t="s">
        <v>23024</v>
      </c>
    </row>
    <row r="1655" spans="1:25">
      <c r="A1655" s="363">
        <f t="shared" si="207"/>
        <v>1654</v>
      </c>
      <c r="B1655" s="363" t="str">
        <f t="shared" si="200"/>
        <v>44</v>
      </c>
      <c r="C1655" s="405" t="str">
        <f t="shared" si="201"/>
        <v>第013536号</v>
      </c>
      <c r="D1655" s="405" t="str">
        <f t="shared" si="202"/>
        <v>アイシン（株）</v>
      </c>
      <c r="E1655" s="405" t="str">
        <f t="shared" si="203"/>
        <v>代表取締役</v>
      </c>
      <c r="F1655" s="405" t="str">
        <f t="shared" si="204"/>
        <v>藤岡　信幸</v>
      </c>
      <c r="G1655" s="405" t="str">
        <f t="shared" si="205"/>
        <v>主たる営業所</v>
      </c>
      <c r="H1655" s="405" t="str">
        <f t="shared" si="206"/>
        <v>別府市浜町５２４２－１</v>
      </c>
      <c r="L1655" s="403" t="s">
        <v>11226</v>
      </c>
      <c r="M1655" s="403" t="s">
        <v>11227</v>
      </c>
      <c r="N1655" s="403" t="s">
        <v>4474</v>
      </c>
      <c r="O1655" s="403" t="s">
        <v>7084</v>
      </c>
      <c r="P1655" s="403" t="s">
        <v>1598</v>
      </c>
      <c r="Q1655" s="403" t="s">
        <v>11228</v>
      </c>
      <c r="R1655" s="403" t="s">
        <v>20032</v>
      </c>
      <c r="S1655" s="403" t="s">
        <v>16969</v>
      </c>
      <c r="T1655" s="403" t="s">
        <v>16970</v>
      </c>
      <c r="U1655" s="403"/>
      <c r="V1655" s="403" t="s">
        <v>23024</v>
      </c>
      <c r="W1655" s="403" t="s">
        <v>23024</v>
      </c>
      <c r="X1655" s="403" t="s">
        <v>23024</v>
      </c>
      <c r="Y1655" s="403" t="s">
        <v>23024</v>
      </c>
    </row>
    <row r="1656" spans="1:25">
      <c r="A1656" s="363">
        <f t="shared" si="207"/>
        <v>1655</v>
      </c>
      <c r="B1656" s="363" t="str">
        <f t="shared" si="200"/>
        <v>44</v>
      </c>
      <c r="C1656" s="405" t="str">
        <f t="shared" si="201"/>
        <v>第013538号</v>
      </c>
      <c r="D1656" s="405" t="str">
        <f t="shared" si="202"/>
        <v>（株）西日本綜合メンテナンス</v>
      </c>
      <c r="E1656" s="405" t="str">
        <f t="shared" si="203"/>
        <v>代表取締役</v>
      </c>
      <c r="F1656" s="405" t="str">
        <f t="shared" si="204"/>
        <v>牧　玲子</v>
      </c>
      <c r="G1656" s="405" t="str">
        <f t="shared" si="205"/>
        <v>主たる営業所</v>
      </c>
      <c r="H1656" s="405" t="str">
        <f t="shared" si="206"/>
        <v>大分市松原町３－４－２０</v>
      </c>
      <c r="L1656" s="403" t="s">
        <v>11229</v>
      </c>
      <c r="M1656" s="403" t="s">
        <v>11230</v>
      </c>
      <c r="N1656" s="403" t="s">
        <v>4475</v>
      </c>
      <c r="O1656" s="403" t="s">
        <v>7084</v>
      </c>
      <c r="P1656" s="403" t="s">
        <v>4476</v>
      </c>
      <c r="Q1656" s="403" t="s">
        <v>8789</v>
      </c>
      <c r="R1656" s="403" t="s">
        <v>20033</v>
      </c>
      <c r="S1656" s="403" t="s">
        <v>16971</v>
      </c>
      <c r="T1656" s="403" t="s">
        <v>16972</v>
      </c>
      <c r="U1656" s="403"/>
      <c r="V1656" s="403" t="s">
        <v>23024</v>
      </c>
      <c r="W1656" s="403" t="s">
        <v>23024</v>
      </c>
      <c r="X1656" s="403" t="s">
        <v>23024</v>
      </c>
      <c r="Y1656" s="403" t="s">
        <v>23024</v>
      </c>
    </row>
    <row r="1657" spans="1:25">
      <c r="A1657" s="363">
        <f t="shared" si="207"/>
        <v>1656</v>
      </c>
      <c r="B1657" s="363" t="str">
        <f t="shared" si="200"/>
        <v>44</v>
      </c>
      <c r="C1657" s="405" t="str">
        <f t="shared" si="201"/>
        <v>第013546号</v>
      </c>
      <c r="D1657" s="405" t="str">
        <f t="shared" si="202"/>
        <v>川栄建設（株）</v>
      </c>
      <c r="E1657" s="405" t="str">
        <f t="shared" si="203"/>
        <v>代表取締役</v>
      </c>
      <c r="F1657" s="405" t="str">
        <f t="shared" si="204"/>
        <v>田中　義明</v>
      </c>
      <c r="G1657" s="405" t="str">
        <f t="shared" si="205"/>
        <v>主たる営業所</v>
      </c>
      <c r="H1657" s="405" t="str">
        <f t="shared" si="206"/>
        <v>大分市錦町３－７－２９－１</v>
      </c>
      <c r="L1657" s="403" t="s">
        <v>11231</v>
      </c>
      <c r="M1657" s="403" t="s">
        <v>11232</v>
      </c>
      <c r="N1657" s="403" t="s">
        <v>4478</v>
      </c>
      <c r="O1657" s="403" t="s">
        <v>7084</v>
      </c>
      <c r="P1657" s="403" t="s">
        <v>4479</v>
      </c>
      <c r="Q1657" s="403" t="s">
        <v>9657</v>
      </c>
      <c r="R1657" s="403" t="s">
        <v>19504</v>
      </c>
      <c r="S1657" s="403" t="s">
        <v>16973</v>
      </c>
      <c r="T1657" s="403" t="s">
        <v>16974</v>
      </c>
      <c r="U1657" s="403"/>
      <c r="V1657" s="403" t="s">
        <v>23024</v>
      </c>
      <c r="W1657" s="403" t="s">
        <v>23024</v>
      </c>
      <c r="X1657" s="403" t="s">
        <v>23024</v>
      </c>
      <c r="Y1657" s="403" t="s">
        <v>23024</v>
      </c>
    </row>
    <row r="1658" spans="1:25">
      <c r="A1658" s="363">
        <f t="shared" si="207"/>
        <v>1657</v>
      </c>
      <c r="B1658" s="363" t="str">
        <f t="shared" si="200"/>
        <v>44</v>
      </c>
      <c r="C1658" s="405" t="str">
        <f t="shared" si="201"/>
        <v>第013559号</v>
      </c>
      <c r="D1658" s="405" t="str">
        <f t="shared" si="202"/>
        <v>（合）番匠</v>
      </c>
      <c r="E1658" s="405" t="str">
        <f t="shared" si="203"/>
        <v>代表社員</v>
      </c>
      <c r="F1658" s="405" t="str">
        <f t="shared" si="204"/>
        <v>乙名　薫</v>
      </c>
      <c r="G1658" s="405" t="str">
        <f t="shared" si="205"/>
        <v>主たる営業所</v>
      </c>
      <c r="H1658" s="405" t="str">
        <f t="shared" si="206"/>
        <v>佐伯市大字池田１３２６</v>
      </c>
      <c r="L1658" s="403" t="s">
        <v>11233</v>
      </c>
      <c r="M1658" s="403" t="s">
        <v>11234</v>
      </c>
      <c r="N1658" s="403" t="s">
        <v>4480</v>
      </c>
      <c r="O1658" s="403" t="s">
        <v>7087</v>
      </c>
      <c r="P1658" s="403" t="s">
        <v>4481</v>
      </c>
      <c r="Q1658" s="403" t="s">
        <v>7888</v>
      </c>
      <c r="R1658" s="403" t="s">
        <v>5637</v>
      </c>
      <c r="S1658" s="403" t="s">
        <v>16975</v>
      </c>
      <c r="T1658" s="403" t="s">
        <v>16642</v>
      </c>
      <c r="U1658" s="403"/>
      <c r="V1658" s="403" t="s">
        <v>23024</v>
      </c>
      <c r="W1658" s="403" t="s">
        <v>23024</v>
      </c>
      <c r="X1658" s="403" t="s">
        <v>23024</v>
      </c>
      <c r="Y1658" s="403" t="s">
        <v>23024</v>
      </c>
    </row>
    <row r="1659" spans="1:25">
      <c r="A1659" s="363">
        <f t="shared" si="207"/>
        <v>1658</v>
      </c>
      <c r="B1659" s="363" t="str">
        <f t="shared" si="200"/>
        <v>44</v>
      </c>
      <c r="C1659" s="405" t="str">
        <f t="shared" si="201"/>
        <v>第013566号</v>
      </c>
      <c r="D1659" s="405" t="str">
        <f t="shared" si="202"/>
        <v>（有）ハッピィテレコムサービス</v>
      </c>
      <c r="E1659" s="405" t="str">
        <f t="shared" si="203"/>
        <v>代表取締役</v>
      </c>
      <c r="F1659" s="405" t="str">
        <f t="shared" si="204"/>
        <v>井上　博巳</v>
      </c>
      <c r="G1659" s="405" t="str">
        <f t="shared" si="205"/>
        <v>主たる営業所</v>
      </c>
      <c r="H1659" s="405" t="str">
        <f t="shared" si="206"/>
        <v>大分市豊町１－３－７</v>
      </c>
      <c r="L1659" s="403" t="s">
        <v>11235</v>
      </c>
      <c r="M1659" s="403" t="s">
        <v>11236</v>
      </c>
      <c r="N1659" s="403" t="s">
        <v>4482</v>
      </c>
      <c r="O1659" s="403" t="s">
        <v>7084</v>
      </c>
      <c r="P1659" s="403" t="s">
        <v>4483</v>
      </c>
      <c r="Q1659" s="403" t="s">
        <v>10769</v>
      </c>
      <c r="R1659" s="403" t="s">
        <v>20034</v>
      </c>
      <c r="S1659" s="403" t="s">
        <v>16976</v>
      </c>
      <c r="T1659" s="403" t="s">
        <v>16977</v>
      </c>
      <c r="U1659" s="403"/>
      <c r="V1659" s="403" t="s">
        <v>23024</v>
      </c>
      <c r="W1659" s="403" t="s">
        <v>23024</v>
      </c>
      <c r="X1659" s="403" t="s">
        <v>23024</v>
      </c>
      <c r="Y1659" s="403" t="s">
        <v>23024</v>
      </c>
    </row>
    <row r="1660" spans="1:25">
      <c r="A1660" s="363">
        <f t="shared" si="207"/>
        <v>1659</v>
      </c>
      <c r="B1660" s="363" t="str">
        <f t="shared" si="200"/>
        <v>44</v>
      </c>
      <c r="C1660" s="405" t="str">
        <f t="shared" si="201"/>
        <v>第013568号</v>
      </c>
      <c r="D1660" s="405" t="str">
        <f t="shared" si="202"/>
        <v>（合）農林建設</v>
      </c>
      <c r="E1660" s="405" t="str">
        <f t="shared" si="203"/>
        <v>代表社員</v>
      </c>
      <c r="F1660" s="405" t="str">
        <f t="shared" si="204"/>
        <v>宮名利　誠次</v>
      </c>
      <c r="G1660" s="405" t="str">
        <f t="shared" si="205"/>
        <v>主たる営業所</v>
      </c>
      <c r="H1660" s="405" t="str">
        <f t="shared" si="206"/>
        <v>中津市山国町守実４１８－１</v>
      </c>
      <c r="L1660" s="403" t="s">
        <v>11237</v>
      </c>
      <c r="M1660" s="403" t="s">
        <v>11238</v>
      </c>
      <c r="N1660" s="403" t="s">
        <v>4484</v>
      </c>
      <c r="O1660" s="403" t="s">
        <v>7087</v>
      </c>
      <c r="P1660" s="403" t="s">
        <v>4485</v>
      </c>
      <c r="Q1660" s="403" t="s">
        <v>9245</v>
      </c>
      <c r="R1660" s="403" t="s">
        <v>20035</v>
      </c>
      <c r="S1660" s="403" t="s">
        <v>16978</v>
      </c>
      <c r="T1660" s="403" t="s">
        <v>16979</v>
      </c>
      <c r="U1660" s="403"/>
      <c r="V1660" s="403" t="s">
        <v>23024</v>
      </c>
      <c r="W1660" s="403" t="s">
        <v>23024</v>
      </c>
      <c r="X1660" s="403" t="s">
        <v>23024</v>
      </c>
      <c r="Y1660" s="403" t="s">
        <v>23024</v>
      </c>
    </row>
    <row r="1661" spans="1:25">
      <c r="A1661" s="363">
        <f t="shared" si="207"/>
        <v>1660</v>
      </c>
      <c r="B1661" s="363" t="str">
        <f t="shared" si="200"/>
        <v>44</v>
      </c>
      <c r="C1661" s="405" t="str">
        <f t="shared" si="201"/>
        <v>第013581号</v>
      </c>
      <c r="D1661" s="405" t="str">
        <f t="shared" si="202"/>
        <v>（株）中広組</v>
      </c>
      <c r="E1661" s="405" t="str">
        <f t="shared" si="203"/>
        <v>代表取締役</v>
      </c>
      <c r="F1661" s="405" t="str">
        <f t="shared" si="204"/>
        <v>井元　広士</v>
      </c>
      <c r="G1661" s="405" t="str">
        <f t="shared" si="205"/>
        <v>主たる営業所</v>
      </c>
      <c r="H1661" s="405" t="str">
        <f t="shared" si="206"/>
        <v>大分市西大道４－２－２０</v>
      </c>
      <c r="L1661" s="403" t="s">
        <v>11239</v>
      </c>
      <c r="M1661" s="403" t="s">
        <v>11240</v>
      </c>
      <c r="N1661" s="403" t="s">
        <v>4486</v>
      </c>
      <c r="O1661" s="403" t="s">
        <v>7084</v>
      </c>
      <c r="P1661" s="403" t="s">
        <v>4487</v>
      </c>
      <c r="Q1661" s="403" t="s">
        <v>7495</v>
      </c>
      <c r="R1661" s="403" t="s">
        <v>20036</v>
      </c>
      <c r="S1661" s="403" t="s">
        <v>16980</v>
      </c>
      <c r="T1661" s="403" t="s">
        <v>20037</v>
      </c>
      <c r="U1661" s="403"/>
      <c r="V1661" s="403" t="s">
        <v>23024</v>
      </c>
      <c r="W1661" s="403" t="s">
        <v>23024</v>
      </c>
      <c r="X1661" s="403" t="s">
        <v>23024</v>
      </c>
      <c r="Y1661" s="403" t="s">
        <v>23024</v>
      </c>
    </row>
    <row r="1662" spans="1:25">
      <c r="A1662" s="363">
        <f t="shared" si="207"/>
        <v>1661</v>
      </c>
      <c r="B1662" s="363" t="str">
        <f t="shared" si="200"/>
        <v>44</v>
      </c>
      <c r="C1662" s="405" t="str">
        <f t="shared" si="201"/>
        <v>第013583号</v>
      </c>
      <c r="D1662" s="405" t="str">
        <f t="shared" si="202"/>
        <v>（株）ウメスイ</v>
      </c>
      <c r="E1662" s="405" t="str">
        <f t="shared" si="203"/>
        <v>代表取締役</v>
      </c>
      <c r="F1662" s="405" t="str">
        <f t="shared" si="204"/>
        <v>梅田　貴也</v>
      </c>
      <c r="G1662" s="405" t="str">
        <f t="shared" si="205"/>
        <v>主たる営業所</v>
      </c>
      <c r="H1662" s="405" t="str">
        <f t="shared" si="206"/>
        <v>佐伯市上浦大字浅海井浦２３９４</v>
      </c>
      <c r="L1662" s="403" t="s">
        <v>11241</v>
      </c>
      <c r="M1662" s="403" t="s">
        <v>11242</v>
      </c>
      <c r="N1662" s="403" t="s">
        <v>4488</v>
      </c>
      <c r="O1662" s="403" t="s">
        <v>7084</v>
      </c>
      <c r="P1662" s="403" t="s">
        <v>4489</v>
      </c>
      <c r="Q1662" s="403" t="s">
        <v>11243</v>
      </c>
      <c r="R1662" s="403" t="s">
        <v>5661</v>
      </c>
      <c r="S1662" s="403" t="s">
        <v>16981</v>
      </c>
      <c r="T1662" s="403" t="s">
        <v>16982</v>
      </c>
      <c r="U1662" s="403"/>
      <c r="V1662" s="403" t="s">
        <v>23024</v>
      </c>
      <c r="W1662" s="403" t="s">
        <v>23024</v>
      </c>
      <c r="X1662" s="403" t="s">
        <v>23024</v>
      </c>
      <c r="Y1662" s="403" t="s">
        <v>23024</v>
      </c>
    </row>
    <row r="1663" spans="1:25">
      <c r="A1663" s="363">
        <f t="shared" si="207"/>
        <v>1662</v>
      </c>
      <c r="B1663" s="363" t="str">
        <f t="shared" si="200"/>
        <v>44</v>
      </c>
      <c r="C1663" s="405" t="str">
        <f t="shared" si="201"/>
        <v>第013584号</v>
      </c>
      <c r="D1663" s="405" t="str">
        <f t="shared" si="202"/>
        <v>（有）大野興業</v>
      </c>
      <c r="E1663" s="405" t="str">
        <f t="shared" si="203"/>
        <v>代表取締役</v>
      </c>
      <c r="F1663" s="405" t="str">
        <f t="shared" si="204"/>
        <v>大野　芳至朗</v>
      </c>
      <c r="G1663" s="405" t="str">
        <f t="shared" si="205"/>
        <v>主たる営業所</v>
      </c>
      <c r="H1663" s="405" t="str">
        <f t="shared" si="206"/>
        <v>別府市竹の内町３１－６</v>
      </c>
      <c r="L1663" s="403" t="s">
        <v>11244</v>
      </c>
      <c r="M1663" s="403" t="s">
        <v>11245</v>
      </c>
      <c r="N1663" s="403" t="s">
        <v>4490</v>
      </c>
      <c r="O1663" s="403" t="s">
        <v>7084</v>
      </c>
      <c r="P1663" s="403" t="s">
        <v>4491</v>
      </c>
      <c r="Q1663" s="403" t="s">
        <v>7634</v>
      </c>
      <c r="R1663" s="403" t="s">
        <v>20038</v>
      </c>
      <c r="S1663" s="403" t="s">
        <v>16983</v>
      </c>
      <c r="T1663" s="403" t="s">
        <v>16984</v>
      </c>
      <c r="U1663" s="403"/>
      <c r="V1663" s="403" t="s">
        <v>23024</v>
      </c>
      <c r="W1663" s="403" t="s">
        <v>23024</v>
      </c>
      <c r="X1663" s="403" t="s">
        <v>23024</v>
      </c>
      <c r="Y1663" s="403" t="s">
        <v>23024</v>
      </c>
    </row>
    <row r="1664" spans="1:25">
      <c r="A1664" s="363">
        <f t="shared" si="207"/>
        <v>1663</v>
      </c>
      <c r="B1664" s="363" t="str">
        <f t="shared" si="200"/>
        <v>44</v>
      </c>
      <c r="C1664" s="405" t="str">
        <f t="shared" si="201"/>
        <v>第013586号</v>
      </c>
      <c r="D1664" s="405" t="str">
        <f t="shared" si="202"/>
        <v>（株）ＫＡＪＩＷＡＲＡ</v>
      </c>
      <c r="E1664" s="405" t="str">
        <f t="shared" si="203"/>
        <v>代表取締役</v>
      </c>
      <c r="F1664" s="405" t="str">
        <f t="shared" si="204"/>
        <v>梶原　孝市</v>
      </c>
      <c r="G1664" s="405" t="str">
        <f t="shared" si="205"/>
        <v>主たる営業所</v>
      </c>
      <c r="H1664" s="405" t="str">
        <f t="shared" si="206"/>
        <v>日田市大字有田１５９３－１２</v>
      </c>
      <c r="L1664" s="403" t="s">
        <v>11246</v>
      </c>
      <c r="M1664" s="403" t="s">
        <v>11247</v>
      </c>
      <c r="N1664" s="403" t="s">
        <v>4492</v>
      </c>
      <c r="O1664" s="403" t="s">
        <v>7084</v>
      </c>
      <c r="P1664" s="403" t="s">
        <v>4493</v>
      </c>
      <c r="Q1664" s="403" t="s">
        <v>9566</v>
      </c>
      <c r="R1664" s="403" t="s">
        <v>20039</v>
      </c>
      <c r="S1664" s="403" t="s">
        <v>16985</v>
      </c>
      <c r="T1664" s="403" t="s">
        <v>16986</v>
      </c>
      <c r="U1664" s="403"/>
      <c r="V1664" s="403" t="s">
        <v>23024</v>
      </c>
      <c r="W1664" s="403" t="s">
        <v>23024</v>
      </c>
      <c r="X1664" s="403" t="s">
        <v>23024</v>
      </c>
      <c r="Y1664" s="403" t="s">
        <v>23024</v>
      </c>
    </row>
    <row r="1665" spans="1:25">
      <c r="A1665" s="363">
        <f t="shared" si="207"/>
        <v>1664</v>
      </c>
      <c r="B1665" s="363" t="str">
        <f t="shared" si="200"/>
        <v>44</v>
      </c>
      <c r="C1665" s="405" t="str">
        <f t="shared" si="201"/>
        <v>第013593号</v>
      </c>
      <c r="D1665" s="405" t="str">
        <f t="shared" si="202"/>
        <v>菱川設備</v>
      </c>
      <c r="E1665" s="405" t="str">
        <f t="shared" si="203"/>
        <v>事業主</v>
      </c>
      <c r="F1665" s="405" t="str">
        <f t="shared" si="204"/>
        <v>菱川　幸司郎</v>
      </c>
      <c r="G1665" s="405" t="str">
        <f t="shared" si="205"/>
        <v>主たる営業所</v>
      </c>
      <c r="H1665" s="405" t="str">
        <f t="shared" si="206"/>
        <v>日田市上諸留町１１２５－１</v>
      </c>
      <c r="L1665" s="403" t="s">
        <v>11248</v>
      </c>
      <c r="M1665" s="403" t="s">
        <v>11249</v>
      </c>
      <c r="N1665" s="403" t="s">
        <v>4494</v>
      </c>
      <c r="O1665" s="403" t="s">
        <v>7088</v>
      </c>
      <c r="P1665" s="403" t="s">
        <v>4495</v>
      </c>
      <c r="Q1665" s="403" t="s">
        <v>11250</v>
      </c>
      <c r="R1665" s="403" t="s">
        <v>20040</v>
      </c>
      <c r="S1665" s="403" t="s">
        <v>16987</v>
      </c>
      <c r="T1665" s="403" t="s">
        <v>16988</v>
      </c>
      <c r="U1665" s="403"/>
      <c r="V1665" s="403" t="s">
        <v>23024</v>
      </c>
      <c r="W1665" s="403" t="s">
        <v>23024</v>
      </c>
      <c r="X1665" s="403" t="s">
        <v>23024</v>
      </c>
      <c r="Y1665" s="403" t="s">
        <v>23024</v>
      </c>
    </row>
    <row r="1666" spans="1:25">
      <c r="A1666" s="363">
        <f t="shared" si="207"/>
        <v>1665</v>
      </c>
      <c r="B1666" s="363" t="str">
        <f t="shared" ref="B1666:B1729" si="208">LEFT(L1666,2)</f>
        <v>44</v>
      </c>
      <c r="C1666" s="405" t="str">
        <f t="shared" ref="C1666:C1729" si="209">IF(B1666="","","第"&amp;RIGHT(L1666,6)&amp;"号")</f>
        <v>第013594号</v>
      </c>
      <c r="D1666" s="405" t="str">
        <f t="shared" ref="D1666:D1729" si="210">N1666</f>
        <v>（株）財津砂利</v>
      </c>
      <c r="E1666" s="405" t="str">
        <f t="shared" ref="E1666:E1729" si="211">IF(V1666="　",O1666,"")</f>
        <v>代表取締役</v>
      </c>
      <c r="F1666" s="405" t="str">
        <f t="shared" ref="F1666:F1729" si="212">IF(V1666="　",P1666,W1666)</f>
        <v>財津　宏和</v>
      </c>
      <c r="G1666" s="405" t="str">
        <f t="shared" ref="G1666:G1729" si="213">IF(V1666="　","主たる営業所",V1666)</f>
        <v>主たる営業所</v>
      </c>
      <c r="H1666" s="405" t="str">
        <f t="shared" ref="H1666:H1729" si="214">IF(V1666="　",R1666,Y1666)</f>
        <v>日田市天瀬町桜竹６３４－１</v>
      </c>
      <c r="L1666" s="403" t="s">
        <v>11251</v>
      </c>
      <c r="M1666" s="403" t="s">
        <v>11252</v>
      </c>
      <c r="N1666" s="403" t="s">
        <v>4496</v>
      </c>
      <c r="O1666" s="403" t="s">
        <v>7084</v>
      </c>
      <c r="P1666" s="403" t="s">
        <v>4497</v>
      </c>
      <c r="Q1666" s="403" t="s">
        <v>11253</v>
      </c>
      <c r="R1666" s="403" t="s">
        <v>20041</v>
      </c>
      <c r="S1666" s="403" t="s">
        <v>16989</v>
      </c>
      <c r="T1666" s="403" t="s">
        <v>16990</v>
      </c>
      <c r="U1666" s="403"/>
      <c r="V1666" s="403" t="s">
        <v>23024</v>
      </c>
      <c r="W1666" s="403" t="s">
        <v>23024</v>
      </c>
      <c r="X1666" s="403" t="s">
        <v>23024</v>
      </c>
      <c r="Y1666" s="403" t="s">
        <v>23024</v>
      </c>
    </row>
    <row r="1667" spans="1:25">
      <c r="A1667" s="363">
        <f t="shared" ref="A1667:A1730" si="215">IF(B1667="","",A1666+1)</f>
        <v>1666</v>
      </c>
      <c r="B1667" s="363" t="str">
        <f t="shared" si="208"/>
        <v>44</v>
      </c>
      <c r="C1667" s="405" t="str">
        <f t="shared" si="209"/>
        <v>第013600号</v>
      </c>
      <c r="D1667" s="405" t="str">
        <f t="shared" si="210"/>
        <v>（株）ＳＨＩＮＳＥＩ設備工業</v>
      </c>
      <c r="E1667" s="405" t="str">
        <f t="shared" si="211"/>
        <v>代表取締役</v>
      </c>
      <c r="F1667" s="405" t="str">
        <f t="shared" si="212"/>
        <v>野浦　政己</v>
      </c>
      <c r="G1667" s="405" t="str">
        <f t="shared" si="213"/>
        <v>主たる営業所</v>
      </c>
      <c r="H1667" s="405" t="str">
        <f t="shared" si="214"/>
        <v>大分市大字旦野原１８８－４</v>
      </c>
      <c r="L1667" s="403" t="s">
        <v>11254</v>
      </c>
      <c r="M1667" s="403" t="s">
        <v>11255</v>
      </c>
      <c r="N1667" s="403" t="s">
        <v>4498</v>
      </c>
      <c r="O1667" s="403" t="s">
        <v>7084</v>
      </c>
      <c r="P1667" s="403" t="s">
        <v>4499</v>
      </c>
      <c r="Q1667" s="403" t="s">
        <v>11116</v>
      </c>
      <c r="R1667" s="403" t="s">
        <v>20042</v>
      </c>
      <c r="S1667" s="403" t="s">
        <v>16991</v>
      </c>
      <c r="T1667" s="403" t="s">
        <v>16992</v>
      </c>
      <c r="U1667" s="403"/>
      <c r="V1667" s="403" t="s">
        <v>23024</v>
      </c>
      <c r="W1667" s="403" t="s">
        <v>23024</v>
      </c>
      <c r="X1667" s="403" t="s">
        <v>23024</v>
      </c>
      <c r="Y1667" s="403" t="s">
        <v>23024</v>
      </c>
    </row>
    <row r="1668" spans="1:25">
      <c r="A1668" s="363">
        <f t="shared" si="215"/>
        <v>1667</v>
      </c>
      <c r="B1668" s="363" t="str">
        <f t="shared" si="208"/>
        <v>44</v>
      </c>
      <c r="C1668" s="405" t="str">
        <f t="shared" si="209"/>
        <v>第013603号</v>
      </c>
      <c r="D1668" s="405" t="str">
        <f t="shared" si="210"/>
        <v>（株）中島建設興業</v>
      </c>
      <c r="E1668" s="405" t="str">
        <f t="shared" si="211"/>
        <v>代表取締役</v>
      </c>
      <c r="F1668" s="405" t="str">
        <f t="shared" si="212"/>
        <v>中村　裕也</v>
      </c>
      <c r="G1668" s="405" t="str">
        <f t="shared" si="213"/>
        <v>主たる営業所</v>
      </c>
      <c r="H1668" s="405" t="str">
        <f t="shared" si="214"/>
        <v>日田市大字有田１５８５－４</v>
      </c>
      <c r="L1668" s="403" t="s">
        <v>11256</v>
      </c>
      <c r="M1668" s="403" t="s">
        <v>11257</v>
      </c>
      <c r="N1668" s="403" t="s">
        <v>4500</v>
      </c>
      <c r="O1668" s="403" t="s">
        <v>7084</v>
      </c>
      <c r="P1668" s="403" t="s">
        <v>4501</v>
      </c>
      <c r="Q1668" s="403" t="s">
        <v>9566</v>
      </c>
      <c r="R1668" s="403" t="s">
        <v>20043</v>
      </c>
      <c r="S1668" s="403" t="s">
        <v>16993</v>
      </c>
      <c r="T1668" s="403" t="s">
        <v>16994</v>
      </c>
      <c r="U1668" s="403"/>
      <c r="V1668" s="403" t="s">
        <v>23024</v>
      </c>
      <c r="W1668" s="403" t="s">
        <v>23024</v>
      </c>
      <c r="X1668" s="403" t="s">
        <v>23024</v>
      </c>
      <c r="Y1668" s="403" t="s">
        <v>23024</v>
      </c>
    </row>
    <row r="1669" spans="1:25">
      <c r="A1669" s="363">
        <f t="shared" si="215"/>
        <v>1668</v>
      </c>
      <c r="B1669" s="363" t="str">
        <f t="shared" si="208"/>
        <v>44</v>
      </c>
      <c r="C1669" s="405" t="str">
        <f t="shared" si="209"/>
        <v>第013604号</v>
      </c>
      <c r="D1669" s="405" t="str">
        <f t="shared" si="210"/>
        <v>（株）ＫＡＫＵＤＯ</v>
      </c>
      <c r="E1669" s="405" t="str">
        <f t="shared" si="211"/>
        <v>代表取締役</v>
      </c>
      <c r="F1669" s="405" t="str">
        <f t="shared" si="212"/>
        <v>笠原　健彦</v>
      </c>
      <c r="G1669" s="405" t="str">
        <f t="shared" si="213"/>
        <v>主たる営業所</v>
      </c>
      <c r="H1669" s="405" t="str">
        <f t="shared" si="214"/>
        <v>日田市大字庄手８０３－２</v>
      </c>
      <c r="L1669" s="403" t="s">
        <v>11258</v>
      </c>
      <c r="M1669" s="403" t="s">
        <v>11259</v>
      </c>
      <c r="N1669" s="403" t="s">
        <v>4502</v>
      </c>
      <c r="O1669" s="403" t="s">
        <v>7084</v>
      </c>
      <c r="P1669" s="403" t="s">
        <v>4503</v>
      </c>
      <c r="Q1669" s="403" t="s">
        <v>8056</v>
      </c>
      <c r="R1669" s="403" t="s">
        <v>20044</v>
      </c>
      <c r="S1669" s="403" t="s">
        <v>16995</v>
      </c>
      <c r="T1669" s="403" t="s">
        <v>16996</v>
      </c>
      <c r="U1669" s="403"/>
      <c r="V1669" s="403" t="s">
        <v>23024</v>
      </c>
      <c r="W1669" s="403" t="s">
        <v>23024</v>
      </c>
      <c r="X1669" s="403" t="s">
        <v>23024</v>
      </c>
      <c r="Y1669" s="403" t="s">
        <v>23024</v>
      </c>
    </row>
    <row r="1670" spans="1:25">
      <c r="A1670" s="363">
        <f t="shared" si="215"/>
        <v>1669</v>
      </c>
      <c r="B1670" s="363" t="str">
        <f t="shared" si="208"/>
        <v>44</v>
      </c>
      <c r="C1670" s="405" t="str">
        <f t="shared" si="209"/>
        <v>第013607号</v>
      </c>
      <c r="D1670" s="405" t="str">
        <f t="shared" si="210"/>
        <v>（株）実意園</v>
      </c>
      <c r="E1670" s="405" t="str">
        <f t="shared" si="211"/>
        <v>代表取締役</v>
      </c>
      <c r="F1670" s="405" t="str">
        <f t="shared" si="212"/>
        <v>河津　初男</v>
      </c>
      <c r="G1670" s="405" t="str">
        <f t="shared" si="213"/>
        <v>主たる営業所</v>
      </c>
      <c r="H1670" s="405" t="str">
        <f t="shared" si="214"/>
        <v>日田市田島１－９－２</v>
      </c>
      <c r="L1670" s="403" t="s">
        <v>11260</v>
      </c>
      <c r="M1670" s="403" t="s">
        <v>11261</v>
      </c>
      <c r="N1670" s="403" t="s">
        <v>4504</v>
      </c>
      <c r="O1670" s="403" t="s">
        <v>7084</v>
      </c>
      <c r="P1670" s="403" t="s">
        <v>4505</v>
      </c>
      <c r="Q1670" s="403" t="s">
        <v>8022</v>
      </c>
      <c r="R1670" s="403" t="s">
        <v>20045</v>
      </c>
      <c r="S1670" s="403" t="s">
        <v>16997</v>
      </c>
      <c r="T1670" s="403" t="s">
        <v>16998</v>
      </c>
      <c r="U1670" s="403"/>
      <c r="V1670" s="403" t="s">
        <v>23024</v>
      </c>
      <c r="W1670" s="403" t="s">
        <v>23024</v>
      </c>
      <c r="X1670" s="403" t="s">
        <v>23024</v>
      </c>
      <c r="Y1670" s="403" t="s">
        <v>23024</v>
      </c>
    </row>
    <row r="1671" spans="1:25">
      <c r="A1671" s="363">
        <f t="shared" si="215"/>
        <v>1670</v>
      </c>
      <c r="B1671" s="363" t="str">
        <f t="shared" si="208"/>
        <v>44</v>
      </c>
      <c r="C1671" s="405" t="str">
        <f t="shared" si="209"/>
        <v>第013609号</v>
      </c>
      <c r="D1671" s="405" t="str">
        <f t="shared" si="210"/>
        <v>東豊海事建設（株）</v>
      </c>
      <c r="E1671" s="405" t="str">
        <f t="shared" si="211"/>
        <v>代表取締役</v>
      </c>
      <c r="F1671" s="405" t="str">
        <f t="shared" si="212"/>
        <v>森崎　豪</v>
      </c>
      <c r="G1671" s="405" t="str">
        <f t="shared" si="213"/>
        <v>主たる営業所</v>
      </c>
      <c r="H1671" s="405" t="str">
        <f t="shared" si="214"/>
        <v>佐伯市上浦大字津井浦２－１</v>
      </c>
      <c r="L1671" s="403" t="s">
        <v>11262</v>
      </c>
      <c r="M1671" s="403" t="s">
        <v>11263</v>
      </c>
      <c r="N1671" s="403" t="s">
        <v>4506</v>
      </c>
      <c r="O1671" s="403" t="s">
        <v>7084</v>
      </c>
      <c r="P1671" s="403" t="s">
        <v>5326</v>
      </c>
      <c r="Q1671" s="403" t="s">
        <v>7870</v>
      </c>
      <c r="R1671" s="403" t="s">
        <v>20046</v>
      </c>
      <c r="S1671" s="403" t="s">
        <v>16999</v>
      </c>
      <c r="T1671" s="403" t="s">
        <v>17000</v>
      </c>
      <c r="U1671" s="403"/>
      <c r="V1671" s="403" t="s">
        <v>23024</v>
      </c>
      <c r="W1671" s="403" t="s">
        <v>23024</v>
      </c>
      <c r="X1671" s="403" t="s">
        <v>23024</v>
      </c>
      <c r="Y1671" s="403" t="s">
        <v>23024</v>
      </c>
    </row>
    <row r="1672" spans="1:25">
      <c r="A1672" s="363">
        <f t="shared" si="215"/>
        <v>1671</v>
      </c>
      <c r="B1672" s="363" t="str">
        <f t="shared" si="208"/>
        <v>44</v>
      </c>
      <c r="C1672" s="405" t="str">
        <f t="shared" si="209"/>
        <v>第013613号</v>
      </c>
      <c r="D1672" s="405" t="str">
        <f t="shared" si="210"/>
        <v>（株）立川表具店</v>
      </c>
      <c r="E1672" s="405" t="str">
        <f t="shared" si="211"/>
        <v>代表取締役</v>
      </c>
      <c r="F1672" s="405" t="str">
        <f t="shared" si="212"/>
        <v>立川　諭暢</v>
      </c>
      <c r="G1672" s="405" t="str">
        <f t="shared" si="213"/>
        <v>主たる営業所</v>
      </c>
      <c r="H1672" s="405" t="str">
        <f t="shared" si="214"/>
        <v>別府市若草町３－３４</v>
      </c>
      <c r="L1672" s="403" t="s">
        <v>11264</v>
      </c>
      <c r="M1672" s="403" t="s">
        <v>11265</v>
      </c>
      <c r="N1672" s="403" t="s">
        <v>4507</v>
      </c>
      <c r="O1672" s="403" t="s">
        <v>7084</v>
      </c>
      <c r="P1672" s="403" t="s">
        <v>4508</v>
      </c>
      <c r="Q1672" s="403" t="s">
        <v>11266</v>
      </c>
      <c r="R1672" s="403" t="s">
        <v>20047</v>
      </c>
      <c r="S1672" s="403" t="s">
        <v>17001</v>
      </c>
      <c r="T1672" s="403" t="s">
        <v>17002</v>
      </c>
      <c r="U1672" s="403"/>
      <c r="V1672" s="403" t="s">
        <v>23024</v>
      </c>
      <c r="W1672" s="403" t="s">
        <v>23024</v>
      </c>
      <c r="X1672" s="403" t="s">
        <v>23024</v>
      </c>
      <c r="Y1672" s="403" t="s">
        <v>23024</v>
      </c>
    </row>
    <row r="1673" spans="1:25">
      <c r="A1673" s="363">
        <f t="shared" si="215"/>
        <v>1672</v>
      </c>
      <c r="B1673" s="363" t="str">
        <f t="shared" si="208"/>
        <v>44</v>
      </c>
      <c r="C1673" s="405" t="str">
        <f t="shared" si="209"/>
        <v>第013629号</v>
      </c>
      <c r="D1673" s="405" t="str">
        <f t="shared" si="210"/>
        <v>（株）和高組</v>
      </c>
      <c r="E1673" s="405" t="str">
        <f t="shared" si="211"/>
        <v>代表取締役</v>
      </c>
      <c r="F1673" s="405" t="str">
        <f t="shared" si="212"/>
        <v>高橋　貴洋</v>
      </c>
      <c r="G1673" s="405" t="str">
        <f t="shared" si="213"/>
        <v>主たる営業所</v>
      </c>
      <c r="H1673" s="405" t="str">
        <f t="shared" si="214"/>
        <v>大分市大字横尾８８４－１</v>
      </c>
      <c r="L1673" s="403" t="s">
        <v>11267</v>
      </c>
      <c r="M1673" s="403" t="s">
        <v>11268</v>
      </c>
      <c r="N1673" s="403" t="s">
        <v>4509</v>
      </c>
      <c r="O1673" s="403" t="s">
        <v>7084</v>
      </c>
      <c r="P1673" s="403" t="s">
        <v>4510</v>
      </c>
      <c r="Q1673" s="403" t="s">
        <v>7357</v>
      </c>
      <c r="R1673" s="403" t="s">
        <v>20048</v>
      </c>
      <c r="S1673" s="403" t="s">
        <v>17003</v>
      </c>
      <c r="T1673" s="403" t="s">
        <v>15025</v>
      </c>
      <c r="U1673" s="403"/>
      <c r="V1673" s="403" t="s">
        <v>23024</v>
      </c>
      <c r="W1673" s="403" t="s">
        <v>23024</v>
      </c>
      <c r="X1673" s="403" t="s">
        <v>23024</v>
      </c>
      <c r="Y1673" s="403" t="s">
        <v>23024</v>
      </c>
    </row>
    <row r="1674" spans="1:25">
      <c r="A1674" s="363">
        <f t="shared" si="215"/>
        <v>1673</v>
      </c>
      <c r="B1674" s="363" t="str">
        <f t="shared" si="208"/>
        <v>44</v>
      </c>
      <c r="C1674" s="405" t="str">
        <f t="shared" si="209"/>
        <v>第013634号</v>
      </c>
      <c r="D1674" s="405" t="str">
        <f t="shared" si="210"/>
        <v>（株）ダイシン工建</v>
      </c>
      <c r="E1674" s="405" t="str">
        <f t="shared" si="211"/>
        <v>代表取締役</v>
      </c>
      <c r="F1674" s="405" t="str">
        <f t="shared" si="212"/>
        <v>四井　信行</v>
      </c>
      <c r="G1674" s="405" t="str">
        <f t="shared" si="213"/>
        <v>主たる営業所</v>
      </c>
      <c r="H1674" s="405" t="str">
        <f t="shared" si="214"/>
        <v>宇佐市大字江須賀８１４</v>
      </c>
      <c r="L1674" s="403" t="s">
        <v>11269</v>
      </c>
      <c r="M1674" s="403" t="s">
        <v>11270</v>
      </c>
      <c r="N1674" s="403" t="s">
        <v>4511</v>
      </c>
      <c r="O1674" s="403" t="s">
        <v>7084</v>
      </c>
      <c r="P1674" s="403" t="s">
        <v>4512</v>
      </c>
      <c r="Q1674" s="403" t="s">
        <v>8133</v>
      </c>
      <c r="R1674" s="403" t="s">
        <v>5662</v>
      </c>
      <c r="S1674" s="403" t="s">
        <v>17004</v>
      </c>
      <c r="T1674" s="403" t="s">
        <v>17005</v>
      </c>
      <c r="U1674" s="403"/>
      <c r="V1674" s="403" t="s">
        <v>23024</v>
      </c>
      <c r="W1674" s="403" t="s">
        <v>23024</v>
      </c>
      <c r="X1674" s="403" t="s">
        <v>23024</v>
      </c>
      <c r="Y1674" s="403" t="s">
        <v>23024</v>
      </c>
    </row>
    <row r="1675" spans="1:25">
      <c r="A1675" s="363">
        <f t="shared" si="215"/>
        <v>1674</v>
      </c>
      <c r="B1675" s="363" t="str">
        <f t="shared" si="208"/>
        <v>44</v>
      </c>
      <c r="C1675" s="405" t="str">
        <f t="shared" si="209"/>
        <v>第013646号</v>
      </c>
      <c r="D1675" s="405" t="str">
        <f t="shared" si="210"/>
        <v>（株）財津管工</v>
      </c>
      <c r="E1675" s="405" t="str">
        <f t="shared" si="211"/>
        <v>代表取締役</v>
      </c>
      <c r="F1675" s="405" t="str">
        <f t="shared" si="212"/>
        <v>財津　好夫</v>
      </c>
      <c r="G1675" s="405" t="str">
        <f t="shared" si="213"/>
        <v>主たる営業所</v>
      </c>
      <c r="H1675" s="405" t="str">
        <f t="shared" si="214"/>
        <v>日田市大字求来里６００－５</v>
      </c>
      <c r="L1675" s="403" t="s">
        <v>11271</v>
      </c>
      <c r="M1675" s="403" t="s">
        <v>11272</v>
      </c>
      <c r="N1675" s="403" t="s">
        <v>4513</v>
      </c>
      <c r="O1675" s="403" t="s">
        <v>7084</v>
      </c>
      <c r="P1675" s="403" t="s">
        <v>4514</v>
      </c>
      <c r="Q1675" s="403" t="s">
        <v>9553</v>
      </c>
      <c r="R1675" s="403" t="s">
        <v>20049</v>
      </c>
      <c r="S1675" s="403" t="s">
        <v>17006</v>
      </c>
      <c r="T1675" s="403" t="s">
        <v>17007</v>
      </c>
      <c r="U1675" s="403"/>
      <c r="V1675" s="403" t="s">
        <v>23024</v>
      </c>
      <c r="W1675" s="403" t="s">
        <v>23024</v>
      </c>
      <c r="X1675" s="403" t="s">
        <v>23024</v>
      </c>
      <c r="Y1675" s="403" t="s">
        <v>23024</v>
      </c>
    </row>
    <row r="1676" spans="1:25">
      <c r="A1676" s="363">
        <f t="shared" si="215"/>
        <v>1675</v>
      </c>
      <c r="B1676" s="363" t="str">
        <f t="shared" si="208"/>
        <v>44</v>
      </c>
      <c r="C1676" s="405" t="str">
        <f t="shared" si="209"/>
        <v>第013648号</v>
      </c>
      <c r="D1676" s="405" t="str">
        <f t="shared" si="210"/>
        <v>（有）辻田建機</v>
      </c>
      <c r="E1676" s="405" t="str">
        <f t="shared" si="211"/>
        <v>代表取締役</v>
      </c>
      <c r="F1676" s="405" t="str">
        <f t="shared" si="212"/>
        <v>辻田　兼臣</v>
      </c>
      <c r="G1676" s="405" t="str">
        <f t="shared" si="213"/>
        <v>主たる営業所</v>
      </c>
      <c r="H1676" s="405" t="str">
        <f t="shared" si="214"/>
        <v>宇佐市大字四日市２８７３－８</v>
      </c>
      <c r="L1676" s="403" t="s">
        <v>11273</v>
      </c>
      <c r="M1676" s="403" t="s">
        <v>11274</v>
      </c>
      <c r="N1676" s="403" t="s">
        <v>4515</v>
      </c>
      <c r="O1676" s="403" t="s">
        <v>7084</v>
      </c>
      <c r="P1676" s="403" t="s">
        <v>4516</v>
      </c>
      <c r="Q1676" s="403" t="s">
        <v>8148</v>
      </c>
      <c r="R1676" s="403" t="s">
        <v>20050</v>
      </c>
      <c r="S1676" s="403" t="s">
        <v>17008</v>
      </c>
      <c r="T1676" s="403" t="s">
        <v>17009</v>
      </c>
      <c r="U1676" s="403"/>
      <c r="V1676" s="403" t="s">
        <v>23024</v>
      </c>
      <c r="W1676" s="403" t="s">
        <v>23024</v>
      </c>
      <c r="X1676" s="403" t="s">
        <v>23024</v>
      </c>
      <c r="Y1676" s="403" t="s">
        <v>23024</v>
      </c>
    </row>
    <row r="1677" spans="1:25">
      <c r="A1677" s="363">
        <f t="shared" si="215"/>
        <v>1676</v>
      </c>
      <c r="B1677" s="363" t="str">
        <f t="shared" si="208"/>
        <v>44</v>
      </c>
      <c r="C1677" s="405" t="str">
        <f t="shared" si="209"/>
        <v>第013649号</v>
      </c>
      <c r="D1677" s="405" t="str">
        <f t="shared" si="210"/>
        <v>（有）ヒグチ企画</v>
      </c>
      <c r="E1677" s="405" t="str">
        <f t="shared" si="211"/>
        <v>代表取締役</v>
      </c>
      <c r="F1677" s="405" t="str">
        <f t="shared" si="212"/>
        <v>樋口　末好</v>
      </c>
      <c r="G1677" s="405" t="str">
        <f t="shared" si="213"/>
        <v>主たる営業所</v>
      </c>
      <c r="H1677" s="405" t="str">
        <f t="shared" si="214"/>
        <v>日田市大字友田１１１２－１２</v>
      </c>
      <c r="L1677" s="403" t="s">
        <v>11275</v>
      </c>
      <c r="M1677" s="403" t="s">
        <v>11276</v>
      </c>
      <c r="N1677" s="403" t="s">
        <v>4517</v>
      </c>
      <c r="O1677" s="403" t="s">
        <v>7084</v>
      </c>
      <c r="P1677" s="403" t="s">
        <v>4518</v>
      </c>
      <c r="Q1677" s="403" t="s">
        <v>8059</v>
      </c>
      <c r="R1677" s="403" t="s">
        <v>20051</v>
      </c>
      <c r="S1677" s="403" t="s">
        <v>17010</v>
      </c>
      <c r="T1677" s="403" t="s">
        <v>17011</v>
      </c>
      <c r="U1677" s="403"/>
      <c r="V1677" s="403" t="s">
        <v>23024</v>
      </c>
      <c r="W1677" s="403" t="s">
        <v>23024</v>
      </c>
      <c r="X1677" s="403" t="s">
        <v>23024</v>
      </c>
      <c r="Y1677" s="403" t="s">
        <v>23024</v>
      </c>
    </row>
    <row r="1678" spans="1:25">
      <c r="A1678" s="363">
        <f t="shared" si="215"/>
        <v>1677</v>
      </c>
      <c r="B1678" s="363" t="str">
        <f t="shared" si="208"/>
        <v>44</v>
      </c>
      <c r="C1678" s="405" t="str">
        <f t="shared" si="209"/>
        <v>第013653号</v>
      </c>
      <c r="D1678" s="405" t="str">
        <f t="shared" si="210"/>
        <v>瀬立建設（株）</v>
      </c>
      <c r="E1678" s="405" t="str">
        <f t="shared" si="211"/>
        <v>代表取締役</v>
      </c>
      <c r="F1678" s="405" t="str">
        <f t="shared" si="212"/>
        <v>瀬立　成弘</v>
      </c>
      <c r="G1678" s="405" t="str">
        <f t="shared" si="213"/>
        <v>主たる営業所</v>
      </c>
      <c r="H1678" s="405" t="str">
        <f t="shared" si="214"/>
        <v>大分市大字野津原１７０－１</v>
      </c>
      <c r="L1678" s="403" t="s">
        <v>11277</v>
      </c>
      <c r="M1678" s="403" t="s">
        <v>11278</v>
      </c>
      <c r="N1678" s="403" t="s">
        <v>4519</v>
      </c>
      <c r="O1678" s="403" t="s">
        <v>7084</v>
      </c>
      <c r="P1678" s="403" t="s">
        <v>4520</v>
      </c>
      <c r="Q1678" s="403" t="s">
        <v>7469</v>
      </c>
      <c r="R1678" s="403" t="s">
        <v>19235</v>
      </c>
      <c r="S1678" s="403" t="s">
        <v>17012</v>
      </c>
      <c r="T1678" s="403" t="s">
        <v>15467</v>
      </c>
      <c r="U1678" s="403"/>
      <c r="V1678" s="403" t="s">
        <v>23024</v>
      </c>
      <c r="W1678" s="403" t="s">
        <v>23024</v>
      </c>
      <c r="X1678" s="403" t="s">
        <v>23024</v>
      </c>
      <c r="Y1678" s="403" t="s">
        <v>23024</v>
      </c>
    </row>
    <row r="1679" spans="1:25">
      <c r="A1679" s="363">
        <f t="shared" si="215"/>
        <v>1678</v>
      </c>
      <c r="B1679" s="363" t="str">
        <f t="shared" si="208"/>
        <v>44</v>
      </c>
      <c r="C1679" s="405" t="str">
        <f t="shared" si="209"/>
        <v>第013654号</v>
      </c>
      <c r="D1679" s="405" t="str">
        <f t="shared" si="210"/>
        <v>世紀建設（株）</v>
      </c>
      <c r="E1679" s="405" t="str">
        <f t="shared" si="211"/>
        <v>代表取締役</v>
      </c>
      <c r="F1679" s="405" t="str">
        <f t="shared" si="212"/>
        <v>折元　達也</v>
      </c>
      <c r="G1679" s="405" t="str">
        <f t="shared" si="213"/>
        <v>主たる営業所</v>
      </c>
      <c r="H1679" s="405" t="str">
        <f t="shared" si="214"/>
        <v>大分市錦町３－７－２９－２</v>
      </c>
      <c r="L1679" s="403" t="s">
        <v>11279</v>
      </c>
      <c r="M1679" s="403" t="s">
        <v>11280</v>
      </c>
      <c r="N1679" s="403" t="s">
        <v>4521</v>
      </c>
      <c r="O1679" s="403" t="s">
        <v>7084</v>
      </c>
      <c r="P1679" s="403" t="s">
        <v>4522</v>
      </c>
      <c r="Q1679" s="403" t="s">
        <v>9657</v>
      </c>
      <c r="R1679" s="403" t="s">
        <v>20052</v>
      </c>
      <c r="S1679" s="403" t="s">
        <v>17013</v>
      </c>
      <c r="T1679" s="403" t="s">
        <v>17014</v>
      </c>
      <c r="U1679" s="403"/>
      <c r="V1679" s="403" t="s">
        <v>23024</v>
      </c>
      <c r="W1679" s="403" t="s">
        <v>23024</v>
      </c>
      <c r="X1679" s="403" t="s">
        <v>23024</v>
      </c>
      <c r="Y1679" s="403" t="s">
        <v>23024</v>
      </c>
    </row>
    <row r="1680" spans="1:25">
      <c r="A1680" s="363">
        <f t="shared" si="215"/>
        <v>1679</v>
      </c>
      <c r="B1680" s="363" t="str">
        <f t="shared" si="208"/>
        <v>44</v>
      </c>
      <c r="C1680" s="405" t="str">
        <f t="shared" si="209"/>
        <v>第013656号</v>
      </c>
      <c r="D1680" s="405" t="str">
        <f t="shared" si="210"/>
        <v>（株）成栄設備</v>
      </c>
      <c r="E1680" s="405" t="str">
        <f t="shared" si="211"/>
        <v>代表取締役</v>
      </c>
      <c r="F1680" s="405" t="str">
        <f t="shared" si="212"/>
        <v>成久　繁樹</v>
      </c>
      <c r="G1680" s="405" t="str">
        <f t="shared" si="213"/>
        <v>主たる営業所</v>
      </c>
      <c r="H1680" s="405" t="str">
        <f t="shared" si="214"/>
        <v>杵築市大字大内６４６１－１</v>
      </c>
      <c r="L1680" s="403" t="s">
        <v>11281</v>
      </c>
      <c r="M1680" s="403" t="s">
        <v>11282</v>
      </c>
      <c r="N1680" s="403" t="s">
        <v>4523</v>
      </c>
      <c r="O1680" s="403" t="s">
        <v>7084</v>
      </c>
      <c r="P1680" s="403" t="s">
        <v>4524</v>
      </c>
      <c r="Q1680" s="403" t="s">
        <v>7631</v>
      </c>
      <c r="R1680" s="403" t="s">
        <v>20053</v>
      </c>
      <c r="S1680" s="403" t="s">
        <v>17015</v>
      </c>
      <c r="T1680" s="403" t="s">
        <v>17016</v>
      </c>
      <c r="U1680" s="403"/>
      <c r="V1680" s="403" t="s">
        <v>23024</v>
      </c>
      <c r="W1680" s="403" t="s">
        <v>23024</v>
      </c>
      <c r="X1680" s="403" t="s">
        <v>23024</v>
      </c>
      <c r="Y1680" s="403" t="s">
        <v>23024</v>
      </c>
    </row>
    <row r="1681" spans="1:25">
      <c r="A1681" s="363">
        <f t="shared" si="215"/>
        <v>1680</v>
      </c>
      <c r="B1681" s="363" t="str">
        <f t="shared" si="208"/>
        <v>44</v>
      </c>
      <c r="C1681" s="405" t="str">
        <f t="shared" si="209"/>
        <v>第013669号</v>
      </c>
      <c r="D1681" s="405" t="str">
        <f t="shared" si="210"/>
        <v>（株）アヅマ</v>
      </c>
      <c r="E1681" s="405" t="str">
        <f t="shared" si="211"/>
        <v>代表取締役</v>
      </c>
      <c r="F1681" s="405" t="str">
        <f t="shared" si="212"/>
        <v>東村　達也</v>
      </c>
      <c r="G1681" s="405" t="str">
        <f t="shared" si="213"/>
        <v>主たる営業所</v>
      </c>
      <c r="H1681" s="405" t="str">
        <f t="shared" si="214"/>
        <v>大分市萩原３－４－８</v>
      </c>
      <c r="L1681" s="403" t="s">
        <v>11283</v>
      </c>
      <c r="M1681" s="403" t="s">
        <v>11284</v>
      </c>
      <c r="N1681" s="403" t="s">
        <v>4525</v>
      </c>
      <c r="O1681" s="403" t="s">
        <v>7084</v>
      </c>
      <c r="P1681" s="403" t="s">
        <v>4526</v>
      </c>
      <c r="Q1681" s="403" t="s">
        <v>7394</v>
      </c>
      <c r="R1681" s="403" t="s">
        <v>20054</v>
      </c>
      <c r="S1681" s="403" t="s">
        <v>17017</v>
      </c>
      <c r="T1681" s="403" t="s">
        <v>17017</v>
      </c>
      <c r="U1681" s="403"/>
      <c r="V1681" s="403" t="s">
        <v>23024</v>
      </c>
      <c r="W1681" s="403" t="s">
        <v>23024</v>
      </c>
      <c r="X1681" s="403" t="s">
        <v>23024</v>
      </c>
      <c r="Y1681" s="403" t="s">
        <v>23024</v>
      </c>
    </row>
    <row r="1682" spans="1:25">
      <c r="A1682" s="363">
        <f t="shared" si="215"/>
        <v>1681</v>
      </c>
      <c r="B1682" s="363" t="str">
        <f t="shared" si="208"/>
        <v>44</v>
      </c>
      <c r="C1682" s="405" t="str">
        <f t="shared" si="209"/>
        <v>第013670号</v>
      </c>
      <c r="D1682" s="405" t="str">
        <f t="shared" si="210"/>
        <v>（株）武藤塗装</v>
      </c>
      <c r="E1682" s="405" t="str">
        <f t="shared" si="211"/>
        <v>代表取締役</v>
      </c>
      <c r="F1682" s="405" t="str">
        <f t="shared" si="212"/>
        <v>武藤　裕貴</v>
      </c>
      <c r="G1682" s="405" t="str">
        <f t="shared" si="213"/>
        <v>主たる営業所</v>
      </c>
      <c r="H1682" s="405" t="str">
        <f t="shared" si="214"/>
        <v>大分市大字森８８５－２６</v>
      </c>
      <c r="L1682" s="403" t="s">
        <v>11285</v>
      </c>
      <c r="M1682" s="403" t="s">
        <v>11286</v>
      </c>
      <c r="N1682" s="403" t="s">
        <v>4527</v>
      </c>
      <c r="O1682" s="403" t="s">
        <v>7084</v>
      </c>
      <c r="P1682" s="403" t="s">
        <v>4528</v>
      </c>
      <c r="Q1682" s="403" t="s">
        <v>8725</v>
      </c>
      <c r="R1682" s="403" t="s">
        <v>20055</v>
      </c>
      <c r="S1682" s="403" t="s">
        <v>17018</v>
      </c>
      <c r="T1682" s="403" t="s">
        <v>17019</v>
      </c>
      <c r="U1682" s="403"/>
      <c r="V1682" s="403" t="s">
        <v>23024</v>
      </c>
      <c r="W1682" s="403" t="s">
        <v>23024</v>
      </c>
      <c r="X1682" s="403" t="s">
        <v>23024</v>
      </c>
      <c r="Y1682" s="403" t="s">
        <v>23024</v>
      </c>
    </row>
    <row r="1683" spans="1:25">
      <c r="A1683" s="363">
        <f t="shared" si="215"/>
        <v>1682</v>
      </c>
      <c r="B1683" s="363" t="str">
        <f t="shared" si="208"/>
        <v>44</v>
      </c>
      <c r="C1683" s="405" t="str">
        <f t="shared" si="209"/>
        <v>第013675号</v>
      </c>
      <c r="D1683" s="405" t="str">
        <f t="shared" si="210"/>
        <v>（株）光徳産業</v>
      </c>
      <c r="E1683" s="405" t="str">
        <f t="shared" si="211"/>
        <v>代表取締役</v>
      </c>
      <c r="F1683" s="405" t="str">
        <f t="shared" si="212"/>
        <v>浅井　佑太</v>
      </c>
      <c r="G1683" s="405" t="str">
        <f t="shared" si="213"/>
        <v>主たる営業所</v>
      </c>
      <c r="H1683" s="405" t="str">
        <f t="shared" si="214"/>
        <v>杵築市大字宮司５５３－１</v>
      </c>
      <c r="L1683" s="403" t="s">
        <v>11287</v>
      </c>
      <c r="M1683" s="403" t="s">
        <v>11288</v>
      </c>
      <c r="N1683" s="403" t="s">
        <v>5292</v>
      </c>
      <c r="O1683" s="403" t="s">
        <v>7084</v>
      </c>
      <c r="P1683" s="403" t="s">
        <v>4529</v>
      </c>
      <c r="Q1683" s="403" t="s">
        <v>9212</v>
      </c>
      <c r="R1683" s="403" t="s">
        <v>20056</v>
      </c>
      <c r="S1683" s="403" t="s">
        <v>17020</v>
      </c>
      <c r="T1683" s="403" t="s">
        <v>17021</v>
      </c>
      <c r="U1683" s="403"/>
      <c r="V1683" s="403" t="s">
        <v>23024</v>
      </c>
      <c r="W1683" s="403" t="s">
        <v>23024</v>
      </c>
      <c r="X1683" s="403" t="s">
        <v>23024</v>
      </c>
      <c r="Y1683" s="403" t="s">
        <v>23024</v>
      </c>
    </row>
    <row r="1684" spans="1:25">
      <c r="A1684" s="363">
        <f t="shared" si="215"/>
        <v>1683</v>
      </c>
      <c r="B1684" s="363" t="str">
        <f t="shared" si="208"/>
        <v>44</v>
      </c>
      <c r="C1684" s="405" t="str">
        <f t="shared" si="209"/>
        <v>第013678号</v>
      </c>
      <c r="D1684" s="405" t="str">
        <f t="shared" si="210"/>
        <v>（株）大分エムテック</v>
      </c>
      <c r="E1684" s="405" t="str">
        <f t="shared" si="211"/>
        <v>代表取締役</v>
      </c>
      <c r="F1684" s="405" t="str">
        <f t="shared" si="212"/>
        <v>草野　酉男</v>
      </c>
      <c r="G1684" s="405" t="str">
        <f t="shared" si="213"/>
        <v>主たる営業所</v>
      </c>
      <c r="H1684" s="405" t="str">
        <f t="shared" si="214"/>
        <v>大分市大字横瀬２９５</v>
      </c>
      <c r="L1684" s="403" t="s">
        <v>11289</v>
      </c>
      <c r="M1684" s="403" t="s">
        <v>11290</v>
      </c>
      <c r="N1684" s="403" t="s">
        <v>4530</v>
      </c>
      <c r="O1684" s="403" t="s">
        <v>7084</v>
      </c>
      <c r="P1684" s="403" t="s">
        <v>4531</v>
      </c>
      <c r="Q1684" s="403" t="s">
        <v>10313</v>
      </c>
      <c r="R1684" s="403" t="s">
        <v>5663</v>
      </c>
      <c r="S1684" s="403" t="s">
        <v>17022</v>
      </c>
      <c r="T1684" s="403" t="s">
        <v>17023</v>
      </c>
      <c r="U1684" s="403"/>
      <c r="V1684" s="403" t="s">
        <v>23024</v>
      </c>
      <c r="W1684" s="403" t="s">
        <v>23024</v>
      </c>
      <c r="X1684" s="403" t="s">
        <v>23024</v>
      </c>
      <c r="Y1684" s="403" t="s">
        <v>23024</v>
      </c>
    </row>
    <row r="1685" spans="1:25">
      <c r="A1685" s="363">
        <f t="shared" si="215"/>
        <v>1684</v>
      </c>
      <c r="B1685" s="363" t="str">
        <f t="shared" si="208"/>
        <v>44</v>
      </c>
      <c r="C1685" s="405" t="str">
        <f t="shared" si="209"/>
        <v>第013683号</v>
      </c>
      <c r="D1685" s="405" t="str">
        <f t="shared" si="210"/>
        <v>（株）スリーエイチアイ</v>
      </c>
      <c r="E1685" s="405" t="str">
        <f t="shared" si="211"/>
        <v>代表取締役</v>
      </c>
      <c r="F1685" s="405" t="str">
        <f t="shared" si="212"/>
        <v>林　澄香</v>
      </c>
      <c r="G1685" s="405" t="str">
        <f t="shared" si="213"/>
        <v>主たる営業所</v>
      </c>
      <c r="H1685" s="405" t="str">
        <f t="shared" si="214"/>
        <v>日田市大字高瀬４０９９</v>
      </c>
      <c r="L1685" s="403" t="s">
        <v>11291</v>
      </c>
      <c r="M1685" s="403" t="s">
        <v>11292</v>
      </c>
      <c r="N1685" s="403" t="s">
        <v>4532</v>
      </c>
      <c r="O1685" s="403" t="s">
        <v>7084</v>
      </c>
      <c r="P1685" s="403" t="s">
        <v>5271</v>
      </c>
      <c r="Q1685" s="403" t="s">
        <v>9569</v>
      </c>
      <c r="R1685" s="403" t="s">
        <v>5664</v>
      </c>
      <c r="S1685" s="403" t="s">
        <v>17024</v>
      </c>
      <c r="T1685" s="403" t="s">
        <v>17025</v>
      </c>
      <c r="U1685" s="403"/>
      <c r="V1685" s="403" t="s">
        <v>23024</v>
      </c>
      <c r="W1685" s="403" t="s">
        <v>23024</v>
      </c>
      <c r="X1685" s="403" t="s">
        <v>23024</v>
      </c>
      <c r="Y1685" s="403" t="s">
        <v>23024</v>
      </c>
    </row>
    <row r="1686" spans="1:25">
      <c r="A1686" s="363">
        <f t="shared" si="215"/>
        <v>1685</v>
      </c>
      <c r="B1686" s="363" t="str">
        <f t="shared" si="208"/>
        <v>44</v>
      </c>
      <c r="C1686" s="405" t="str">
        <f t="shared" si="209"/>
        <v>第013687号</v>
      </c>
      <c r="D1686" s="405" t="str">
        <f t="shared" si="210"/>
        <v>多田建築</v>
      </c>
      <c r="E1686" s="405" t="str">
        <f t="shared" si="211"/>
        <v>事業主</v>
      </c>
      <c r="F1686" s="405" t="str">
        <f t="shared" si="212"/>
        <v>多田　正信</v>
      </c>
      <c r="G1686" s="405" t="str">
        <f t="shared" si="213"/>
        <v>主たる営業所</v>
      </c>
      <c r="H1686" s="405" t="str">
        <f t="shared" si="214"/>
        <v>佐伯市宇目大字千束１９０１</v>
      </c>
      <c r="L1686" s="403" t="s">
        <v>11293</v>
      </c>
      <c r="M1686" s="403" t="s">
        <v>11294</v>
      </c>
      <c r="N1686" s="403" t="s">
        <v>4533</v>
      </c>
      <c r="O1686" s="403" t="s">
        <v>7088</v>
      </c>
      <c r="P1686" s="403" t="s">
        <v>4534</v>
      </c>
      <c r="Q1686" s="403" t="s">
        <v>7848</v>
      </c>
      <c r="R1686" s="403" t="s">
        <v>5665</v>
      </c>
      <c r="S1686" s="403" t="s">
        <v>17026</v>
      </c>
      <c r="T1686" s="403" t="s">
        <v>17026</v>
      </c>
      <c r="U1686" s="403"/>
      <c r="V1686" s="403" t="s">
        <v>23024</v>
      </c>
      <c r="W1686" s="403" t="s">
        <v>23024</v>
      </c>
      <c r="X1686" s="403" t="s">
        <v>23024</v>
      </c>
      <c r="Y1686" s="403" t="s">
        <v>23024</v>
      </c>
    </row>
    <row r="1687" spans="1:25">
      <c r="A1687" s="363">
        <f t="shared" si="215"/>
        <v>1686</v>
      </c>
      <c r="B1687" s="363" t="str">
        <f t="shared" si="208"/>
        <v>44</v>
      </c>
      <c r="C1687" s="405" t="str">
        <f t="shared" si="209"/>
        <v>第013689号</v>
      </c>
      <c r="D1687" s="405" t="str">
        <f t="shared" si="210"/>
        <v>（株）穴井電機</v>
      </c>
      <c r="E1687" s="405" t="str">
        <f t="shared" si="211"/>
        <v>代表取締役</v>
      </c>
      <c r="F1687" s="405" t="str">
        <f t="shared" si="212"/>
        <v>穴井　伸一</v>
      </c>
      <c r="G1687" s="405" t="str">
        <f t="shared" si="213"/>
        <v>主たる営業所</v>
      </c>
      <c r="H1687" s="405" t="str">
        <f t="shared" si="214"/>
        <v>速見郡日出町大字大神１７４５－１</v>
      </c>
      <c r="L1687" s="403" t="s">
        <v>11295</v>
      </c>
      <c r="M1687" s="403" t="s">
        <v>11296</v>
      </c>
      <c r="N1687" s="403" t="s">
        <v>4535</v>
      </c>
      <c r="O1687" s="403" t="s">
        <v>7084</v>
      </c>
      <c r="P1687" s="403" t="s">
        <v>4536</v>
      </c>
      <c r="Q1687" s="403" t="s">
        <v>8382</v>
      </c>
      <c r="R1687" s="403" t="s">
        <v>20057</v>
      </c>
      <c r="S1687" s="403" t="s">
        <v>17027</v>
      </c>
      <c r="T1687" s="403" t="s">
        <v>17028</v>
      </c>
      <c r="U1687" s="403"/>
      <c r="V1687" s="403" t="s">
        <v>23024</v>
      </c>
      <c r="W1687" s="403" t="s">
        <v>23024</v>
      </c>
      <c r="X1687" s="403" t="s">
        <v>23024</v>
      </c>
      <c r="Y1687" s="403" t="s">
        <v>23024</v>
      </c>
    </row>
    <row r="1688" spans="1:25">
      <c r="A1688" s="363">
        <f t="shared" si="215"/>
        <v>1687</v>
      </c>
      <c r="B1688" s="363" t="str">
        <f t="shared" si="208"/>
        <v>44</v>
      </c>
      <c r="C1688" s="405" t="str">
        <f t="shared" si="209"/>
        <v>第013690号</v>
      </c>
      <c r="D1688" s="405" t="str">
        <f t="shared" si="210"/>
        <v>（株）いけ田緑康園</v>
      </c>
      <c r="E1688" s="405" t="str">
        <f t="shared" si="211"/>
        <v>代表取締役</v>
      </c>
      <c r="F1688" s="405" t="str">
        <f t="shared" si="212"/>
        <v>池田　康</v>
      </c>
      <c r="G1688" s="405" t="str">
        <f t="shared" si="213"/>
        <v>主たる営業所</v>
      </c>
      <c r="H1688" s="405" t="str">
        <f t="shared" si="214"/>
        <v>日田市大字花月３７３</v>
      </c>
      <c r="L1688" s="403" t="s">
        <v>11297</v>
      </c>
      <c r="M1688" s="403" t="s">
        <v>11298</v>
      </c>
      <c r="N1688" s="403" t="s">
        <v>4537</v>
      </c>
      <c r="O1688" s="403" t="s">
        <v>7084</v>
      </c>
      <c r="P1688" s="403" t="s">
        <v>4538</v>
      </c>
      <c r="Q1688" s="403" t="s">
        <v>10509</v>
      </c>
      <c r="R1688" s="403" t="s">
        <v>5666</v>
      </c>
      <c r="S1688" s="403" t="s">
        <v>17029</v>
      </c>
      <c r="T1688" s="403" t="s">
        <v>17030</v>
      </c>
      <c r="U1688" s="403"/>
      <c r="V1688" s="403" t="s">
        <v>23024</v>
      </c>
      <c r="W1688" s="403" t="s">
        <v>23024</v>
      </c>
      <c r="X1688" s="403" t="s">
        <v>23024</v>
      </c>
      <c r="Y1688" s="403" t="s">
        <v>23024</v>
      </c>
    </row>
    <row r="1689" spans="1:25">
      <c r="A1689" s="363">
        <f t="shared" si="215"/>
        <v>1688</v>
      </c>
      <c r="B1689" s="363" t="str">
        <f t="shared" si="208"/>
        <v>44</v>
      </c>
      <c r="C1689" s="405" t="str">
        <f t="shared" si="209"/>
        <v>第013696号</v>
      </c>
      <c r="D1689" s="405" t="str">
        <f t="shared" si="210"/>
        <v>（株）日技</v>
      </c>
      <c r="E1689" s="405" t="str">
        <f t="shared" si="211"/>
        <v>代表取締役</v>
      </c>
      <c r="F1689" s="405" t="str">
        <f t="shared" si="212"/>
        <v>川野　健太</v>
      </c>
      <c r="G1689" s="405" t="str">
        <f t="shared" si="213"/>
        <v>主たる営業所</v>
      </c>
      <c r="H1689" s="405" t="str">
        <f t="shared" si="214"/>
        <v>大分市下郡北３－１８－４３</v>
      </c>
      <c r="L1689" s="403" t="s">
        <v>11299</v>
      </c>
      <c r="M1689" s="403" t="s">
        <v>11300</v>
      </c>
      <c r="N1689" s="403" t="s">
        <v>4539</v>
      </c>
      <c r="O1689" s="403" t="s">
        <v>7084</v>
      </c>
      <c r="P1689" s="403" t="s">
        <v>4540</v>
      </c>
      <c r="Q1689" s="403" t="s">
        <v>9524</v>
      </c>
      <c r="R1689" s="403" t="s">
        <v>20058</v>
      </c>
      <c r="S1689" s="403" t="s">
        <v>17031</v>
      </c>
      <c r="T1689" s="403" t="s">
        <v>17032</v>
      </c>
      <c r="U1689" s="403"/>
      <c r="V1689" s="403" t="s">
        <v>23024</v>
      </c>
      <c r="W1689" s="403" t="s">
        <v>23024</v>
      </c>
      <c r="X1689" s="403" t="s">
        <v>23024</v>
      </c>
      <c r="Y1689" s="403" t="s">
        <v>23024</v>
      </c>
    </row>
    <row r="1690" spans="1:25">
      <c r="A1690" s="363">
        <f t="shared" si="215"/>
        <v>1689</v>
      </c>
      <c r="B1690" s="363" t="str">
        <f t="shared" si="208"/>
        <v>44</v>
      </c>
      <c r="C1690" s="405" t="str">
        <f t="shared" si="209"/>
        <v>第013697号</v>
      </c>
      <c r="D1690" s="405" t="str">
        <f t="shared" si="210"/>
        <v>アンテナサポート（株）</v>
      </c>
      <c r="E1690" s="405" t="str">
        <f t="shared" si="211"/>
        <v>代表取締役</v>
      </c>
      <c r="F1690" s="405" t="str">
        <f t="shared" si="212"/>
        <v>志谷　英彦</v>
      </c>
      <c r="G1690" s="405" t="str">
        <f t="shared" si="213"/>
        <v>主たる営業所</v>
      </c>
      <c r="H1690" s="405" t="str">
        <f t="shared" si="214"/>
        <v>日田市大字三和１００９－１（財津町）</v>
      </c>
      <c r="L1690" s="403" t="s">
        <v>11301</v>
      </c>
      <c r="M1690" s="403" t="s">
        <v>11302</v>
      </c>
      <c r="N1690" s="403" t="s">
        <v>4541</v>
      </c>
      <c r="O1690" s="403" t="s">
        <v>7084</v>
      </c>
      <c r="P1690" s="403" t="s">
        <v>4542</v>
      </c>
      <c r="Q1690" s="403" t="s">
        <v>9548</v>
      </c>
      <c r="R1690" s="403" t="s">
        <v>20059</v>
      </c>
      <c r="S1690" s="403" t="s">
        <v>17033</v>
      </c>
      <c r="T1690" s="403" t="s">
        <v>17034</v>
      </c>
      <c r="U1690" s="403"/>
      <c r="V1690" s="403" t="s">
        <v>23024</v>
      </c>
      <c r="W1690" s="403" t="s">
        <v>23024</v>
      </c>
      <c r="X1690" s="403" t="s">
        <v>23024</v>
      </c>
      <c r="Y1690" s="403" t="s">
        <v>23024</v>
      </c>
    </row>
    <row r="1691" spans="1:25">
      <c r="A1691" s="363">
        <f t="shared" si="215"/>
        <v>1690</v>
      </c>
      <c r="B1691" s="363" t="str">
        <f t="shared" si="208"/>
        <v>44</v>
      </c>
      <c r="C1691" s="405" t="str">
        <f t="shared" si="209"/>
        <v>第013698号</v>
      </c>
      <c r="D1691" s="405" t="str">
        <f t="shared" si="210"/>
        <v>植山土建（株）</v>
      </c>
      <c r="E1691" s="405" t="str">
        <f t="shared" si="211"/>
        <v>代表取締役</v>
      </c>
      <c r="F1691" s="405" t="str">
        <f t="shared" si="212"/>
        <v>植山　慎也</v>
      </c>
      <c r="G1691" s="405" t="str">
        <f t="shared" si="213"/>
        <v>主たる営業所</v>
      </c>
      <c r="H1691" s="405" t="str">
        <f t="shared" si="214"/>
        <v>中津市中央町１－５－７</v>
      </c>
      <c r="L1691" s="403" t="s">
        <v>11303</v>
      </c>
      <c r="M1691" s="403" t="s">
        <v>11304</v>
      </c>
      <c r="N1691" s="403" t="s">
        <v>4543</v>
      </c>
      <c r="O1691" s="403" t="s">
        <v>7084</v>
      </c>
      <c r="P1691" s="403" t="s">
        <v>4544</v>
      </c>
      <c r="Q1691" s="403" t="s">
        <v>7306</v>
      </c>
      <c r="R1691" s="403" t="s">
        <v>20060</v>
      </c>
      <c r="S1691" s="403" t="s">
        <v>17035</v>
      </c>
      <c r="T1691" s="403" t="s">
        <v>17036</v>
      </c>
      <c r="U1691" s="403"/>
      <c r="V1691" s="403" t="s">
        <v>23024</v>
      </c>
      <c r="W1691" s="403" t="s">
        <v>23024</v>
      </c>
      <c r="X1691" s="403" t="s">
        <v>23024</v>
      </c>
      <c r="Y1691" s="403" t="s">
        <v>23024</v>
      </c>
    </row>
    <row r="1692" spans="1:25">
      <c r="A1692" s="363">
        <f t="shared" si="215"/>
        <v>1691</v>
      </c>
      <c r="B1692" s="363" t="str">
        <f t="shared" si="208"/>
        <v>44</v>
      </c>
      <c r="C1692" s="405" t="str">
        <f t="shared" si="209"/>
        <v>第013702号</v>
      </c>
      <c r="D1692" s="405" t="str">
        <f t="shared" si="210"/>
        <v>（株）興生</v>
      </c>
      <c r="E1692" s="405" t="str">
        <f t="shared" si="211"/>
        <v>代表取締役</v>
      </c>
      <c r="F1692" s="405" t="str">
        <f t="shared" si="212"/>
        <v>高橋　数史</v>
      </c>
      <c r="G1692" s="405" t="str">
        <f t="shared" si="213"/>
        <v>主たる営業所</v>
      </c>
      <c r="H1692" s="405" t="str">
        <f t="shared" si="214"/>
        <v>佐伯市蒲江大字丸市尾浦４６９－１</v>
      </c>
      <c r="L1692" s="403" t="s">
        <v>11305</v>
      </c>
      <c r="M1692" s="403" t="s">
        <v>11306</v>
      </c>
      <c r="N1692" s="403" t="s">
        <v>4545</v>
      </c>
      <c r="O1692" s="403" t="s">
        <v>7084</v>
      </c>
      <c r="P1692" s="403" t="s">
        <v>4546</v>
      </c>
      <c r="Q1692" s="403" t="s">
        <v>9771</v>
      </c>
      <c r="R1692" s="403" t="s">
        <v>20061</v>
      </c>
      <c r="S1692" s="403" t="s">
        <v>17037</v>
      </c>
      <c r="T1692" s="403" t="s">
        <v>15787</v>
      </c>
      <c r="U1692" s="403"/>
      <c r="V1692" s="403" t="s">
        <v>23024</v>
      </c>
      <c r="W1692" s="403" t="s">
        <v>23024</v>
      </c>
      <c r="X1692" s="403" t="s">
        <v>23024</v>
      </c>
      <c r="Y1692" s="403" t="s">
        <v>23024</v>
      </c>
    </row>
    <row r="1693" spans="1:25">
      <c r="A1693" s="363">
        <f t="shared" si="215"/>
        <v>1692</v>
      </c>
      <c r="B1693" s="363" t="str">
        <f t="shared" si="208"/>
        <v>44</v>
      </c>
      <c r="C1693" s="405" t="str">
        <f t="shared" si="209"/>
        <v>第013703号</v>
      </c>
      <c r="D1693" s="405" t="str">
        <f t="shared" si="210"/>
        <v>（株）創輝</v>
      </c>
      <c r="E1693" s="405" t="str">
        <f t="shared" si="211"/>
        <v>代表取締役</v>
      </c>
      <c r="F1693" s="405" t="str">
        <f t="shared" si="212"/>
        <v>宇留嶋　武</v>
      </c>
      <c r="G1693" s="405" t="str">
        <f t="shared" si="213"/>
        <v>主たる営業所</v>
      </c>
      <c r="H1693" s="405" t="str">
        <f t="shared" si="214"/>
        <v>宇佐市大字中原１８６－２</v>
      </c>
      <c r="L1693" s="403" t="s">
        <v>11307</v>
      </c>
      <c r="M1693" s="403" t="s">
        <v>11308</v>
      </c>
      <c r="N1693" s="403" t="s">
        <v>4547</v>
      </c>
      <c r="O1693" s="403" t="s">
        <v>7084</v>
      </c>
      <c r="P1693" s="403" t="s">
        <v>4548</v>
      </c>
      <c r="Q1693" s="403" t="s">
        <v>11309</v>
      </c>
      <c r="R1693" s="403" t="s">
        <v>20062</v>
      </c>
      <c r="S1693" s="403" t="s">
        <v>17038</v>
      </c>
      <c r="T1693" s="403" t="s">
        <v>17039</v>
      </c>
      <c r="U1693" s="403"/>
      <c r="V1693" s="403" t="s">
        <v>23024</v>
      </c>
      <c r="W1693" s="403" t="s">
        <v>23024</v>
      </c>
      <c r="X1693" s="403" t="s">
        <v>23024</v>
      </c>
      <c r="Y1693" s="403" t="s">
        <v>23024</v>
      </c>
    </row>
    <row r="1694" spans="1:25">
      <c r="A1694" s="363">
        <f t="shared" si="215"/>
        <v>1693</v>
      </c>
      <c r="B1694" s="363" t="str">
        <f t="shared" si="208"/>
        <v>44</v>
      </c>
      <c r="C1694" s="405" t="str">
        <f t="shared" si="209"/>
        <v>第013705号</v>
      </c>
      <c r="D1694" s="405" t="str">
        <f t="shared" si="210"/>
        <v>（株）川邊組</v>
      </c>
      <c r="E1694" s="405" t="str">
        <f t="shared" si="211"/>
        <v>代表取締役</v>
      </c>
      <c r="F1694" s="405" t="str">
        <f t="shared" si="212"/>
        <v>三浦　甲城</v>
      </c>
      <c r="G1694" s="405" t="str">
        <f t="shared" si="213"/>
        <v>主たる営業所</v>
      </c>
      <c r="H1694" s="405" t="str">
        <f t="shared" si="214"/>
        <v>豊後大野市三重町市場８４７</v>
      </c>
      <c r="L1694" s="403" t="s">
        <v>11310</v>
      </c>
      <c r="M1694" s="403" t="s">
        <v>11311</v>
      </c>
      <c r="N1694" s="403" t="s">
        <v>4549</v>
      </c>
      <c r="O1694" s="403" t="s">
        <v>7084</v>
      </c>
      <c r="P1694" s="403" t="s">
        <v>5269</v>
      </c>
      <c r="Q1694" s="403" t="s">
        <v>10255</v>
      </c>
      <c r="R1694" s="403" t="s">
        <v>5667</v>
      </c>
      <c r="S1694" s="403" t="s">
        <v>17040</v>
      </c>
      <c r="T1694" s="403" t="s">
        <v>17041</v>
      </c>
      <c r="U1694" s="403"/>
      <c r="V1694" s="403" t="s">
        <v>23024</v>
      </c>
      <c r="W1694" s="403" t="s">
        <v>23024</v>
      </c>
      <c r="X1694" s="403" t="s">
        <v>23024</v>
      </c>
      <c r="Y1694" s="403" t="s">
        <v>23024</v>
      </c>
    </row>
    <row r="1695" spans="1:25">
      <c r="A1695" s="363">
        <f t="shared" si="215"/>
        <v>1694</v>
      </c>
      <c r="B1695" s="363" t="str">
        <f t="shared" si="208"/>
        <v>44</v>
      </c>
      <c r="C1695" s="405" t="str">
        <f t="shared" si="209"/>
        <v>第013706号</v>
      </c>
      <c r="D1695" s="405" t="str">
        <f t="shared" si="210"/>
        <v>詫磨環境（株）</v>
      </c>
      <c r="E1695" s="405" t="str">
        <f t="shared" si="211"/>
        <v>代表取締役</v>
      </c>
      <c r="F1695" s="405" t="str">
        <f t="shared" si="212"/>
        <v>詫磨　康雄</v>
      </c>
      <c r="G1695" s="405" t="str">
        <f t="shared" si="213"/>
        <v>主たる営業所</v>
      </c>
      <c r="H1695" s="405" t="str">
        <f t="shared" si="214"/>
        <v>大分市大手町１－２－１</v>
      </c>
      <c r="L1695" s="403" t="s">
        <v>11312</v>
      </c>
      <c r="M1695" s="403" t="s">
        <v>11313</v>
      </c>
      <c r="N1695" s="403" t="s">
        <v>4550</v>
      </c>
      <c r="O1695" s="403" t="s">
        <v>7084</v>
      </c>
      <c r="P1695" s="403" t="s">
        <v>4551</v>
      </c>
      <c r="Q1695" s="403" t="s">
        <v>7475</v>
      </c>
      <c r="R1695" s="403" t="s">
        <v>20063</v>
      </c>
      <c r="S1695" s="403" t="s">
        <v>17042</v>
      </c>
      <c r="T1695" s="403" t="s">
        <v>17043</v>
      </c>
      <c r="U1695" s="403"/>
      <c r="V1695" s="403" t="s">
        <v>23024</v>
      </c>
      <c r="W1695" s="403" t="s">
        <v>23024</v>
      </c>
      <c r="X1695" s="403" t="s">
        <v>23024</v>
      </c>
      <c r="Y1695" s="403" t="s">
        <v>23024</v>
      </c>
    </row>
    <row r="1696" spans="1:25">
      <c r="A1696" s="363">
        <f t="shared" si="215"/>
        <v>1695</v>
      </c>
      <c r="B1696" s="363" t="str">
        <f t="shared" si="208"/>
        <v>44</v>
      </c>
      <c r="C1696" s="405" t="str">
        <f t="shared" si="209"/>
        <v>第013708号</v>
      </c>
      <c r="D1696" s="405" t="str">
        <f t="shared" si="210"/>
        <v>（株）豊龍技建</v>
      </c>
      <c r="E1696" s="405" t="str">
        <f t="shared" si="211"/>
        <v>代表取締役</v>
      </c>
      <c r="F1696" s="405" t="str">
        <f t="shared" si="212"/>
        <v>板井　雄一郎</v>
      </c>
      <c r="G1696" s="405" t="str">
        <f t="shared" si="213"/>
        <v>主たる営業所</v>
      </c>
      <c r="H1696" s="405" t="str">
        <f t="shared" si="214"/>
        <v>臼杵市大字臼杵２－１０７－７２８</v>
      </c>
      <c r="L1696" s="403" t="s">
        <v>11314</v>
      </c>
      <c r="M1696" s="403" t="s">
        <v>11315</v>
      </c>
      <c r="N1696" s="403" t="s">
        <v>4552</v>
      </c>
      <c r="O1696" s="403" t="s">
        <v>7084</v>
      </c>
      <c r="P1696" s="403" t="s">
        <v>4553</v>
      </c>
      <c r="Q1696" s="403" t="s">
        <v>7757</v>
      </c>
      <c r="R1696" s="403" t="s">
        <v>20064</v>
      </c>
      <c r="S1696" s="403" t="s">
        <v>17044</v>
      </c>
      <c r="T1696" s="403" t="s">
        <v>20065</v>
      </c>
      <c r="U1696" s="403"/>
      <c r="V1696" s="403" t="s">
        <v>23024</v>
      </c>
      <c r="W1696" s="403" t="s">
        <v>23024</v>
      </c>
      <c r="X1696" s="403" t="s">
        <v>23024</v>
      </c>
      <c r="Y1696" s="403" t="s">
        <v>23024</v>
      </c>
    </row>
    <row r="1697" spans="1:25">
      <c r="A1697" s="363">
        <f t="shared" si="215"/>
        <v>1696</v>
      </c>
      <c r="B1697" s="363" t="str">
        <f t="shared" si="208"/>
        <v>44</v>
      </c>
      <c r="C1697" s="405" t="str">
        <f t="shared" si="209"/>
        <v>第013711号</v>
      </c>
      <c r="D1697" s="405" t="str">
        <f t="shared" si="210"/>
        <v>（株）Ｃ・Ｗ・Ｅ</v>
      </c>
      <c r="E1697" s="405" t="str">
        <f t="shared" si="211"/>
        <v>代表取締役</v>
      </c>
      <c r="F1697" s="405" t="str">
        <f t="shared" si="212"/>
        <v>古手川　哲</v>
      </c>
      <c r="G1697" s="405" t="str">
        <f t="shared" si="213"/>
        <v>主たる営業所</v>
      </c>
      <c r="H1697" s="405" t="str">
        <f t="shared" si="214"/>
        <v>大分市大字片島７１１</v>
      </c>
      <c r="L1697" s="403" t="s">
        <v>11316</v>
      </c>
      <c r="M1697" s="403" t="s">
        <v>20066</v>
      </c>
      <c r="N1697" s="403" t="s">
        <v>4554</v>
      </c>
      <c r="O1697" s="403" t="s">
        <v>7084</v>
      </c>
      <c r="P1697" s="403" t="s">
        <v>1574</v>
      </c>
      <c r="Q1697" s="403" t="s">
        <v>7528</v>
      </c>
      <c r="R1697" s="403" t="s">
        <v>5668</v>
      </c>
      <c r="S1697" s="403" t="s">
        <v>17045</v>
      </c>
      <c r="T1697" s="403" t="s">
        <v>17046</v>
      </c>
      <c r="U1697" s="403"/>
      <c r="V1697" s="403" t="s">
        <v>23024</v>
      </c>
      <c r="W1697" s="403" t="s">
        <v>23024</v>
      </c>
      <c r="X1697" s="403" t="s">
        <v>23024</v>
      </c>
      <c r="Y1697" s="403" t="s">
        <v>23024</v>
      </c>
    </row>
    <row r="1698" spans="1:25">
      <c r="A1698" s="363">
        <f t="shared" si="215"/>
        <v>1697</v>
      </c>
      <c r="B1698" s="363" t="str">
        <f t="shared" si="208"/>
        <v>44</v>
      </c>
      <c r="C1698" s="405" t="str">
        <f t="shared" si="209"/>
        <v>第013713号</v>
      </c>
      <c r="D1698" s="405" t="str">
        <f t="shared" si="210"/>
        <v>（株）ショウナン</v>
      </c>
      <c r="E1698" s="405" t="str">
        <f t="shared" si="211"/>
        <v>代表取締役</v>
      </c>
      <c r="F1698" s="405" t="str">
        <f t="shared" si="212"/>
        <v>石橋　正吾</v>
      </c>
      <c r="G1698" s="405" t="str">
        <f t="shared" si="213"/>
        <v>主たる営業所</v>
      </c>
      <c r="H1698" s="405" t="str">
        <f t="shared" si="214"/>
        <v>佐伯市弥生大字井崎１５３２－１</v>
      </c>
      <c r="L1698" s="403" t="s">
        <v>11317</v>
      </c>
      <c r="M1698" s="403" t="s">
        <v>11318</v>
      </c>
      <c r="N1698" s="403" t="s">
        <v>4555</v>
      </c>
      <c r="O1698" s="403" t="s">
        <v>7084</v>
      </c>
      <c r="P1698" s="403" t="s">
        <v>4556</v>
      </c>
      <c r="Q1698" s="403" t="s">
        <v>8486</v>
      </c>
      <c r="R1698" s="403" t="s">
        <v>20067</v>
      </c>
      <c r="S1698" s="403" t="s">
        <v>17047</v>
      </c>
      <c r="T1698" s="403" t="s">
        <v>17047</v>
      </c>
      <c r="U1698" s="403"/>
      <c r="V1698" s="403" t="s">
        <v>23024</v>
      </c>
      <c r="W1698" s="403" t="s">
        <v>23024</v>
      </c>
      <c r="X1698" s="403" t="s">
        <v>23024</v>
      </c>
      <c r="Y1698" s="403" t="s">
        <v>23024</v>
      </c>
    </row>
    <row r="1699" spans="1:25">
      <c r="A1699" s="363">
        <f t="shared" si="215"/>
        <v>1698</v>
      </c>
      <c r="B1699" s="363" t="str">
        <f t="shared" si="208"/>
        <v>44</v>
      </c>
      <c r="C1699" s="405" t="str">
        <f t="shared" si="209"/>
        <v>第013718号</v>
      </c>
      <c r="D1699" s="405" t="str">
        <f t="shared" si="210"/>
        <v>（有）クボタ空調サービス</v>
      </c>
      <c r="E1699" s="405" t="str">
        <f t="shared" si="211"/>
        <v>代表取締役</v>
      </c>
      <c r="F1699" s="405" t="str">
        <f t="shared" si="212"/>
        <v>久保田　哲也</v>
      </c>
      <c r="G1699" s="405" t="str">
        <f t="shared" si="213"/>
        <v>主たる営業所</v>
      </c>
      <c r="H1699" s="405" t="str">
        <f t="shared" si="214"/>
        <v>大分市三佐２－６－２</v>
      </c>
      <c r="L1699" s="403" t="s">
        <v>11319</v>
      </c>
      <c r="M1699" s="403" t="s">
        <v>11320</v>
      </c>
      <c r="N1699" s="403" t="s">
        <v>4557</v>
      </c>
      <c r="O1699" s="403" t="s">
        <v>7084</v>
      </c>
      <c r="P1699" s="403" t="s">
        <v>4558</v>
      </c>
      <c r="Q1699" s="403" t="s">
        <v>7413</v>
      </c>
      <c r="R1699" s="403" t="s">
        <v>20068</v>
      </c>
      <c r="S1699" s="403" t="s">
        <v>17048</v>
      </c>
      <c r="T1699" s="403" t="s">
        <v>17049</v>
      </c>
      <c r="U1699" s="403"/>
      <c r="V1699" s="403" t="s">
        <v>23024</v>
      </c>
      <c r="W1699" s="403" t="s">
        <v>23024</v>
      </c>
      <c r="X1699" s="403" t="s">
        <v>23024</v>
      </c>
      <c r="Y1699" s="403" t="s">
        <v>23024</v>
      </c>
    </row>
    <row r="1700" spans="1:25">
      <c r="A1700" s="363">
        <f t="shared" si="215"/>
        <v>1699</v>
      </c>
      <c r="B1700" s="363" t="str">
        <f t="shared" si="208"/>
        <v>44</v>
      </c>
      <c r="C1700" s="405" t="str">
        <f t="shared" si="209"/>
        <v>第013721号</v>
      </c>
      <c r="D1700" s="405" t="str">
        <f t="shared" si="210"/>
        <v>（株）山功</v>
      </c>
      <c r="E1700" s="405" t="str">
        <f t="shared" si="211"/>
        <v>代表取締役</v>
      </c>
      <c r="F1700" s="405" t="str">
        <f t="shared" si="212"/>
        <v>山本　光敏</v>
      </c>
      <c r="G1700" s="405" t="str">
        <f t="shared" si="213"/>
        <v>主たる営業所</v>
      </c>
      <c r="H1700" s="405" t="str">
        <f t="shared" si="214"/>
        <v>杵築市大字杵築７０５－５</v>
      </c>
      <c r="L1700" s="403" t="s">
        <v>11321</v>
      </c>
      <c r="M1700" s="403" t="s">
        <v>11322</v>
      </c>
      <c r="N1700" s="403" t="s">
        <v>4559</v>
      </c>
      <c r="O1700" s="403" t="s">
        <v>7084</v>
      </c>
      <c r="P1700" s="403" t="s">
        <v>4560</v>
      </c>
      <c r="Q1700" s="403" t="s">
        <v>7637</v>
      </c>
      <c r="R1700" s="403" t="s">
        <v>20069</v>
      </c>
      <c r="S1700" s="403" t="s">
        <v>17050</v>
      </c>
      <c r="T1700" s="403" t="s">
        <v>17050</v>
      </c>
      <c r="U1700" s="403"/>
      <c r="V1700" s="403" t="s">
        <v>23024</v>
      </c>
      <c r="W1700" s="403" t="s">
        <v>23024</v>
      </c>
      <c r="X1700" s="403" t="s">
        <v>23024</v>
      </c>
      <c r="Y1700" s="403" t="s">
        <v>23024</v>
      </c>
    </row>
    <row r="1701" spans="1:25">
      <c r="A1701" s="363">
        <f t="shared" si="215"/>
        <v>1700</v>
      </c>
      <c r="B1701" s="363" t="str">
        <f t="shared" si="208"/>
        <v>44</v>
      </c>
      <c r="C1701" s="405" t="str">
        <f t="shared" si="209"/>
        <v>第013722号</v>
      </c>
      <c r="D1701" s="405" t="str">
        <f t="shared" si="210"/>
        <v>（株）Ｋ’ｓｄｅｓｉｇｎ</v>
      </c>
      <c r="E1701" s="405" t="str">
        <f t="shared" si="211"/>
        <v>代表取締役</v>
      </c>
      <c r="F1701" s="405" t="str">
        <f t="shared" si="212"/>
        <v>久保田　哲久</v>
      </c>
      <c r="G1701" s="405" t="str">
        <f t="shared" si="213"/>
        <v>主たる営業所</v>
      </c>
      <c r="H1701" s="405" t="str">
        <f t="shared" si="214"/>
        <v>豊後大野市三重町赤嶺２５７１－６</v>
      </c>
      <c r="L1701" s="403" t="s">
        <v>11323</v>
      </c>
      <c r="M1701" s="403" t="s">
        <v>11324</v>
      </c>
      <c r="N1701" s="403" t="s">
        <v>4561</v>
      </c>
      <c r="O1701" s="403" t="s">
        <v>7084</v>
      </c>
      <c r="P1701" s="403" t="s">
        <v>4562</v>
      </c>
      <c r="Q1701" s="403" t="s">
        <v>7879</v>
      </c>
      <c r="R1701" s="403" t="s">
        <v>20070</v>
      </c>
      <c r="S1701" s="403" t="s">
        <v>17051</v>
      </c>
      <c r="T1701" s="403" t="s">
        <v>17052</v>
      </c>
      <c r="U1701" s="403"/>
      <c r="V1701" s="403" t="s">
        <v>23024</v>
      </c>
      <c r="W1701" s="403" t="s">
        <v>23024</v>
      </c>
      <c r="X1701" s="403" t="s">
        <v>23024</v>
      </c>
      <c r="Y1701" s="403" t="s">
        <v>23024</v>
      </c>
    </row>
    <row r="1702" spans="1:25">
      <c r="A1702" s="363">
        <f t="shared" si="215"/>
        <v>1701</v>
      </c>
      <c r="B1702" s="363" t="str">
        <f t="shared" si="208"/>
        <v>44</v>
      </c>
      <c r="C1702" s="405" t="str">
        <f t="shared" si="209"/>
        <v>第013723号</v>
      </c>
      <c r="D1702" s="405" t="str">
        <f t="shared" si="210"/>
        <v>（株）ハラハウス</v>
      </c>
      <c r="E1702" s="405" t="str">
        <f t="shared" si="211"/>
        <v>代表取締役</v>
      </c>
      <c r="F1702" s="405" t="str">
        <f t="shared" si="212"/>
        <v>梶原　将志</v>
      </c>
      <c r="G1702" s="405" t="str">
        <f t="shared" si="213"/>
        <v>主たる営業所</v>
      </c>
      <c r="H1702" s="405" t="str">
        <f t="shared" si="214"/>
        <v>日田市大字石井３４４－１</v>
      </c>
      <c r="L1702" s="404" t="s">
        <v>11325</v>
      </c>
      <c r="M1702" s="404" t="s">
        <v>11326</v>
      </c>
      <c r="N1702" s="404" t="s">
        <v>4563</v>
      </c>
      <c r="O1702" s="404" t="s">
        <v>7084</v>
      </c>
      <c r="P1702" s="404" t="s">
        <v>20071</v>
      </c>
      <c r="Q1702" s="404" t="s">
        <v>8573</v>
      </c>
      <c r="R1702" s="404" t="s">
        <v>20072</v>
      </c>
      <c r="S1702" s="404" t="s">
        <v>17053</v>
      </c>
      <c r="T1702" s="404" t="s">
        <v>17054</v>
      </c>
      <c r="U1702" s="404"/>
      <c r="V1702" s="404" t="s">
        <v>23024</v>
      </c>
      <c r="W1702" s="404" t="s">
        <v>23024</v>
      </c>
      <c r="X1702" s="404" t="s">
        <v>23024</v>
      </c>
      <c r="Y1702" s="404" t="s">
        <v>23024</v>
      </c>
    </row>
    <row r="1703" spans="1:25">
      <c r="A1703" s="363">
        <f t="shared" si="215"/>
        <v>1702</v>
      </c>
      <c r="B1703" s="363" t="str">
        <f t="shared" si="208"/>
        <v>44</v>
      </c>
      <c r="C1703" s="405" t="str">
        <f t="shared" si="209"/>
        <v>第013724号</v>
      </c>
      <c r="D1703" s="405" t="str">
        <f t="shared" si="210"/>
        <v>（株）エンジェル</v>
      </c>
      <c r="E1703" s="405" t="str">
        <f t="shared" si="211"/>
        <v>代表取締役</v>
      </c>
      <c r="F1703" s="405" t="str">
        <f t="shared" si="212"/>
        <v>赤迫　弘幸</v>
      </c>
      <c r="G1703" s="405" t="str">
        <f t="shared" si="213"/>
        <v>主たる営業所</v>
      </c>
      <c r="H1703" s="405" t="str">
        <f t="shared" si="214"/>
        <v>佐伯市葛港８－１５</v>
      </c>
      <c r="L1703" s="402" t="s">
        <v>11327</v>
      </c>
      <c r="M1703" s="402" t="s">
        <v>11328</v>
      </c>
      <c r="N1703" s="402" t="s">
        <v>4564</v>
      </c>
      <c r="O1703" s="402" t="s">
        <v>7084</v>
      </c>
      <c r="P1703" s="402" t="s">
        <v>5272</v>
      </c>
      <c r="Q1703" s="402" t="s">
        <v>11329</v>
      </c>
      <c r="R1703" s="402" t="s">
        <v>20073</v>
      </c>
      <c r="S1703" s="402" t="s">
        <v>17055</v>
      </c>
      <c r="T1703" s="402" t="s">
        <v>17056</v>
      </c>
      <c r="U1703" s="402"/>
      <c r="V1703" s="402" t="s">
        <v>23024</v>
      </c>
      <c r="W1703" s="402" t="s">
        <v>23024</v>
      </c>
      <c r="X1703" s="402" t="s">
        <v>23024</v>
      </c>
      <c r="Y1703" s="402" t="s">
        <v>23024</v>
      </c>
    </row>
    <row r="1704" spans="1:25">
      <c r="A1704" s="363">
        <f t="shared" si="215"/>
        <v>1703</v>
      </c>
      <c r="B1704" s="363" t="str">
        <f t="shared" si="208"/>
        <v>44</v>
      </c>
      <c r="C1704" s="405" t="str">
        <f t="shared" si="209"/>
        <v>第013727号</v>
      </c>
      <c r="D1704" s="405" t="str">
        <f t="shared" si="210"/>
        <v>（有）廣心工業</v>
      </c>
      <c r="E1704" s="405" t="str">
        <f t="shared" si="211"/>
        <v>代表取締役</v>
      </c>
      <c r="F1704" s="405" t="str">
        <f t="shared" si="212"/>
        <v>金子　廣士</v>
      </c>
      <c r="G1704" s="405" t="str">
        <f t="shared" si="213"/>
        <v>主たる営業所</v>
      </c>
      <c r="H1704" s="405" t="str">
        <f t="shared" si="214"/>
        <v>杵築市山香町大字立石２１９７－１</v>
      </c>
      <c r="L1704" s="403" t="s">
        <v>11330</v>
      </c>
      <c r="M1704" s="403" t="s">
        <v>11331</v>
      </c>
      <c r="N1704" s="403" t="s">
        <v>4565</v>
      </c>
      <c r="O1704" s="403" t="s">
        <v>7084</v>
      </c>
      <c r="P1704" s="403" t="s">
        <v>4566</v>
      </c>
      <c r="Q1704" s="403" t="s">
        <v>10175</v>
      </c>
      <c r="R1704" s="403" t="s">
        <v>20074</v>
      </c>
      <c r="S1704" s="403" t="s">
        <v>17057</v>
      </c>
      <c r="T1704" s="403" t="s">
        <v>17058</v>
      </c>
      <c r="U1704" s="403"/>
      <c r="V1704" s="403" t="s">
        <v>23024</v>
      </c>
      <c r="W1704" s="403" t="s">
        <v>23024</v>
      </c>
      <c r="X1704" s="403" t="s">
        <v>23024</v>
      </c>
      <c r="Y1704" s="403" t="s">
        <v>23024</v>
      </c>
    </row>
    <row r="1705" spans="1:25">
      <c r="A1705" s="363">
        <f t="shared" si="215"/>
        <v>1704</v>
      </c>
      <c r="B1705" s="363" t="str">
        <f t="shared" si="208"/>
        <v>44</v>
      </c>
      <c r="C1705" s="405" t="str">
        <f t="shared" si="209"/>
        <v>第013728号</v>
      </c>
      <c r="D1705" s="405" t="str">
        <f t="shared" si="210"/>
        <v>大分環境（株）</v>
      </c>
      <c r="E1705" s="405" t="str">
        <f t="shared" si="211"/>
        <v>代表取締役</v>
      </c>
      <c r="F1705" s="405" t="str">
        <f t="shared" si="212"/>
        <v>赤嶺　八代子</v>
      </c>
      <c r="G1705" s="405" t="str">
        <f t="shared" si="213"/>
        <v>主たる営業所</v>
      </c>
      <c r="H1705" s="405" t="str">
        <f t="shared" si="214"/>
        <v>豊後大野市三重町小坂３７６７－２</v>
      </c>
      <c r="L1705" s="403" t="s">
        <v>11332</v>
      </c>
      <c r="M1705" s="403" t="s">
        <v>11333</v>
      </c>
      <c r="N1705" s="403" t="s">
        <v>4567</v>
      </c>
      <c r="O1705" s="403" t="s">
        <v>7084</v>
      </c>
      <c r="P1705" s="403" t="s">
        <v>4568</v>
      </c>
      <c r="Q1705" s="403" t="s">
        <v>9084</v>
      </c>
      <c r="R1705" s="403" t="s">
        <v>20075</v>
      </c>
      <c r="S1705" s="403" t="s">
        <v>17059</v>
      </c>
      <c r="T1705" s="403" t="s">
        <v>17060</v>
      </c>
      <c r="U1705" s="403"/>
      <c r="V1705" s="403" t="s">
        <v>23024</v>
      </c>
      <c r="W1705" s="403" t="s">
        <v>23024</v>
      </c>
      <c r="X1705" s="403" t="s">
        <v>23024</v>
      </c>
      <c r="Y1705" s="403" t="s">
        <v>23024</v>
      </c>
    </row>
    <row r="1706" spans="1:25">
      <c r="A1706" s="363">
        <f t="shared" si="215"/>
        <v>1705</v>
      </c>
      <c r="B1706" s="363" t="str">
        <f t="shared" si="208"/>
        <v>44</v>
      </c>
      <c r="C1706" s="405" t="str">
        <f t="shared" si="209"/>
        <v>第013732号</v>
      </c>
      <c r="D1706" s="405" t="str">
        <f t="shared" si="210"/>
        <v>大晃企画（株）</v>
      </c>
      <c r="E1706" s="405" t="str">
        <f t="shared" si="211"/>
        <v>代表取締役</v>
      </c>
      <c r="F1706" s="405" t="str">
        <f t="shared" si="212"/>
        <v>上杉　康彦</v>
      </c>
      <c r="G1706" s="405" t="str">
        <f t="shared" si="213"/>
        <v>主たる営業所</v>
      </c>
      <c r="H1706" s="405" t="str">
        <f t="shared" si="214"/>
        <v>杵築市大字相原３０３－３</v>
      </c>
      <c r="L1706" s="403" t="s">
        <v>11334</v>
      </c>
      <c r="M1706" s="403" t="s">
        <v>11335</v>
      </c>
      <c r="N1706" s="403" t="s">
        <v>4569</v>
      </c>
      <c r="O1706" s="403" t="s">
        <v>7084</v>
      </c>
      <c r="P1706" s="403" t="s">
        <v>4570</v>
      </c>
      <c r="Q1706" s="403" t="s">
        <v>8358</v>
      </c>
      <c r="R1706" s="403" t="s">
        <v>20076</v>
      </c>
      <c r="S1706" s="403" t="s">
        <v>17061</v>
      </c>
      <c r="T1706" s="403" t="s">
        <v>17061</v>
      </c>
      <c r="U1706" s="403"/>
      <c r="V1706" s="403" t="s">
        <v>23024</v>
      </c>
      <c r="W1706" s="403" t="s">
        <v>23024</v>
      </c>
      <c r="X1706" s="403" t="s">
        <v>23024</v>
      </c>
      <c r="Y1706" s="403" t="s">
        <v>23024</v>
      </c>
    </row>
    <row r="1707" spans="1:25">
      <c r="A1707" s="363">
        <f t="shared" si="215"/>
        <v>1706</v>
      </c>
      <c r="B1707" s="363" t="str">
        <f t="shared" si="208"/>
        <v>44</v>
      </c>
      <c r="C1707" s="405" t="str">
        <f t="shared" si="209"/>
        <v>第013739号</v>
      </c>
      <c r="D1707" s="405" t="str">
        <f t="shared" si="210"/>
        <v>悠伸建設（株）</v>
      </c>
      <c r="E1707" s="405" t="str">
        <f t="shared" si="211"/>
        <v>代表取締役</v>
      </c>
      <c r="F1707" s="405" t="str">
        <f t="shared" si="212"/>
        <v>姫野　伸雄</v>
      </c>
      <c r="G1707" s="405" t="str">
        <f t="shared" si="213"/>
        <v>主たる営業所</v>
      </c>
      <c r="H1707" s="405" t="str">
        <f t="shared" si="214"/>
        <v>大分市大字入蔵１３４－１</v>
      </c>
      <c r="L1707" s="403" t="s">
        <v>11336</v>
      </c>
      <c r="M1707" s="403" t="s">
        <v>11337</v>
      </c>
      <c r="N1707" s="403" t="s">
        <v>4571</v>
      </c>
      <c r="O1707" s="403" t="s">
        <v>7084</v>
      </c>
      <c r="P1707" s="403" t="s">
        <v>4572</v>
      </c>
      <c r="Q1707" s="403" t="s">
        <v>11338</v>
      </c>
      <c r="R1707" s="403" t="s">
        <v>20077</v>
      </c>
      <c r="S1707" s="403" t="s">
        <v>17062</v>
      </c>
      <c r="T1707" s="403" t="s">
        <v>17063</v>
      </c>
      <c r="U1707" s="403"/>
      <c r="V1707" s="403" t="s">
        <v>23024</v>
      </c>
      <c r="W1707" s="403" t="s">
        <v>23024</v>
      </c>
      <c r="X1707" s="403" t="s">
        <v>23024</v>
      </c>
      <c r="Y1707" s="403" t="s">
        <v>23024</v>
      </c>
    </row>
    <row r="1708" spans="1:25">
      <c r="A1708" s="363">
        <f t="shared" si="215"/>
        <v>1707</v>
      </c>
      <c r="B1708" s="363" t="str">
        <f t="shared" si="208"/>
        <v>44</v>
      </c>
      <c r="C1708" s="405" t="str">
        <f t="shared" si="209"/>
        <v>第013740号</v>
      </c>
      <c r="D1708" s="405" t="str">
        <f t="shared" si="210"/>
        <v>大神電気（株）</v>
      </c>
      <c r="E1708" s="405" t="str">
        <f t="shared" si="211"/>
        <v>代表取締役</v>
      </c>
      <c r="F1708" s="405" t="str">
        <f t="shared" si="212"/>
        <v>谷口　敏久</v>
      </c>
      <c r="G1708" s="405" t="str">
        <f t="shared" si="213"/>
        <v>主たる営業所</v>
      </c>
      <c r="H1708" s="405" t="str">
        <f t="shared" si="214"/>
        <v>速見郡日出町大字大神３１４３</v>
      </c>
      <c r="L1708" s="403" t="s">
        <v>11339</v>
      </c>
      <c r="M1708" s="403" t="s">
        <v>11340</v>
      </c>
      <c r="N1708" s="403" t="s">
        <v>4573</v>
      </c>
      <c r="O1708" s="403" t="s">
        <v>7084</v>
      </c>
      <c r="P1708" s="403" t="s">
        <v>4574</v>
      </c>
      <c r="Q1708" s="403" t="s">
        <v>8382</v>
      </c>
      <c r="R1708" s="403" t="s">
        <v>20078</v>
      </c>
      <c r="S1708" s="403" t="s">
        <v>17064</v>
      </c>
      <c r="T1708" s="403" t="s">
        <v>17065</v>
      </c>
      <c r="U1708" s="403"/>
      <c r="V1708" s="403" t="s">
        <v>23024</v>
      </c>
      <c r="W1708" s="403" t="s">
        <v>23024</v>
      </c>
      <c r="X1708" s="403" t="s">
        <v>23024</v>
      </c>
      <c r="Y1708" s="403" t="s">
        <v>23024</v>
      </c>
    </row>
    <row r="1709" spans="1:25">
      <c r="A1709" s="363">
        <f t="shared" si="215"/>
        <v>1708</v>
      </c>
      <c r="B1709" s="363" t="str">
        <f t="shared" si="208"/>
        <v>44</v>
      </c>
      <c r="C1709" s="405" t="str">
        <f t="shared" si="209"/>
        <v>第013743号</v>
      </c>
      <c r="D1709" s="405" t="str">
        <f t="shared" si="210"/>
        <v>（有）豊国産業</v>
      </c>
      <c r="E1709" s="405" t="str">
        <f t="shared" si="211"/>
        <v>代表取締役</v>
      </c>
      <c r="F1709" s="405" t="str">
        <f t="shared" si="212"/>
        <v>日名子　啓</v>
      </c>
      <c r="G1709" s="405" t="str">
        <f t="shared" si="213"/>
        <v>主たる営業所</v>
      </c>
      <c r="H1709" s="405" t="str">
        <f t="shared" si="214"/>
        <v>豊後高田市来縄２１７２－１</v>
      </c>
      <c r="L1709" s="403" t="s">
        <v>11341</v>
      </c>
      <c r="M1709" s="403" t="s">
        <v>11342</v>
      </c>
      <c r="N1709" s="403" t="s">
        <v>4575</v>
      </c>
      <c r="O1709" s="403" t="s">
        <v>7084</v>
      </c>
      <c r="P1709" s="403" t="s">
        <v>4576</v>
      </c>
      <c r="Q1709" s="403" t="s">
        <v>7663</v>
      </c>
      <c r="R1709" s="403" t="s">
        <v>20079</v>
      </c>
      <c r="S1709" s="403" t="s">
        <v>17066</v>
      </c>
      <c r="T1709" s="403" t="s">
        <v>17067</v>
      </c>
      <c r="U1709" s="403"/>
      <c r="V1709" s="403" t="s">
        <v>23024</v>
      </c>
      <c r="W1709" s="403" t="s">
        <v>23024</v>
      </c>
      <c r="X1709" s="403" t="s">
        <v>23024</v>
      </c>
      <c r="Y1709" s="403" t="s">
        <v>23024</v>
      </c>
    </row>
    <row r="1710" spans="1:25">
      <c r="A1710" s="363">
        <f t="shared" si="215"/>
        <v>1709</v>
      </c>
      <c r="B1710" s="363" t="str">
        <f t="shared" si="208"/>
        <v>44</v>
      </c>
      <c r="C1710" s="405" t="str">
        <f t="shared" si="209"/>
        <v>第013745号</v>
      </c>
      <c r="D1710" s="405" t="str">
        <f t="shared" si="210"/>
        <v>（株）東陽企画</v>
      </c>
      <c r="E1710" s="405" t="str">
        <f t="shared" si="211"/>
        <v>代表取締役</v>
      </c>
      <c r="F1710" s="405" t="str">
        <f t="shared" si="212"/>
        <v>改　光将</v>
      </c>
      <c r="G1710" s="405" t="str">
        <f t="shared" si="213"/>
        <v>主たる営業所</v>
      </c>
      <c r="H1710" s="405" t="str">
        <f t="shared" si="214"/>
        <v>大分市大字中判田１２４－１</v>
      </c>
      <c r="L1710" s="403" t="s">
        <v>11343</v>
      </c>
      <c r="M1710" s="403" t="s">
        <v>11344</v>
      </c>
      <c r="N1710" s="403" t="s">
        <v>4577</v>
      </c>
      <c r="O1710" s="403" t="s">
        <v>7084</v>
      </c>
      <c r="P1710" s="403" t="s">
        <v>4578</v>
      </c>
      <c r="Q1710" s="403" t="s">
        <v>7542</v>
      </c>
      <c r="R1710" s="403" t="s">
        <v>19716</v>
      </c>
      <c r="S1710" s="403" t="s">
        <v>17068</v>
      </c>
      <c r="T1710" s="403" t="s">
        <v>16413</v>
      </c>
      <c r="U1710" s="403"/>
      <c r="V1710" s="403" t="s">
        <v>23024</v>
      </c>
      <c r="W1710" s="403" t="s">
        <v>23024</v>
      </c>
      <c r="X1710" s="403" t="s">
        <v>23024</v>
      </c>
      <c r="Y1710" s="403" t="s">
        <v>23024</v>
      </c>
    </row>
    <row r="1711" spans="1:25">
      <c r="A1711" s="363">
        <f t="shared" si="215"/>
        <v>1710</v>
      </c>
      <c r="B1711" s="363" t="str">
        <f t="shared" si="208"/>
        <v>44</v>
      </c>
      <c r="C1711" s="405" t="str">
        <f t="shared" si="209"/>
        <v>第013747号</v>
      </c>
      <c r="D1711" s="405" t="str">
        <f t="shared" si="210"/>
        <v>（有）ふたばの</v>
      </c>
      <c r="E1711" s="405" t="str">
        <f t="shared" si="211"/>
        <v>代表取締役</v>
      </c>
      <c r="F1711" s="405" t="str">
        <f t="shared" si="212"/>
        <v>北江　千春</v>
      </c>
      <c r="G1711" s="405" t="str">
        <f t="shared" si="213"/>
        <v>主たる営業所</v>
      </c>
      <c r="H1711" s="405" t="str">
        <f t="shared" si="214"/>
        <v>豊後大野市大野町酒井寺５９－２</v>
      </c>
      <c r="L1711" s="403" t="s">
        <v>11345</v>
      </c>
      <c r="M1711" s="403" t="s">
        <v>11346</v>
      </c>
      <c r="N1711" s="403" t="s">
        <v>4579</v>
      </c>
      <c r="O1711" s="403" t="s">
        <v>7084</v>
      </c>
      <c r="P1711" s="403" t="s">
        <v>4580</v>
      </c>
      <c r="Q1711" s="403" t="s">
        <v>9066</v>
      </c>
      <c r="R1711" s="403" t="s">
        <v>20080</v>
      </c>
      <c r="S1711" s="403" t="s">
        <v>17069</v>
      </c>
      <c r="T1711" s="403" t="s">
        <v>17069</v>
      </c>
      <c r="U1711" s="403"/>
      <c r="V1711" s="403" t="s">
        <v>23024</v>
      </c>
      <c r="W1711" s="403" t="s">
        <v>23024</v>
      </c>
      <c r="X1711" s="403" t="s">
        <v>23024</v>
      </c>
      <c r="Y1711" s="403" t="s">
        <v>23024</v>
      </c>
    </row>
    <row r="1712" spans="1:25">
      <c r="A1712" s="363">
        <f t="shared" si="215"/>
        <v>1711</v>
      </c>
      <c r="B1712" s="363" t="str">
        <f t="shared" si="208"/>
        <v>44</v>
      </c>
      <c r="C1712" s="405" t="str">
        <f t="shared" si="209"/>
        <v>第013748号</v>
      </c>
      <c r="D1712" s="405" t="str">
        <f t="shared" si="210"/>
        <v>いとう住設</v>
      </c>
      <c r="E1712" s="405" t="str">
        <f t="shared" si="211"/>
        <v>事業主</v>
      </c>
      <c r="F1712" s="405" t="str">
        <f t="shared" si="212"/>
        <v>伊藤　稔</v>
      </c>
      <c r="G1712" s="405" t="str">
        <f t="shared" si="213"/>
        <v>主たる営業所</v>
      </c>
      <c r="H1712" s="405" t="str">
        <f t="shared" si="214"/>
        <v>日田市玉川３－１５１０－４</v>
      </c>
      <c r="L1712" s="403" t="s">
        <v>11347</v>
      </c>
      <c r="M1712" s="403" t="s">
        <v>11348</v>
      </c>
      <c r="N1712" s="403" t="s">
        <v>4581</v>
      </c>
      <c r="O1712" s="403" t="s">
        <v>7088</v>
      </c>
      <c r="P1712" s="403" t="s">
        <v>4582</v>
      </c>
      <c r="Q1712" s="403" t="s">
        <v>8556</v>
      </c>
      <c r="R1712" s="403" t="s">
        <v>20081</v>
      </c>
      <c r="S1712" s="403" t="s">
        <v>17070</v>
      </c>
      <c r="T1712" s="403" t="s">
        <v>17071</v>
      </c>
      <c r="U1712" s="403"/>
      <c r="V1712" s="403" t="s">
        <v>23024</v>
      </c>
      <c r="W1712" s="403" t="s">
        <v>23024</v>
      </c>
      <c r="X1712" s="403" t="s">
        <v>23024</v>
      </c>
      <c r="Y1712" s="403" t="s">
        <v>23024</v>
      </c>
    </row>
    <row r="1713" spans="1:25">
      <c r="A1713" s="363">
        <f t="shared" si="215"/>
        <v>1712</v>
      </c>
      <c r="B1713" s="363" t="str">
        <f t="shared" si="208"/>
        <v>44</v>
      </c>
      <c r="C1713" s="405" t="str">
        <f t="shared" si="209"/>
        <v>第013749号</v>
      </c>
      <c r="D1713" s="405" t="str">
        <f t="shared" si="210"/>
        <v>（株）正栄建設</v>
      </c>
      <c r="E1713" s="405" t="str">
        <f t="shared" si="211"/>
        <v>代表取締役</v>
      </c>
      <c r="F1713" s="405" t="str">
        <f t="shared" si="212"/>
        <v>大友　光正</v>
      </c>
      <c r="G1713" s="405" t="str">
        <f t="shared" si="213"/>
        <v>主たる営業所</v>
      </c>
      <c r="H1713" s="405" t="str">
        <f t="shared" si="214"/>
        <v>国東市国東町富来浦２３４４－６</v>
      </c>
      <c r="L1713" s="403" t="s">
        <v>11349</v>
      </c>
      <c r="M1713" s="403" t="s">
        <v>8963</v>
      </c>
      <c r="N1713" s="403" t="s">
        <v>4583</v>
      </c>
      <c r="O1713" s="403" t="s">
        <v>7084</v>
      </c>
      <c r="P1713" s="403" t="s">
        <v>4584</v>
      </c>
      <c r="Q1713" s="403" t="s">
        <v>7709</v>
      </c>
      <c r="R1713" s="403" t="s">
        <v>20082</v>
      </c>
      <c r="S1713" s="403" t="s">
        <v>17072</v>
      </c>
      <c r="T1713" s="403" t="s">
        <v>17073</v>
      </c>
      <c r="U1713" s="403"/>
      <c r="V1713" s="403" t="s">
        <v>23024</v>
      </c>
      <c r="W1713" s="403" t="s">
        <v>23024</v>
      </c>
      <c r="X1713" s="403" t="s">
        <v>23024</v>
      </c>
      <c r="Y1713" s="403" t="s">
        <v>23024</v>
      </c>
    </row>
    <row r="1714" spans="1:25">
      <c r="A1714" s="363">
        <f t="shared" si="215"/>
        <v>1713</v>
      </c>
      <c r="B1714" s="363" t="str">
        <f t="shared" si="208"/>
        <v>44</v>
      </c>
      <c r="C1714" s="405" t="str">
        <f t="shared" si="209"/>
        <v>第013753号</v>
      </c>
      <c r="D1714" s="405" t="str">
        <f t="shared" si="210"/>
        <v>大分ＡＤＫＫ（有）</v>
      </c>
      <c r="E1714" s="405" t="str">
        <f t="shared" si="211"/>
        <v>代表取締役</v>
      </c>
      <c r="F1714" s="405" t="str">
        <f t="shared" si="212"/>
        <v>安部　照美</v>
      </c>
      <c r="G1714" s="405" t="str">
        <f t="shared" si="213"/>
        <v>主たる営業所</v>
      </c>
      <c r="H1714" s="405" t="str">
        <f t="shared" si="214"/>
        <v>速見郡日出町大字豊岡８０２－２</v>
      </c>
      <c r="L1714" s="403" t="s">
        <v>11350</v>
      </c>
      <c r="M1714" s="403" t="s">
        <v>11351</v>
      </c>
      <c r="N1714" s="403" t="s">
        <v>4585</v>
      </c>
      <c r="O1714" s="403" t="s">
        <v>7084</v>
      </c>
      <c r="P1714" s="403" t="s">
        <v>4586</v>
      </c>
      <c r="Q1714" s="403" t="s">
        <v>8401</v>
      </c>
      <c r="R1714" s="403" t="s">
        <v>20083</v>
      </c>
      <c r="S1714" s="403" t="s">
        <v>17074</v>
      </c>
      <c r="T1714" s="403" t="s">
        <v>17075</v>
      </c>
      <c r="U1714" s="403"/>
      <c r="V1714" s="403" t="s">
        <v>23024</v>
      </c>
      <c r="W1714" s="403" t="s">
        <v>23024</v>
      </c>
      <c r="X1714" s="403" t="s">
        <v>23024</v>
      </c>
      <c r="Y1714" s="403" t="s">
        <v>23024</v>
      </c>
    </row>
    <row r="1715" spans="1:25">
      <c r="A1715" s="363">
        <f t="shared" si="215"/>
        <v>1714</v>
      </c>
      <c r="B1715" s="363" t="str">
        <f t="shared" si="208"/>
        <v>44</v>
      </c>
      <c r="C1715" s="405" t="str">
        <f t="shared" si="209"/>
        <v>第013764号</v>
      </c>
      <c r="D1715" s="405" t="str">
        <f t="shared" si="210"/>
        <v>（有）真空調設備</v>
      </c>
      <c r="E1715" s="405" t="str">
        <f t="shared" si="211"/>
        <v>代表取締役</v>
      </c>
      <c r="F1715" s="405" t="str">
        <f t="shared" si="212"/>
        <v>正福　信二郎</v>
      </c>
      <c r="G1715" s="405" t="str">
        <f t="shared" si="213"/>
        <v>主たる営業所</v>
      </c>
      <c r="H1715" s="405" t="str">
        <f t="shared" si="214"/>
        <v>中津市永添１８６４－２</v>
      </c>
      <c r="L1715" s="403" t="s">
        <v>11352</v>
      </c>
      <c r="M1715" s="403" t="s">
        <v>11353</v>
      </c>
      <c r="N1715" s="403" t="s">
        <v>4587</v>
      </c>
      <c r="O1715" s="403" t="s">
        <v>7084</v>
      </c>
      <c r="P1715" s="403" t="s">
        <v>4588</v>
      </c>
      <c r="Q1715" s="403" t="s">
        <v>8111</v>
      </c>
      <c r="R1715" s="403" t="s">
        <v>20084</v>
      </c>
      <c r="S1715" s="403" t="s">
        <v>17076</v>
      </c>
      <c r="T1715" s="403" t="s">
        <v>17077</v>
      </c>
      <c r="U1715" s="403"/>
      <c r="V1715" s="403" t="s">
        <v>23024</v>
      </c>
      <c r="W1715" s="403" t="s">
        <v>23024</v>
      </c>
      <c r="X1715" s="403" t="s">
        <v>23024</v>
      </c>
      <c r="Y1715" s="403" t="s">
        <v>23024</v>
      </c>
    </row>
    <row r="1716" spans="1:25">
      <c r="A1716" s="363">
        <f t="shared" si="215"/>
        <v>1715</v>
      </c>
      <c r="B1716" s="363" t="str">
        <f t="shared" si="208"/>
        <v>44</v>
      </c>
      <c r="C1716" s="405" t="str">
        <f t="shared" si="209"/>
        <v>第013765号</v>
      </c>
      <c r="D1716" s="405" t="str">
        <f t="shared" si="210"/>
        <v>（有）玖珠森林開発酒井興産</v>
      </c>
      <c r="E1716" s="405" t="str">
        <f t="shared" si="211"/>
        <v>代表取締役</v>
      </c>
      <c r="F1716" s="405" t="str">
        <f t="shared" si="212"/>
        <v>酒井　常隆</v>
      </c>
      <c r="G1716" s="405" t="str">
        <f t="shared" si="213"/>
        <v>主たる営業所</v>
      </c>
      <c r="H1716" s="405" t="str">
        <f t="shared" si="214"/>
        <v>玖珠郡玖珠町大字帆足３６９－３</v>
      </c>
      <c r="L1716" s="403" t="s">
        <v>11354</v>
      </c>
      <c r="M1716" s="403" t="s">
        <v>11355</v>
      </c>
      <c r="N1716" s="403" t="s">
        <v>4589</v>
      </c>
      <c r="O1716" s="403" t="s">
        <v>7084</v>
      </c>
      <c r="P1716" s="403" t="s">
        <v>4590</v>
      </c>
      <c r="Q1716" s="403" t="s">
        <v>7988</v>
      </c>
      <c r="R1716" s="403" t="s">
        <v>20085</v>
      </c>
      <c r="S1716" s="403" t="s">
        <v>17078</v>
      </c>
      <c r="T1716" s="403" t="s">
        <v>17079</v>
      </c>
      <c r="U1716" s="403"/>
      <c r="V1716" s="403" t="s">
        <v>23024</v>
      </c>
      <c r="W1716" s="403" t="s">
        <v>23024</v>
      </c>
      <c r="X1716" s="403" t="s">
        <v>23024</v>
      </c>
      <c r="Y1716" s="403" t="s">
        <v>23024</v>
      </c>
    </row>
    <row r="1717" spans="1:25">
      <c r="A1717" s="363">
        <f t="shared" si="215"/>
        <v>1716</v>
      </c>
      <c r="B1717" s="363" t="str">
        <f t="shared" si="208"/>
        <v>44</v>
      </c>
      <c r="C1717" s="405" t="str">
        <f t="shared" si="209"/>
        <v>第013770号</v>
      </c>
      <c r="D1717" s="405" t="str">
        <f t="shared" si="210"/>
        <v>（有）豊翔テック</v>
      </c>
      <c r="E1717" s="405" t="str">
        <f t="shared" si="211"/>
        <v>代表取締役</v>
      </c>
      <c r="F1717" s="405" t="str">
        <f t="shared" si="212"/>
        <v>森　穣</v>
      </c>
      <c r="G1717" s="405" t="str">
        <f t="shared" si="213"/>
        <v>主たる営業所</v>
      </c>
      <c r="H1717" s="405" t="str">
        <f t="shared" si="214"/>
        <v>大分市萩原２－９－２７</v>
      </c>
      <c r="L1717" s="403" t="s">
        <v>20086</v>
      </c>
      <c r="M1717" s="403" t="s">
        <v>20087</v>
      </c>
      <c r="N1717" s="403" t="s">
        <v>20088</v>
      </c>
      <c r="O1717" s="403" t="s">
        <v>7084</v>
      </c>
      <c r="P1717" s="403" t="s">
        <v>20089</v>
      </c>
      <c r="Q1717" s="403" t="s">
        <v>7394</v>
      </c>
      <c r="R1717" s="403" t="s">
        <v>20090</v>
      </c>
      <c r="S1717" s="403" t="s">
        <v>20091</v>
      </c>
      <c r="T1717" s="403" t="s">
        <v>20092</v>
      </c>
      <c r="U1717" s="403"/>
      <c r="V1717" s="403" t="s">
        <v>23024</v>
      </c>
      <c r="W1717" s="403" t="s">
        <v>23024</v>
      </c>
      <c r="X1717" s="403" t="s">
        <v>23024</v>
      </c>
      <c r="Y1717" s="403" t="s">
        <v>23024</v>
      </c>
    </row>
    <row r="1718" spans="1:25">
      <c r="A1718" s="363">
        <f t="shared" si="215"/>
        <v>1717</v>
      </c>
      <c r="B1718" s="363" t="str">
        <f t="shared" si="208"/>
        <v>44</v>
      </c>
      <c r="C1718" s="405" t="str">
        <f t="shared" si="209"/>
        <v>第013771号</v>
      </c>
      <c r="D1718" s="405" t="str">
        <f t="shared" si="210"/>
        <v>オルタスクリエイト</v>
      </c>
      <c r="E1718" s="405" t="str">
        <f t="shared" si="211"/>
        <v>代表者</v>
      </c>
      <c r="F1718" s="405" t="str">
        <f t="shared" si="212"/>
        <v>稙田　秀隆</v>
      </c>
      <c r="G1718" s="405" t="str">
        <f t="shared" si="213"/>
        <v>主たる営業所</v>
      </c>
      <c r="H1718" s="405" t="str">
        <f t="shared" si="214"/>
        <v>大分市久原中央３－３－２０　サンシティ久原１０２</v>
      </c>
      <c r="L1718" s="403" t="s">
        <v>11356</v>
      </c>
      <c r="M1718" s="403" t="s">
        <v>4591</v>
      </c>
      <c r="N1718" s="403" t="s">
        <v>4591</v>
      </c>
      <c r="O1718" s="403" t="s">
        <v>7086</v>
      </c>
      <c r="P1718" s="403" t="s">
        <v>4592</v>
      </c>
      <c r="Q1718" s="403" t="s">
        <v>10274</v>
      </c>
      <c r="R1718" s="403" t="s">
        <v>20093</v>
      </c>
      <c r="S1718" s="403" t="s">
        <v>17080</v>
      </c>
      <c r="T1718" s="403" t="s">
        <v>17081</v>
      </c>
      <c r="U1718" s="403"/>
      <c r="V1718" s="403" t="s">
        <v>23024</v>
      </c>
      <c r="W1718" s="403" t="s">
        <v>23024</v>
      </c>
      <c r="X1718" s="403" t="s">
        <v>23024</v>
      </c>
      <c r="Y1718" s="403" t="s">
        <v>23024</v>
      </c>
    </row>
    <row r="1719" spans="1:25">
      <c r="A1719" s="363">
        <f t="shared" si="215"/>
        <v>1718</v>
      </c>
      <c r="B1719" s="363" t="str">
        <f t="shared" si="208"/>
        <v>44</v>
      </c>
      <c r="C1719" s="405" t="str">
        <f t="shared" si="209"/>
        <v>第013774号</v>
      </c>
      <c r="D1719" s="405" t="str">
        <f t="shared" si="210"/>
        <v>（株）ハシモ住建</v>
      </c>
      <c r="E1719" s="405" t="str">
        <f t="shared" si="211"/>
        <v>代表取締役</v>
      </c>
      <c r="F1719" s="405" t="str">
        <f t="shared" si="212"/>
        <v>橋本　貴志</v>
      </c>
      <c r="G1719" s="405" t="str">
        <f t="shared" si="213"/>
        <v>主たる営業所</v>
      </c>
      <c r="H1719" s="405" t="str">
        <f t="shared" si="214"/>
        <v>大分市東原２－６－１</v>
      </c>
      <c r="L1719" s="403" t="s">
        <v>11357</v>
      </c>
      <c r="M1719" s="403" t="s">
        <v>11358</v>
      </c>
      <c r="N1719" s="403" t="s">
        <v>4593</v>
      </c>
      <c r="O1719" s="403" t="s">
        <v>7084</v>
      </c>
      <c r="P1719" s="403" t="s">
        <v>4594</v>
      </c>
      <c r="Q1719" s="403" t="s">
        <v>8680</v>
      </c>
      <c r="R1719" s="403" t="s">
        <v>20094</v>
      </c>
      <c r="S1719" s="403" t="s">
        <v>17082</v>
      </c>
      <c r="T1719" s="403" t="s">
        <v>17083</v>
      </c>
      <c r="U1719" s="403"/>
      <c r="V1719" s="403" t="s">
        <v>23024</v>
      </c>
      <c r="W1719" s="403" t="s">
        <v>23024</v>
      </c>
      <c r="X1719" s="403" t="s">
        <v>23024</v>
      </c>
      <c r="Y1719" s="403" t="s">
        <v>23024</v>
      </c>
    </row>
    <row r="1720" spans="1:25">
      <c r="A1720" s="363">
        <f t="shared" si="215"/>
        <v>1719</v>
      </c>
      <c r="B1720" s="363" t="str">
        <f t="shared" si="208"/>
        <v>44</v>
      </c>
      <c r="C1720" s="405" t="str">
        <f t="shared" si="209"/>
        <v>第013777号</v>
      </c>
      <c r="D1720" s="405" t="str">
        <f t="shared" si="210"/>
        <v>（株）藤建興業</v>
      </c>
      <c r="E1720" s="405" t="str">
        <f t="shared" si="211"/>
        <v>代表取締役</v>
      </c>
      <c r="F1720" s="405" t="str">
        <f t="shared" si="212"/>
        <v>藤田　一幸</v>
      </c>
      <c r="G1720" s="405" t="str">
        <f t="shared" si="213"/>
        <v>主たる営業所</v>
      </c>
      <c r="H1720" s="405" t="str">
        <f t="shared" si="214"/>
        <v>玖珠郡玖珠町大字太田字本村２５５－５</v>
      </c>
      <c r="L1720" s="403" t="s">
        <v>11359</v>
      </c>
      <c r="M1720" s="403" t="s">
        <v>11360</v>
      </c>
      <c r="N1720" s="403" t="s">
        <v>4595</v>
      </c>
      <c r="O1720" s="403" t="s">
        <v>7084</v>
      </c>
      <c r="P1720" s="403" t="s">
        <v>4596</v>
      </c>
      <c r="Q1720" s="403" t="s">
        <v>11361</v>
      </c>
      <c r="R1720" s="403" t="s">
        <v>20095</v>
      </c>
      <c r="S1720" s="403" t="s">
        <v>17084</v>
      </c>
      <c r="T1720" s="403" t="s">
        <v>17085</v>
      </c>
      <c r="U1720" s="403"/>
      <c r="V1720" s="403" t="s">
        <v>23024</v>
      </c>
      <c r="W1720" s="403" t="s">
        <v>23024</v>
      </c>
      <c r="X1720" s="403" t="s">
        <v>23024</v>
      </c>
      <c r="Y1720" s="403" t="s">
        <v>23024</v>
      </c>
    </row>
    <row r="1721" spans="1:25">
      <c r="A1721" s="363">
        <f t="shared" si="215"/>
        <v>1720</v>
      </c>
      <c r="B1721" s="363" t="str">
        <f t="shared" si="208"/>
        <v>44</v>
      </c>
      <c r="C1721" s="405" t="str">
        <f t="shared" si="209"/>
        <v>第013779号</v>
      </c>
      <c r="D1721" s="405" t="str">
        <f t="shared" si="210"/>
        <v>（株）エムズプランニング</v>
      </c>
      <c r="E1721" s="405" t="str">
        <f t="shared" si="211"/>
        <v>代表取締役</v>
      </c>
      <c r="F1721" s="405" t="str">
        <f t="shared" si="212"/>
        <v>峰野　公徳</v>
      </c>
      <c r="G1721" s="405" t="str">
        <f t="shared" si="213"/>
        <v>主たる営業所</v>
      </c>
      <c r="H1721" s="405" t="str">
        <f t="shared" si="214"/>
        <v>大分市大字荏隈１７２３－１</v>
      </c>
      <c r="L1721" s="403" t="s">
        <v>11362</v>
      </c>
      <c r="M1721" s="403" t="s">
        <v>11363</v>
      </c>
      <c r="N1721" s="403" t="s">
        <v>4597</v>
      </c>
      <c r="O1721" s="403" t="s">
        <v>7084</v>
      </c>
      <c r="P1721" s="403" t="s">
        <v>4598</v>
      </c>
      <c r="Q1721" s="403" t="s">
        <v>10447</v>
      </c>
      <c r="R1721" s="403" t="s">
        <v>20096</v>
      </c>
      <c r="S1721" s="403" t="s">
        <v>17086</v>
      </c>
      <c r="T1721" s="403" t="s">
        <v>17087</v>
      </c>
      <c r="U1721" s="403"/>
      <c r="V1721" s="403" t="s">
        <v>23024</v>
      </c>
      <c r="W1721" s="403" t="s">
        <v>23024</v>
      </c>
      <c r="X1721" s="403" t="s">
        <v>23024</v>
      </c>
      <c r="Y1721" s="403" t="s">
        <v>23024</v>
      </c>
    </row>
    <row r="1722" spans="1:25">
      <c r="A1722" s="363">
        <f t="shared" si="215"/>
        <v>1721</v>
      </c>
      <c r="B1722" s="363" t="str">
        <f t="shared" si="208"/>
        <v>44</v>
      </c>
      <c r="C1722" s="405" t="str">
        <f t="shared" si="209"/>
        <v>第013782号</v>
      </c>
      <c r="D1722" s="405" t="str">
        <f t="shared" si="210"/>
        <v>（株）甲斐建築</v>
      </c>
      <c r="E1722" s="405" t="str">
        <f t="shared" si="211"/>
        <v>代表取締役</v>
      </c>
      <c r="F1722" s="405" t="str">
        <f t="shared" si="212"/>
        <v>甲斐　聖司</v>
      </c>
      <c r="G1722" s="405" t="str">
        <f t="shared" si="213"/>
        <v>主たる営業所</v>
      </c>
      <c r="H1722" s="405" t="str">
        <f t="shared" si="214"/>
        <v>豊後大野市清川町六種３１７－２</v>
      </c>
      <c r="L1722" s="403" t="s">
        <v>11364</v>
      </c>
      <c r="M1722" s="403" t="s">
        <v>11365</v>
      </c>
      <c r="N1722" s="403" t="s">
        <v>4600</v>
      </c>
      <c r="O1722" s="403" t="s">
        <v>7084</v>
      </c>
      <c r="P1722" s="403" t="s">
        <v>4601</v>
      </c>
      <c r="Q1722" s="403" t="s">
        <v>10030</v>
      </c>
      <c r="R1722" s="403" t="s">
        <v>20097</v>
      </c>
      <c r="S1722" s="403" t="s">
        <v>17088</v>
      </c>
      <c r="T1722" s="403" t="s">
        <v>17088</v>
      </c>
      <c r="U1722" s="403"/>
      <c r="V1722" s="403" t="s">
        <v>23024</v>
      </c>
      <c r="W1722" s="403" t="s">
        <v>23024</v>
      </c>
      <c r="X1722" s="403" t="s">
        <v>23024</v>
      </c>
      <c r="Y1722" s="403" t="s">
        <v>23024</v>
      </c>
    </row>
    <row r="1723" spans="1:25">
      <c r="A1723" s="363">
        <f t="shared" si="215"/>
        <v>1722</v>
      </c>
      <c r="B1723" s="363" t="str">
        <f t="shared" si="208"/>
        <v>44</v>
      </c>
      <c r="C1723" s="405" t="str">
        <f t="shared" si="209"/>
        <v>第013784号</v>
      </c>
      <c r="D1723" s="405" t="str">
        <f t="shared" si="210"/>
        <v>大分ペイブメント（株）</v>
      </c>
      <c r="E1723" s="405" t="str">
        <f t="shared" si="211"/>
        <v>代表取締役</v>
      </c>
      <c r="F1723" s="405" t="str">
        <f t="shared" si="212"/>
        <v>佐藤　龍美</v>
      </c>
      <c r="G1723" s="405" t="str">
        <f t="shared" si="213"/>
        <v>主たる営業所</v>
      </c>
      <c r="H1723" s="405" t="str">
        <f t="shared" si="214"/>
        <v>大分市大字上宗方２４８－１</v>
      </c>
      <c r="L1723" s="403" t="s">
        <v>11366</v>
      </c>
      <c r="M1723" s="403" t="s">
        <v>11367</v>
      </c>
      <c r="N1723" s="403" t="s">
        <v>4602</v>
      </c>
      <c r="O1723" s="403" t="s">
        <v>7084</v>
      </c>
      <c r="P1723" s="403" t="s">
        <v>4603</v>
      </c>
      <c r="Q1723" s="403" t="s">
        <v>8655</v>
      </c>
      <c r="R1723" s="403" t="s">
        <v>20098</v>
      </c>
      <c r="S1723" s="403" t="s">
        <v>17089</v>
      </c>
      <c r="T1723" s="403" t="s">
        <v>14597</v>
      </c>
      <c r="U1723" s="403"/>
      <c r="V1723" s="403" t="s">
        <v>23024</v>
      </c>
      <c r="W1723" s="403" t="s">
        <v>23024</v>
      </c>
      <c r="X1723" s="403" t="s">
        <v>23024</v>
      </c>
      <c r="Y1723" s="403" t="s">
        <v>23024</v>
      </c>
    </row>
    <row r="1724" spans="1:25">
      <c r="A1724" s="363">
        <f t="shared" si="215"/>
        <v>1723</v>
      </c>
      <c r="B1724" s="363" t="str">
        <f t="shared" si="208"/>
        <v>44</v>
      </c>
      <c r="C1724" s="405" t="str">
        <f t="shared" si="209"/>
        <v>第013792号</v>
      </c>
      <c r="D1724" s="405" t="str">
        <f t="shared" si="210"/>
        <v>ヤツギ工務店</v>
      </c>
      <c r="E1724" s="405" t="str">
        <f t="shared" si="211"/>
        <v>事業主</v>
      </c>
      <c r="F1724" s="405" t="str">
        <f t="shared" si="212"/>
        <v>矢次　羊一</v>
      </c>
      <c r="G1724" s="405" t="str">
        <f t="shared" si="213"/>
        <v>主たる営業所</v>
      </c>
      <c r="H1724" s="405" t="str">
        <f t="shared" si="214"/>
        <v>中津市大字赤迫４３１－３</v>
      </c>
      <c r="L1724" s="403" t="s">
        <v>11368</v>
      </c>
      <c r="M1724" s="403" t="s">
        <v>11369</v>
      </c>
      <c r="N1724" s="403" t="s">
        <v>4604</v>
      </c>
      <c r="O1724" s="403" t="s">
        <v>7088</v>
      </c>
      <c r="P1724" s="403" t="s">
        <v>4605</v>
      </c>
      <c r="Q1724" s="403" t="s">
        <v>11370</v>
      </c>
      <c r="R1724" s="403" t="s">
        <v>20099</v>
      </c>
      <c r="S1724" s="403" t="s">
        <v>17090</v>
      </c>
      <c r="T1724" s="403" t="s">
        <v>17091</v>
      </c>
      <c r="U1724" s="403"/>
      <c r="V1724" s="403" t="s">
        <v>23024</v>
      </c>
      <c r="W1724" s="403" t="s">
        <v>23024</v>
      </c>
      <c r="X1724" s="403" t="s">
        <v>23024</v>
      </c>
      <c r="Y1724" s="403" t="s">
        <v>23024</v>
      </c>
    </row>
    <row r="1725" spans="1:25">
      <c r="A1725" s="363">
        <f t="shared" si="215"/>
        <v>1724</v>
      </c>
      <c r="B1725" s="363" t="str">
        <f t="shared" si="208"/>
        <v>44</v>
      </c>
      <c r="C1725" s="405" t="str">
        <f t="shared" si="209"/>
        <v>第013794号</v>
      </c>
      <c r="D1725" s="405" t="str">
        <f t="shared" si="210"/>
        <v>新宮組（株）</v>
      </c>
      <c r="E1725" s="405" t="str">
        <f t="shared" si="211"/>
        <v>代表取締役</v>
      </c>
      <c r="F1725" s="405" t="str">
        <f t="shared" si="212"/>
        <v>新宮　寿洋</v>
      </c>
      <c r="G1725" s="405" t="str">
        <f t="shared" si="213"/>
        <v>主たる営業所</v>
      </c>
      <c r="H1725" s="405" t="str">
        <f t="shared" si="214"/>
        <v>大分市大字松岡６６５２－４７</v>
      </c>
      <c r="L1725" s="403" t="s">
        <v>11371</v>
      </c>
      <c r="M1725" s="403" t="s">
        <v>11372</v>
      </c>
      <c r="N1725" s="403" t="s">
        <v>4606</v>
      </c>
      <c r="O1725" s="403" t="s">
        <v>7084</v>
      </c>
      <c r="P1725" s="403" t="s">
        <v>4607</v>
      </c>
      <c r="Q1725" s="403" t="s">
        <v>7498</v>
      </c>
      <c r="R1725" s="403" t="s">
        <v>20100</v>
      </c>
      <c r="S1725" s="403" t="s">
        <v>17092</v>
      </c>
      <c r="T1725" s="403" t="s">
        <v>17093</v>
      </c>
      <c r="U1725" s="403"/>
      <c r="V1725" s="403" t="s">
        <v>23024</v>
      </c>
      <c r="W1725" s="403" t="s">
        <v>23024</v>
      </c>
      <c r="X1725" s="403" t="s">
        <v>23024</v>
      </c>
      <c r="Y1725" s="403" t="s">
        <v>23024</v>
      </c>
    </row>
    <row r="1726" spans="1:25">
      <c r="A1726" s="363">
        <f t="shared" si="215"/>
        <v>1725</v>
      </c>
      <c r="B1726" s="363" t="str">
        <f t="shared" si="208"/>
        <v>44</v>
      </c>
      <c r="C1726" s="405" t="str">
        <f t="shared" si="209"/>
        <v>第013804号</v>
      </c>
      <c r="D1726" s="405" t="str">
        <f t="shared" si="210"/>
        <v>ニューテクノファースト（株）</v>
      </c>
      <c r="E1726" s="405" t="str">
        <f t="shared" si="211"/>
        <v>代表取締役</v>
      </c>
      <c r="F1726" s="405" t="str">
        <f t="shared" si="212"/>
        <v>川野　智史</v>
      </c>
      <c r="G1726" s="405" t="str">
        <f t="shared" si="213"/>
        <v>主たる営業所</v>
      </c>
      <c r="H1726" s="405" t="str">
        <f t="shared" si="214"/>
        <v>大分市大字丹生４７３－１</v>
      </c>
      <c r="L1726" s="403" t="s">
        <v>11373</v>
      </c>
      <c r="M1726" s="403" t="s">
        <v>11374</v>
      </c>
      <c r="N1726" s="403" t="s">
        <v>4608</v>
      </c>
      <c r="O1726" s="403" t="s">
        <v>7084</v>
      </c>
      <c r="P1726" s="403" t="s">
        <v>4609</v>
      </c>
      <c r="Q1726" s="403" t="s">
        <v>7472</v>
      </c>
      <c r="R1726" s="403" t="s">
        <v>20101</v>
      </c>
      <c r="S1726" s="403" t="s">
        <v>17094</v>
      </c>
      <c r="T1726" s="403" t="s">
        <v>17095</v>
      </c>
      <c r="U1726" s="403"/>
      <c r="V1726" s="403" t="s">
        <v>23024</v>
      </c>
      <c r="W1726" s="403" t="s">
        <v>23024</v>
      </c>
      <c r="X1726" s="403" t="s">
        <v>23024</v>
      </c>
      <c r="Y1726" s="403" t="s">
        <v>23024</v>
      </c>
    </row>
    <row r="1727" spans="1:25">
      <c r="A1727" s="363">
        <f t="shared" si="215"/>
        <v>1726</v>
      </c>
      <c r="B1727" s="363" t="str">
        <f t="shared" si="208"/>
        <v>44</v>
      </c>
      <c r="C1727" s="405" t="str">
        <f t="shared" si="209"/>
        <v>第013808号</v>
      </c>
      <c r="D1727" s="405" t="str">
        <f t="shared" si="210"/>
        <v>臼杵ケーブルネット（株）</v>
      </c>
      <c r="E1727" s="405" t="str">
        <f t="shared" si="211"/>
        <v>代表取締役</v>
      </c>
      <c r="F1727" s="405" t="str">
        <f t="shared" si="212"/>
        <v>佐々木　健太郎</v>
      </c>
      <c r="G1727" s="405" t="str">
        <f t="shared" si="213"/>
        <v>主たる営業所</v>
      </c>
      <c r="H1727" s="405" t="str">
        <f t="shared" si="214"/>
        <v>臼杵市大字臼杵６１６－３</v>
      </c>
      <c r="L1727" s="403" t="s">
        <v>11375</v>
      </c>
      <c r="M1727" s="403" t="s">
        <v>11376</v>
      </c>
      <c r="N1727" s="403" t="s">
        <v>4610</v>
      </c>
      <c r="O1727" s="403" t="s">
        <v>7084</v>
      </c>
      <c r="P1727" s="403" t="s">
        <v>4611</v>
      </c>
      <c r="Q1727" s="403" t="s">
        <v>7757</v>
      </c>
      <c r="R1727" s="403" t="s">
        <v>20102</v>
      </c>
      <c r="S1727" s="403" t="s">
        <v>17096</v>
      </c>
      <c r="T1727" s="403" t="s">
        <v>17097</v>
      </c>
      <c r="U1727" s="403"/>
      <c r="V1727" s="403" t="s">
        <v>23024</v>
      </c>
      <c r="W1727" s="403" t="s">
        <v>23024</v>
      </c>
      <c r="X1727" s="403" t="s">
        <v>23024</v>
      </c>
      <c r="Y1727" s="403" t="s">
        <v>23024</v>
      </c>
    </row>
    <row r="1728" spans="1:25">
      <c r="A1728" s="363">
        <f t="shared" si="215"/>
        <v>1727</v>
      </c>
      <c r="B1728" s="363" t="str">
        <f t="shared" si="208"/>
        <v>44</v>
      </c>
      <c r="C1728" s="405" t="str">
        <f t="shared" si="209"/>
        <v>第013812号</v>
      </c>
      <c r="D1728" s="405" t="str">
        <f t="shared" si="210"/>
        <v>ＦＭＳ工業（株）</v>
      </c>
      <c r="E1728" s="405" t="str">
        <f t="shared" si="211"/>
        <v>代表取締役</v>
      </c>
      <c r="F1728" s="405" t="str">
        <f t="shared" si="212"/>
        <v>佐藤　公彦</v>
      </c>
      <c r="G1728" s="405" t="str">
        <f t="shared" si="213"/>
        <v>主たる営業所</v>
      </c>
      <c r="H1728" s="405" t="str">
        <f t="shared" si="214"/>
        <v>大分市牧２－５－２６</v>
      </c>
      <c r="L1728" s="403" t="s">
        <v>11377</v>
      </c>
      <c r="M1728" s="403" t="s">
        <v>11378</v>
      </c>
      <c r="N1728" s="403" t="s">
        <v>4612</v>
      </c>
      <c r="O1728" s="403" t="s">
        <v>7084</v>
      </c>
      <c r="P1728" s="403" t="s">
        <v>4613</v>
      </c>
      <c r="Q1728" s="403" t="s">
        <v>7400</v>
      </c>
      <c r="R1728" s="403" t="s">
        <v>20103</v>
      </c>
      <c r="S1728" s="403" t="s">
        <v>17098</v>
      </c>
      <c r="T1728" s="403" t="s">
        <v>17099</v>
      </c>
      <c r="U1728" s="403"/>
      <c r="V1728" s="403" t="s">
        <v>23024</v>
      </c>
      <c r="W1728" s="403" t="s">
        <v>23024</v>
      </c>
      <c r="X1728" s="403" t="s">
        <v>23024</v>
      </c>
      <c r="Y1728" s="403" t="s">
        <v>23024</v>
      </c>
    </row>
    <row r="1729" spans="1:25">
      <c r="A1729" s="363">
        <f t="shared" si="215"/>
        <v>1728</v>
      </c>
      <c r="B1729" s="363" t="str">
        <f t="shared" si="208"/>
        <v>44</v>
      </c>
      <c r="C1729" s="405" t="str">
        <f t="shared" si="209"/>
        <v>第013817号</v>
      </c>
      <c r="D1729" s="405" t="str">
        <f t="shared" si="210"/>
        <v>大迫設備（株）</v>
      </c>
      <c r="E1729" s="405" t="str">
        <f t="shared" si="211"/>
        <v>代表取締役</v>
      </c>
      <c r="F1729" s="405" t="str">
        <f t="shared" si="212"/>
        <v>大迫　一男</v>
      </c>
      <c r="G1729" s="405" t="str">
        <f t="shared" si="213"/>
        <v>主たる営業所</v>
      </c>
      <c r="H1729" s="405" t="str">
        <f t="shared" si="214"/>
        <v>大分市星和台１－８－３</v>
      </c>
      <c r="L1729" s="403" t="s">
        <v>20104</v>
      </c>
      <c r="M1729" s="403" t="s">
        <v>20105</v>
      </c>
      <c r="N1729" s="403" t="s">
        <v>20106</v>
      </c>
      <c r="O1729" s="403" t="s">
        <v>7084</v>
      </c>
      <c r="P1729" s="403" t="s">
        <v>20107</v>
      </c>
      <c r="Q1729" s="403" t="s">
        <v>8782</v>
      </c>
      <c r="R1729" s="403" t="s">
        <v>20108</v>
      </c>
      <c r="S1729" s="403" t="s">
        <v>20109</v>
      </c>
      <c r="T1729" s="403" t="s">
        <v>20110</v>
      </c>
      <c r="U1729" s="403"/>
      <c r="V1729" s="403" t="s">
        <v>23024</v>
      </c>
      <c r="W1729" s="403" t="s">
        <v>23024</v>
      </c>
      <c r="X1729" s="403" t="s">
        <v>23024</v>
      </c>
      <c r="Y1729" s="403" t="s">
        <v>23024</v>
      </c>
    </row>
    <row r="1730" spans="1:25">
      <c r="A1730" s="363">
        <f t="shared" si="215"/>
        <v>1729</v>
      </c>
      <c r="B1730" s="363" t="str">
        <f t="shared" ref="B1730:B1793" si="216">LEFT(L1730,2)</f>
        <v>44</v>
      </c>
      <c r="C1730" s="405" t="str">
        <f t="shared" ref="C1730:C1793" si="217">IF(B1730="","","第"&amp;RIGHT(L1730,6)&amp;"号")</f>
        <v>第013823号</v>
      </c>
      <c r="D1730" s="405" t="str">
        <f t="shared" ref="D1730:D1793" si="218">N1730</f>
        <v>（株）サンプラン</v>
      </c>
      <c r="E1730" s="405" t="str">
        <f t="shared" ref="E1730:E1793" si="219">IF(V1730="　",O1730,"")</f>
        <v>代表取締役</v>
      </c>
      <c r="F1730" s="405" t="str">
        <f t="shared" ref="F1730:F1793" si="220">IF(V1730="　",P1730,W1730)</f>
        <v>惠良　政行</v>
      </c>
      <c r="G1730" s="405" t="str">
        <f t="shared" ref="G1730:G1793" si="221">IF(V1730="　","主たる営業所",V1730)</f>
        <v>主たる営業所</v>
      </c>
      <c r="H1730" s="405" t="str">
        <f t="shared" ref="H1730:H1793" si="222">IF(V1730="　",R1730,Y1730)</f>
        <v>大分市花津留１－３－２</v>
      </c>
      <c r="L1730" s="403" t="s">
        <v>11379</v>
      </c>
      <c r="M1730" s="403" t="s">
        <v>11380</v>
      </c>
      <c r="N1730" s="403" t="s">
        <v>4614</v>
      </c>
      <c r="O1730" s="403" t="s">
        <v>7084</v>
      </c>
      <c r="P1730" s="403" t="s">
        <v>4615</v>
      </c>
      <c r="Q1730" s="403" t="s">
        <v>7383</v>
      </c>
      <c r="R1730" s="403" t="s">
        <v>20111</v>
      </c>
      <c r="S1730" s="403" t="s">
        <v>17100</v>
      </c>
      <c r="T1730" s="403" t="s">
        <v>17101</v>
      </c>
      <c r="U1730" s="403"/>
      <c r="V1730" s="403" t="s">
        <v>23024</v>
      </c>
      <c r="W1730" s="403" t="s">
        <v>23024</v>
      </c>
      <c r="X1730" s="403" t="s">
        <v>23024</v>
      </c>
      <c r="Y1730" s="403" t="s">
        <v>23024</v>
      </c>
    </row>
    <row r="1731" spans="1:25">
      <c r="A1731" s="363">
        <f t="shared" ref="A1731:A1794" si="223">IF(B1731="","",A1730+1)</f>
        <v>1730</v>
      </c>
      <c r="B1731" s="363" t="str">
        <f t="shared" si="216"/>
        <v>44</v>
      </c>
      <c r="C1731" s="405" t="str">
        <f t="shared" si="217"/>
        <v>第013824号</v>
      </c>
      <c r="D1731" s="405" t="str">
        <f t="shared" si="218"/>
        <v>日本テクニクス（株）</v>
      </c>
      <c r="E1731" s="405" t="str">
        <f t="shared" si="219"/>
        <v>代表取締役</v>
      </c>
      <c r="F1731" s="405" t="str">
        <f t="shared" si="220"/>
        <v>甲斐　菜々</v>
      </c>
      <c r="G1731" s="405" t="str">
        <f t="shared" si="221"/>
        <v>主たる営業所</v>
      </c>
      <c r="H1731" s="405" t="str">
        <f t="shared" si="222"/>
        <v>豊後大野市朝地町市万田６４４－３</v>
      </c>
      <c r="L1731" s="403" t="s">
        <v>11381</v>
      </c>
      <c r="M1731" s="403" t="s">
        <v>11382</v>
      </c>
      <c r="N1731" s="403" t="s">
        <v>4616</v>
      </c>
      <c r="O1731" s="403" t="s">
        <v>7084</v>
      </c>
      <c r="P1731" s="403" t="s">
        <v>4617</v>
      </c>
      <c r="Q1731" s="403" t="s">
        <v>10094</v>
      </c>
      <c r="R1731" s="403" t="s">
        <v>20112</v>
      </c>
      <c r="S1731" s="403" t="s">
        <v>17102</v>
      </c>
      <c r="T1731" s="403" t="s">
        <v>15300</v>
      </c>
      <c r="U1731" s="403"/>
      <c r="V1731" s="403" t="s">
        <v>23024</v>
      </c>
      <c r="W1731" s="403" t="s">
        <v>23024</v>
      </c>
      <c r="X1731" s="403" t="s">
        <v>23024</v>
      </c>
      <c r="Y1731" s="403" t="s">
        <v>23024</v>
      </c>
    </row>
    <row r="1732" spans="1:25">
      <c r="A1732" s="363">
        <f t="shared" si="223"/>
        <v>1731</v>
      </c>
      <c r="B1732" s="363" t="str">
        <f t="shared" si="216"/>
        <v>44</v>
      </c>
      <c r="C1732" s="405" t="str">
        <f t="shared" si="217"/>
        <v>第013829号</v>
      </c>
      <c r="D1732" s="405" t="str">
        <f t="shared" si="218"/>
        <v>（株）妃電工</v>
      </c>
      <c r="E1732" s="405" t="str">
        <f t="shared" si="219"/>
        <v>代表取締役</v>
      </c>
      <c r="F1732" s="405" t="str">
        <f t="shared" si="220"/>
        <v>大鶴　清寿</v>
      </c>
      <c r="G1732" s="405" t="str">
        <f t="shared" si="221"/>
        <v>主たる営業所</v>
      </c>
      <c r="H1732" s="405" t="str">
        <f t="shared" si="222"/>
        <v>佐伯市大字上岡２４２２－１</v>
      </c>
      <c r="L1732" s="403" t="s">
        <v>11383</v>
      </c>
      <c r="M1732" s="403" t="s">
        <v>11384</v>
      </c>
      <c r="N1732" s="403" t="s">
        <v>4618</v>
      </c>
      <c r="O1732" s="403" t="s">
        <v>7084</v>
      </c>
      <c r="P1732" s="403" t="s">
        <v>4619</v>
      </c>
      <c r="Q1732" s="403" t="s">
        <v>8530</v>
      </c>
      <c r="R1732" s="403" t="s">
        <v>20113</v>
      </c>
      <c r="S1732" s="403" t="s">
        <v>17103</v>
      </c>
      <c r="T1732" s="403" t="s">
        <v>17104</v>
      </c>
      <c r="U1732" s="403"/>
      <c r="V1732" s="403" t="s">
        <v>23024</v>
      </c>
      <c r="W1732" s="403" t="s">
        <v>23024</v>
      </c>
      <c r="X1732" s="403" t="s">
        <v>23024</v>
      </c>
      <c r="Y1732" s="403" t="s">
        <v>23024</v>
      </c>
    </row>
    <row r="1733" spans="1:25">
      <c r="A1733" s="363">
        <f t="shared" si="223"/>
        <v>1732</v>
      </c>
      <c r="B1733" s="363" t="str">
        <f t="shared" si="216"/>
        <v>44</v>
      </c>
      <c r="C1733" s="405" t="str">
        <f t="shared" si="217"/>
        <v>第013833号</v>
      </c>
      <c r="D1733" s="405" t="str">
        <f t="shared" si="218"/>
        <v>（株）誉綜合</v>
      </c>
      <c r="E1733" s="405" t="str">
        <f t="shared" si="219"/>
        <v>代表取締役</v>
      </c>
      <c r="F1733" s="405" t="str">
        <f t="shared" si="220"/>
        <v>高橋　晴幸</v>
      </c>
      <c r="G1733" s="405" t="str">
        <f t="shared" si="221"/>
        <v>主たる営業所</v>
      </c>
      <c r="H1733" s="405" t="str">
        <f t="shared" si="222"/>
        <v>臼杵市大字末広４１４－１</v>
      </c>
      <c r="L1733" s="403" t="s">
        <v>11385</v>
      </c>
      <c r="M1733" s="403" t="s">
        <v>11386</v>
      </c>
      <c r="N1733" s="403" t="s">
        <v>4620</v>
      </c>
      <c r="O1733" s="403" t="s">
        <v>7084</v>
      </c>
      <c r="P1733" s="403" t="s">
        <v>4621</v>
      </c>
      <c r="Q1733" s="403" t="s">
        <v>7780</v>
      </c>
      <c r="R1733" s="403" t="s">
        <v>18707</v>
      </c>
      <c r="S1733" s="403" t="s">
        <v>17105</v>
      </c>
      <c r="T1733" s="403" t="s">
        <v>14242</v>
      </c>
      <c r="U1733" s="403"/>
      <c r="V1733" s="403" t="s">
        <v>23024</v>
      </c>
      <c r="W1733" s="403" t="s">
        <v>23024</v>
      </c>
      <c r="X1733" s="403" t="s">
        <v>23024</v>
      </c>
      <c r="Y1733" s="403" t="s">
        <v>23024</v>
      </c>
    </row>
    <row r="1734" spans="1:25">
      <c r="A1734" s="363">
        <f t="shared" si="223"/>
        <v>1733</v>
      </c>
      <c r="B1734" s="363" t="str">
        <f t="shared" si="216"/>
        <v>44</v>
      </c>
      <c r="C1734" s="405" t="str">
        <f t="shared" si="217"/>
        <v>第013837号</v>
      </c>
      <c r="D1734" s="405" t="str">
        <f t="shared" si="218"/>
        <v>かやしま建設（株）</v>
      </c>
      <c r="E1734" s="405" t="str">
        <f t="shared" si="219"/>
        <v>代表取締役</v>
      </c>
      <c r="F1734" s="405" t="str">
        <f t="shared" si="220"/>
        <v>萱島　加津也</v>
      </c>
      <c r="G1734" s="405" t="str">
        <f t="shared" si="221"/>
        <v>主たる営業所</v>
      </c>
      <c r="H1734" s="405" t="str">
        <f t="shared" si="222"/>
        <v>大分市花江川８－２０</v>
      </c>
      <c r="L1734" s="403" t="s">
        <v>11387</v>
      </c>
      <c r="M1734" s="403" t="s">
        <v>11388</v>
      </c>
      <c r="N1734" s="403" t="s">
        <v>4622</v>
      </c>
      <c r="O1734" s="403" t="s">
        <v>7084</v>
      </c>
      <c r="P1734" s="403" t="s">
        <v>4623</v>
      </c>
      <c r="Q1734" s="403" t="s">
        <v>11389</v>
      </c>
      <c r="R1734" s="403" t="s">
        <v>20114</v>
      </c>
      <c r="S1734" s="403" t="s">
        <v>17106</v>
      </c>
      <c r="T1734" s="403" t="s">
        <v>17107</v>
      </c>
      <c r="U1734" s="403"/>
      <c r="V1734" s="403" t="s">
        <v>23024</v>
      </c>
      <c r="W1734" s="403" t="s">
        <v>23024</v>
      </c>
      <c r="X1734" s="403" t="s">
        <v>23024</v>
      </c>
      <c r="Y1734" s="403" t="s">
        <v>23024</v>
      </c>
    </row>
    <row r="1735" spans="1:25">
      <c r="A1735" s="363">
        <f t="shared" si="223"/>
        <v>1734</v>
      </c>
      <c r="B1735" s="363" t="str">
        <f t="shared" si="216"/>
        <v>44</v>
      </c>
      <c r="C1735" s="405" t="str">
        <f t="shared" si="217"/>
        <v>第013840号</v>
      </c>
      <c r="D1735" s="405" t="str">
        <f t="shared" si="218"/>
        <v>明大工業（株）</v>
      </c>
      <c r="E1735" s="405" t="str">
        <f t="shared" si="219"/>
        <v>代表取締役社長</v>
      </c>
      <c r="F1735" s="405" t="str">
        <f t="shared" si="220"/>
        <v>藤澤　正浩</v>
      </c>
      <c r="G1735" s="405" t="str">
        <f t="shared" si="221"/>
        <v>主たる営業所</v>
      </c>
      <c r="H1735" s="405" t="str">
        <f t="shared" si="222"/>
        <v>別府市船小路町３－４３</v>
      </c>
      <c r="L1735" s="403" t="s">
        <v>11390</v>
      </c>
      <c r="M1735" s="403" t="s">
        <v>11391</v>
      </c>
      <c r="N1735" s="403" t="s">
        <v>4624</v>
      </c>
      <c r="O1735" s="403" t="s">
        <v>7083</v>
      </c>
      <c r="P1735" s="403" t="s">
        <v>4625</v>
      </c>
      <c r="Q1735" s="403" t="s">
        <v>9190</v>
      </c>
      <c r="R1735" s="403" t="s">
        <v>20115</v>
      </c>
      <c r="S1735" s="403" t="s">
        <v>17108</v>
      </c>
      <c r="T1735" s="403" t="s">
        <v>17109</v>
      </c>
      <c r="U1735" s="403"/>
      <c r="V1735" s="403" t="s">
        <v>23024</v>
      </c>
      <c r="W1735" s="403" t="s">
        <v>23024</v>
      </c>
      <c r="X1735" s="403" t="s">
        <v>23024</v>
      </c>
      <c r="Y1735" s="403" t="s">
        <v>23024</v>
      </c>
    </row>
    <row r="1736" spans="1:25">
      <c r="A1736" s="363">
        <f t="shared" si="223"/>
        <v>1735</v>
      </c>
      <c r="B1736" s="363" t="str">
        <f t="shared" si="216"/>
        <v>44</v>
      </c>
      <c r="C1736" s="405" t="str">
        <f t="shared" si="217"/>
        <v>第013841号</v>
      </c>
      <c r="D1736" s="405" t="str">
        <f t="shared" si="218"/>
        <v>（株）佐倉建設</v>
      </c>
      <c r="E1736" s="405" t="str">
        <f t="shared" si="219"/>
        <v>代表取締役</v>
      </c>
      <c r="F1736" s="405" t="str">
        <f t="shared" si="220"/>
        <v>佐倉　隆広</v>
      </c>
      <c r="G1736" s="405" t="str">
        <f t="shared" si="221"/>
        <v>主たる営業所</v>
      </c>
      <c r="H1736" s="405" t="str">
        <f t="shared" si="222"/>
        <v>佐伯市常盤東町５－８</v>
      </c>
      <c r="L1736" s="403" t="s">
        <v>11392</v>
      </c>
      <c r="M1736" s="403" t="s">
        <v>11393</v>
      </c>
      <c r="N1736" s="403" t="s">
        <v>4626</v>
      </c>
      <c r="O1736" s="403" t="s">
        <v>7084</v>
      </c>
      <c r="P1736" s="403" t="s">
        <v>4627</v>
      </c>
      <c r="Q1736" s="403" t="s">
        <v>20116</v>
      </c>
      <c r="R1736" s="403" t="s">
        <v>20117</v>
      </c>
      <c r="S1736" s="403" t="s">
        <v>20118</v>
      </c>
      <c r="T1736" s="403" t="s">
        <v>20119</v>
      </c>
      <c r="U1736" s="403"/>
      <c r="V1736" s="403" t="s">
        <v>23024</v>
      </c>
      <c r="W1736" s="403" t="s">
        <v>23024</v>
      </c>
      <c r="X1736" s="403" t="s">
        <v>23024</v>
      </c>
      <c r="Y1736" s="403" t="s">
        <v>23024</v>
      </c>
    </row>
    <row r="1737" spans="1:25">
      <c r="A1737" s="363">
        <f t="shared" si="223"/>
        <v>1736</v>
      </c>
      <c r="B1737" s="363" t="str">
        <f t="shared" si="216"/>
        <v>44</v>
      </c>
      <c r="C1737" s="405" t="str">
        <f t="shared" si="217"/>
        <v>第013843号</v>
      </c>
      <c r="D1737" s="405" t="str">
        <f t="shared" si="218"/>
        <v>（有）Ｌ．Ｃ．Ｓ九州</v>
      </c>
      <c r="E1737" s="405" t="str">
        <f t="shared" si="219"/>
        <v>代表取締役</v>
      </c>
      <c r="F1737" s="405" t="str">
        <f t="shared" si="220"/>
        <v>田村　憲治</v>
      </c>
      <c r="G1737" s="405" t="str">
        <f t="shared" si="221"/>
        <v>主たる営業所</v>
      </c>
      <c r="H1737" s="405" t="str">
        <f t="shared" si="222"/>
        <v>佐伯市大字鶴望２３８８－６</v>
      </c>
      <c r="L1737" s="403" t="s">
        <v>11394</v>
      </c>
      <c r="M1737" s="403" t="s">
        <v>11395</v>
      </c>
      <c r="N1737" s="403" t="s">
        <v>5293</v>
      </c>
      <c r="O1737" s="403" t="s">
        <v>7084</v>
      </c>
      <c r="P1737" s="403" t="s">
        <v>4628</v>
      </c>
      <c r="Q1737" s="403" t="s">
        <v>8463</v>
      </c>
      <c r="R1737" s="403" t="s">
        <v>20120</v>
      </c>
      <c r="S1737" s="403" t="s">
        <v>17110</v>
      </c>
      <c r="T1737" s="403" t="s">
        <v>17110</v>
      </c>
      <c r="U1737" s="403"/>
      <c r="V1737" s="403" t="s">
        <v>23024</v>
      </c>
      <c r="W1737" s="403" t="s">
        <v>23024</v>
      </c>
      <c r="X1737" s="403" t="s">
        <v>23024</v>
      </c>
      <c r="Y1737" s="403" t="s">
        <v>23024</v>
      </c>
    </row>
    <row r="1738" spans="1:25">
      <c r="A1738" s="363">
        <f t="shared" si="223"/>
        <v>1737</v>
      </c>
      <c r="B1738" s="363" t="str">
        <f t="shared" si="216"/>
        <v>44</v>
      </c>
      <c r="C1738" s="405" t="str">
        <f t="shared" si="217"/>
        <v>第013845号</v>
      </c>
      <c r="D1738" s="405" t="str">
        <f t="shared" si="218"/>
        <v>（株）サンダイヤプロ</v>
      </c>
      <c r="E1738" s="405" t="str">
        <f t="shared" si="219"/>
        <v>代表取締役</v>
      </c>
      <c r="F1738" s="405" t="str">
        <f t="shared" si="220"/>
        <v>高村　智史</v>
      </c>
      <c r="G1738" s="405" t="str">
        <f t="shared" si="221"/>
        <v>主たる営業所</v>
      </c>
      <c r="H1738" s="405" t="str">
        <f t="shared" si="222"/>
        <v>日田市田島２－１２－８</v>
      </c>
      <c r="L1738" s="403" t="s">
        <v>11396</v>
      </c>
      <c r="M1738" s="403" t="s">
        <v>11397</v>
      </c>
      <c r="N1738" s="403" t="s">
        <v>4629</v>
      </c>
      <c r="O1738" s="403" t="s">
        <v>7084</v>
      </c>
      <c r="P1738" s="403" t="s">
        <v>4630</v>
      </c>
      <c r="Q1738" s="403" t="s">
        <v>8022</v>
      </c>
      <c r="R1738" s="403" t="s">
        <v>20121</v>
      </c>
      <c r="S1738" s="403" t="s">
        <v>17111</v>
      </c>
      <c r="T1738" s="403" t="s">
        <v>17112</v>
      </c>
      <c r="U1738" s="403"/>
      <c r="V1738" s="403" t="s">
        <v>23024</v>
      </c>
      <c r="W1738" s="403" t="s">
        <v>23024</v>
      </c>
      <c r="X1738" s="403" t="s">
        <v>23024</v>
      </c>
      <c r="Y1738" s="403" t="s">
        <v>23024</v>
      </c>
    </row>
    <row r="1739" spans="1:25">
      <c r="A1739" s="363">
        <f t="shared" si="223"/>
        <v>1738</v>
      </c>
      <c r="B1739" s="363" t="str">
        <f t="shared" si="216"/>
        <v>44</v>
      </c>
      <c r="C1739" s="405" t="str">
        <f t="shared" si="217"/>
        <v>第013848号</v>
      </c>
      <c r="D1739" s="405" t="str">
        <f t="shared" si="218"/>
        <v>（株）藤倉</v>
      </c>
      <c r="E1739" s="405" t="str">
        <f t="shared" si="219"/>
        <v>代表取締役</v>
      </c>
      <c r="F1739" s="405" t="str">
        <f t="shared" si="220"/>
        <v>後藤　賢治</v>
      </c>
      <c r="G1739" s="405" t="str">
        <f t="shared" si="221"/>
        <v>主たる営業所</v>
      </c>
      <c r="H1739" s="405" t="str">
        <f t="shared" si="222"/>
        <v>佐伯市弥生大字床木２８８－１</v>
      </c>
      <c r="L1739" s="403" t="s">
        <v>11398</v>
      </c>
      <c r="M1739" s="403" t="s">
        <v>11399</v>
      </c>
      <c r="N1739" s="403" t="s">
        <v>4631</v>
      </c>
      <c r="O1739" s="403" t="s">
        <v>7084</v>
      </c>
      <c r="P1739" s="403" t="s">
        <v>4632</v>
      </c>
      <c r="Q1739" s="403" t="s">
        <v>10679</v>
      </c>
      <c r="R1739" s="403" t="s">
        <v>20122</v>
      </c>
      <c r="S1739" s="403" t="s">
        <v>17113</v>
      </c>
      <c r="T1739" s="403" t="s">
        <v>17114</v>
      </c>
      <c r="U1739" s="403"/>
      <c r="V1739" s="403" t="s">
        <v>23024</v>
      </c>
      <c r="W1739" s="403" t="s">
        <v>23024</v>
      </c>
      <c r="X1739" s="403" t="s">
        <v>23024</v>
      </c>
      <c r="Y1739" s="403" t="s">
        <v>23024</v>
      </c>
    </row>
    <row r="1740" spans="1:25">
      <c r="A1740" s="363">
        <f t="shared" si="223"/>
        <v>1739</v>
      </c>
      <c r="B1740" s="363" t="str">
        <f t="shared" si="216"/>
        <v>44</v>
      </c>
      <c r="C1740" s="405" t="str">
        <f t="shared" si="217"/>
        <v>第013854号</v>
      </c>
      <c r="D1740" s="405" t="str">
        <f t="shared" si="218"/>
        <v>（株）タクシステム</v>
      </c>
      <c r="E1740" s="405" t="str">
        <f t="shared" si="219"/>
        <v>代表取締役</v>
      </c>
      <c r="F1740" s="405" t="str">
        <f t="shared" si="220"/>
        <v>多久島　昌弥</v>
      </c>
      <c r="G1740" s="405" t="str">
        <f t="shared" si="221"/>
        <v>主たる営業所</v>
      </c>
      <c r="H1740" s="405" t="str">
        <f t="shared" si="222"/>
        <v>大分市畑中２－２－２８</v>
      </c>
      <c r="L1740" s="403" t="s">
        <v>11400</v>
      </c>
      <c r="M1740" s="403" t="s">
        <v>11401</v>
      </c>
      <c r="N1740" s="403" t="s">
        <v>4633</v>
      </c>
      <c r="O1740" s="403" t="s">
        <v>7084</v>
      </c>
      <c r="P1740" s="403" t="s">
        <v>4634</v>
      </c>
      <c r="Q1740" s="403" t="s">
        <v>9334</v>
      </c>
      <c r="R1740" s="403" t="s">
        <v>20123</v>
      </c>
      <c r="S1740" s="403" t="s">
        <v>17115</v>
      </c>
      <c r="T1740" s="403" t="s">
        <v>17116</v>
      </c>
      <c r="U1740" s="403"/>
      <c r="V1740" s="403" t="s">
        <v>23024</v>
      </c>
      <c r="W1740" s="403" t="s">
        <v>23024</v>
      </c>
      <c r="X1740" s="403" t="s">
        <v>23024</v>
      </c>
      <c r="Y1740" s="403" t="s">
        <v>23024</v>
      </c>
    </row>
    <row r="1741" spans="1:25">
      <c r="A1741" s="363">
        <f t="shared" si="223"/>
        <v>1740</v>
      </c>
      <c r="B1741" s="363" t="str">
        <f t="shared" si="216"/>
        <v>44</v>
      </c>
      <c r="C1741" s="405" t="str">
        <f t="shared" si="217"/>
        <v>第013860号</v>
      </c>
      <c r="D1741" s="405" t="str">
        <f t="shared" si="218"/>
        <v>（株）川田住宅機器工業所</v>
      </c>
      <c r="E1741" s="405" t="str">
        <f t="shared" si="219"/>
        <v>代表取締役</v>
      </c>
      <c r="F1741" s="405" t="str">
        <f t="shared" si="220"/>
        <v>川田　烈</v>
      </c>
      <c r="G1741" s="405" t="str">
        <f t="shared" si="221"/>
        <v>主たる営業所</v>
      </c>
      <c r="H1741" s="405" t="str">
        <f t="shared" si="222"/>
        <v>杵築市大字南杵築４３９</v>
      </c>
      <c r="L1741" s="403" t="s">
        <v>11402</v>
      </c>
      <c r="M1741" s="403" t="s">
        <v>11403</v>
      </c>
      <c r="N1741" s="403" t="s">
        <v>4635</v>
      </c>
      <c r="O1741" s="403" t="s">
        <v>7084</v>
      </c>
      <c r="P1741" s="403" t="s">
        <v>4636</v>
      </c>
      <c r="Q1741" s="403" t="s">
        <v>7593</v>
      </c>
      <c r="R1741" s="403" t="s">
        <v>5669</v>
      </c>
      <c r="S1741" s="403" t="s">
        <v>17117</v>
      </c>
      <c r="T1741" s="403" t="s">
        <v>17118</v>
      </c>
      <c r="U1741" s="403"/>
      <c r="V1741" s="403" t="s">
        <v>23024</v>
      </c>
      <c r="W1741" s="403" t="s">
        <v>23024</v>
      </c>
      <c r="X1741" s="403" t="s">
        <v>23024</v>
      </c>
      <c r="Y1741" s="403" t="s">
        <v>23024</v>
      </c>
    </row>
    <row r="1742" spans="1:25">
      <c r="A1742" s="363">
        <f t="shared" si="223"/>
        <v>1741</v>
      </c>
      <c r="B1742" s="363" t="str">
        <f t="shared" si="216"/>
        <v>44</v>
      </c>
      <c r="C1742" s="405" t="str">
        <f t="shared" si="217"/>
        <v>第013863号</v>
      </c>
      <c r="D1742" s="405" t="str">
        <f t="shared" si="218"/>
        <v>（株）親和電設</v>
      </c>
      <c r="E1742" s="405" t="str">
        <f t="shared" si="219"/>
        <v>代表取締役</v>
      </c>
      <c r="F1742" s="405" t="str">
        <f t="shared" si="220"/>
        <v>岩崎　正史</v>
      </c>
      <c r="G1742" s="405" t="str">
        <f t="shared" si="221"/>
        <v>主たる営業所</v>
      </c>
      <c r="H1742" s="405" t="str">
        <f t="shared" si="222"/>
        <v>佐伯市大字戸穴３３７－１</v>
      </c>
      <c r="L1742" s="403" t="s">
        <v>11404</v>
      </c>
      <c r="M1742" s="403" t="s">
        <v>11405</v>
      </c>
      <c r="N1742" s="403" t="s">
        <v>4637</v>
      </c>
      <c r="O1742" s="403" t="s">
        <v>7084</v>
      </c>
      <c r="P1742" s="403" t="s">
        <v>5327</v>
      </c>
      <c r="Q1742" s="403" t="s">
        <v>11406</v>
      </c>
      <c r="R1742" s="403" t="s">
        <v>20124</v>
      </c>
      <c r="S1742" s="403" t="s">
        <v>17119</v>
      </c>
      <c r="T1742" s="403" t="s">
        <v>17119</v>
      </c>
      <c r="U1742" s="403"/>
      <c r="V1742" s="403" t="s">
        <v>23024</v>
      </c>
      <c r="W1742" s="403" t="s">
        <v>23024</v>
      </c>
      <c r="X1742" s="403" t="s">
        <v>23024</v>
      </c>
      <c r="Y1742" s="403" t="s">
        <v>23024</v>
      </c>
    </row>
    <row r="1743" spans="1:25">
      <c r="A1743" s="363">
        <f t="shared" si="223"/>
        <v>1742</v>
      </c>
      <c r="B1743" s="363" t="str">
        <f t="shared" si="216"/>
        <v>44</v>
      </c>
      <c r="C1743" s="405" t="str">
        <f t="shared" si="217"/>
        <v>第013864号</v>
      </c>
      <c r="D1743" s="405" t="str">
        <f t="shared" si="218"/>
        <v>大星電工（株）</v>
      </c>
      <c r="E1743" s="405" t="str">
        <f t="shared" si="219"/>
        <v>代表取締役</v>
      </c>
      <c r="F1743" s="405" t="str">
        <f t="shared" si="220"/>
        <v>大星　浩昭</v>
      </c>
      <c r="G1743" s="405" t="str">
        <f t="shared" si="221"/>
        <v>主たる営業所</v>
      </c>
      <c r="H1743" s="405" t="str">
        <f t="shared" si="222"/>
        <v>佐伯市大字狩生３６５９</v>
      </c>
      <c r="L1743" s="403" t="s">
        <v>11407</v>
      </c>
      <c r="M1743" s="403" t="s">
        <v>11408</v>
      </c>
      <c r="N1743" s="403" t="s">
        <v>4638</v>
      </c>
      <c r="O1743" s="403" t="s">
        <v>7084</v>
      </c>
      <c r="P1743" s="403" t="s">
        <v>4639</v>
      </c>
      <c r="Q1743" s="403" t="s">
        <v>10671</v>
      </c>
      <c r="R1743" s="403" t="s">
        <v>5670</v>
      </c>
      <c r="S1743" s="403" t="s">
        <v>17120</v>
      </c>
      <c r="T1743" s="403" t="s">
        <v>17121</v>
      </c>
      <c r="U1743" s="403"/>
      <c r="V1743" s="403" t="s">
        <v>23024</v>
      </c>
      <c r="W1743" s="403" t="s">
        <v>23024</v>
      </c>
      <c r="X1743" s="403" t="s">
        <v>23024</v>
      </c>
      <c r="Y1743" s="403" t="s">
        <v>23024</v>
      </c>
    </row>
    <row r="1744" spans="1:25">
      <c r="A1744" s="363">
        <f t="shared" si="223"/>
        <v>1743</v>
      </c>
      <c r="B1744" s="363" t="str">
        <f t="shared" si="216"/>
        <v>44</v>
      </c>
      <c r="C1744" s="405" t="str">
        <f t="shared" si="217"/>
        <v>第013866号</v>
      </c>
      <c r="D1744" s="405" t="str">
        <f t="shared" si="218"/>
        <v>（株）成建工業</v>
      </c>
      <c r="E1744" s="405" t="str">
        <f t="shared" si="219"/>
        <v>代表取締役</v>
      </c>
      <c r="F1744" s="405" t="str">
        <f t="shared" si="220"/>
        <v>小野　成久</v>
      </c>
      <c r="G1744" s="405" t="str">
        <f t="shared" si="221"/>
        <v>主たる営業所</v>
      </c>
      <c r="H1744" s="405" t="str">
        <f t="shared" si="222"/>
        <v>豊後大野市三重町浅瀬乙黒４０１</v>
      </c>
      <c r="L1744" s="403" t="s">
        <v>11409</v>
      </c>
      <c r="M1744" s="403" t="s">
        <v>11410</v>
      </c>
      <c r="N1744" s="403" t="s">
        <v>4640</v>
      </c>
      <c r="O1744" s="403" t="s">
        <v>7084</v>
      </c>
      <c r="P1744" s="403" t="s">
        <v>4641</v>
      </c>
      <c r="Q1744" s="403" t="s">
        <v>11411</v>
      </c>
      <c r="R1744" s="403" t="s">
        <v>5671</v>
      </c>
      <c r="S1744" s="403" t="s">
        <v>17122</v>
      </c>
      <c r="T1744" s="403" t="s">
        <v>17123</v>
      </c>
      <c r="U1744" s="403"/>
      <c r="V1744" s="403" t="s">
        <v>23024</v>
      </c>
      <c r="W1744" s="403" t="s">
        <v>23024</v>
      </c>
      <c r="X1744" s="403" t="s">
        <v>23024</v>
      </c>
      <c r="Y1744" s="403" t="s">
        <v>23024</v>
      </c>
    </row>
    <row r="1745" spans="1:25">
      <c r="A1745" s="363">
        <f t="shared" si="223"/>
        <v>1744</v>
      </c>
      <c r="B1745" s="363" t="str">
        <f t="shared" si="216"/>
        <v>44</v>
      </c>
      <c r="C1745" s="405" t="str">
        <f t="shared" si="217"/>
        <v>第013867号</v>
      </c>
      <c r="D1745" s="405" t="str">
        <f t="shared" si="218"/>
        <v>大分住建</v>
      </c>
      <c r="E1745" s="405" t="str">
        <f t="shared" si="219"/>
        <v>事業主</v>
      </c>
      <c r="F1745" s="405" t="str">
        <f t="shared" si="220"/>
        <v>渡邉　拓治</v>
      </c>
      <c r="G1745" s="405" t="str">
        <f t="shared" si="221"/>
        <v>主たる営業所</v>
      </c>
      <c r="H1745" s="405" t="str">
        <f t="shared" si="222"/>
        <v>豊後大野市三重町芦刈１００６－４</v>
      </c>
      <c r="L1745" s="403" t="s">
        <v>20125</v>
      </c>
      <c r="M1745" s="403" t="s">
        <v>20126</v>
      </c>
      <c r="N1745" s="403" t="s">
        <v>20127</v>
      </c>
      <c r="O1745" s="403" t="s">
        <v>7088</v>
      </c>
      <c r="P1745" s="403" t="s">
        <v>20128</v>
      </c>
      <c r="Q1745" s="403" t="s">
        <v>10560</v>
      </c>
      <c r="R1745" s="403" t="s">
        <v>20129</v>
      </c>
      <c r="S1745" s="403" t="s">
        <v>20130</v>
      </c>
      <c r="T1745" s="403" t="s">
        <v>20130</v>
      </c>
      <c r="U1745" s="403"/>
      <c r="V1745" s="403" t="s">
        <v>23024</v>
      </c>
      <c r="W1745" s="403" t="s">
        <v>23024</v>
      </c>
      <c r="X1745" s="403" t="s">
        <v>23024</v>
      </c>
      <c r="Y1745" s="403" t="s">
        <v>23024</v>
      </c>
    </row>
    <row r="1746" spans="1:25">
      <c r="A1746" s="363">
        <f t="shared" si="223"/>
        <v>1745</v>
      </c>
      <c r="B1746" s="363" t="str">
        <f t="shared" si="216"/>
        <v>44</v>
      </c>
      <c r="C1746" s="405" t="str">
        <f t="shared" si="217"/>
        <v>第013869号</v>
      </c>
      <c r="D1746" s="405" t="str">
        <f t="shared" si="218"/>
        <v>（株）太陽</v>
      </c>
      <c r="E1746" s="405" t="str">
        <f t="shared" si="219"/>
        <v>代表取締役</v>
      </c>
      <c r="F1746" s="405" t="str">
        <f t="shared" si="220"/>
        <v>野々下　祥二</v>
      </c>
      <c r="G1746" s="405" t="str">
        <f t="shared" si="221"/>
        <v>主たる営業所</v>
      </c>
      <c r="H1746" s="405" t="str">
        <f t="shared" si="222"/>
        <v>大分市豊海３－８－９</v>
      </c>
      <c r="L1746" s="403" t="s">
        <v>11412</v>
      </c>
      <c r="M1746" s="403" t="s">
        <v>10330</v>
      </c>
      <c r="N1746" s="403" t="s">
        <v>4642</v>
      </c>
      <c r="O1746" s="403" t="s">
        <v>7084</v>
      </c>
      <c r="P1746" s="403" t="s">
        <v>5273</v>
      </c>
      <c r="Q1746" s="403" t="s">
        <v>7285</v>
      </c>
      <c r="R1746" s="403" t="s">
        <v>20131</v>
      </c>
      <c r="S1746" s="403" t="s">
        <v>17124</v>
      </c>
      <c r="T1746" s="403" t="s">
        <v>17125</v>
      </c>
      <c r="U1746" s="403"/>
      <c r="V1746" s="403" t="s">
        <v>23024</v>
      </c>
      <c r="W1746" s="403" t="s">
        <v>23024</v>
      </c>
      <c r="X1746" s="403" t="s">
        <v>23024</v>
      </c>
      <c r="Y1746" s="403" t="s">
        <v>23024</v>
      </c>
    </row>
    <row r="1747" spans="1:25">
      <c r="A1747" s="363">
        <f t="shared" si="223"/>
        <v>1746</v>
      </c>
      <c r="B1747" s="363" t="str">
        <f t="shared" si="216"/>
        <v>44</v>
      </c>
      <c r="C1747" s="405" t="str">
        <f t="shared" si="217"/>
        <v>第013876号</v>
      </c>
      <c r="D1747" s="405" t="str">
        <f t="shared" si="218"/>
        <v>（株）北部建設</v>
      </c>
      <c r="E1747" s="405" t="str">
        <f t="shared" si="219"/>
        <v>代表取締役</v>
      </c>
      <c r="F1747" s="405" t="str">
        <f t="shared" si="220"/>
        <v>熊谷　由美</v>
      </c>
      <c r="G1747" s="405" t="str">
        <f t="shared" si="221"/>
        <v>主たる営業所</v>
      </c>
      <c r="H1747" s="405" t="str">
        <f t="shared" si="222"/>
        <v>中津市山国町守実２３５０－１</v>
      </c>
      <c r="L1747" s="403" t="s">
        <v>11413</v>
      </c>
      <c r="M1747" s="403" t="s">
        <v>11414</v>
      </c>
      <c r="N1747" s="403" t="s">
        <v>4643</v>
      </c>
      <c r="O1747" s="403" t="s">
        <v>7084</v>
      </c>
      <c r="P1747" s="403" t="s">
        <v>4644</v>
      </c>
      <c r="Q1747" s="403" t="s">
        <v>9245</v>
      </c>
      <c r="R1747" s="403" t="s">
        <v>20132</v>
      </c>
      <c r="S1747" s="403" t="s">
        <v>17126</v>
      </c>
      <c r="T1747" s="403" t="s">
        <v>17126</v>
      </c>
      <c r="U1747" s="403"/>
      <c r="V1747" s="403" t="s">
        <v>23024</v>
      </c>
      <c r="W1747" s="403" t="s">
        <v>23024</v>
      </c>
      <c r="X1747" s="403" t="s">
        <v>23024</v>
      </c>
      <c r="Y1747" s="403" t="s">
        <v>23024</v>
      </c>
    </row>
    <row r="1748" spans="1:25">
      <c r="A1748" s="363">
        <f t="shared" si="223"/>
        <v>1747</v>
      </c>
      <c r="B1748" s="363" t="str">
        <f t="shared" si="216"/>
        <v>44</v>
      </c>
      <c r="C1748" s="405" t="str">
        <f t="shared" si="217"/>
        <v>第013877号</v>
      </c>
      <c r="D1748" s="405" t="str">
        <f t="shared" si="218"/>
        <v>大海建設</v>
      </c>
      <c r="E1748" s="405" t="str">
        <f t="shared" si="219"/>
        <v>代表</v>
      </c>
      <c r="F1748" s="405" t="str">
        <f t="shared" si="220"/>
        <v>大海　一平</v>
      </c>
      <c r="G1748" s="405" t="str">
        <f t="shared" si="221"/>
        <v>主たる営業所</v>
      </c>
      <c r="H1748" s="405" t="str">
        <f t="shared" si="222"/>
        <v>東国東郡姫島村３６０９－２</v>
      </c>
      <c r="L1748" s="403" t="s">
        <v>11415</v>
      </c>
      <c r="M1748" s="403" t="s">
        <v>11416</v>
      </c>
      <c r="N1748" s="403" t="s">
        <v>4645</v>
      </c>
      <c r="O1748" s="403" t="s">
        <v>7091</v>
      </c>
      <c r="P1748" s="403" t="s">
        <v>4646</v>
      </c>
      <c r="Q1748" s="403" t="s">
        <v>7706</v>
      </c>
      <c r="R1748" s="403" t="s">
        <v>20133</v>
      </c>
      <c r="S1748" s="403" t="s">
        <v>17127</v>
      </c>
      <c r="T1748" s="403" t="s">
        <v>17127</v>
      </c>
      <c r="U1748" s="403"/>
      <c r="V1748" s="403" t="s">
        <v>23024</v>
      </c>
      <c r="W1748" s="403" t="s">
        <v>23024</v>
      </c>
      <c r="X1748" s="403" t="s">
        <v>23024</v>
      </c>
      <c r="Y1748" s="403" t="s">
        <v>23024</v>
      </c>
    </row>
    <row r="1749" spans="1:25">
      <c r="A1749" s="363">
        <f t="shared" si="223"/>
        <v>1748</v>
      </c>
      <c r="B1749" s="363" t="str">
        <f t="shared" si="216"/>
        <v>44</v>
      </c>
      <c r="C1749" s="405" t="str">
        <f t="shared" si="217"/>
        <v>第013879号</v>
      </c>
      <c r="D1749" s="405" t="str">
        <f t="shared" si="218"/>
        <v>（株）スマート建築</v>
      </c>
      <c r="E1749" s="405" t="str">
        <f t="shared" si="219"/>
        <v>代表取締役</v>
      </c>
      <c r="F1749" s="405" t="str">
        <f t="shared" si="220"/>
        <v>鶴田　和子</v>
      </c>
      <c r="G1749" s="405" t="str">
        <f t="shared" si="221"/>
        <v>主たる営業所</v>
      </c>
      <c r="H1749" s="405" t="str">
        <f t="shared" si="222"/>
        <v>国東市国東町田深５２７－２</v>
      </c>
      <c r="L1749" s="403" t="s">
        <v>11417</v>
      </c>
      <c r="M1749" s="403" t="s">
        <v>11418</v>
      </c>
      <c r="N1749" s="403" t="s">
        <v>4647</v>
      </c>
      <c r="O1749" s="403" t="s">
        <v>7084</v>
      </c>
      <c r="P1749" s="403" t="s">
        <v>4648</v>
      </c>
      <c r="Q1749" s="403" t="s">
        <v>7700</v>
      </c>
      <c r="R1749" s="403" t="s">
        <v>20134</v>
      </c>
      <c r="S1749" s="403" t="s">
        <v>17128</v>
      </c>
      <c r="T1749" s="403" t="s">
        <v>17129</v>
      </c>
      <c r="U1749" s="403"/>
      <c r="V1749" s="403" t="s">
        <v>23024</v>
      </c>
      <c r="W1749" s="403" t="s">
        <v>23024</v>
      </c>
      <c r="X1749" s="403" t="s">
        <v>23024</v>
      </c>
      <c r="Y1749" s="403" t="s">
        <v>23024</v>
      </c>
    </row>
    <row r="1750" spans="1:25">
      <c r="A1750" s="363">
        <f t="shared" si="223"/>
        <v>1749</v>
      </c>
      <c r="B1750" s="363" t="str">
        <f t="shared" si="216"/>
        <v>44</v>
      </c>
      <c r="C1750" s="405" t="str">
        <f t="shared" si="217"/>
        <v>第013880号</v>
      </c>
      <c r="D1750" s="405" t="str">
        <f t="shared" si="218"/>
        <v>（株）テクノライン</v>
      </c>
      <c r="E1750" s="405" t="str">
        <f t="shared" si="219"/>
        <v>代表取締役</v>
      </c>
      <c r="F1750" s="405" t="str">
        <f t="shared" si="220"/>
        <v>田中　竜樹</v>
      </c>
      <c r="G1750" s="405" t="str">
        <f t="shared" si="221"/>
        <v>主たる営業所</v>
      </c>
      <c r="H1750" s="405" t="str">
        <f t="shared" si="222"/>
        <v>日田市大字三和２６２９－３</v>
      </c>
      <c r="L1750" s="403" t="s">
        <v>11419</v>
      </c>
      <c r="M1750" s="403" t="s">
        <v>11420</v>
      </c>
      <c r="N1750" s="403" t="s">
        <v>4649</v>
      </c>
      <c r="O1750" s="403" t="s">
        <v>7084</v>
      </c>
      <c r="P1750" s="403" t="s">
        <v>4650</v>
      </c>
      <c r="Q1750" s="403" t="s">
        <v>9548</v>
      </c>
      <c r="R1750" s="403" t="s">
        <v>20135</v>
      </c>
      <c r="S1750" s="403" t="s">
        <v>17130</v>
      </c>
      <c r="T1750" s="403" t="s">
        <v>17131</v>
      </c>
      <c r="U1750" s="403"/>
      <c r="V1750" s="403" t="s">
        <v>23024</v>
      </c>
      <c r="W1750" s="403" t="s">
        <v>23024</v>
      </c>
      <c r="X1750" s="403" t="s">
        <v>23024</v>
      </c>
      <c r="Y1750" s="403" t="s">
        <v>23024</v>
      </c>
    </row>
    <row r="1751" spans="1:25">
      <c r="A1751" s="363">
        <f t="shared" si="223"/>
        <v>1750</v>
      </c>
      <c r="B1751" s="363" t="str">
        <f t="shared" si="216"/>
        <v>44</v>
      </c>
      <c r="C1751" s="405" t="str">
        <f t="shared" si="217"/>
        <v>第013881号</v>
      </c>
      <c r="D1751" s="405" t="str">
        <f t="shared" si="218"/>
        <v>小野電設（株）</v>
      </c>
      <c r="E1751" s="405" t="str">
        <f t="shared" si="219"/>
        <v>代表取締役</v>
      </c>
      <c r="F1751" s="405" t="str">
        <f t="shared" si="220"/>
        <v>小野　圭太</v>
      </c>
      <c r="G1751" s="405" t="str">
        <f t="shared" si="221"/>
        <v>主たる営業所</v>
      </c>
      <c r="H1751" s="405" t="str">
        <f t="shared" si="222"/>
        <v>大分市横尾東町３－１１－６</v>
      </c>
      <c r="L1751" s="403" t="s">
        <v>11421</v>
      </c>
      <c r="M1751" s="403" t="s">
        <v>11422</v>
      </c>
      <c r="N1751" s="403" t="s">
        <v>4651</v>
      </c>
      <c r="O1751" s="403" t="s">
        <v>7084</v>
      </c>
      <c r="P1751" s="403" t="s">
        <v>4652</v>
      </c>
      <c r="Q1751" s="403" t="s">
        <v>8699</v>
      </c>
      <c r="R1751" s="403" t="s">
        <v>20136</v>
      </c>
      <c r="S1751" s="403" t="s">
        <v>17132</v>
      </c>
      <c r="T1751" s="403" t="s">
        <v>17133</v>
      </c>
      <c r="U1751" s="403"/>
      <c r="V1751" s="403" t="s">
        <v>23024</v>
      </c>
      <c r="W1751" s="403" t="s">
        <v>23024</v>
      </c>
      <c r="X1751" s="403" t="s">
        <v>23024</v>
      </c>
      <c r="Y1751" s="403" t="s">
        <v>23024</v>
      </c>
    </row>
    <row r="1752" spans="1:25">
      <c r="A1752" s="363">
        <f t="shared" si="223"/>
        <v>1751</v>
      </c>
      <c r="B1752" s="363" t="str">
        <f t="shared" si="216"/>
        <v>44</v>
      </c>
      <c r="C1752" s="405" t="str">
        <f t="shared" si="217"/>
        <v>第013884号</v>
      </c>
      <c r="D1752" s="405" t="str">
        <f t="shared" si="218"/>
        <v>（株）荒金総建</v>
      </c>
      <c r="E1752" s="405" t="str">
        <f t="shared" si="219"/>
        <v>代表取締役</v>
      </c>
      <c r="F1752" s="405" t="str">
        <f t="shared" si="220"/>
        <v>荒金　一仁</v>
      </c>
      <c r="G1752" s="405" t="str">
        <f t="shared" si="221"/>
        <v>主たる営業所</v>
      </c>
      <c r="H1752" s="405" t="str">
        <f t="shared" si="222"/>
        <v>別府市大字南立石１７０８－１</v>
      </c>
      <c r="L1752" s="403" t="s">
        <v>20137</v>
      </c>
      <c r="M1752" s="403" t="s">
        <v>20138</v>
      </c>
      <c r="N1752" s="403" t="s">
        <v>20139</v>
      </c>
      <c r="O1752" s="403" t="s">
        <v>7084</v>
      </c>
      <c r="P1752" s="403" t="s">
        <v>20140</v>
      </c>
      <c r="Q1752" s="403" t="s">
        <v>9428</v>
      </c>
      <c r="R1752" s="403" t="s">
        <v>20141</v>
      </c>
      <c r="S1752" s="403" t="s">
        <v>20142</v>
      </c>
      <c r="T1752" s="403" t="s">
        <v>20143</v>
      </c>
      <c r="U1752" s="403"/>
      <c r="V1752" s="403" t="s">
        <v>23024</v>
      </c>
      <c r="W1752" s="403" t="s">
        <v>23024</v>
      </c>
      <c r="X1752" s="403" t="s">
        <v>23024</v>
      </c>
      <c r="Y1752" s="403" t="s">
        <v>23024</v>
      </c>
    </row>
    <row r="1753" spans="1:25">
      <c r="A1753" s="363">
        <f t="shared" si="223"/>
        <v>1752</v>
      </c>
      <c r="B1753" s="363" t="str">
        <f t="shared" si="216"/>
        <v>44</v>
      </c>
      <c r="C1753" s="405" t="str">
        <f t="shared" si="217"/>
        <v>第013885号</v>
      </c>
      <c r="D1753" s="405" t="str">
        <f t="shared" si="218"/>
        <v>（株）ケーエヌ</v>
      </c>
      <c r="E1753" s="405" t="str">
        <f t="shared" si="219"/>
        <v>代表取締役</v>
      </c>
      <c r="F1753" s="405" t="str">
        <f t="shared" si="220"/>
        <v>柴山　博展</v>
      </c>
      <c r="G1753" s="405" t="str">
        <f t="shared" si="221"/>
        <v>主たる営業所</v>
      </c>
      <c r="H1753" s="405" t="str">
        <f t="shared" si="222"/>
        <v>別府市浜脇１－４０７６－８</v>
      </c>
      <c r="L1753" s="403" t="s">
        <v>11423</v>
      </c>
      <c r="M1753" s="403" t="s">
        <v>11424</v>
      </c>
      <c r="N1753" s="403" t="s">
        <v>4653</v>
      </c>
      <c r="O1753" s="403" t="s">
        <v>7084</v>
      </c>
      <c r="P1753" s="403" t="s">
        <v>4466</v>
      </c>
      <c r="Q1753" s="403" t="s">
        <v>11214</v>
      </c>
      <c r="R1753" s="403" t="s">
        <v>20025</v>
      </c>
      <c r="S1753" s="403" t="s">
        <v>17134</v>
      </c>
      <c r="T1753" s="403" t="s">
        <v>17134</v>
      </c>
      <c r="U1753" s="403"/>
      <c r="V1753" s="403" t="s">
        <v>23024</v>
      </c>
      <c r="W1753" s="403" t="s">
        <v>23024</v>
      </c>
      <c r="X1753" s="403" t="s">
        <v>23024</v>
      </c>
      <c r="Y1753" s="403" t="s">
        <v>23024</v>
      </c>
    </row>
    <row r="1754" spans="1:25">
      <c r="A1754" s="363">
        <f t="shared" si="223"/>
        <v>1753</v>
      </c>
      <c r="B1754" s="363" t="str">
        <f t="shared" si="216"/>
        <v>44</v>
      </c>
      <c r="C1754" s="405" t="str">
        <f t="shared" si="217"/>
        <v>第013887号</v>
      </c>
      <c r="D1754" s="405" t="str">
        <f t="shared" si="218"/>
        <v>（株）テイクス宏和</v>
      </c>
      <c r="E1754" s="405" t="str">
        <f t="shared" si="219"/>
        <v>代表取締役</v>
      </c>
      <c r="F1754" s="405" t="str">
        <f t="shared" si="220"/>
        <v>時田　丈</v>
      </c>
      <c r="G1754" s="405" t="str">
        <f t="shared" si="221"/>
        <v>主たる営業所</v>
      </c>
      <c r="H1754" s="405" t="str">
        <f t="shared" si="222"/>
        <v>大分市大字羽田１９９－１</v>
      </c>
      <c r="L1754" s="403" t="s">
        <v>11425</v>
      </c>
      <c r="M1754" s="403" t="s">
        <v>11426</v>
      </c>
      <c r="N1754" s="403" t="s">
        <v>4654</v>
      </c>
      <c r="O1754" s="403" t="s">
        <v>7084</v>
      </c>
      <c r="P1754" s="403" t="s">
        <v>4655</v>
      </c>
      <c r="Q1754" s="403" t="s">
        <v>8289</v>
      </c>
      <c r="R1754" s="403" t="s">
        <v>20144</v>
      </c>
      <c r="S1754" s="403" t="s">
        <v>17135</v>
      </c>
      <c r="T1754" s="403" t="s">
        <v>17136</v>
      </c>
      <c r="U1754" s="403"/>
      <c r="V1754" s="403" t="s">
        <v>23024</v>
      </c>
      <c r="W1754" s="403" t="s">
        <v>23024</v>
      </c>
      <c r="X1754" s="403" t="s">
        <v>23024</v>
      </c>
      <c r="Y1754" s="403" t="s">
        <v>23024</v>
      </c>
    </row>
    <row r="1755" spans="1:25">
      <c r="A1755" s="363">
        <f t="shared" si="223"/>
        <v>1754</v>
      </c>
      <c r="B1755" s="363" t="str">
        <f t="shared" si="216"/>
        <v>44</v>
      </c>
      <c r="C1755" s="405" t="str">
        <f t="shared" si="217"/>
        <v>第013891号</v>
      </c>
      <c r="D1755" s="405" t="str">
        <f t="shared" si="218"/>
        <v>大樹建設工業（有）</v>
      </c>
      <c r="E1755" s="405" t="str">
        <f t="shared" si="219"/>
        <v>代表取締役</v>
      </c>
      <c r="F1755" s="405" t="str">
        <f t="shared" si="220"/>
        <v>藥師寺　信也</v>
      </c>
      <c r="G1755" s="405" t="str">
        <f t="shared" si="221"/>
        <v>主たる営業所</v>
      </c>
      <c r="H1755" s="405" t="str">
        <f t="shared" si="222"/>
        <v>大分市向原沖３－２－２４</v>
      </c>
      <c r="L1755" s="403" t="s">
        <v>11427</v>
      </c>
      <c r="M1755" s="403" t="s">
        <v>11428</v>
      </c>
      <c r="N1755" s="403" t="s">
        <v>4656</v>
      </c>
      <c r="O1755" s="403" t="s">
        <v>7084</v>
      </c>
      <c r="P1755" s="403" t="s">
        <v>4657</v>
      </c>
      <c r="Q1755" s="403" t="s">
        <v>7458</v>
      </c>
      <c r="R1755" s="403" t="s">
        <v>20145</v>
      </c>
      <c r="S1755" s="403" t="s">
        <v>17137</v>
      </c>
      <c r="T1755" s="403" t="s">
        <v>17138</v>
      </c>
      <c r="U1755" s="403"/>
      <c r="V1755" s="403" t="s">
        <v>23024</v>
      </c>
      <c r="W1755" s="403" t="s">
        <v>23024</v>
      </c>
      <c r="X1755" s="403" t="s">
        <v>23024</v>
      </c>
      <c r="Y1755" s="403" t="s">
        <v>23024</v>
      </c>
    </row>
    <row r="1756" spans="1:25">
      <c r="A1756" s="363">
        <f t="shared" si="223"/>
        <v>1755</v>
      </c>
      <c r="B1756" s="363" t="str">
        <f t="shared" si="216"/>
        <v>44</v>
      </c>
      <c r="C1756" s="405" t="str">
        <f t="shared" si="217"/>
        <v>第013892号</v>
      </c>
      <c r="D1756" s="405" t="str">
        <f t="shared" si="218"/>
        <v>（株）Ｓａｋｕｒａ</v>
      </c>
      <c r="E1756" s="405" t="str">
        <f t="shared" si="219"/>
        <v>代表取締役</v>
      </c>
      <c r="F1756" s="405" t="str">
        <f t="shared" si="220"/>
        <v>三又　涼</v>
      </c>
      <c r="G1756" s="405" t="str">
        <f t="shared" si="221"/>
        <v>主たる営業所</v>
      </c>
      <c r="H1756" s="405" t="str">
        <f t="shared" si="222"/>
        <v>由布市挾間町赤野７８２－１</v>
      </c>
      <c r="L1756" s="403" t="s">
        <v>11429</v>
      </c>
      <c r="M1756" s="403" t="s">
        <v>11430</v>
      </c>
      <c r="N1756" s="403" t="s">
        <v>4658</v>
      </c>
      <c r="O1756" s="403" t="s">
        <v>7084</v>
      </c>
      <c r="P1756" s="403" t="s">
        <v>4889</v>
      </c>
      <c r="Q1756" s="403" t="s">
        <v>8670</v>
      </c>
      <c r="R1756" s="403" t="s">
        <v>20146</v>
      </c>
      <c r="S1756" s="403" t="s">
        <v>17139</v>
      </c>
      <c r="T1756" s="403" t="s">
        <v>14621</v>
      </c>
      <c r="U1756" s="403"/>
      <c r="V1756" s="403" t="s">
        <v>23024</v>
      </c>
      <c r="W1756" s="403" t="s">
        <v>23024</v>
      </c>
      <c r="X1756" s="403" t="s">
        <v>23024</v>
      </c>
      <c r="Y1756" s="403" t="s">
        <v>23024</v>
      </c>
    </row>
    <row r="1757" spans="1:25">
      <c r="A1757" s="363">
        <f t="shared" si="223"/>
        <v>1756</v>
      </c>
      <c r="B1757" s="363" t="str">
        <f t="shared" si="216"/>
        <v>44</v>
      </c>
      <c r="C1757" s="405" t="str">
        <f t="shared" si="217"/>
        <v>第013896号</v>
      </c>
      <c r="D1757" s="405" t="str">
        <f t="shared" si="218"/>
        <v>大翔工業（株）</v>
      </c>
      <c r="E1757" s="405" t="str">
        <f t="shared" si="219"/>
        <v>代表取締役</v>
      </c>
      <c r="F1757" s="405" t="str">
        <f t="shared" si="220"/>
        <v>瀬口　裕樹</v>
      </c>
      <c r="G1757" s="405" t="str">
        <f t="shared" si="221"/>
        <v>主たる営業所</v>
      </c>
      <c r="H1757" s="405" t="str">
        <f t="shared" si="222"/>
        <v>宇佐市大字上乙女２６１－１</v>
      </c>
      <c r="L1757" s="403" t="s">
        <v>11431</v>
      </c>
      <c r="M1757" s="403" t="s">
        <v>11432</v>
      </c>
      <c r="N1757" s="403" t="s">
        <v>4659</v>
      </c>
      <c r="O1757" s="403" t="s">
        <v>7084</v>
      </c>
      <c r="P1757" s="403" t="s">
        <v>4660</v>
      </c>
      <c r="Q1757" s="403" t="s">
        <v>11433</v>
      </c>
      <c r="R1757" s="403" t="s">
        <v>20147</v>
      </c>
      <c r="S1757" s="403" t="s">
        <v>17140</v>
      </c>
      <c r="T1757" s="403" t="s">
        <v>17141</v>
      </c>
      <c r="U1757" s="403"/>
      <c r="V1757" s="403" t="s">
        <v>23024</v>
      </c>
      <c r="W1757" s="403" t="s">
        <v>23024</v>
      </c>
      <c r="X1757" s="403" t="s">
        <v>23024</v>
      </c>
      <c r="Y1757" s="403" t="s">
        <v>23024</v>
      </c>
    </row>
    <row r="1758" spans="1:25">
      <c r="A1758" s="363">
        <f t="shared" si="223"/>
        <v>1757</v>
      </c>
      <c r="B1758" s="363" t="str">
        <f t="shared" si="216"/>
        <v>44</v>
      </c>
      <c r="C1758" s="405" t="str">
        <f t="shared" si="217"/>
        <v>第013899号</v>
      </c>
      <c r="D1758" s="405" t="str">
        <f t="shared" si="218"/>
        <v>木津電気工事（株）</v>
      </c>
      <c r="E1758" s="405" t="str">
        <f t="shared" si="219"/>
        <v>代表取締役</v>
      </c>
      <c r="F1758" s="405" t="str">
        <f t="shared" si="220"/>
        <v>木津　隆範</v>
      </c>
      <c r="G1758" s="405" t="str">
        <f t="shared" si="221"/>
        <v>主たる営業所</v>
      </c>
      <c r="H1758" s="405" t="str">
        <f t="shared" si="222"/>
        <v>臼杵市大字井村７２７－１</v>
      </c>
      <c r="L1758" s="403" t="s">
        <v>11434</v>
      </c>
      <c r="M1758" s="403" t="s">
        <v>11435</v>
      </c>
      <c r="N1758" s="403" t="s">
        <v>4661</v>
      </c>
      <c r="O1758" s="403" t="s">
        <v>7084</v>
      </c>
      <c r="P1758" s="403" t="s">
        <v>4662</v>
      </c>
      <c r="Q1758" s="403" t="s">
        <v>8961</v>
      </c>
      <c r="R1758" s="403" t="s">
        <v>20148</v>
      </c>
      <c r="S1758" s="403" t="s">
        <v>17142</v>
      </c>
      <c r="T1758" s="403" t="s">
        <v>17143</v>
      </c>
      <c r="U1758" s="403"/>
      <c r="V1758" s="403" t="s">
        <v>23024</v>
      </c>
      <c r="W1758" s="403" t="s">
        <v>23024</v>
      </c>
      <c r="X1758" s="403" t="s">
        <v>23024</v>
      </c>
      <c r="Y1758" s="403" t="s">
        <v>23024</v>
      </c>
    </row>
    <row r="1759" spans="1:25">
      <c r="A1759" s="363">
        <f t="shared" si="223"/>
        <v>1758</v>
      </c>
      <c r="B1759" s="363" t="str">
        <f t="shared" si="216"/>
        <v>44</v>
      </c>
      <c r="C1759" s="405" t="str">
        <f t="shared" si="217"/>
        <v>第013917号</v>
      </c>
      <c r="D1759" s="405" t="str">
        <f t="shared" si="218"/>
        <v>（株）誠工</v>
      </c>
      <c r="E1759" s="405" t="str">
        <f t="shared" si="219"/>
        <v>代表取締役</v>
      </c>
      <c r="F1759" s="405" t="str">
        <f t="shared" si="220"/>
        <v>小野　誠</v>
      </c>
      <c r="G1759" s="405" t="str">
        <f t="shared" si="221"/>
        <v>主たる営業所</v>
      </c>
      <c r="H1759" s="405" t="str">
        <f t="shared" si="222"/>
        <v>豊後大野市三重町浅瀬３２９６</v>
      </c>
      <c r="L1759" s="403" t="s">
        <v>11436</v>
      </c>
      <c r="M1759" s="403" t="s">
        <v>11437</v>
      </c>
      <c r="N1759" s="403" t="s">
        <v>4663</v>
      </c>
      <c r="O1759" s="403" t="s">
        <v>7084</v>
      </c>
      <c r="P1759" s="403" t="s">
        <v>4664</v>
      </c>
      <c r="Q1759" s="403" t="s">
        <v>11411</v>
      </c>
      <c r="R1759" s="403" t="s">
        <v>5672</v>
      </c>
      <c r="S1759" s="403" t="s">
        <v>17144</v>
      </c>
      <c r="T1759" s="403" t="s">
        <v>17145</v>
      </c>
      <c r="U1759" s="403"/>
      <c r="V1759" s="403" t="s">
        <v>23024</v>
      </c>
      <c r="W1759" s="403" t="s">
        <v>23024</v>
      </c>
      <c r="X1759" s="403" t="s">
        <v>23024</v>
      </c>
      <c r="Y1759" s="403" t="s">
        <v>23024</v>
      </c>
    </row>
    <row r="1760" spans="1:25">
      <c r="A1760" s="363">
        <f t="shared" si="223"/>
        <v>1759</v>
      </c>
      <c r="B1760" s="363" t="str">
        <f t="shared" si="216"/>
        <v>44</v>
      </c>
      <c r="C1760" s="405" t="str">
        <f t="shared" si="217"/>
        <v>第013919号</v>
      </c>
      <c r="D1760" s="405" t="str">
        <f t="shared" si="218"/>
        <v>（株）やすらぎ美装</v>
      </c>
      <c r="E1760" s="405" t="str">
        <f t="shared" si="219"/>
        <v>代表取締役</v>
      </c>
      <c r="F1760" s="405" t="str">
        <f t="shared" si="220"/>
        <v>高野　和水</v>
      </c>
      <c r="G1760" s="405" t="str">
        <f t="shared" si="221"/>
        <v>主たる営業所</v>
      </c>
      <c r="H1760" s="405" t="str">
        <f t="shared" si="222"/>
        <v>大分市二又町１－１－６</v>
      </c>
      <c r="L1760" s="403" t="s">
        <v>11438</v>
      </c>
      <c r="M1760" s="403" t="s">
        <v>11439</v>
      </c>
      <c r="N1760" s="403" t="s">
        <v>4665</v>
      </c>
      <c r="O1760" s="403" t="s">
        <v>7084</v>
      </c>
      <c r="P1760" s="403" t="s">
        <v>4666</v>
      </c>
      <c r="Q1760" s="403" t="s">
        <v>11440</v>
      </c>
      <c r="R1760" s="403" t="s">
        <v>20149</v>
      </c>
      <c r="S1760" s="403" t="s">
        <v>17146</v>
      </c>
      <c r="T1760" s="403" t="s">
        <v>17147</v>
      </c>
      <c r="U1760" s="403"/>
      <c r="V1760" s="403" t="s">
        <v>23024</v>
      </c>
      <c r="W1760" s="403" t="s">
        <v>23024</v>
      </c>
      <c r="X1760" s="403" t="s">
        <v>23024</v>
      </c>
      <c r="Y1760" s="403" t="s">
        <v>23024</v>
      </c>
    </row>
    <row r="1761" spans="1:25">
      <c r="A1761" s="363">
        <f t="shared" si="223"/>
        <v>1760</v>
      </c>
      <c r="B1761" s="363" t="str">
        <f t="shared" si="216"/>
        <v>44</v>
      </c>
      <c r="C1761" s="405" t="str">
        <f t="shared" si="217"/>
        <v>第013926号</v>
      </c>
      <c r="D1761" s="405" t="str">
        <f t="shared" si="218"/>
        <v>（有）後藤製材所</v>
      </c>
      <c r="E1761" s="405" t="str">
        <f t="shared" si="219"/>
        <v>代表取締役</v>
      </c>
      <c r="F1761" s="405" t="str">
        <f t="shared" si="220"/>
        <v>賀籠六　尚樹</v>
      </c>
      <c r="G1761" s="405" t="str">
        <f t="shared" si="221"/>
        <v>主たる営業所</v>
      </c>
      <c r="H1761" s="405" t="str">
        <f t="shared" si="222"/>
        <v>竹田市久住町大字久住３３１５</v>
      </c>
      <c r="L1761" s="403" t="s">
        <v>11442</v>
      </c>
      <c r="M1761" s="403" t="s">
        <v>11443</v>
      </c>
      <c r="N1761" s="403" t="s">
        <v>4669</v>
      </c>
      <c r="O1761" s="403" t="s">
        <v>7084</v>
      </c>
      <c r="P1761" s="403" t="s">
        <v>4670</v>
      </c>
      <c r="Q1761" s="403" t="s">
        <v>7960</v>
      </c>
      <c r="R1761" s="403" t="s">
        <v>5673</v>
      </c>
      <c r="S1761" s="403" t="s">
        <v>17150</v>
      </c>
      <c r="T1761" s="403" t="s">
        <v>17151</v>
      </c>
      <c r="U1761" s="403"/>
      <c r="V1761" s="403" t="s">
        <v>23024</v>
      </c>
      <c r="W1761" s="403" t="s">
        <v>23024</v>
      </c>
      <c r="X1761" s="403" t="s">
        <v>23024</v>
      </c>
      <c r="Y1761" s="403" t="s">
        <v>23024</v>
      </c>
    </row>
    <row r="1762" spans="1:25">
      <c r="A1762" s="363">
        <f t="shared" si="223"/>
        <v>1761</v>
      </c>
      <c r="B1762" s="363" t="str">
        <f t="shared" si="216"/>
        <v>44</v>
      </c>
      <c r="C1762" s="405" t="str">
        <f t="shared" si="217"/>
        <v>第013930号</v>
      </c>
      <c r="D1762" s="405" t="str">
        <f t="shared" si="218"/>
        <v>（株）クリアード</v>
      </c>
      <c r="E1762" s="405" t="str">
        <f t="shared" si="219"/>
        <v>代表取締役</v>
      </c>
      <c r="F1762" s="405" t="str">
        <f t="shared" si="220"/>
        <v>江口　功</v>
      </c>
      <c r="G1762" s="405" t="str">
        <f t="shared" si="221"/>
        <v>主たる営業所</v>
      </c>
      <c r="H1762" s="405" t="str">
        <f t="shared" si="222"/>
        <v>大分市大字下判田１３８４</v>
      </c>
      <c r="L1762" s="403" t="s">
        <v>11444</v>
      </c>
      <c r="M1762" s="403" t="s">
        <v>11445</v>
      </c>
      <c r="N1762" s="403" t="s">
        <v>4671</v>
      </c>
      <c r="O1762" s="403" t="s">
        <v>7084</v>
      </c>
      <c r="P1762" s="403" t="s">
        <v>4672</v>
      </c>
      <c r="Q1762" s="403" t="s">
        <v>11446</v>
      </c>
      <c r="R1762" s="403" t="s">
        <v>5674</v>
      </c>
      <c r="S1762" s="403" t="s">
        <v>17152</v>
      </c>
      <c r="T1762" s="403" t="s">
        <v>17153</v>
      </c>
      <c r="U1762" s="403"/>
      <c r="V1762" s="403" t="s">
        <v>23024</v>
      </c>
      <c r="W1762" s="403" t="s">
        <v>23024</v>
      </c>
      <c r="X1762" s="403" t="s">
        <v>23024</v>
      </c>
      <c r="Y1762" s="403" t="s">
        <v>23024</v>
      </c>
    </row>
    <row r="1763" spans="1:25">
      <c r="A1763" s="363">
        <f t="shared" si="223"/>
        <v>1762</v>
      </c>
      <c r="B1763" s="363" t="str">
        <f t="shared" si="216"/>
        <v>44</v>
      </c>
      <c r="C1763" s="405" t="str">
        <f t="shared" si="217"/>
        <v>第013934号</v>
      </c>
      <c r="D1763" s="405" t="str">
        <f t="shared" si="218"/>
        <v>（株）フジケン</v>
      </c>
      <c r="E1763" s="405" t="str">
        <f t="shared" si="219"/>
        <v>代表取締役</v>
      </c>
      <c r="F1763" s="405" t="str">
        <f t="shared" si="220"/>
        <v>加藤　哲雄</v>
      </c>
      <c r="G1763" s="405" t="str">
        <f t="shared" si="221"/>
        <v>主たる営業所</v>
      </c>
      <c r="H1763" s="405" t="str">
        <f t="shared" si="222"/>
        <v>臼杵市大字臼杵２－１０７－１１０</v>
      </c>
      <c r="L1763" s="403" t="s">
        <v>11447</v>
      </c>
      <c r="M1763" s="403" t="s">
        <v>11448</v>
      </c>
      <c r="N1763" s="403" t="s">
        <v>4673</v>
      </c>
      <c r="O1763" s="403" t="s">
        <v>7084</v>
      </c>
      <c r="P1763" s="403" t="s">
        <v>4674</v>
      </c>
      <c r="Q1763" s="403" t="s">
        <v>7757</v>
      </c>
      <c r="R1763" s="403" t="s">
        <v>20150</v>
      </c>
      <c r="S1763" s="403" t="s">
        <v>17154</v>
      </c>
      <c r="T1763" s="403" t="s">
        <v>17155</v>
      </c>
      <c r="U1763" s="403"/>
      <c r="V1763" s="403" t="s">
        <v>23024</v>
      </c>
      <c r="W1763" s="403" t="s">
        <v>23024</v>
      </c>
      <c r="X1763" s="403" t="s">
        <v>23024</v>
      </c>
      <c r="Y1763" s="403" t="s">
        <v>23024</v>
      </c>
    </row>
    <row r="1764" spans="1:25">
      <c r="A1764" s="363">
        <f t="shared" si="223"/>
        <v>1763</v>
      </c>
      <c r="B1764" s="363" t="str">
        <f t="shared" si="216"/>
        <v>44</v>
      </c>
      <c r="C1764" s="405" t="str">
        <f t="shared" si="217"/>
        <v>第013937号</v>
      </c>
      <c r="D1764" s="405" t="str">
        <f t="shared" si="218"/>
        <v>（株）コウセイ</v>
      </c>
      <c r="E1764" s="405" t="str">
        <f t="shared" si="219"/>
        <v>代表取締役</v>
      </c>
      <c r="F1764" s="405" t="str">
        <f t="shared" si="220"/>
        <v>田村　孝正</v>
      </c>
      <c r="G1764" s="405" t="str">
        <f t="shared" si="221"/>
        <v>主たる営業所</v>
      </c>
      <c r="H1764" s="405" t="str">
        <f t="shared" si="222"/>
        <v>由布市挾間町下市７５９－２</v>
      </c>
      <c r="L1764" s="403" t="s">
        <v>20151</v>
      </c>
      <c r="M1764" s="403" t="s">
        <v>11306</v>
      </c>
      <c r="N1764" s="403" t="s">
        <v>20152</v>
      </c>
      <c r="O1764" s="403" t="s">
        <v>7084</v>
      </c>
      <c r="P1764" s="403" t="s">
        <v>20153</v>
      </c>
      <c r="Q1764" s="403" t="s">
        <v>11049</v>
      </c>
      <c r="R1764" s="403" t="s">
        <v>20154</v>
      </c>
      <c r="S1764" s="403" t="s">
        <v>20155</v>
      </c>
      <c r="T1764" s="403" t="s">
        <v>20155</v>
      </c>
      <c r="U1764" s="403"/>
      <c r="V1764" s="403" t="s">
        <v>23024</v>
      </c>
      <c r="W1764" s="403" t="s">
        <v>23024</v>
      </c>
      <c r="X1764" s="403" t="s">
        <v>23024</v>
      </c>
      <c r="Y1764" s="403" t="s">
        <v>23024</v>
      </c>
    </row>
    <row r="1765" spans="1:25">
      <c r="A1765" s="363">
        <f t="shared" si="223"/>
        <v>1764</v>
      </c>
      <c r="B1765" s="363" t="str">
        <f t="shared" si="216"/>
        <v>44</v>
      </c>
      <c r="C1765" s="405" t="str">
        <f t="shared" si="217"/>
        <v>第013944号</v>
      </c>
      <c r="D1765" s="405" t="str">
        <f t="shared" si="218"/>
        <v>（株）ＰＡＳ</v>
      </c>
      <c r="E1765" s="405" t="str">
        <f t="shared" si="219"/>
        <v>代表取締役</v>
      </c>
      <c r="F1765" s="405" t="str">
        <f t="shared" si="220"/>
        <v>白石　浩章</v>
      </c>
      <c r="G1765" s="405" t="str">
        <f t="shared" si="221"/>
        <v>主たる営業所</v>
      </c>
      <c r="H1765" s="405" t="str">
        <f t="shared" si="222"/>
        <v>大分市大字下郡３６６６－６４</v>
      </c>
      <c r="L1765" s="404" t="s">
        <v>11449</v>
      </c>
      <c r="M1765" s="404" t="s">
        <v>11450</v>
      </c>
      <c r="N1765" s="404" t="s">
        <v>4675</v>
      </c>
      <c r="O1765" s="404" t="s">
        <v>7084</v>
      </c>
      <c r="P1765" s="404" t="s">
        <v>4676</v>
      </c>
      <c r="Q1765" s="404" t="s">
        <v>7419</v>
      </c>
      <c r="R1765" s="404" t="s">
        <v>20156</v>
      </c>
      <c r="S1765" s="404" t="s">
        <v>17156</v>
      </c>
      <c r="T1765" s="404" t="s">
        <v>17157</v>
      </c>
      <c r="U1765" s="404"/>
      <c r="V1765" s="404" t="s">
        <v>23024</v>
      </c>
      <c r="W1765" s="404" t="s">
        <v>23024</v>
      </c>
      <c r="X1765" s="404" t="s">
        <v>23024</v>
      </c>
      <c r="Y1765" s="404" t="s">
        <v>23024</v>
      </c>
    </row>
    <row r="1766" spans="1:25">
      <c r="A1766" s="363">
        <f t="shared" si="223"/>
        <v>1765</v>
      </c>
      <c r="B1766" s="363" t="str">
        <f t="shared" si="216"/>
        <v>44</v>
      </c>
      <c r="C1766" s="405" t="str">
        <f t="shared" si="217"/>
        <v>第013946号</v>
      </c>
      <c r="D1766" s="405" t="str">
        <f t="shared" si="218"/>
        <v>（株）共功</v>
      </c>
      <c r="E1766" s="405" t="str">
        <f t="shared" si="219"/>
        <v>代表取締役</v>
      </c>
      <c r="F1766" s="405" t="str">
        <f t="shared" si="220"/>
        <v>谷口　慶郎</v>
      </c>
      <c r="G1766" s="405" t="str">
        <f t="shared" si="221"/>
        <v>主たる営業所</v>
      </c>
      <c r="H1766" s="405" t="str">
        <f t="shared" si="222"/>
        <v>大分市大字下戸次３３６８－１</v>
      </c>
      <c r="L1766" s="402" t="s">
        <v>20157</v>
      </c>
      <c r="M1766" s="402" t="s">
        <v>20158</v>
      </c>
      <c r="N1766" s="402" t="s">
        <v>20159</v>
      </c>
      <c r="O1766" s="402" t="s">
        <v>7084</v>
      </c>
      <c r="P1766" s="402" t="s">
        <v>20160</v>
      </c>
      <c r="Q1766" s="402" t="s">
        <v>10792</v>
      </c>
      <c r="R1766" s="402" t="s">
        <v>20161</v>
      </c>
      <c r="S1766" s="402" t="s">
        <v>20162</v>
      </c>
      <c r="T1766" s="402" t="s">
        <v>20162</v>
      </c>
      <c r="U1766" s="402"/>
      <c r="V1766" s="402" t="s">
        <v>23024</v>
      </c>
      <c r="W1766" s="402" t="s">
        <v>23024</v>
      </c>
      <c r="X1766" s="402" t="s">
        <v>23024</v>
      </c>
      <c r="Y1766" s="402" t="s">
        <v>23024</v>
      </c>
    </row>
    <row r="1767" spans="1:25">
      <c r="A1767" s="363">
        <f t="shared" si="223"/>
        <v>1766</v>
      </c>
      <c r="B1767" s="363" t="str">
        <f t="shared" si="216"/>
        <v>44</v>
      </c>
      <c r="C1767" s="405" t="str">
        <f t="shared" si="217"/>
        <v>第013952号</v>
      </c>
      <c r="D1767" s="405" t="str">
        <f t="shared" si="218"/>
        <v>大志土木工業（株）</v>
      </c>
      <c r="E1767" s="405" t="str">
        <f t="shared" si="219"/>
        <v>代表取締役</v>
      </c>
      <c r="F1767" s="405" t="str">
        <f t="shared" si="220"/>
        <v>橋本　真樹</v>
      </c>
      <c r="G1767" s="405" t="str">
        <f t="shared" si="221"/>
        <v>主たる営業所</v>
      </c>
      <c r="H1767" s="405" t="str">
        <f t="shared" si="222"/>
        <v>国東市国東町川原２２３５</v>
      </c>
      <c r="L1767" s="403" t="s">
        <v>11451</v>
      </c>
      <c r="M1767" s="403" t="s">
        <v>11452</v>
      </c>
      <c r="N1767" s="403" t="s">
        <v>4677</v>
      </c>
      <c r="O1767" s="403" t="s">
        <v>7084</v>
      </c>
      <c r="P1767" s="403" t="s">
        <v>4678</v>
      </c>
      <c r="Q1767" s="403" t="s">
        <v>11453</v>
      </c>
      <c r="R1767" s="403" t="s">
        <v>5675</v>
      </c>
      <c r="S1767" s="403" t="s">
        <v>17158</v>
      </c>
      <c r="T1767" s="403" t="s">
        <v>17158</v>
      </c>
      <c r="U1767" s="403"/>
      <c r="V1767" s="403" t="s">
        <v>23024</v>
      </c>
      <c r="W1767" s="403" t="s">
        <v>23024</v>
      </c>
      <c r="X1767" s="403" t="s">
        <v>23024</v>
      </c>
      <c r="Y1767" s="403" t="s">
        <v>23024</v>
      </c>
    </row>
    <row r="1768" spans="1:25">
      <c r="A1768" s="363">
        <f t="shared" si="223"/>
        <v>1767</v>
      </c>
      <c r="B1768" s="363" t="str">
        <f t="shared" si="216"/>
        <v>44</v>
      </c>
      <c r="C1768" s="405" t="str">
        <f t="shared" si="217"/>
        <v>第013964号</v>
      </c>
      <c r="D1768" s="405" t="str">
        <f t="shared" si="218"/>
        <v>（株）杉田建設</v>
      </c>
      <c r="E1768" s="405" t="str">
        <f t="shared" si="219"/>
        <v>代表取締役</v>
      </c>
      <c r="F1768" s="405" t="str">
        <f t="shared" si="220"/>
        <v>杉田　匡織</v>
      </c>
      <c r="G1768" s="405" t="str">
        <f t="shared" si="221"/>
        <v>主たる営業所</v>
      </c>
      <c r="H1768" s="405" t="str">
        <f t="shared" si="222"/>
        <v>大分市大字横尾１８９６－１</v>
      </c>
      <c r="L1768" s="403" t="s">
        <v>11454</v>
      </c>
      <c r="M1768" s="403" t="s">
        <v>11455</v>
      </c>
      <c r="N1768" s="403" t="s">
        <v>4679</v>
      </c>
      <c r="O1768" s="403" t="s">
        <v>7084</v>
      </c>
      <c r="P1768" s="403" t="s">
        <v>3934</v>
      </c>
      <c r="Q1768" s="403" t="s">
        <v>7357</v>
      </c>
      <c r="R1768" s="403" t="s">
        <v>20163</v>
      </c>
      <c r="S1768" s="403" t="s">
        <v>17159</v>
      </c>
      <c r="T1768" s="403" t="s">
        <v>17160</v>
      </c>
      <c r="U1768" s="403"/>
      <c r="V1768" s="403" t="s">
        <v>23024</v>
      </c>
      <c r="W1768" s="403" t="s">
        <v>23024</v>
      </c>
      <c r="X1768" s="403" t="s">
        <v>23024</v>
      </c>
      <c r="Y1768" s="403" t="s">
        <v>23024</v>
      </c>
    </row>
    <row r="1769" spans="1:25">
      <c r="A1769" s="363">
        <f t="shared" si="223"/>
        <v>1768</v>
      </c>
      <c r="B1769" s="363" t="str">
        <f t="shared" si="216"/>
        <v>44</v>
      </c>
      <c r="C1769" s="405" t="str">
        <f t="shared" si="217"/>
        <v>第013965号</v>
      </c>
      <c r="D1769" s="405" t="str">
        <f t="shared" si="218"/>
        <v>シビルワークス（株）</v>
      </c>
      <c r="E1769" s="405" t="str">
        <f t="shared" si="219"/>
        <v>代表取締役</v>
      </c>
      <c r="F1769" s="405" t="str">
        <f t="shared" si="220"/>
        <v>長久　美香</v>
      </c>
      <c r="G1769" s="405" t="str">
        <f t="shared" si="221"/>
        <v>主たる営業所</v>
      </c>
      <c r="H1769" s="405" t="str">
        <f t="shared" si="222"/>
        <v>中津市大字福島１１２０－１</v>
      </c>
      <c r="L1769" s="403" t="s">
        <v>11456</v>
      </c>
      <c r="M1769" s="403" t="s">
        <v>11457</v>
      </c>
      <c r="N1769" s="403" t="s">
        <v>4680</v>
      </c>
      <c r="O1769" s="403" t="s">
        <v>7084</v>
      </c>
      <c r="P1769" s="403" t="s">
        <v>4681</v>
      </c>
      <c r="Q1769" s="403" t="s">
        <v>8893</v>
      </c>
      <c r="R1769" s="403" t="s">
        <v>20164</v>
      </c>
      <c r="S1769" s="403" t="s">
        <v>17161</v>
      </c>
      <c r="T1769" s="403" t="s">
        <v>17162</v>
      </c>
      <c r="U1769" s="403"/>
      <c r="V1769" s="403" t="s">
        <v>23024</v>
      </c>
      <c r="W1769" s="403" t="s">
        <v>23024</v>
      </c>
      <c r="X1769" s="403" t="s">
        <v>23024</v>
      </c>
      <c r="Y1769" s="403" t="s">
        <v>23024</v>
      </c>
    </row>
    <row r="1770" spans="1:25">
      <c r="A1770" s="363">
        <f t="shared" si="223"/>
        <v>1769</v>
      </c>
      <c r="B1770" s="363" t="str">
        <f t="shared" si="216"/>
        <v>44</v>
      </c>
      <c r="C1770" s="405" t="str">
        <f t="shared" si="217"/>
        <v>第013967号</v>
      </c>
      <c r="D1770" s="405" t="str">
        <f t="shared" si="218"/>
        <v>（有）カミテック</v>
      </c>
      <c r="E1770" s="405" t="str">
        <f t="shared" si="219"/>
        <v>代表取締役</v>
      </c>
      <c r="F1770" s="405" t="str">
        <f t="shared" si="220"/>
        <v>神野　隆輝</v>
      </c>
      <c r="G1770" s="405" t="str">
        <f t="shared" si="221"/>
        <v>主たる営業所</v>
      </c>
      <c r="H1770" s="405" t="str">
        <f t="shared" si="222"/>
        <v>大分市大字荏隈３０９－５</v>
      </c>
      <c r="L1770" s="403" t="s">
        <v>11458</v>
      </c>
      <c r="M1770" s="403" t="s">
        <v>11459</v>
      </c>
      <c r="N1770" s="403" t="s">
        <v>4682</v>
      </c>
      <c r="O1770" s="403" t="s">
        <v>7084</v>
      </c>
      <c r="P1770" s="403" t="s">
        <v>4683</v>
      </c>
      <c r="Q1770" s="403" t="s">
        <v>10447</v>
      </c>
      <c r="R1770" s="403" t="s">
        <v>20165</v>
      </c>
      <c r="S1770" s="403" t="s">
        <v>17163</v>
      </c>
      <c r="T1770" s="403" t="s">
        <v>17164</v>
      </c>
      <c r="U1770" s="403"/>
      <c r="V1770" s="403" t="s">
        <v>23024</v>
      </c>
      <c r="W1770" s="403" t="s">
        <v>23024</v>
      </c>
      <c r="X1770" s="403" t="s">
        <v>23024</v>
      </c>
      <c r="Y1770" s="403" t="s">
        <v>23024</v>
      </c>
    </row>
    <row r="1771" spans="1:25">
      <c r="A1771" s="363">
        <f t="shared" si="223"/>
        <v>1770</v>
      </c>
      <c r="B1771" s="363" t="str">
        <f t="shared" si="216"/>
        <v>44</v>
      </c>
      <c r="C1771" s="405" t="str">
        <f t="shared" si="217"/>
        <v>第013968号</v>
      </c>
      <c r="D1771" s="405" t="str">
        <f t="shared" si="218"/>
        <v>徳丸設備（株）</v>
      </c>
      <c r="E1771" s="405" t="str">
        <f t="shared" si="219"/>
        <v>代表取締役</v>
      </c>
      <c r="F1771" s="405" t="str">
        <f t="shared" si="220"/>
        <v>徳丸　健太郎</v>
      </c>
      <c r="G1771" s="405" t="str">
        <f t="shared" si="221"/>
        <v>主たる営業所</v>
      </c>
      <c r="H1771" s="405" t="str">
        <f t="shared" si="222"/>
        <v>中津市沖代町２－６－２１</v>
      </c>
      <c r="L1771" s="403" t="s">
        <v>11460</v>
      </c>
      <c r="M1771" s="403" t="s">
        <v>11461</v>
      </c>
      <c r="N1771" s="403" t="s">
        <v>4684</v>
      </c>
      <c r="O1771" s="403" t="s">
        <v>7084</v>
      </c>
      <c r="P1771" s="403" t="s">
        <v>5328</v>
      </c>
      <c r="Q1771" s="403" t="s">
        <v>7276</v>
      </c>
      <c r="R1771" s="403" t="s">
        <v>20166</v>
      </c>
      <c r="S1771" s="403" t="s">
        <v>17165</v>
      </c>
      <c r="T1771" s="403" t="s">
        <v>17166</v>
      </c>
      <c r="U1771" s="403"/>
      <c r="V1771" s="403" t="s">
        <v>23024</v>
      </c>
      <c r="W1771" s="403" t="s">
        <v>23024</v>
      </c>
      <c r="X1771" s="403" t="s">
        <v>23024</v>
      </c>
      <c r="Y1771" s="403" t="s">
        <v>23024</v>
      </c>
    </row>
    <row r="1772" spans="1:25">
      <c r="A1772" s="363">
        <f t="shared" si="223"/>
        <v>1771</v>
      </c>
      <c r="B1772" s="363" t="str">
        <f t="shared" si="216"/>
        <v>44</v>
      </c>
      <c r="C1772" s="405" t="str">
        <f t="shared" si="217"/>
        <v>第013975号</v>
      </c>
      <c r="D1772" s="405" t="str">
        <f t="shared" si="218"/>
        <v>（株）ブライテック</v>
      </c>
      <c r="E1772" s="405" t="str">
        <f t="shared" si="219"/>
        <v>代表取締役</v>
      </c>
      <c r="F1772" s="405" t="str">
        <f t="shared" si="220"/>
        <v>植木　清文</v>
      </c>
      <c r="G1772" s="405" t="str">
        <f t="shared" si="221"/>
        <v>主たる営業所</v>
      </c>
      <c r="H1772" s="405" t="str">
        <f t="shared" si="222"/>
        <v>大分市大字海原７３９－３</v>
      </c>
      <c r="L1772" s="403" t="s">
        <v>11462</v>
      </c>
      <c r="M1772" s="403" t="s">
        <v>11463</v>
      </c>
      <c r="N1772" s="403" t="s">
        <v>4685</v>
      </c>
      <c r="O1772" s="403" t="s">
        <v>7084</v>
      </c>
      <c r="P1772" s="403" t="s">
        <v>4686</v>
      </c>
      <c r="Q1772" s="403" t="s">
        <v>7303</v>
      </c>
      <c r="R1772" s="403" t="s">
        <v>20167</v>
      </c>
      <c r="S1772" s="403" t="s">
        <v>17167</v>
      </c>
      <c r="T1772" s="403" t="s">
        <v>17168</v>
      </c>
      <c r="U1772" s="403"/>
      <c r="V1772" s="403" t="s">
        <v>23024</v>
      </c>
      <c r="W1772" s="403" t="s">
        <v>23024</v>
      </c>
      <c r="X1772" s="403" t="s">
        <v>23024</v>
      </c>
      <c r="Y1772" s="403" t="s">
        <v>23024</v>
      </c>
    </row>
    <row r="1773" spans="1:25">
      <c r="A1773" s="363">
        <f t="shared" si="223"/>
        <v>1772</v>
      </c>
      <c r="B1773" s="363" t="str">
        <f t="shared" si="216"/>
        <v>44</v>
      </c>
      <c r="C1773" s="405" t="str">
        <f t="shared" si="217"/>
        <v>第013976号</v>
      </c>
      <c r="D1773" s="405" t="str">
        <f t="shared" si="218"/>
        <v>（株）明成技建</v>
      </c>
      <c r="E1773" s="405" t="str">
        <f t="shared" si="219"/>
        <v>代表取締役</v>
      </c>
      <c r="F1773" s="405" t="str">
        <f t="shared" si="220"/>
        <v>倉原　明</v>
      </c>
      <c r="G1773" s="405" t="str">
        <f t="shared" si="221"/>
        <v>主たる営業所</v>
      </c>
      <c r="H1773" s="405" t="str">
        <f t="shared" si="222"/>
        <v>大分市向原西２－６－１６</v>
      </c>
      <c r="L1773" s="403" t="s">
        <v>11464</v>
      </c>
      <c r="M1773" s="403" t="s">
        <v>11465</v>
      </c>
      <c r="N1773" s="403" t="s">
        <v>4687</v>
      </c>
      <c r="O1773" s="403" t="s">
        <v>7084</v>
      </c>
      <c r="P1773" s="403" t="s">
        <v>4688</v>
      </c>
      <c r="Q1773" s="403" t="s">
        <v>7309</v>
      </c>
      <c r="R1773" s="403" t="s">
        <v>20168</v>
      </c>
      <c r="S1773" s="403" t="s">
        <v>17169</v>
      </c>
      <c r="T1773" s="403" t="s">
        <v>17170</v>
      </c>
      <c r="U1773" s="403"/>
      <c r="V1773" s="403" t="s">
        <v>23024</v>
      </c>
      <c r="W1773" s="403" t="s">
        <v>23024</v>
      </c>
      <c r="X1773" s="403" t="s">
        <v>23024</v>
      </c>
      <c r="Y1773" s="403" t="s">
        <v>23024</v>
      </c>
    </row>
    <row r="1774" spans="1:25">
      <c r="A1774" s="363">
        <f t="shared" si="223"/>
        <v>1773</v>
      </c>
      <c r="B1774" s="363" t="str">
        <f t="shared" si="216"/>
        <v>44</v>
      </c>
      <c r="C1774" s="405" t="str">
        <f t="shared" si="217"/>
        <v>第013978号</v>
      </c>
      <c r="D1774" s="405" t="str">
        <f t="shared" si="218"/>
        <v>（株）フォーアース</v>
      </c>
      <c r="E1774" s="405" t="str">
        <f t="shared" si="219"/>
        <v>代表取締役</v>
      </c>
      <c r="F1774" s="405" t="str">
        <f t="shared" si="220"/>
        <v>深野　和広</v>
      </c>
      <c r="G1774" s="405" t="str">
        <f t="shared" si="221"/>
        <v>主たる営業所</v>
      </c>
      <c r="H1774" s="405" t="str">
        <f t="shared" si="222"/>
        <v>佐伯市女島２－９０２９－２７</v>
      </c>
      <c r="L1774" s="403" t="s">
        <v>11466</v>
      </c>
      <c r="M1774" s="403" t="s">
        <v>11467</v>
      </c>
      <c r="N1774" s="403" t="s">
        <v>4689</v>
      </c>
      <c r="O1774" s="403" t="s">
        <v>7084</v>
      </c>
      <c r="P1774" s="403" t="s">
        <v>4690</v>
      </c>
      <c r="Q1774" s="403" t="s">
        <v>7842</v>
      </c>
      <c r="R1774" s="403" t="s">
        <v>20169</v>
      </c>
      <c r="S1774" s="403" t="s">
        <v>17171</v>
      </c>
      <c r="T1774" s="403" t="s">
        <v>17171</v>
      </c>
      <c r="U1774" s="403"/>
      <c r="V1774" s="403" t="s">
        <v>23024</v>
      </c>
      <c r="W1774" s="403" t="s">
        <v>23024</v>
      </c>
      <c r="X1774" s="403" t="s">
        <v>23024</v>
      </c>
      <c r="Y1774" s="403" t="s">
        <v>23024</v>
      </c>
    </row>
    <row r="1775" spans="1:25">
      <c r="A1775" s="363">
        <f t="shared" si="223"/>
        <v>1774</v>
      </c>
      <c r="B1775" s="363" t="str">
        <f t="shared" si="216"/>
        <v>44</v>
      </c>
      <c r="C1775" s="405" t="str">
        <f t="shared" si="217"/>
        <v>第013979号</v>
      </c>
      <c r="D1775" s="405" t="str">
        <f t="shared" si="218"/>
        <v>（株）池永セメント工業所</v>
      </c>
      <c r="E1775" s="405" t="str">
        <f t="shared" si="219"/>
        <v>代表取締役</v>
      </c>
      <c r="F1775" s="405" t="str">
        <f t="shared" si="220"/>
        <v>池永　亀一郎</v>
      </c>
      <c r="G1775" s="405" t="str">
        <f t="shared" si="221"/>
        <v>主たる営業所</v>
      </c>
      <c r="H1775" s="405" t="str">
        <f t="shared" si="222"/>
        <v>大分市大字中戸次４７６３</v>
      </c>
      <c r="L1775" s="403" t="s">
        <v>20170</v>
      </c>
      <c r="M1775" s="403" t="s">
        <v>20171</v>
      </c>
      <c r="N1775" s="403" t="s">
        <v>20172</v>
      </c>
      <c r="O1775" s="403" t="s">
        <v>7084</v>
      </c>
      <c r="P1775" s="403" t="s">
        <v>20173</v>
      </c>
      <c r="Q1775" s="403" t="s">
        <v>7531</v>
      </c>
      <c r="R1775" s="403" t="s">
        <v>20174</v>
      </c>
      <c r="S1775" s="403" t="s">
        <v>20175</v>
      </c>
      <c r="T1775" s="403" t="s">
        <v>20176</v>
      </c>
      <c r="U1775" s="403"/>
      <c r="V1775" s="403" t="s">
        <v>23024</v>
      </c>
      <c r="W1775" s="403" t="s">
        <v>23024</v>
      </c>
      <c r="X1775" s="403" t="s">
        <v>23024</v>
      </c>
      <c r="Y1775" s="403" t="s">
        <v>23024</v>
      </c>
    </row>
    <row r="1776" spans="1:25">
      <c r="A1776" s="363">
        <f t="shared" si="223"/>
        <v>1775</v>
      </c>
      <c r="B1776" s="363" t="str">
        <f t="shared" si="216"/>
        <v>44</v>
      </c>
      <c r="C1776" s="405" t="str">
        <f t="shared" si="217"/>
        <v>第013983号</v>
      </c>
      <c r="D1776" s="405" t="str">
        <f t="shared" si="218"/>
        <v>ユーホームテック（株）</v>
      </c>
      <c r="E1776" s="405" t="str">
        <f t="shared" si="219"/>
        <v>代表取締役</v>
      </c>
      <c r="F1776" s="405" t="str">
        <f t="shared" si="220"/>
        <v>吉水　裕也</v>
      </c>
      <c r="G1776" s="405" t="str">
        <f t="shared" si="221"/>
        <v>主たる営業所</v>
      </c>
      <c r="H1776" s="405" t="str">
        <f t="shared" si="222"/>
        <v>別府市大字鶴見５２０－８</v>
      </c>
      <c r="L1776" s="403" t="s">
        <v>11468</v>
      </c>
      <c r="M1776" s="403" t="s">
        <v>4691</v>
      </c>
      <c r="N1776" s="403" t="s">
        <v>20177</v>
      </c>
      <c r="O1776" s="403" t="s">
        <v>7084</v>
      </c>
      <c r="P1776" s="403" t="s">
        <v>4692</v>
      </c>
      <c r="Q1776" s="403" t="s">
        <v>9433</v>
      </c>
      <c r="R1776" s="403" t="s">
        <v>20178</v>
      </c>
      <c r="S1776" s="403" t="s">
        <v>17172</v>
      </c>
      <c r="T1776" s="403" t="s">
        <v>17173</v>
      </c>
      <c r="U1776" s="403"/>
      <c r="V1776" s="403" t="s">
        <v>23024</v>
      </c>
      <c r="W1776" s="403" t="s">
        <v>23024</v>
      </c>
      <c r="X1776" s="403" t="s">
        <v>23024</v>
      </c>
      <c r="Y1776" s="403" t="s">
        <v>23024</v>
      </c>
    </row>
    <row r="1777" spans="1:25">
      <c r="A1777" s="363">
        <f t="shared" si="223"/>
        <v>1776</v>
      </c>
      <c r="B1777" s="363" t="str">
        <f t="shared" si="216"/>
        <v>44</v>
      </c>
      <c r="C1777" s="405" t="str">
        <f t="shared" si="217"/>
        <v>第013990号</v>
      </c>
      <c r="D1777" s="405" t="str">
        <f t="shared" si="218"/>
        <v>（株）ＳＳ・ＴＥＣＨ</v>
      </c>
      <c r="E1777" s="405" t="str">
        <f t="shared" si="219"/>
        <v>代表取締役</v>
      </c>
      <c r="F1777" s="405" t="str">
        <f t="shared" si="220"/>
        <v>三浦　知美</v>
      </c>
      <c r="G1777" s="405" t="str">
        <f t="shared" si="221"/>
        <v>主たる営業所</v>
      </c>
      <c r="H1777" s="405" t="str">
        <f t="shared" si="222"/>
        <v>大分市畑中２－６－７</v>
      </c>
      <c r="L1777" s="403" t="s">
        <v>11469</v>
      </c>
      <c r="M1777" s="403" t="s">
        <v>11470</v>
      </c>
      <c r="N1777" s="403" t="s">
        <v>4693</v>
      </c>
      <c r="O1777" s="403" t="s">
        <v>7084</v>
      </c>
      <c r="P1777" s="403" t="s">
        <v>4694</v>
      </c>
      <c r="Q1777" s="403" t="s">
        <v>9334</v>
      </c>
      <c r="R1777" s="403" t="s">
        <v>20179</v>
      </c>
      <c r="S1777" s="403" t="s">
        <v>17174</v>
      </c>
      <c r="T1777" s="403" t="s">
        <v>16153</v>
      </c>
      <c r="U1777" s="403"/>
      <c r="V1777" s="403" t="s">
        <v>23024</v>
      </c>
      <c r="W1777" s="403" t="s">
        <v>23024</v>
      </c>
      <c r="X1777" s="403" t="s">
        <v>23024</v>
      </c>
      <c r="Y1777" s="403" t="s">
        <v>23024</v>
      </c>
    </row>
    <row r="1778" spans="1:25">
      <c r="A1778" s="363">
        <f t="shared" si="223"/>
        <v>1777</v>
      </c>
      <c r="B1778" s="363" t="str">
        <f t="shared" si="216"/>
        <v>44</v>
      </c>
      <c r="C1778" s="405" t="str">
        <f t="shared" si="217"/>
        <v>第013991号</v>
      </c>
      <c r="D1778" s="405" t="str">
        <f t="shared" si="218"/>
        <v>煌榮建設工業（株）</v>
      </c>
      <c r="E1778" s="405" t="str">
        <f t="shared" si="219"/>
        <v>代表取締役</v>
      </c>
      <c r="F1778" s="405" t="str">
        <f t="shared" si="220"/>
        <v>佐藤　治城</v>
      </c>
      <c r="G1778" s="405" t="str">
        <f t="shared" si="221"/>
        <v>主たる営業所</v>
      </c>
      <c r="H1778" s="405" t="str">
        <f t="shared" si="222"/>
        <v>大分市大字小池原５１７</v>
      </c>
      <c r="L1778" s="403" t="s">
        <v>11471</v>
      </c>
      <c r="M1778" s="403" t="s">
        <v>11472</v>
      </c>
      <c r="N1778" s="403" t="s">
        <v>4695</v>
      </c>
      <c r="O1778" s="403" t="s">
        <v>7084</v>
      </c>
      <c r="P1778" s="403" t="s">
        <v>4696</v>
      </c>
      <c r="Q1778" s="403" t="s">
        <v>8694</v>
      </c>
      <c r="R1778" s="403" t="s">
        <v>5676</v>
      </c>
      <c r="S1778" s="403" t="s">
        <v>17175</v>
      </c>
      <c r="T1778" s="403" t="s">
        <v>17176</v>
      </c>
      <c r="U1778" s="403"/>
      <c r="V1778" s="403" t="s">
        <v>23024</v>
      </c>
      <c r="W1778" s="403" t="s">
        <v>23024</v>
      </c>
      <c r="X1778" s="403" t="s">
        <v>23024</v>
      </c>
      <c r="Y1778" s="403" t="s">
        <v>23024</v>
      </c>
    </row>
    <row r="1779" spans="1:25">
      <c r="A1779" s="363">
        <f t="shared" si="223"/>
        <v>1778</v>
      </c>
      <c r="B1779" s="363" t="str">
        <f t="shared" si="216"/>
        <v>44</v>
      </c>
      <c r="C1779" s="405" t="str">
        <f t="shared" si="217"/>
        <v>第013997号</v>
      </c>
      <c r="D1779" s="405" t="str">
        <f t="shared" si="218"/>
        <v>（株）有川総合企画</v>
      </c>
      <c r="E1779" s="405" t="str">
        <f t="shared" si="219"/>
        <v>代表取締役</v>
      </c>
      <c r="F1779" s="405" t="str">
        <f t="shared" si="220"/>
        <v>有川　一秀</v>
      </c>
      <c r="G1779" s="405" t="str">
        <f t="shared" si="221"/>
        <v>主たる営業所</v>
      </c>
      <c r="H1779" s="405" t="str">
        <f t="shared" si="222"/>
        <v>中津市山国町中摩３４６９－４</v>
      </c>
      <c r="L1779" s="403" t="s">
        <v>11473</v>
      </c>
      <c r="M1779" s="403" t="s">
        <v>11474</v>
      </c>
      <c r="N1779" s="403" t="s">
        <v>4697</v>
      </c>
      <c r="O1779" s="403" t="s">
        <v>7084</v>
      </c>
      <c r="P1779" s="403" t="s">
        <v>4698</v>
      </c>
      <c r="Q1779" s="403" t="s">
        <v>10077</v>
      </c>
      <c r="R1779" s="403" t="s">
        <v>20180</v>
      </c>
      <c r="S1779" s="403" t="s">
        <v>17177</v>
      </c>
      <c r="T1779" s="403" t="s">
        <v>17178</v>
      </c>
      <c r="U1779" s="403"/>
      <c r="V1779" s="403" t="s">
        <v>23024</v>
      </c>
      <c r="W1779" s="403" t="s">
        <v>23024</v>
      </c>
      <c r="X1779" s="403" t="s">
        <v>23024</v>
      </c>
      <c r="Y1779" s="403" t="s">
        <v>23024</v>
      </c>
    </row>
    <row r="1780" spans="1:25">
      <c r="A1780" s="363">
        <f t="shared" si="223"/>
        <v>1779</v>
      </c>
      <c r="B1780" s="363" t="str">
        <f t="shared" si="216"/>
        <v>44</v>
      </c>
      <c r="C1780" s="405" t="str">
        <f t="shared" si="217"/>
        <v>第013998号</v>
      </c>
      <c r="D1780" s="405" t="str">
        <f t="shared" si="218"/>
        <v>矢野電気工事店</v>
      </c>
      <c r="E1780" s="405" t="str">
        <f t="shared" si="219"/>
        <v>事業主</v>
      </c>
      <c r="F1780" s="405" t="str">
        <f t="shared" si="220"/>
        <v>矢野　昭生</v>
      </c>
      <c r="G1780" s="405" t="str">
        <f t="shared" si="221"/>
        <v>主たる営業所</v>
      </c>
      <c r="H1780" s="405" t="str">
        <f t="shared" si="222"/>
        <v>中津市耶馬溪町大字柿坂４８６－２４</v>
      </c>
      <c r="L1780" s="403" t="s">
        <v>11475</v>
      </c>
      <c r="M1780" s="403" t="s">
        <v>11476</v>
      </c>
      <c r="N1780" s="403" t="s">
        <v>4699</v>
      </c>
      <c r="O1780" s="403" t="s">
        <v>7088</v>
      </c>
      <c r="P1780" s="403" t="s">
        <v>4700</v>
      </c>
      <c r="Q1780" s="403" t="s">
        <v>8081</v>
      </c>
      <c r="R1780" s="403" t="s">
        <v>20181</v>
      </c>
      <c r="S1780" s="403" t="s">
        <v>17179</v>
      </c>
      <c r="T1780" s="403" t="s">
        <v>17180</v>
      </c>
      <c r="U1780" s="403"/>
      <c r="V1780" s="403" t="s">
        <v>23024</v>
      </c>
      <c r="W1780" s="403" t="s">
        <v>23024</v>
      </c>
      <c r="X1780" s="403" t="s">
        <v>23024</v>
      </c>
      <c r="Y1780" s="403" t="s">
        <v>23024</v>
      </c>
    </row>
    <row r="1781" spans="1:25">
      <c r="A1781" s="363">
        <f t="shared" si="223"/>
        <v>1780</v>
      </c>
      <c r="B1781" s="363" t="str">
        <f t="shared" si="216"/>
        <v>44</v>
      </c>
      <c r="C1781" s="405" t="str">
        <f t="shared" si="217"/>
        <v>第014013号</v>
      </c>
      <c r="D1781" s="405" t="str">
        <f t="shared" si="218"/>
        <v>（株）田邉興業</v>
      </c>
      <c r="E1781" s="405" t="str">
        <f t="shared" si="219"/>
        <v>代表取締役</v>
      </c>
      <c r="F1781" s="405" t="str">
        <f t="shared" si="220"/>
        <v>田邉　広大</v>
      </c>
      <c r="G1781" s="405" t="str">
        <f t="shared" si="221"/>
        <v>主たる営業所</v>
      </c>
      <c r="H1781" s="405" t="str">
        <f t="shared" si="222"/>
        <v>竹田市久住町大字栢木５７４－８３</v>
      </c>
      <c r="L1781" s="403" t="s">
        <v>11477</v>
      </c>
      <c r="M1781" s="403" t="s">
        <v>11478</v>
      </c>
      <c r="N1781" s="403" t="s">
        <v>4701</v>
      </c>
      <c r="O1781" s="403" t="s">
        <v>7084</v>
      </c>
      <c r="P1781" s="403" t="s">
        <v>4702</v>
      </c>
      <c r="Q1781" s="403" t="s">
        <v>9138</v>
      </c>
      <c r="R1781" s="403" t="s">
        <v>20182</v>
      </c>
      <c r="S1781" s="403" t="s">
        <v>17181</v>
      </c>
      <c r="T1781" s="403" t="s">
        <v>17182</v>
      </c>
      <c r="U1781" s="403"/>
      <c r="V1781" s="403" t="s">
        <v>23024</v>
      </c>
      <c r="W1781" s="403" t="s">
        <v>23024</v>
      </c>
      <c r="X1781" s="403" t="s">
        <v>23024</v>
      </c>
      <c r="Y1781" s="403" t="s">
        <v>23024</v>
      </c>
    </row>
    <row r="1782" spans="1:25">
      <c r="A1782" s="363">
        <f t="shared" si="223"/>
        <v>1781</v>
      </c>
      <c r="B1782" s="363" t="str">
        <f t="shared" si="216"/>
        <v>44</v>
      </c>
      <c r="C1782" s="405" t="str">
        <f t="shared" si="217"/>
        <v>第014022号</v>
      </c>
      <c r="D1782" s="405" t="str">
        <f t="shared" si="218"/>
        <v>大瑛工業（株）</v>
      </c>
      <c r="E1782" s="405" t="str">
        <f t="shared" si="219"/>
        <v>代表取締役</v>
      </c>
      <c r="F1782" s="405" t="str">
        <f t="shared" si="220"/>
        <v>大石　聡</v>
      </c>
      <c r="G1782" s="405" t="str">
        <f t="shared" si="221"/>
        <v>主たる営業所</v>
      </c>
      <c r="H1782" s="405" t="str">
        <f t="shared" si="222"/>
        <v>宇佐市大字富山９７１－１０</v>
      </c>
      <c r="L1782" s="403" t="s">
        <v>11479</v>
      </c>
      <c r="M1782" s="403" t="s">
        <v>11480</v>
      </c>
      <c r="N1782" s="403" t="s">
        <v>4703</v>
      </c>
      <c r="O1782" s="403" t="s">
        <v>7084</v>
      </c>
      <c r="P1782" s="403" t="s">
        <v>4704</v>
      </c>
      <c r="Q1782" s="403" t="s">
        <v>8084</v>
      </c>
      <c r="R1782" s="403" t="s">
        <v>20183</v>
      </c>
      <c r="S1782" s="403" t="s">
        <v>17183</v>
      </c>
      <c r="T1782" s="403" t="s">
        <v>17184</v>
      </c>
      <c r="U1782" s="403"/>
      <c r="V1782" s="403" t="s">
        <v>23024</v>
      </c>
      <c r="W1782" s="403" t="s">
        <v>23024</v>
      </c>
      <c r="X1782" s="403" t="s">
        <v>23024</v>
      </c>
      <c r="Y1782" s="403" t="s">
        <v>23024</v>
      </c>
    </row>
    <row r="1783" spans="1:25">
      <c r="A1783" s="363">
        <f t="shared" si="223"/>
        <v>1782</v>
      </c>
      <c r="B1783" s="363" t="str">
        <f t="shared" si="216"/>
        <v>44</v>
      </c>
      <c r="C1783" s="405" t="str">
        <f t="shared" si="217"/>
        <v>第014024号</v>
      </c>
      <c r="D1783" s="405" t="str">
        <f t="shared" si="218"/>
        <v>（株）関志</v>
      </c>
      <c r="E1783" s="405" t="str">
        <f t="shared" si="219"/>
        <v>代表取締役</v>
      </c>
      <c r="F1783" s="405" t="str">
        <f t="shared" si="220"/>
        <v>相馬　敦志</v>
      </c>
      <c r="G1783" s="405" t="str">
        <f t="shared" si="221"/>
        <v>主たる営業所</v>
      </c>
      <c r="H1783" s="405" t="str">
        <f t="shared" si="222"/>
        <v>大分市明磧町１－５－４５</v>
      </c>
      <c r="L1783" s="403" t="s">
        <v>11481</v>
      </c>
      <c r="M1783" s="403" t="s">
        <v>11482</v>
      </c>
      <c r="N1783" s="403" t="s">
        <v>4705</v>
      </c>
      <c r="O1783" s="403" t="s">
        <v>7084</v>
      </c>
      <c r="P1783" s="403" t="s">
        <v>4706</v>
      </c>
      <c r="Q1783" s="403" t="s">
        <v>8728</v>
      </c>
      <c r="R1783" s="403" t="s">
        <v>20184</v>
      </c>
      <c r="S1783" s="403" t="s">
        <v>17185</v>
      </c>
      <c r="T1783" s="403" t="s">
        <v>17185</v>
      </c>
      <c r="U1783" s="403"/>
      <c r="V1783" s="403" t="s">
        <v>23024</v>
      </c>
      <c r="W1783" s="403" t="s">
        <v>23024</v>
      </c>
      <c r="X1783" s="403" t="s">
        <v>23024</v>
      </c>
      <c r="Y1783" s="403" t="s">
        <v>23024</v>
      </c>
    </row>
    <row r="1784" spans="1:25">
      <c r="A1784" s="363">
        <f t="shared" si="223"/>
        <v>1783</v>
      </c>
      <c r="B1784" s="363" t="str">
        <f t="shared" si="216"/>
        <v>44</v>
      </c>
      <c r="C1784" s="405" t="str">
        <f t="shared" si="217"/>
        <v>第014027号</v>
      </c>
      <c r="D1784" s="405" t="str">
        <f t="shared" si="218"/>
        <v>（株）増田組</v>
      </c>
      <c r="E1784" s="405" t="str">
        <f t="shared" si="219"/>
        <v>代表取締役</v>
      </c>
      <c r="F1784" s="405" t="str">
        <f t="shared" si="220"/>
        <v>増田　信</v>
      </c>
      <c r="G1784" s="405" t="str">
        <f t="shared" si="221"/>
        <v>主たる営業所</v>
      </c>
      <c r="H1784" s="405" t="str">
        <f t="shared" si="222"/>
        <v>宇佐市大字上高２０６－１</v>
      </c>
      <c r="L1784" s="403" t="s">
        <v>11483</v>
      </c>
      <c r="M1784" s="403" t="s">
        <v>11484</v>
      </c>
      <c r="N1784" s="403" t="s">
        <v>4707</v>
      </c>
      <c r="O1784" s="403" t="s">
        <v>7084</v>
      </c>
      <c r="P1784" s="403" t="s">
        <v>4708</v>
      </c>
      <c r="Q1784" s="403" t="s">
        <v>8249</v>
      </c>
      <c r="R1784" s="403" t="s">
        <v>20185</v>
      </c>
      <c r="S1784" s="403" t="s">
        <v>17186</v>
      </c>
      <c r="T1784" s="403" t="s">
        <v>17187</v>
      </c>
      <c r="U1784" s="403"/>
      <c r="V1784" s="403" t="s">
        <v>23024</v>
      </c>
      <c r="W1784" s="403" t="s">
        <v>23024</v>
      </c>
      <c r="X1784" s="403" t="s">
        <v>23024</v>
      </c>
      <c r="Y1784" s="403" t="s">
        <v>23024</v>
      </c>
    </row>
    <row r="1785" spans="1:25">
      <c r="A1785" s="363">
        <f t="shared" si="223"/>
        <v>1784</v>
      </c>
      <c r="B1785" s="363" t="str">
        <f t="shared" si="216"/>
        <v>44</v>
      </c>
      <c r="C1785" s="405" t="str">
        <f t="shared" si="217"/>
        <v>第014029号</v>
      </c>
      <c r="D1785" s="405" t="str">
        <f t="shared" si="218"/>
        <v>（有）みえの装美</v>
      </c>
      <c r="E1785" s="405" t="str">
        <f t="shared" si="219"/>
        <v>取締役</v>
      </c>
      <c r="F1785" s="405" t="str">
        <f t="shared" si="220"/>
        <v>三重野　修二</v>
      </c>
      <c r="G1785" s="405" t="str">
        <f t="shared" si="221"/>
        <v>主たる営業所</v>
      </c>
      <c r="H1785" s="405" t="str">
        <f t="shared" si="222"/>
        <v>国東市国見町竹田津３５６９－２</v>
      </c>
      <c r="L1785" s="403" t="s">
        <v>11485</v>
      </c>
      <c r="M1785" s="403" t="s">
        <v>11486</v>
      </c>
      <c r="N1785" s="403" t="s">
        <v>4709</v>
      </c>
      <c r="O1785" s="403" t="s">
        <v>7085</v>
      </c>
      <c r="P1785" s="403" t="s">
        <v>4710</v>
      </c>
      <c r="Q1785" s="403" t="s">
        <v>11487</v>
      </c>
      <c r="R1785" s="403" t="s">
        <v>20186</v>
      </c>
      <c r="S1785" s="403" t="s">
        <v>17188</v>
      </c>
      <c r="T1785" s="403" t="s">
        <v>17189</v>
      </c>
      <c r="U1785" s="403"/>
      <c r="V1785" s="403" t="s">
        <v>23024</v>
      </c>
      <c r="W1785" s="403" t="s">
        <v>23024</v>
      </c>
      <c r="X1785" s="403" t="s">
        <v>23024</v>
      </c>
      <c r="Y1785" s="403" t="s">
        <v>23024</v>
      </c>
    </row>
    <row r="1786" spans="1:25">
      <c r="A1786" s="363">
        <f t="shared" si="223"/>
        <v>1785</v>
      </c>
      <c r="B1786" s="363" t="str">
        <f t="shared" si="216"/>
        <v>44</v>
      </c>
      <c r="C1786" s="405" t="str">
        <f t="shared" si="217"/>
        <v>第014038号</v>
      </c>
      <c r="D1786" s="405" t="str">
        <f t="shared" si="218"/>
        <v>ＴＡＴＳＵ（株）</v>
      </c>
      <c r="E1786" s="405" t="str">
        <f t="shared" si="219"/>
        <v>代表取締役</v>
      </c>
      <c r="F1786" s="405" t="str">
        <f t="shared" si="220"/>
        <v>藤谷　万造</v>
      </c>
      <c r="G1786" s="405" t="str">
        <f t="shared" si="221"/>
        <v>主たる営業所</v>
      </c>
      <c r="H1786" s="405" t="str">
        <f t="shared" si="222"/>
        <v>大分市大字下戸次３９６９</v>
      </c>
      <c r="L1786" s="403" t="s">
        <v>11488</v>
      </c>
      <c r="M1786" s="403" t="s">
        <v>11489</v>
      </c>
      <c r="N1786" s="403" t="s">
        <v>4711</v>
      </c>
      <c r="O1786" s="403" t="s">
        <v>7084</v>
      </c>
      <c r="P1786" s="403" t="s">
        <v>4712</v>
      </c>
      <c r="Q1786" s="403" t="s">
        <v>10792</v>
      </c>
      <c r="R1786" s="403" t="s">
        <v>5677</v>
      </c>
      <c r="S1786" s="403" t="s">
        <v>17190</v>
      </c>
      <c r="T1786" s="403" t="s">
        <v>17191</v>
      </c>
      <c r="U1786" s="403"/>
      <c r="V1786" s="403" t="s">
        <v>23024</v>
      </c>
      <c r="W1786" s="403" t="s">
        <v>23024</v>
      </c>
      <c r="X1786" s="403" t="s">
        <v>23024</v>
      </c>
      <c r="Y1786" s="403" t="s">
        <v>23024</v>
      </c>
    </row>
    <row r="1787" spans="1:25">
      <c r="A1787" s="363">
        <f t="shared" si="223"/>
        <v>1786</v>
      </c>
      <c r="B1787" s="363" t="str">
        <f t="shared" si="216"/>
        <v>44</v>
      </c>
      <c r="C1787" s="405" t="str">
        <f t="shared" si="217"/>
        <v>第014040号</v>
      </c>
      <c r="D1787" s="405" t="str">
        <f t="shared" si="218"/>
        <v>藤原設備</v>
      </c>
      <c r="E1787" s="405" t="str">
        <f t="shared" si="219"/>
        <v>事業主</v>
      </c>
      <c r="F1787" s="405" t="str">
        <f t="shared" si="220"/>
        <v>藤原　勇一</v>
      </c>
      <c r="G1787" s="405" t="str">
        <f t="shared" si="221"/>
        <v>主たる営業所</v>
      </c>
      <c r="H1787" s="405" t="str">
        <f t="shared" si="222"/>
        <v>玖珠郡九重町大字野上１５３９</v>
      </c>
      <c r="L1787" s="403" t="s">
        <v>11490</v>
      </c>
      <c r="M1787" s="403" t="s">
        <v>11491</v>
      </c>
      <c r="N1787" s="403" t="s">
        <v>4713</v>
      </c>
      <c r="O1787" s="403" t="s">
        <v>7088</v>
      </c>
      <c r="P1787" s="403" t="s">
        <v>4714</v>
      </c>
      <c r="Q1787" s="403" t="s">
        <v>7991</v>
      </c>
      <c r="R1787" s="403" t="s">
        <v>5678</v>
      </c>
      <c r="S1787" s="403" t="s">
        <v>17192</v>
      </c>
      <c r="T1787" s="403" t="s">
        <v>17193</v>
      </c>
      <c r="U1787" s="403"/>
      <c r="V1787" s="403" t="s">
        <v>23024</v>
      </c>
      <c r="W1787" s="403" t="s">
        <v>23024</v>
      </c>
      <c r="X1787" s="403" t="s">
        <v>23024</v>
      </c>
      <c r="Y1787" s="403" t="s">
        <v>23024</v>
      </c>
    </row>
    <row r="1788" spans="1:25">
      <c r="A1788" s="363">
        <f t="shared" si="223"/>
        <v>1787</v>
      </c>
      <c r="B1788" s="363" t="str">
        <f t="shared" si="216"/>
        <v>44</v>
      </c>
      <c r="C1788" s="405" t="str">
        <f t="shared" si="217"/>
        <v>第014052号</v>
      </c>
      <c r="D1788" s="405" t="str">
        <f t="shared" si="218"/>
        <v>（株）日昇建設</v>
      </c>
      <c r="E1788" s="405" t="str">
        <f t="shared" si="219"/>
        <v>代表取締役</v>
      </c>
      <c r="F1788" s="405" t="str">
        <f t="shared" si="220"/>
        <v>猪俣　俊雄</v>
      </c>
      <c r="G1788" s="405" t="str">
        <f t="shared" si="221"/>
        <v>主たる営業所</v>
      </c>
      <c r="H1788" s="405" t="str">
        <f t="shared" si="222"/>
        <v>速見郡日出町大字大神１６－１</v>
      </c>
      <c r="L1788" s="403" t="s">
        <v>11492</v>
      </c>
      <c r="M1788" s="403" t="s">
        <v>9608</v>
      </c>
      <c r="N1788" s="403" t="s">
        <v>4715</v>
      </c>
      <c r="O1788" s="403" t="s">
        <v>7084</v>
      </c>
      <c r="P1788" s="403" t="s">
        <v>5274</v>
      </c>
      <c r="Q1788" s="403" t="s">
        <v>8382</v>
      </c>
      <c r="R1788" s="403" t="s">
        <v>20187</v>
      </c>
      <c r="S1788" s="403" t="s">
        <v>17194</v>
      </c>
      <c r="T1788" s="403" t="s">
        <v>17195</v>
      </c>
      <c r="U1788" s="403"/>
      <c r="V1788" s="403" t="s">
        <v>23024</v>
      </c>
      <c r="W1788" s="403" t="s">
        <v>23024</v>
      </c>
      <c r="X1788" s="403" t="s">
        <v>23024</v>
      </c>
      <c r="Y1788" s="403" t="s">
        <v>23024</v>
      </c>
    </row>
    <row r="1789" spans="1:25">
      <c r="A1789" s="363">
        <f t="shared" si="223"/>
        <v>1788</v>
      </c>
      <c r="B1789" s="363" t="str">
        <f t="shared" si="216"/>
        <v>44</v>
      </c>
      <c r="C1789" s="405" t="str">
        <f t="shared" si="217"/>
        <v>第014053号</v>
      </c>
      <c r="D1789" s="405" t="str">
        <f t="shared" si="218"/>
        <v>（株）風雅</v>
      </c>
      <c r="E1789" s="405" t="str">
        <f t="shared" si="219"/>
        <v>代表取締役</v>
      </c>
      <c r="F1789" s="405" t="str">
        <f t="shared" si="220"/>
        <v>手嶋　智彦</v>
      </c>
      <c r="G1789" s="405" t="str">
        <f t="shared" si="221"/>
        <v>主たる営業所</v>
      </c>
      <c r="H1789" s="405" t="str">
        <f t="shared" si="222"/>
        <v>別府市石垣東５－２－１１</v>
      </c>
      <c r="L1789" s="403" t="s">
        <v>11493</v>
      </c>
      <c r="M1789" s="403" t="s">
        <v>11494</v>
      </c>
      <c r="N1789" s="403" t="s">
        <v>4311</v>
      </c>
      <c r="O1789" s="403" t="s">
        <v>7084</v>
      </c>
      <c r="P1789" s="403" t="s">
        <v>4716</v>
      </c>
      <c r="Q1789" s="403" t="s">
        <v>7363</v>
      </c>
      <c r="R1789" s="403" t="s">
        <v>20188</v>
      </c>
      <c r="S1789" s="403" t="s">
        <v>17196</v>
      </c>
      <c r="T1789" s="403" t="s">
        <v>17197</v>
      </c>
      <c r="U1789" s="403"/>
      <c r="V1789" s="403" t="s">
        <v>23024</v>
      </c>
      <c r="W1789" s="403" t="s">
        <v>23024</v>
      </c>
      <c r="X1789" s="403" t="s">
        <v>23024</v>
      </c>
      <c r="Y1789" s="403" t="s">
        <v>23024</v>
      </c>
    </row>
    <row r="1790" spans="1:25">
      <c r="A1790" s="363">
        <f t="shared" si="223"/>
        <v>1789</v>
      </c>
      <c r="B1790" s="363" t="str">
        <f t="shared" si="216"/>
        <v>44</v>
      </c>
      <c r="C1790" s="405" t="str">
        <f t="shared" si="217"/>
        <v>第014064号</v>
      </c>
      <c r="D1790" s="405" t="str">
        <f t="shared" si="218"/>
        <v>（株）幸栄</v>
      </c>
      <c r="E1790" s="405" t="str">
        <f t="shared" si="219"/>
        <v>代表取締役</v>
      </c>
      <c r="F1790" s="405" t="str">
        <f t="shared" si="220"/>
        <v>小野　栄一</v>
      </c>
      <c r="G1790" s="405" t="str">
        <f t="shared" si="221"/>
        <v>主たる営業所</v>
      </c>
      <c r="H1790" s="405" t="str">
        <f t="shared" si="222"/>
        <v>豊後大野市三重町秋葉７１４－３</v>
      </c>
      <c r="L1790" s="403" t="s">
        <v>11495</v>
      </c>
      <c r="M1790" s="403" t="s">
        <v>11496</v>
      </c>
      <c r="N1790" s="403" t="s">
        <v>4718</v>
      </c>
      <c r="O1790" s="403" t="s">
        <v>7084</v>
      </c>
      <c r="P1790" s="403" t="s">
        <v>4719</v>
      </c>
      <c r="Q1790" s="403" t="s">
        <v>10105</v>
      </c>
      <c r="R1790" s="403" t="s">
        <v>20189</v>
      </c>
      <c r="S1790" s="403" t="s">
        <v>17198</v>
      </c>
      <c r="T1790" s="403" t="s">
        <v>17199</v>
      </c>
      <c r="U1790" s="403"/>
      <c r="V1790" s="403" t="s">
        <v>23024</v>
      </c>
      <c r="W1790" s="403" t="s">
        <v>23024</v>
      </c>
      <c r="X1790" s="403" t="s">
        <v>23024</v>
      </c>
      <c r="Y1790" s="403" t="s">
        <v>23024</v>
      </c>
    </row>
    <row r="1791" spans="1:25">
      <c r="A1791" s="363">
        <f t="shared" si="223"/>
        <v>1790</v>
      </c>
      <c r="B1791" s="363" t="str">
        <f t="shared" si="216"/>
        <v>44</v>
      </c>
      <c r="C1791" s="405" t="str">
        <f t="shared" si="217"/>
        <v>第014069号</v>
      </c>
      <c r="D1791" s="405" t="str">
        <f t="shared" si="218"/>
        <v>アースネクサス（株）</v>
      </c>
      <c r="E1791" s="405" t="str">
        <f t="shared" si="219"/>
        <v>代表取締役</v>
      </c>
      <c r="F1791" s="405" t="str">
        <f t="shared" si="220"/>
        <v>宮脇　惠子</v>
      </c>
      <c r="G1791" s="405" t="str">
        <f t="shared" si="221"/>
        <v>主たる営業所</v>
      </c>
      <c r="H1791" s="405" t="str">
        <f t="shared" si="222"/>
        <v>大分市大字横尾３８３６－２</v>
      </c>
      <c r="L1791" s="403" t="s">
        <v>11497</v>
      </c>
      <c r="M1791" s="403" t="s">
        <v>11498</v>
      </c>
      <c r="N1791" s="403" t="s">
        <v>4720</v>
      </c>
      <c r="O1791" s="403" t="s">
        <v>7084</v>
      </c>
      <c r="P1791" s="403" t="s">
        <v>4721</v>
      </c>
      <c r="Q1791" s="403" t="s">
        <v>7357</v>
      </c>
      <c r="R1791" s="403" t="s">
        <v>18984</v>
      </c>
      <c r="S1791" s="403" t="s">
        <v>17200</v>
      </c>
      <c r="T1791" s="403" t="s">
        <v>14897</v>
      </c>
      <c r="U1791" s="403"/>
      <c r="V1791" s="403" t="s">
        <v>23024</v>
      </c>
      <c r="W1791" s="403" t="s">
        <v>23024</v>
      </c>
      <c r="X1791" s="403" t="s">
        <v>23024</v>
      </c>
      <c r="Y1791" s="403" t="s">
        <v>23024</v>
      </c>
    </row>
    <row r="1792" spans="1:25">
      <c r="A1792" s="363">
        <f t="shared" si="223"/>
        <v>1791</v>
      </c>
      <c r="B1792" s="363" t="str">
        <f t="shared" si="216"/>
        <v>44</v>
      </c>
      <c r="C1792" s="405" t="str">
        <f t="shared" si="217"/>
        <v>第014071号</v>
      </c>
      <c r="D1792" s="405" t="str">
        <f t="shared" si="218"/>
        <v>羽大建設（株）</v>
      </c>
      <c r="E1792" s="405" t="str">
        <f t="shared" si="219"/>
        <v>代表取締役</v>
      </c>
      <c r="F1792" s="405" t="str">
        <f t="shared" si="220"/>
        <v>中原　茂樹</v>
      </c>
      <c r="G1792" s="405" t="str">
        <f t="shared" si="221"/>
        <v>主たる営業所</v>
      </c>
      <c r="H1792" s="405" t="str">
        <f t="shared" si="222"/>
        <v>杵築市大字八坂２２５０－４９</v>
      </c>
      <c r="L1792" s="403" t="s">
        <v>11499</v>
      </c>
      <c r="M1792" s="403" t="s">
        <v>11500</v>
      </c>
      <c r="N1792" s="403" t="s">
        <v>4722</v>
      </c>
      <c r="O1792" s="403" t="s">
        <v>7084</v>
      </c>
      <c r="P1792" s="403" t="s">
        <v>4723</v>
      </c>
      <c r="Q1792" s="403" t="s">
        <v>9379</v>
      </c>
      <c r="R1792" s="403" t="s">
        <v>20190</v>
      </c>
      <c r="S1792" s="403" t="s">
        <v>17201</v>
      </c>
      <c r="T1792" s="403" t="s">
        <v>17201</v>
      </c>
      <c r="U1792" s="403"/>
      <c r="V1792" s="403" t="s">
        <v>23024</v>
      </c>
      <c r="W1792" s="403" t="s">
        <v>23024</v>
      </c>
      <c r="X1792" s="403" t="s">
        <v>23024</v>
      </c>
      <c r="Y1792" s="403" t="s">
        <v>23024</v>
      </c>
    </row>
    <row r="1793" spans="1:25">
      <c r="A1793" s="363">
        <f t="shared" si="223"/>
        <v>1792</v>
      </c>
      <c r="B1793" s="363" t="str">
        <f t="shared" si="216"/>
        <v>44</v>
      </c>
      <c r="C1793" s="405" t="str">
        <f t="shared" si="217"/>
        <v>第014075号</v>
      </c>
      <c r="D1793" s="405" t="str">
        <f t="shared" si="218"/>
        <v>優希（株）</v>
      </c>
      <c r="E1793" s="405" t="str">
        <f t="shared" si="219"/>
        <v>代表取締役</v>
      </c>
      <c r="F1793" s="405" t="str">
        <f t="shared" si="220"/>
        <v>江藤　広宣</v>
      </c>
      <c r="G1793" s="405" t="str">
        <f t="shared" si="221"/>
        <v>主たる営業所</v>
      </c>
      <c r="H1793" s="405" t="str">
        <f t="shared" si="222"/>
        <v>国東市国東町田深１５３６－１</v>
      </c>
      <c r="L1793" s="403" t="s">
        <v>11501</v>
      </c>
      <c r="M1793" s="403" t="s">
        <v>7953</v>
      </c>
      <c r="N1793" s="403" t="s">
        <v>4724</v>
      </c>
      <c r="O1793" s="403" t="s">
        <v>7084</v>
      </c>
      <c r="P1793" s="403" t="s">
        <v>4725</v>
      </c>
      <c r="Q1793" s="403" t="s">
        <v>7700</v>
      </c>
      <c r="R1793" s="403" t="s">
        <v>20191</v>
      </c>
      <c r="S1793" s="403" t="s">
        <v>17202</v>
      </c>
      <c r="T1793" s="403" t="s">
        <v>17203</v>
      </c>
      <c r="U1793" s="403"/>
      <c r="V1793" s="403" t="s">
        <v>23024</v>
      </c>
      <c r="W1793" s="403" t="s">
        <v>23024</v>
      </c>
      <c r="X1793" s="403" t="s">
        <v>23024</v>
      </c>
      <c r="Y1793" s="403" t="s">
        <v>23024</v>
      </c>
    </row>
    <row r="1794" spans="1:25">
      <c r="A1794" s="363">
        <f t="shared" si="223"/>
        <v>1793</v>
      </c>
      <c r="B1794" s="363" t="str">
        <f t="shared" ref="B1794:B1857" si="224">LEFT(L1794,2)</f>
        <v>44</v>
      </c>
      <c r="C1794" s="405" t="str">
        <f t="shared" ref="C1794:C1857" si="225">IF(B1794="","","第"&amp;RIGHT(L1794,6)&amp;"号")</f>
        <v>第014089号</v>
      </c>
      <c r="D1794" s="405" t="str">
        <f t="shared" ref="D1794:D1857" si="226">N1794</f>
        <v>Ｋ’Ｓファクトリー（株）</v>
      </c>
      <c r="E1794" s="405" t="str">
        <f t="shared" ref="E1794:E1857" si="227">IF(V1794="　",O1794,"")</f>
        <v>代表取締役</v>
      </c>
      <c r="F1794" s="405" t="str">
        <f t="shared" ref="F1794:F1857" si="228">IF(V1794="　",P1794,W1794)</f>
        <v>小野　和仁</v>
      </c>
      <c r="G1794" s="405" t="str">
        <f t="shared" ref="G1794:G1857" si="229">IF(V1794="　","主たる営業所",V1794)</f>
        <v>主たる営業所</v>
      </c>
      <c r="H1794" s="405" t="str">
        <f t="shared" ref="H1794:H1857" si="230">IF(V1794="　",R1794,Y1794)</f>
        <v>中津市大字永添１９９６－１３</v>
      </c>
      <c r="L1794" s="403" t="s">
        <v>11502</v>
      </c>
      <c r="M1794" s="403" t="s">
        <v>11503</v>
      </c>
      <c r="N1794" s="403" t="s">
        <v>4726</v>
      </c>
      <c r="O1794" s="403" t="s">
        <v>7084</v>
      </c>
      <c r="P1794" s="403" t="s">
        <v>4727</v>
      </c>
      <c r="Q1794" s="403" t="s">
        <v>8111</v>
      </c>
      <c r="R1794" s="403" t="s">
        <v>20192</v>
      </c>
      <c r="S1794" s="403" t="s">
        <v>17204</v>
      </c>
      <c r="T1794" s="403" t="s">
        <v>15549</v>
      </c>
      <c r="U1794" s="403"/>
      <c r="V1794" s="403" t="s">
        <v>23024</v>
      </c>
      <c r="W1794" s="403" t="s">
        <v>23024</v>
      </c>
      <c r="X1794" s="403" t="s">
        <v>23024</v>
      </c>
      <c r="Y1794" s="403" t="s">
        <v>23024</v>
      </c>
    </row>
    <row r="1795" spans="1:25">
      <c r="A1795" s="363">
        <f t="shared" ref="A1795:A1858" si="231">IF(B1795="","",A1794+1)</f>
        <v>1794</v>
      </c>
      <c r="B1795" s="363" t="str">
        <f t="shared" si="224"/>
        <v>44</v>
      </c>
      <c r="C1795" s="405" t="str">
        <f t="shared" si="225"/>
        <v>第014090号</v>
      </c>
      <c r="D1795" s="405" t="str">
        <f t="shared" si="226"/>
        <v>（有）アスカ不動産建設</v>
      </c>
      <c r="E1795" s="405" t="str">
        <f t="shared" si="227"/>
        <v>代表取締役</v>
      </c>
      <c r="F1795" s="405" t="str">
        <f t="shared" si="228"/>
        <v>後藤　辰也</v>
      </c>
      <c r="G1795" s="405" t="str">
        <f t="shared" si="229"/>
        <v>主たる営業所</v>
      </c>
      <c r="H1795" s="405" t="str">
        <f t="shared" si="230"/>
        <v>別府市堀田町２７－４７</v>
      </c>
      <c r="L1795" s="403" t="s">
        <v>11504</v>
      </c>
      <c r="M1795" s="403" t="s">
        <v>11505</v>
      </c>
      <c r="N1795" s="403" t="s">
        <v>4728</v>
      </c>
      <c r="O1795" s="403" t="s">
        <v>7084</v>
      </c>
      <c r="P1795" s="403" t="s">
        <v>4729</v>
      </c>
      <c r="Q1795" s="403" t="s">
        <v>8352</v>
      </c>
      <c r="R1795" s="403" t="s">
        <v>20193</v>
      </c>
      <c r="S1795" s="403" t="s">
        <v>17205</v>
      </c>
      <c r="T1795" s="403" t="s">
        <v>17205</v>
      </c>
      <c r="U1795" s="403"/>
      <c r="V1795" s="403" t="s">
        <v>23024</v>
      </c>
      <c r="W1795" s="403" t="s">
        <v>23024</v>
      </c>
      <c r="X1795" s="403" t="s">
        <v>23024</v>
      </c>
      <c r="Y1795" s="403" t="s">
        <v>23024</v>
      </c>
    </row>
    <row r="1796" spans="1:25">
      <c r="A1796" s="363">
        <f t="shared" si="231"/>
        <v>1795</v>
      </c>
      <c r="B1796" s="363" t="str">
        <f t="shared" si="224"/>
        <v>44</v>
      </c>
      <c r="C1796" s="405" t="str">
        <f t="shared" si="225"/>
        <v>第014092号</v>
      </c>
      <c r="D1796" s="405" t="str">
        <f t="shared" si="226"/>
        <v>安東技建（株）</v>
      </c>
      <c r="E1796" s="405" t="str">
        <f t="shared" si="227"/>
        <v>代表取締役</v>
      </c>
      <c r="F1796" s="405" t="str">
        <f t="shared" si="228"/>
        <v>安東　将悟</v>
      </c>
      <c r="G1796" s="405" t="str">
        <f t="shared" si="229"/>
        <v>主たる営業所</v>
      </c>
      <c r="H1796" s="405" t="str">
        <f t="shared" si="230"/>
        <v>大分市大字関園２６１－１</v>
      </c>
      <c r="L1796" s="403" t="s">
        <v>11506</v>
      </c>
      <c r="M1796" s="403" t="s">
        <v>11507</v>
      </c>
      <c r="N1796" s="403" t="s">
        <v>4730</v>
      </c>
      <c r="O1796" s="403" t="s">
        <v>7084</v>
      </c>
      <c r="P1796" s="403" t="s">
        <v>4731</v>
      </c>
      <c r="Q1796" s="403" t="s">
        <v>8332</v>
      </c>
      <c r="R1796" s="403" t="s">
        <v>20194</v>
      </c>
      <c r="S1796" s="403" t="s">
        <v>17206</v>
      </c>
      <c r="T1796" s="403" t="s">
        <v>17207</v>
      </c>
      <c r="U1796" s="403"/>
      <c r="V1796" s="403" t="s">
        <v>23024</v>
      </c>
      <c r="W1796" s="403" t="s">
        <v>23024</v>
      </c>
      <c r="X1796" s="403" t="s">
        <v>23024</v>
      </c>
      <c r="Y1796" s="403" t="s">
        <v>23024</v>
      </c>
    </row>
    <row r="1797" spans="1:25">
      <c r="A1797" s="363">
        <f t="shared" si="231"/>
        <v>1796</v>
      </c>
      <c r="B1797" s="363" t="str">
        <f t="shared" si="224"/>
        <v>44</v>
      </c>
      <c r="C1797" s="405" t="str">
        <f t="shared" si="225"/>
        <v>第014094号</v>
      </c>
      <c r="D1797" s="405" t="str">
        <f t="shared" si="226"/>
        <v>（株）田口電設</v>
      </c>
      <c r="E1797" s="405" t="str">
        <f t="shared" si="227"/>
        <v>代表取締役</v>
      </c>
      <c r="F1797" s="405" t="str">
        <f t="shared" si="228"/>
        <v>田口　靖則</v>
      </c>
      <c r="G1797" s="405" t="str">
        <f t="shared" si="229"/>
        <v>主たる営業所</v>
      </c>
      <c r="H1797" s="405" t="str">
        <f t="shared" si="230"/>
        <v>中津市大字福島１０６７－２０</v>
      </c>
      <c r="L1797" s="403" t="s">
        <v>11508</v>
      </c>
      <c r="M1797" s="403" t="s">
        <v>11509</v>
      </c>
      <c r="N1797" s="403" t="s">
        <v>4732</v>
      </c>
      <c r="O1797" s="403" t="s">
        <v>7084</v>
      </c>
      <c r="P1797" s="403" t="s">
        <v>4733</v>
      </c>
      <c r="Q1797" s="403" t="s">
        <v>8893</v>
      </c>
      <c r="R1797" s="403" t="s">
        <v>20195</v>
      </c>
      <c r="S1797" s="403" t="s">
        <v>17208</v>
      </c>
      <c r="T1797" s="403" t="s">
        <v>17209</v>
      </c>
      <c r="U1797" s="403"/>
      <c r="V1797" s="403" t="s">
        <v>23024</v>
      </c>
      <c r="W1797" s="403" t="s">
        <v>23024</v>
      </c>
      <c r="X1797" s="403" t="s">
        <v>23024</v>
      </c>
      <c r="Y1797" s="403" t="s">
        <v>23024</v>
      </c>
    </row>
    <row r="1798" spans="1:25">
      <c r="A1798" s="363">
        <f t="shared" si="231"/>
        <v>1797</v>
      </c>
      <c r="B1798" s="363" t="str">
        <f t="shared" si="224"/>
        <v>44</v>
      </c>
      <c r="C1798" s="405" t="str">
        <f t="shared" si="225"/>
        <v>第014097号</v>
      </c>
      <c r="D1798" s="405" t="str">
        <f t="shared" si="226"/>
        <v>（株）守末エンジニアリング</v>
      </c>
      <c r="E1798" s="405" t="str">
        <f t="shared" si="227"/>
        <v>代表取締役</v>
      </c>
      <c r="F1798" s="405" t="str">
        <f t="shared" si="228"/>
        <v>河野　昭徳</v>
      </c>
      <c r="G1798" s="405" t="str">
        <f t="shared" si="229"/>
        <v>主たる営業所</v>
      </c>
      <c r="H1798" s="405" t="str">
        <f t="shared" si="230"/>
        <v>臼杵市大字市江無田２９８－８</v>
      </c>
      <c r="L1798" s="403" t="s">
        <v>11510</v>
      </c>
      <c r="M1798" s="403" t="s">
        <v>11511</v>
      </c>
      <c r="N1798" s="403" t="s">
        <v>4734</v>
      </c>
      <c r="O1798" s="403" t="s">
        <v>7084</v>
      </c>
      <c r="P1798" s="403" t="s">
        <v>4735</v>
      </c>
      <c r="Q1798" s="403" t="s">
        <v>7768</v>
      </c>
      <c r="R1798" s="403" t="s">
        <v>20196</v>
      </c>
      <c r="S1798" s="403" t="s">
        <v>20197</v>
      </c>
      <c r="T1798" s="403" t="s">
        <v>20197</v>
      </c>
      <c r="U1798" s="403"/>
      <c r="V1798" s="403" t="s">
        <v>23024</v>
      </c>
      <c r="W1798" s="403" t="s">
        <v>23024</v>
      </c>
      <c r="X1798" s="403" t="s">
        <v>23024</v>
      </c>
      <c r="Y1798" s="403" t="s">
        <v>23024</v>
      </c>
    </row>
    <row r="1799" spans="1:25">
      <c r="A1799" s="363">
        <f t="shared" si="231"/>
        <v>1798</v>
      </c>
      <c r="B1799" s="363" t="str">
        <f t="shared" si="224"/>
        <v>44</v>
      </c>
      <c r="C1799" s="405" t="str">
        <f t="shared" si="225"/>
        <v>第014099号</v>
      </c>
      <c r="D1799" s="405" t="str">
        <f t="shared" si="226"/>
        <v>（有）西谷防災設備</v>
      </c>
      <c r="E1799" s="405" t="str">
        <f t="shared" si="227"/>
        <v>代表取締役</v>
      </c>
      <c r="F1799" s="405" t="str">
        <f t="shared" si="228"/>
        <v>今川　和彦</v>
      </c>
      <c r="G1799" s="405" t="str">
        <f t="shared" si="229"/>
        <v>主たる営業所</v>
      </c>
      <c r="H1799" s="405" t="str">
        <f t="shared" si="230"/>
        <v>別府市大字鶴見８４８－７</v>
      </c>
      <c r="L1799" s="403" t="s">
        <v>11512</v>
      </c>
      <c r="M1799" s="403" t="s">
        <v>11513</v>
      </c>
      <c r="N1799" s="403" t="s">
        <v>4736</v>
      </c>
      <c r="O1799" s="403" t="s">
        <v>7084</v>
      </c>
      <c r="P1799" s="403" t="s">
        <v>20198</v>
      </c>
      <c r="Q1799" s="403" t="s">
        <v>20199</v>
      </c>
      <c r="R1799" s="403" t="s">
        <v>20200</v>
      </c>
      <c r="S1799" s="403" t="s">
        <v>17210</v>
      </c>
      <c r="T1799" s="403" t="s">
        <v>17211</v>
      </c>
      <c r="U1799" s="403"/>
      <c r="V1799" s="403" t="s">
        <v>23024</v>
      </c>
      <c r="W1799" s="403" t="s">
        <v>23024</v>
      </c>
      <c r="X1799" s="403" t="s">
        <v>23024</v>
      </c>
      <c r="Y1799" s="403" t="s">
        <v>23024</v>
      </c>
    </row>
    <row r="1800" spans="1:25">
      <c r="A1800" s="363">
        <f t="shared" si="231"/>
        <v>1799</v>
      </c>
      <c r="B1800" s="363" t="str">
        <f t="shared" si="224"/>
        <v>44</v>
      </c>
      <c r="C1800" s="405" t="str">
        <f t="shared" si="225"/>
        <v>第014100号</v>
      </c>
      <c r="D1800" s="405" t="str">
        <f t="shared" si="226"/>
        <v>（株）栗林工業</v>
      </c>
      <c r="E1800" s="405" t="str">
        <f t="shared" si="227"/>
        <v>代表取締役</v>
      </c>
      <c r="F1800" s="405" t="str">
        <f t="shared" si="228"/>
        <v>栗林　正秀</v>
      </c>
      <c r="G1800" s="405" t="str">
        <f t="shared" si="229"/>
        <v>主たる営業所</v>
      </c>
      <c r="H1800" s="405" t="str">
        <f t="shared" si="230"/>
        <v>国東市武蔵町古市１０３３－１</v>
      </c>
      <c r="L1800" s="403" t="s">
        <v>11514</v>
      </c>
      <c r="M1800" s="403" t="s">
        <v>11515</v>
      </c>
      <c r="N1800" s="403" t="s">
        <v>4737</v>
      </c>
      <c r="O1800" s="403" t="s">
        <v>7084</v>
      </c>
      <c r="P1800" s="403" t="s">
        <v>4738</v>
      </c>
      <c r="Q1800" s="403" t="s">
        <v>7715</v>
      </c>
      <c r="R1800" s="403" t="s">
        <v>20201</v>
      </c>
      <c r="S1800" s="403" t="s">
        <v>17212</v>
      </c>
      <c r="T1800" s="403" t="s">
        <v>17213</v>
      </c>
      <c r="U1800" s="403"/>
      <c r="V1800" s="403" t="s">
        <v>23024</v>
      </c>
      <c r="W1800" s="403" t="s">
        <v>23024</v>
      </c>
      <c r="X1800" s="403" t="s">
        <v>23024</v>
      </c>
      <c r="Y1800" s="403" t="s">
        <v>23024</v>
      </c>
    </row>
    <row r="1801" spans="1:25">
      <c r="A1801" s="363">
        <f t="shared" si="231"/>
        <v>1800</v>
      </c>
      <c r="B1801" s="363" t="str">
        <f t="shared" si="224"/>
        <v>44</v>
      </c>
      <c r="C1801" s="405" t="str">
        <f t="shared" si="225"/>
        <v>第014111号</v>
      </c>
      <c r="D1801" s="405" t="str">
        <f t="shared" si="226"/>
        <v>（有）ブループランニング</v>
      </c>
      <c r="E1801" s="405" t="str">
        <f t="shared" si="227"/>
        <v>取締役</v>
      </c>
      <c r="F1801" s="405" t="str">
        <f t="shared" si="228"/>
        <v>渡邊　博文</v>
      </c>
      <c r="G1801" s="405" t="str">
        <f t="shared" si="229"/>
        <v>主たる営業所</v>
      </c>
      <c r="H1801" s="405" t="str">
        <f t="shared" si="230"/>
        <v>宇佐市大字葛原６２８－１４</v>
      </c>
      <c r="L1801" s="403" t="s">
        <v>11516</v>
      </c>
      <c r="M1801" s="403" t="s">
        <v>11517</v>
      </c>
      <c r="N1801" s="403" t="s">
        <v>4739</v>
      </c>
      <c r="O1801" s="403" t="s">
        <v>7085</v>
      </c>
      <c r="P1801" s="403" t="s">
        <v>4740</v>
      </c>
      <c r="Q1801" s="403" t="s">
        <v>11518</v>
      </c>
      <c r="R1801" s="403" t="s">
        <v>20202</v>
      </c>
      <c r="S1801" s="403" t="s">
        <v>17214</v>
      </c>
      <c r="T1801" s="403" t="s">
        <v>17214</v>
      </c>
      <c r="U1801" s="403"/>
      <c r="V1801" s="403" t="s">
        <v>23024</v>
      </c>
      <c r="W1801" s="403" t="s">
        <v>23024</v>
      </c>
      <c r="X1801" s="403" t="s">
        <v>23024</v>
      </c>
      <c r="Y1801" s="403" t="s">
        <v>23024</v>
      </c>
    </row>
    <row r="1802" spans="1:25">
      <c r="A1802" s="363">
        <f t="shared" si="231"/>
        <v>1801</v>
      </c>
      <c r="B1802" s="363" t="str">
        <f t="shared" si="224"/>
        <v>44</v>
      </c>
      <c r="C1802" s="405" t="str">
        <f t="shared" si="225"/>
        <v>第014115号</v>
      </c>
      <c r="D1802" s="405" t="str">
        <f t="shared" si="226"/>
        <v>（株）実郷工業</v>
      </c>
      <c r="E1802" s="405" t="str">
        <f t="shared" si="227"/>
        <v>代表取締役</v>
      </c>
      <c r="F1802" s="405" t="str">
        <f t="shared" si="228"/>
        <v>峰野　公徳</v>
      </c>
      <c r="G1802" s="405" t="str">
        <f t="shared" si="229"/>
        <v>主たる営業所</v>
      </c>
      <c r="H1802" s="405" t="str">
        <f t="shared" si="230"/>
        <v>玖珠郡玖珠町大字帆足４５７－１</v>
      </c>
      <c r="L1802" s="403" t="s">
        <v>11519</v>
      </c>
      <c r="M1802" s="403" t="s">
        <v>11520</v>
      </c>
      <c r="N1802" s="403" t="s">
        <v>4741</v>
      </c>
      <c r="O1802" s="403" t="s">
        <v>7084</v>
      </c>
      <c r="P1802" s="403" t="s">
        <v>4598</v>
      </c>
      <c r="Q1802" s="403" t="s">
        <v>7988</v>
      </c>
      <c r="R1802" s="403" t="s">
        <v>20203</v>
      </c>
      <c r="S1802" s="403" t="s">
        <v>17215</v>
      </c>
      <c r="T1802" s="403" t="s">
        <v>17216</v>
      </c>
      <c r="U1802" s="403"/>
      <c r="V1802" s="403" t="s">
        <v>23024</v>
      </c>
      <c r="W1802" s="403" t="s">
        <v>23024</v>
      </c>
      <c r="X1802" s="403" t="s">
        <v>23024</v>
      </c>
      <c r="Y1802" s="403" t="s">
        <v>23024</v>
      </c>
    </row>
    <row r="1803" spans="1:25">
      <c r="A1803" s="363">
        <f t="shared" si="231"/>
        <v>1802</v>
      </c>
      <c r="B1803" s="363" t="str">
        <f t="shared" si="224"/>
        <v>44</v>
      </c>
      <c r="C1803" s="405" t="str">
        <f t="shared" si="225"/>
        <v>第014116号</v>
      </c>
      <c r="D1803" s="405" t="str">
        <f t="shared" si="226"/>
        <v>（株）よしい塗装</v>
      </c>
      <c r="E1803" s="405" t="str">
        <f t="shared" si="227"/>
        <v>代表取締役</v>
      </c>
      <c r="F1803" s="405" t="str">
        <f t="shared" si="228"/>
        <v>芳井　将綱</v>
      </c>
      <c r="G1803" s="405" t="str">
        <f t="shared" si="229"/>
        <v>主たる営業所</v>
      </c>
      <c r="H1803" s="405" t="str">
        <f t="shared" si="230"/>
        <v>大分市乙津町９－１８</v>
      </c>
      <c r="L1803" s="403" t="s">
        <v>11521</v>
      </c>
      <c r="M1803" s="403" t="s">
        <v>11522</v>
      </c>
      <c r="N1803" s="403" t="s">
        <v>4742</v>
      </c>
      <c r="O1803" s="403" t="s">
        <v>7084</v>
      </c>
      <c r="P1803" s="403" t="s">
        <v>4743</v>
      </c>
      <c r="Q1803" s="403" t="s">
        <v>9672</v>
      </c>
      <c r="R1803" s="403" t="s">
        <v>20204</v>
      </c>
      <c r="S1803" s="403" t="s">
        <v>17217</v>
      </c>
      <c r="T1803" s="403" t="s">
        <v>17218</v>
      </c>
      <c r="U1803" s="403"/>
      <c r="V1803" s="403" t="s">
        <v>23024</v>
      </c>
      <c r="W1803" s="403" t="s">
        <v>23024</v>
      </c>
      <c r="X1803" s="403" t="s">
        <v>23024</v>
      </c>
      <c r="Y1803" s="403" t="s">
        <v>23024</v>
      </c>
    </row>
    <row r="1804" spans="1:25">
      <c r="A1804" s="363">
        <f t="shared" si="231"/>
        <v>1803</v>
      </c>
      <c r="B1804" s="363" t="str">
        <f t="shared" si="224"/>
        <v>44</v>
      </c>
      <c r="C1804" s="405" t="str">
        <f t="shared" si="225"/>
        <v>第014119号</v>
      </c>
      <c r="D1804" s="405" t="str">
        <f t="shared" si="226"/>
        <v>（株）河本建設工業</v>
      </c>
      <c r="E1804" s="405" t="str">
        <f t="shared" si="227"/>
        <v>代表取締役</v>
      </c>
      <c r="F1804" s="405" t="str">
        <f t="shared" si="228"/>
        <v>河本　真吾</v>
      </c>
      <c r="G1804" s="405" t="str">
        <f t="shared" si="229"/>
        <v>主たる営業所</v>
      </c>
      <c r="H1804" s="405" t="str">
        <f t="shared" si="230"/>
        <v>大分市向原西２－６－８</v>
      </c>
      <c r="L1804" s="403" t="s">
        <v>11523</v>
      </c>
      <c r="M1804" s="403" t="s">
        <v>8465</v>
      </c>
      <c r="N1804" s="403" t="s">
        <v>4744</v>
      </c>
      <c r="O1804" s="403" t="s">
        <v>7084</v>
      </c>
      <c r="P1804" s="403" t="s">
        <v>4745</v>
      </c>
      <c r="Q1804" s="403" t="s">
        <v>7309</v>
      </c>
      <c r="R1804" s="403" t="s">
        <v>20205</v>
      </c>
      <c r="S1804" s="403" t="s">
        <v>17219</v>
      </c>
      <c r="T1804" s="403" t="s">
        <v>17220</v>
      </c>
      <c r="U1804" s="403"/>
      <c r="V1804" s="403" t="s">
        <v>23024</v>
      </c>
      <c r="W1804" s="403" t="s">
        <v>23024</v>
      </c>
      <c r="X1804" s="403" t="s">
        <v>23024</v>
      </c>
      <c r="Y1804" s="403" t="s">
        <v>23024</v>
      </c>
    </row>
    <row r="1805" spans="1:25">
      <c r="A1805" s="363">
        <f t="shared" si="231"/>
        <v>1804</v>
      </c>
      <c r="B1805" s="363" t="str">
        <f t="shared" si="224"/>
        <v>44</v>
      </c>
      <c r="C1805" s="405" t="str">
        <f t="shared" si="225"/>
        <v>第014121号</v>
      </c>
      <c r="D1805" s="405" t="str">
        <f t="shared" si="226"/>
        <v>（株）佐藤電工社</v>
      </c>
      <c r="E1805" s="405" t="str">
        <f t="shared" si="227"/>
        <v>代表取締役</v>
      </c>
      <c r="F1805" s="405" t="str">
        <f t="shared" si="228"/>
        <v>佐藤　龍太朗</v>
      </c>
      <c r="G1805" s="405" t="str">
        <f t="shared" si="229"/>
        <v>主たる営業所</v>
      </c>
      <c r="H1805" s="405" t="str">
        <f t="shared" si="230"/>
        <v>豊後大野市大野町屋原７０５</v>
      </c>
      <c r="L1805" s="403" t="s">
        <v>11524</v>
      </c>
      <c r="M1805" s="403" t="s">
        <v>11525</v>
      </c>
      <c r="N1805" s="403" t="s">
        <v>4746</v>
      </c>
      <c r="O1805" s="403" t="s">
        <v>7084</v>
      </c>
      <c r="P1805" s="403" t="s">
        <v>4747</v>
      </c>
      <c r="Q1805" s="403" t="s">
        <v>9091</v>
      </c>
      <c r="R1805" s="403" t="s">
        <v>5679</v>
      </c>
      <c r="S1805" s="403" t="s">
        <v>17221</v>
      </c>
      <c r="T1805" s="403" t="s">
        <v>17222</v>
      </c>
      <c r="U1805" s="403"/>
      <c r="V1805" s="403" t="s">
        <v>23024</v>
      </c>
      <c r="W1805" s="403" t="s">
        <v>23024</v>
      </c>
      <c r="X1805" s="403" t="s">
        <v>23024</v>
      </c>
      <c r="Y1805" s="403" t="s">
        <v>23024</v>
      </c>
    </row>
    <row r="1806" spans="1:25">
      <c r="A1806" s="363">
        <f t="shared" si="231"/>
        <v>1805</v>
      </c>
      <c r="B1806" s="363" t="str">
        <f t="shared" si="224"/>
        <v>44</v>
      </c>
      <c r="C1806" s="405" t="str">
        <f t="shared" si="225"/>
        <v>第014128号</v>
      </c>
      <c r="D1806" s="405" t="str">
        <f t="shared" si="226"/>
        <v>（株）コーボウ設備工業</v>
      </c>
      <c r="E1806" s="405" t="str">
        <f t="shared" si="227"/>
        <v>代表取締役</v>
      </c>
      <c r="F1806" s="405" t="str">
        <f t="shared" si="228"/>
        <v>鶴原　一正</v>
      </c>
      <c r="G1806" s="405" t="str">
        <f t="shared" si="229"/>
        <v>主たる営業所</v>
      </c>
      <c r="H1806" s="405" t="str">
        <f t="shared" si="230"/>
        <v>大分市大字三佐２１２２－８</v>
      </c>
      <c r="L1806" s="403" t="s">
        <v>11526</v>
      </c>
      <c r="M1806" s="403" t="s">
        <v>11527</v>
      </c>
      <c r="N1806" s="403" t="s">
        <v>4748</v>
      </c>
      <c r="O1806" s="403" t="s">
        <v>7084</v>
      </c>
      <c r="P1806" s="403" t="s">
        <v>4749</v>
      </c>
      <c r="Q1806" s="403" t="s">
        <v>7413</v>
      </c>
      <c r="R1806" s="403" t="s">
        <v>20206</v>
      </c>
      <c r="S1806" s="403" t="s">
        <v>17223</v>
      </c>
      <c r="T1806" s="403" t="s">
        <v>17224</v>
      </c>
      <c r="U1806" s="403"/>
      <c r="V1806" s="403" t="s">
        <v>23024</v>
      </c>
      <c r="W1806" s="403" t="s">
        <v>23024</v>
      </c>
      <c r="X1806" s="403" t="s">
        <v>23024</v>
      </c>
      <c r="Y1806" s="403" t="s">
        <v>23024</v>
      </c>
    </row>
    <row r="1807" spans="1:25">
      <c r="A1807" s="363">
        <f t="shared" si="231"/>
        <v>1806</v>
      </c>
      <c r="B1807" s="363" t="str">
        <f t="shared" si="224"/>
        <v>44</v>
      </c>
      <c r="C1807" s="405" t="str">
        <f t="shared" si="225"/>
        <v>第014129号</v>
      </c>
      <c r="D1807" s="405" t="str">
        <f t="shared" si="226"/>
        <v>（株）幸原建設</v>
      </c>
      <c r="E1807" s="405" t="str">
        <f t="shared" si="227"/>
        <v>代表取締役</v>
      </c>
      <c r="F1807" s="405" t="str">
        <f t="shared" si="228"/>
        <v>糸永　邦章</v>
      </c>
      <c r="G1807" s="405" t="str">
        <f t="shared" si="229"/>
        <v>主たる営業所</v>
      </c>
      <c r="H1807" s="405" t="str">
        <f t="shared" si="230"/>
        <v>別府市大字亀川１６７９－３</v>
      </c>
      <c r="L1807" s="403" t="s">
        <v>11528</v>
      </c>
      <c r="M1807" s="403" t="s">
        <v>11529</v>
      </c>
      <c r="N1807" s="403" t="s">
        <v>4750</v>
      </c>
      <c r="O1807" s="403" t="s">
        <v>7084</v>
      </c>
      <c r="P1807" s="403" t="s">
        <v>4751</v>
      </c>
      <c r="Q1807" s="403" t="s">
        <v>11530</v>
      </c>
      <c r="R1807" s="403" t="s">
        <v>20207</v>
      </c>
      <c r="S1807" s="403" t="s">
        <v>17225</v>
      </c>
      <c r="T1807" s="403" t="s">
        <v>17225</v>
      </c>
      <c r="U1807" s="403"/>
      <c r="V1807" s="403" t="s">
        <v>23024</v>
      </c>
      <c r="W1807" s="403" t="s">
        <v>23024</v>
      </c>
      <c r="X1807" s="403" t="s">
        <v>23024</v>
      </c>
      <c r="Y1807" s="403" t="s">
        <v>23024</v>
      </c>
    </row>
    <row r="1808" spans="1:25">
      <c r="A1808" s="363">
        <f t="shared" si="231"/>
        <v>1807</v>
      </c>
      <c r="B1808" s="363" t="str">
        <f t="shared" si="224"/>
        <v>44</v>
      </c>
      <c r="C1808" s="405" t="str">
        <f t="shared" si="225"/>
        <v>第014138号</v>
      </c>
      <c r="D1808" s="405" t="str">
        <f t="shared" si="226"/>
        <v>公電社</v>
      </c>
      <c r="E1808" s="405" t="str">
        <f t="shared" si="227"/>
        <v>事業主</v>
      </c>
      <c r="F1808" s="405" t="str">
        <f t="shared" si="228"/>
        <v>津田　公人</v>
      </c>
      <c r="G1808" s="405" t="str">
        <f t="shared" si="229"/>
        <v>主たる営業所</v>
      </c>
      <c r="H1808" s="405" t="str">
        <f t="shared" si="230"/>
        <v>佐伯市蒲江大字森崎浦１６９０</v>
      </c>
      <c r="L1808" s="403" t="s">
        <v>11531</v>
      </c>
      <c r="M1808" s="403" t="s">
        <v>11532</v>
      </c>
      <c r="N1808" s="403" t="s">
        <v>4752</v>
      </c>
      <c r="O1808" s="403" t="s">
        <v>7088</v>
      </c>
      <c r="P1808" s="403" t="s">
        <v>4753</v>
      </c>
      <c r="Q1808" s="403" t="s">
        <v>10369</v>
      </c>
      <c r="R1808" s="403" t="s">
        <v>5680</v>
      </c>
      <c r="S1808" s="403" t="s">
        <v>17226</v>
      </c>
      <c r="T1808" s="403" t="s">
        <v>17226</v>
      </c>
      <c r="U1808" s="403"/>
      <c r="V1808" s="403" t="s">
        <v>23024</v>
      </c>
      <c r="W1808" s="403" t="s">
        <v>23024</v>
      </c>
      <c r="X1808" s="403" t="s">
        <v>23024</v>
      </c>
      <c r="Y1808" s="403" t="s">
        <v>23024</v>
      </c>
    </row>
    <row r="1809" spans="1:25">
      <c r="A1809" s="363">
        <f t="shared" si="231"/>
        <v>1808</v>
      </c>
      <c r="B1809" s="363" t="str">
        <f t="shared" si="224"/>
        <v>44</v>
      </c>
      <c r="C1809" s="405" t="str">
        <f t="shared" si="225"/>
        <v>第014141号</v>
      </c>
      <c r="D1809" s="405" t="str">
        <f t="shared" si="226"/>
        <v>（株）トシン</v>
      </c>
      <c r="E1809" s="405" t="str">
        <f t="shared" si="227"/>
        <v>代表取締役</v>
      </c>
      <c r="F1809" s="405" t="str">
        <f t="shared" si="228"/>
        <v>野口　淳</v>
      </c>
      <c r="G1809" s="405" t="str">
        <f t="shared" si="229"/>
        <v>主たる営業所</v>
      </c>
      <c r="H1809" s="405" t="str">
        <f t="shared" si="230"/>
        <v>大分市東浜２－７－２０</v>
      </c>
      <c r="L1809" s="403" t="s">
        <v>11533</v>
      </c>
      <c r="M1809" s="403" t="s">
        <v>11534</v>
      </c>
      <c r="N1809" s="403" t="s">
        <v>4754</v>
      </c>
      <c r="O1809" s="403" t="s">
        <v>7084</v>
      </c>
      <c r="P1809" s="403" t="s">
        <v>4755</v>
      </c>
      <c r="Q1809" s="403" t="s">
        <v>7461</v>
      </c>
      <c r="R1809" s="403" t="s">
        <v>20208</v>
      </c>
      <c r="S1809" s="403" t="s">
        <v>17227</v>
      </c>
      <c r="T1809" s="403" t="s">
        <v>17228</v>
      </c>
      <c r="U1809" s="403"/>
      <c r="V1809" s="403" t="s">
        <v>23024</v>
      </c>
      <c r="W1809" s="403" t="s">
        <v>23024</v>
      </c>
      <c r="X1809" s="403" t="s">
        <v>23024</v>
      </c>
      <c r="Y1809" s="403" t="s">
        <v>23024</v>
      </c>
    </row>
    <row r="1810" spans="1:25">
      <c r="A1810" s="363">
        <f t="shared" si="231"/>
        <v>1809</v>
      </c>
      <c r="B1810" s="363" t="str">
        <f t="shared" si="224"/>
        <v>44</v>
      </c>
      <c r="C1810" s="405" t="str">
        <f t="shared" si="225"/>
        <v>第014143号</v>
      </c>
      <c r="D1810" s="405" t="str">
        <f t="shared" si="226"/>
        <v>（株）小畑建設工業</v>
      </c>
      <c r="E1810" s="405" t="str">
        <f t="shared" si="227"/>
        <v>代表取締役</v>
      </c>
      <c r="F1810" s="405" t="str">
        <f t="shared" si="228"/>
        <v>小畑　鉄平</v>
      </c>
      <c r="G1810" s="405" t="str">
        <f t="shared" si="229"/>
        <v>主たる営業所</v>
      </c>
      <c r="H1810" s="405" t="str">
        <f t="shared" si="230"/>
        <v>大分市大字高瀬２－５</v>
      </c>
      <c r="L1810" s="403" t="s">
        <v>11535</v>
      </c>
      <c r="M1810" s="403" t="s">
        <v>11536</v>
      </c>
      <c r="N1810" s="403" t="s">
        <v>4756</v>
      </c>
      <c r="O1810" s="403" t="s">
        <v>7084</v>
      </c>
      <c r="P1810" s="403" t="s">
        <v>4757</v>
      </c>
      <c r="Q1810" s="403" t="s">
        <v>10889</v>
      </c>
      <c r="R1810" s="403" t="s">
        <v>20209</v>
      </c>
      <c r="S1810" s="403" t="s">
        <v>17229</v>
      </c>
      <c r="T1810" s="403" t="s">
        <v>17230</v>
      </c>
      <c r="U1810" s="403"/>
      <c r="V1810" s="403" t="s">
        <v>23024</v>
      </c>
      <c r="W1810" s="403" t="s">
        <v>23024</v>
      </c>
      <c r="X1810" s="403" t="s">
        <v>23024</v>
      </c>
      <c r="Y1810" s="403" t="s">
        <v>23024</v>
      </c>
    </row>
    <row r="1811" spans="1:25">
      <c r="A1811" s="363">
        <f t="shared" si="231"/>
        <v>1810</v>
      </c>
      <c r="B1811" s="363" t="str">
        <f t="shared" si="224"/>
        <v>44</v>
      </c>
      <c r="C1811" s="405" t="str">
        <f t="shared" si="225"/>
        <v>第014152号</v>
      </c>
      <c r="D1811" s="405" t="str">
        <f t="shared" si="226"/>
        <v>（株）共翔</v>
      </c>
      <c r="E1811" s="405" t="str">
        <f t="shared" si="227"/>
        <v>代表取締役</v>
      </c>
      <c r="F1811" s="405" t="str">
        <f t="shared" si="228"/>
        <v>工藤　洋三</v>
      </c>
      <c r="G1811" s="405" t="str">
        <f t="shared" si="229"/>
        <v>主たる営業所</v>
      </c>
      <c r="H1811" s="405" t="str">
        <f t="shared" si="230"/>
        <v>由布市挾間町高崎２６０</v>
      </c>
      <c r="L1811" s="403" t="s">
        <v>11537</v>
      </c>
      <c r="M1811" s="403" t="s">
        <v>11538</v>
      </c>
      <c r="N1811" s="403" t="s">
        <v>4758</v>
      </c>
      <c r="O1811" s="403" t="s">
        <v>7084</v>
      </c>
      <c r="P1811" s="403" t="s">
        <v>4759</v>
      </c>
      <c r="Q1811" s="403" t="s">
        <v>11539</v>
      </c>
      <c r="R1811" s="403" t="s">
        <v>5681</v>
      </c>
      <c r="S1811" s="403" t="s">
        <v>17231</v>
      </c>
      <c r="T1811" s="403" t="s">
        <v>17232</v>
      </c>
      <c r="U1811" s="403"/>
      <c r="V1811" s="403" t="s">
        <v>23024</v>
      </c>
      <c r="W1811" s="403" t="s">
        <v>23024</v>
      </c>
      <c r="X1811" s="403" t="s">
        <v>23024</v>
      </c>
      <c r="Y1811" s="403" t="s">
        <v>23024</v>
      </c>
    </row>
    <row r="1812" spans="1:25">
      <c r="A1812" s="363">
        <f t="shared" si="231"/>
        <v>1811</v>
      </c>
      <c r="B1812" s="363" t="str">
        <f t="shared" si="224"/>
        <v>44</v>
      </c>
      <c r="C1812" s="405" t="str">
        <f t="shared" si="225"/>
        <v>第014154号</v>
      </c>
      <c r="D1812" s="405" t="str">
        <f t="shared" si="226"/>
        <v>（株）ＥＶＯ</v>
      </c>
      <c r="E1812" s="405" t="str">
        <f t="shared" si="227"/>
        <v>代表取締役</v>
      </c>
      <c r="F1812" s="405" t="str">
        <f t="shared" si="228"/>
        <v>上原　使徒明</v>
      </c>
      <c r="G1812" s="405" t="str">
        <f t="shared" si="229"/>
        <v>主たる営業所</v>
      </c>
      <c r="H1812" s="405" t="str">
        <f t="shared" si="230"/>
        <v>大分市西鶴崎１－１１－１８</v>
      </c>
      <c r="L1812" s="403" t="s">
        <v>11540</v>
      </c>
      <c r="M1812" s="403" t="s">
        <v>11541</v>
      </c>
      <c r="N1812" s="403" t="s">
        <v>4760</v>
      </c>
      <c r="O1812" s="403" t="s">
        <v>7084</v>
      </c>
      <c r="P1812" s="403" t="s">
        <v>4761</v>
      </c>
      <c r="Q1812" s="403" t="s">
        <v>9984</v>
      </c>
      <c r="R1812" s="403" t="s">
        <v>20210</v>
      </c>
      <c r="S1812" s="403" t="s">
        <v>17233</v>
      </c>
      <c r="T1812" s="403" t="s">
        <v>17234</v>
      </c>
      <c r="U1812" s="403"/>
      <c r="V1812" s="403" t="s">
        <v>23024</v>
      </c>
      <c r="W1812" s="403" t="s">
        <v>23024</v>
      </c>
      <c r="X1812" s="403" t="s">
        <v>23024</v>
      </c>
      <c r="Y1812" s="403" t="s">
        <v>23024</v>
      </c>
    </row>
    <row r="1813" spans="1:25">
      <c r="A1813" s="363">
        <f t="shared" si="231"/>
        <v>1812</v>
      </c>
      <c r="B1813" s="363" t="str">
        <f t="shared" si="224"/>
        <v>44</v>
      </c>
      <c r="C1813" s="405" t="str">
        <f t="shared" si="225"/>
        <v>第014157号</v>
      </c>
      <c r="D1813" s="405" t="str">
        <f t="shared" si="226"/>
        <v>（株）宮本商事</v>
      </c>
      <c r="E1813" s="405" t="str">
        <f t="shared" si="227"/>
        <v>代表取締役</v>
      </c>
      <c r="F1813" s="405" t="str">
        <f t="shared" si="228"/>
        <v>佐藤　彰子</v>
      </c>
      <c r="G1813" s="405" t="str">
        <f t="shared" si="229"/>
        <v>主たる営業所</v>
      </c>
      <c r="H1813" s="405" t="str">
        <f t="shared" si="230"/>
        <v>大分市大字城原１７８５－１</v>
      </c>
      <c r="L1813" s="403" t="s">
        <v>11542</v>
      </c>
      <c r="M1813" s="403" t="s">
        <v>11543</v>
      </c>
      <c r="N1813" s="403" t="s">
        <v>4762</v>
      </c>
      <c r="O1813" s="403" t="s">
        <v>7084</v>
      </c>
      <c r="P1813" s="403" t="s">
        <v>5275</v>
      </c>
      <c r="Q1813" s="403" t="s">
        <v>8292</v>
      </c>
      <c r="R1813" s="403" t="s">
        <v>19779</v>
      </c>
      <c r="S1813" s="403" t="s">
        <v>17235</v>
      </c>
      <c r="T1813" s="403" t="s">
        <v>17235</v>
      </c>
      <c r="U1813" s="403"/>
      <c r="V1813" s="403" t="s">
        <v>23024</v>
      </c>
      <c r="W1813" s="403" t="s">
        <v>23024</v>
      </c>
      <c r="X1813" s="403" t="s">
        <v>23024</v>
      </c>
      <c r="Y1813" s="403" t="s">
        <v>23024</v>
      </c>
    </row>
    <row r="1814" spans="1:25">
      <c r="A1814" s="363">
        <f t="shared" si="231"/>
        <v>1813</v>
      </c>
      <c r="B1814" s="363" t="str">
        <f t="shared" si="224"/>
        <v>44</v>
      </c>
      <c r="C1814" s="405" t="str">
        <f t="shared" si="225"/>
        <v>第014167号</v>
      </c>
      <c r="D1814" s="405" t="str">
        <f t="shared" si="226"/>
        <v>（株）米野電設</v>
      </c>
      <c r="E1814" s="405" t="str">
        <f t="shared" si="227"/>
        <v>代表取締役</v>
      </c>
      <c r="F1814" s="405" t="str">
        <f t="shared" si="228"/>
        <v>米野　裕治</v>
      </c>
      <c r="G1814" s="405" t="str">
        <f t="shared" si="229"/>
        <v>主たる営業所</v>
      </c>
      <c r="H1814" s="405" t="str">
        <f t="shared" si="230"/>
        <v>由布市挾間町篠原７４１－１</v>
      </c>
      <c r="L1814" s="403" t="s">
        <v>11544</v>
      </c>
      <c r="M1814" s="403" t="s">
        <v>11545</v>
      </c>
      <c r="N1814" s="403" t="s">
        <v>4763</v>
      </c>
      <c r="O1814" s="403" t="s">
        <v>7084</v>
      </c>
      <c r="P1814" s="403" t="s">
        <v>4764</v>
      </c>
      <c r="Q1814" s="403" t="s">
        <v>11546</v>
      </c>
      <c r="R1814" s="403" t="s">
        <v>20211</v>
      </c>
      <c r="S1814" s="403" t="s">
        <v>17236</v>
      </c>
      <c r="T1814" s="403" t="s">
        <v>17236</v>
      </c>
      <c r="U1814" s="403"/>
      <c r="V1814" s="403" t="s">
        <v>23024</v>
      </c>
      <c r="W1814" s="403" t="s">
        <v>23024</v>
      </c>
      <c r="X1814" s="403" t="s">
        <v>23024</v>
      </c>
      <c r="Y1814" s="403" t="s">
        <v>23024</v>
      </c>
    </row>
    <row r="1815" spans="1:25">
      <c r="A1815" s="363">
        <f t="shared" si="231"/>
        <v>1814</v>
      </c>
      <c r="B1815" s="363" t="str">
        <f t="shared" si="224"/>
        <v>44</v>
      </c>
      <c r="C1815" s="405" t="str">
        <f t="shared" si="225"/>
        <v>第014176号</v>
      </c>
      <c r="D1815" s="405" t="str">
        <f t="shared" si="226"/>
        <v>（株）Ｇａｎａｒｕ</v>
      </c>
      <c r="E1815" s="405" t="str">
        <f t="shared" si="227"/>
        <v>代表取締役</v>
      </c>
      <c r="F1815" s="405" t="str">
        <f t="shared" si="228"/>
        <v>姫野　賢司</v>
      </c>
      <c r="G1815" s="405" t="str">
        <f t="shared" si="229"/>
        <v>主たる営業所</v>
      </c>
      <c r="H1815" s="405" t="str">
        <f t="shared" si="230"/>
        <v>大分市大字上宗方１２５０－７</v>
      </c>
      <c r="L1815" s="403" t="s">
        <v>20212</v>
      </c>
      <c r="M1815" s="403" t="s">
        <v>20213</v>
      </c>
      <c r="N1815" s="403" t="s">
        <v>20214</v>
      </c>
      <c r="O1815" s="403" t="s">
        <v>7084</v>
      </c>
      <c r="P1815" s="403" t="s">
        <v>20215</v>
      </c>
      <c r="Q1815" s="403" t="s">
        <v>8655</v>
      </c>
      <c r="R1815" s="403" t="s">
        <v>20216</v>
      </c>
      <c r="S1815" s="403" t="s">
        <v>20217</v>
      </c>
      <c r="T1815" s="403" t="s">
        <v>20217</v>
      </c>
      <c r="U1815" s="403"/>
      <c r="V1815" s="403" t="s">
        <v>23024</v>
      </c>
      <c r="W1815" s="403" t="s">
        <v>23024</v>
      </c>
      <c r="X1815" s="403" t="s">
        <v>23024</v>
      </c>
      <c r="Y1815" s="403" t="s">
        <v>23024</v>
      </c>
    </row>
    <row r="1816" spans="1:25">
      <c r="A1816" s="363">
        <f t="shared" si="231"/>
        <v>1815</v>
      </c>
      <c r="B1816" s="363" t="str">
        <f t="shared" si="224"/>
        <v>44</v>
      </c>
      <c r="C1816" s="405" t="str">
        <f t="shared" si="225"/>
        <v>第014185号</v>
      </c>
      <c r="D1816" s="405" t="str">
        <f t="shared" si="226"/>
        <v>（株）都電工</v>
      </c>
      <c r="E1816" s="405" t="str">
        <f t="shared" si="227"/>
        <v>代表取締役</v>
      </c>
      <c r="F1816" s="405" t="str">
        <f t="shared" si="228"/>
        <v>高司　学</v>
      </c>
      <c r="G1816" s="405" t="str">
        <f t="shared" si="229"/>
        <v>主たる営業所</v>
      </c>
      <c r="H1816" s="405" t="str">
        <f t="shared" si="230"/>
        <v>大分市王子町１２－１４</v>
      </c>
      <c r="L1816" s="403" t="s">
        <v>11547</v>
      </c>
      <c r="M1816" s="403" t="s">
        <v>11548</v>
      </c>
      <c r="N1816" s="403" t="s">
        <v>4765</v>
      </c>
      <c r="O1816" s="403" t="s">
        <v>7084</v>
      </c>
      <c r="P1816" s="403" t="s">
        <v>4766</v>
      </c>
      <c r="Q1816" s="403" t="s">
        <v>11549</v>
      </c>
      <c r="R1816" s="403" t="s">
        <v>20218</v>
      </c>
      <c r="S1816" s="403" t="s">
        <v>17237</v>
      </c>
      <c r="T1816" s="403" t="s">
        <v>20219</v>
      </c>
      <c r="U1816" s="403"/>
      <c r="V1816" s="403" t="s">
        <v>23024</v>
      </c>
      <c r="W1816" s="403" t="s">
        <v>23024</v>
      </c>
      <c r="X1816" s="403" t="s">
        <v>23024</v>
      </c>
      <c r="Y1816" s="403" t="s">
        <v>23024</v>
      </c>
    </row>
    <row r="1817" spans="1:25">
      <c r="A1817" s="363">
        <f t="shared" si="231"/>
        <v>1816</v>
      </c>
      <c r="B1817" s="363" t="str">
        <f t="shared" si="224"/>
        <v>44</v>
      </c>
      <c r="C1817" s="405" t="str">
        <f t="shared" si="225"/>
        <v>第014201号</v>
      </c>
      <c r="D1817" s="405" t="str">
        <f t="shared" si="226"/>
        <v>新征工業（株）</v>
      </c>
      <c r="E1817" s="405" t="str">
        <f t="shared" si="227"/>
        <v>代表取締役</v>
      </c>
      <c r="F1817" s="405" t="str">
        <f t="shared" si="228"/>
        <v>佐藤　征史</v>
      </c>
      <c r="G1817" s="405" t="str">
        <f t="shared" si="229"/>
        <v>主たる営業所</v>
      </c>
      <c r="H1817" s="405" t="str">
        <f t="shared" si="230"/>
        <v>由布市挾間町来鉢２５５－９</v>
      </c>
      <c r="L1817" s="403" t="s">
        <v>11550</v>
      </c>
      <c r="M1817" s="403" t="s">
        <v>10302</v>
      </c>
      <c r="N1817" s="403" t="s">
        <v>4767</v>
      </c>
      <c r="O1817" s="403" t="s">
        <v>7084</v>
      </c>
      <c r="P1817" s="403" t="s">
        <v>4768</v>
      </c>
      <c r="Q1817" s="403" t="s">
        <v>11539</v>
      </c>
      <c r="R1817" s="403" t="s">
        <v>20220</v>
      </c>
      <c r="S1817" s="403" t="s">
        <v>17238</v>
      </c>
      <c r="T1817" s="403" t="s">
        <v>17239</v>
      </c>
      <c r="U1817" s="403"/>
      <c r="V1817" s="403" t="s">
        <v>23024</v>
      </c>
      <c r="W1817" s="403" t="s">
        <v>23024</v>
      </c>
      <c r="X1817" s="403" t="s">
        <v>23024</v>
      </c>
      <c r="Y1817" s="403" t="s">
        <v>23024</v>
      </c>
    </row>
    <row r="1818" spans="1:25">
      <c r="A1818" s="363">
        <f t="shared" si="231"/>
        <v>1817</v>
      </c>
      <c r="B1818" s="363" t="str">
        <f t="shared" si="224"/>
        <v>44</v>
      </c>
      <c r="C1818" s="405" t="str">
        <f t="shared" si="225"/>
        <v>第014208号</v>
      </c>
      <c r="D1818" s="405" t="str">
        <f t="shared" si="226"/>
        <v>（株）五島エレベーター</v>
      </c>
      <c r="E1818" s="405" t="str">
        <f t="shared" si="227"/>
        <v>代表取締役</v>
      </c>
      <c r="F1818" s="405" t="str">
        <f t="shared" si="228"/>
        <v>松田　公一</v>
      </c>
      <c r="G1818" s="405" t="str">
        <f t="shared" si="229"/>
        <v>主たる営業所</v>
      </c>
      <c r="H1818" s="405" t="str">
        <f t="shared" si="230"/>
        <v>別府市浜脇１－１９－３</v>
      </c>
      <c r="L1818" s="403" t="s">
        <v>11551</v>
      </c>
      <c r="M1818" s="403" t="s">
        <v>11552</v>
      </c>
      <c r="N1818" s="403" t="s">
        <v>4769</v>
      </c>
      <c r="O1818" s="403" t="s">
        <v>7084</v>
      </c>
      <c r="P1818" s="403" t="s">
        <v>4770</v>
      </c>
      <c r="Q1818" s="403" t="s">
        <v>11214</v>
      </c>
      <c r="R1818" s="403" t="s">
        <v>20221</v>
      </c>
      <c r="S1818" s="403" t="s">
        <v>17240</v>
      </c>
      <c r="T1818" s="403" t="s">
        <v>17241</v>
      </c>
      <c r="U1818" s="403"/>
      <c r="V1818" s="403" t="s">
        <v>23024</v>
      </c>
      <c r="W1818" s="403" t="s">
        <v>23024</v>
      </c>
      <c r="X1818" s="403" t="s">
        <v>23024</v>
      </c>
      <c r="Y1818" s="403" t="s">
        <v>23024</v>
      </c>
    </row>
    <row r="1819" spans="1:25">
      <c r="A1819" s="363">
        <f t="shared" si="231"/>
        <v>1818</v>
      </c>
      <c r="B1819" s="363" t="str">
        <f t="shared" si="224"/>
        <v>44</v>
      </c>
      <c r="C1819" s="405" t="str">
        <f t="shared" si="225"/>
        <v>第014218号</v>
      </c>
      <c r="D1819" s="405" t="str">
        <f t="shared" si="226"/>
        <v>（株）保月電設工業</v>
      </c>
      <c r="E1819" s="405" t="str">
        <f t="shared" si="227"/>
        <v>代表取締役</v>
      </c>
      <c r="F1819" s="405" t="str">
        <f t="shared" si="228"/>
        <v>古園　晃嗣</v>
      </c>
      <c r="G1819" s="405" t="str">
        <f t="shared" si="229"/>
        <v>主たる営業所</v>
      </c>
      <c r="H1819" s="405" t="str">
        <f t="shared" si="230"/>
        <v>大分市日吉町８－１２</v>
      </c>
      <c r="L1819" s="403" t="s">
        <v>11553</v>
      </c>
      <c r="M1819" s="403" t="s">
        <v>11554</v>
      </c>
      <c r="N1819" s="403" t="s">
        <v>4771</v>
      </c>
      <c r="O1819" s="403" t="s">
        <v>7084</v>
      </c>
      <c r="P1819" s="403" t="s">
        <v>4772</v>
      </c>
      <c r="Q1819" s="403" t="s">
        <v>8776</v>
      </c>
      <c r="R1819" s="403" t="s">
        <v>20222</v>
      </c>
      <c r="S1819" s="403" t="s">
        <v>17242</v>
      </c>
      <c r="T1819" s="403">
        <v>0</v>
      </c>
      <c r="U1819" s="403"/>
      <c r="V1819" s="403" t="s">
        <v>23024</v>
      </c>
      <c r="W1819" s="403" t="s">
        <v>23024</v>
      </c>
      <c r="X1819" s="403" t="s">
        <v>23024</v>
      </c>
      <c r="Y1819" s="403" t="s">
        <v>23024</v>
      </c>
    </row>
    <row r="1820" spans="1:25">
      <c r="A1820" s="363">
        <f t="shared" si="231"/>
        <v>1819</v>
      </c>
      <c r="B1820" s="363" t="str">
        <f t="shared" si="224"/>
        <v>44</v>
      </c>
      <c r="C1820" s="405" t="str">
        <f t="shared" si="225"/>
        <v>第014219号</v>
      </c>
      <c r="D1820" s="405" t="str">
        <f t="shared" si="226"/>
        <v>（株）日隈電工</v>
      </c>
      <c r="E1820" s="405" t="str">
        <f t="shared" si="227"/>
        <v>代表取締役</v>
      </c>
      <c r="F1820" s="405" t="str">
        <f t="shared" si="228"/>
        <v>日隈　英二</v>
      </c>
      <c r="G1820" s="405" t="str">
        <f t="shared" si="229"/>
        <v>主たる営業所</v>
      </c>
      <c r="H1820" s="405" t="str">
        <f t="shared" si="230"/>
        <v>玖珠郡玖珠町大字大隈５４－８</v>
      </c>
      <c r="L1820" s="403" t="s">
        <v>11555</v>
      </c>
      <c r="M1820" s="403" t="s">
        <v>11556</v>
      </c>
      <c r="N1820" s="403" t="s">
        <v>4773</v>
      </c>
      <c r="O1820" s="403" t="s">
        <v>7084</v>
      </c>
      <c r="P1820" s="403" t="s">
        <v>4774</v>
      </c>
      <c r="Q1820" s="403" t="s">
        <v>7985</v>
      </c>
      <c r="R1820" s="403" t="s">
        <v>20223</v>
      </c>
      <c r="S1820" s="403" t="s">
        <v>17243</v>
      </c>
      <c r="T1820" s="403" t="s">
        <v>17244</v>
      </c>
      <c r="U1820" s="403"/>
      <c r="V1820" s="403" t="s">
        <v>23024</v>
      </c>
      <c r="W1820" s="403" t="s">
        <v>23024</v>
      </c>
      <c r="X1820" s="403" t="s">
        <v>23024</v>
      </c>
      <c r="Y1820" s="403" t="s">
        <v>23024</v>
      </c>
    </row>
    <row r="1821" spans="1:25">
      <c r="A1821" s="363">
        <f t="shared" si="231"/>
        <v>1820</v>
      </c>
      <c r="B1821" s="363" t="str">
        <f t="shared" si="224"/>
        <v>44</v>
      </c>
      <c r="C1821" s="405" t="str">
        <f t="shared" si="225"/>
        <v>第014220号</v>
      </c>
      <c r="D1821" s="405" t="str">
        <f t="shared" si="226"/>
        <v>（株）板井組</v>
      </c>
      <c r="E1821" s="405" t="str">
        <f t="shared" si="227"/>
        <v>代表取締役</v>
      </c>
      <c r="F1821" s="405" t="str">
        <f t="shared" si="228"/>
        <v>板井　浩三</v>
      </c>
      <c r="G1821" s="405" t="str">
        <f t="shared" si="229"/>
        <v>主たる営業所</v>
      </c>
      <c r="H1821" s="405" t="str">
        <f t="shared" si="230"/>
        <v>豊後大野市三重町赤嶺９２３</v>
      </c>
      <c r="L1821" s="403" t="s">
        <v>11557</v>
      </c>
      <c r="M1821" s="403" t="s">
        <v>11558</v>
      </c>
      <c r="N1821" s="403" t="s">
        <v>4775</v>
      </c>
      <c r="O1821" s="403" t="s">
        <v>7084</v>
      </c>
      <c r="P1821" s="403" t="s">
        <v>4776</v>
      </c>
      <c r="Q1821" s="403" t="s">
        <v>7879</v>
      </c>
      <c r="R1821" s="403" t="s">
        <v>5682</v>
      </c>
      <c r="S1821" s="403" t="s">
        <v>17245</v>
      </c>
      <c r="T1821" s="403" t="s">
        <v>17246</v>
      </c>
      <c r="U1821" s="403"/>
      <c r="V1821" s="403" t="s">
        <v>23024</v>
      </c>
      <c r="W1821" s="403" t="s">
        <v>23024</v>
      </c>
      <c r="X1821" s="403" t="s">
        <v>23024</v>
      </c>
      <c r="Y1821" s="403" t="s">
        <v>23024</v>
      </c>
    </row>
    <row r="1822" spans="1:25">
      <c r="A1822" s="363">
        <f t="shared" si="231"/>
        <v>1821</v>
      </c>
      <c r="B1822" s="363" t="str">
        <f t="shared" si="224"/>
        <v>44</v>
      </c>
      <c r="C1822" s="405" t="str">
        <f t="shared" si="225"/>
        <v>第014223号</v>
      </c>
      <c r="D1822" s="405" t="str">
        <f t="shared" si="226"/>
        <v>前田興業（株）</v>
      </c>
      <c r="E1822" s="405" t="str">
        <f t="shared" si="227"/>
        <v>代表取締役</v>
      </c>
      <c r="F1822" s="405" t="str">
        <f t="shared" si="228"/>
        <v>前田　長久</v>
      </c>
      <c r="G1822" s="405" t="str">
        <f t="shared" si="229"/>
        <v>主たる営業所</v>
      </c>
      <c r="H1822" s="405" t="str">
        <f t="shared" si="230"/>
        <v>日田市中本町７５３－３</v>
      </c>
      <c r="L1822" s="403" t="s">
        <v>11559</v>
      </c>
      <c r="M1822" s="403" t="s">
        <v>11560</v>
      </c>
      <c r="N1822" s="403" t="s">
        <v>4777</v>
      </c>
      <c r="O1822" s="403" t="s">
        <v>7084</v>
      </c>
      <c r="P1822" s="403" t="s">
        <v>4778</v>
      </c>
      <c r="Q1822" s="403" t="s">
        <v>10808</v>
      </c>
      <c r="R1822" s="403" t="s">
        <v>20224</v>
      </c>
      <c r="S1822" s="403" t="s">
        <v>17247</v>
      </c>
      <c r="T1822" s="403" t="s">
        <v>17248</v>
      </c>
      <c r="U1822" s="403"/>
      <c r="V1822" s="403" t="s">
        <v>23024</v>
      </c>
      <c r="W1822" s="403" t="s">
        <v>23024</v>
      </c>
      <c r="X1822" s="403" t="s">
        <v>23024</v>
      </c>
      <c r="Y1822" s="403" t="s">
        <v>23024</v>
      </c>
    </row>
    <row r="1823" spans="1:25">
      <c r="A1823" s="363">
        <f t="shared" si="231"/>
        <v>1822</v>
      </c>
      <c r="B1823" s="363" t="str">
        <f t="shared" si="224"/>
        <v>44</v>
      </c>
      <c r="C1823" s="405" t="str">
        <f t="shared" si="225"/>
        <v>第014224号</v>
      </c>
      <c r="D1823" s="405" t="str">
        <f t="shared" si="226"/>
        <v>（株）ＳＫＹ電設</v>
      </c>
      <c r="E1823" s="405" t="str">
        <f t="shared" si="227"/>
        <v>代表取締役</v>
      </c>
      <c r="F1823" s="405" t="str">
        <f t="shared" si="228"/>
        <v>八坂　憲一</v>
      </c>
      <c r="G1823" s="405" t="str">
        <f t="shared" si="229"/>
        <v>主たる営業所</v>
      </c>
      <c r="H1823" s="405" t="str">
        <f t="shared" si="230"/>
        <v>別府市野口元町１２－３５</v>
      </c>
      <c r="L1823" s="403" t="s">
        <v>11561</v>
      </c>
      <c r="M1823" s="403" t="s">
        <v>11562</v>
      </c>
      <c r="N1823" s="403" t="s">
        <v>4779</v>
      </c>
      <c r="O1823" s="403" t="s">
        <v>7084</v>
      </c>
      <c r="P1823" s="403" t="s">
        <v>4780</v>
      </c>
      <c r="Q1823" s="403" t="s">
        <v>8411</v>
      </c>
      <c r="R1823" s="403" t="s">
        <v>20225</v>
      </c>
      <c r="S1823" s="403" t="s">
        <v>17249</v>
      </c>
      <c r="T1823" s="403" t="s">
        <v>17250</v>
      </c>
      <c r="U1823" s="403"/>
      <c r="V1823" s="403" t="s">
        <v>23024</v>
      </c>
      <c r="W1823" s="403" t="s">
        <v>23024</v>
      </c>
      <c r="X1823" s="403" t="s">
        <v>23024</v>
      </c>
      <c r="Y1823" s="403" t="s">
        <v>23024</v>
      </c>
    </row>
    <row r="1824" spans="1:25">
      <c r="A1824" s="363">
        <f t="shared" si="231"/>
        <v>1823</v>
      </c>
      <c r="B1824" s="363" t="str">
        <f t="shared" si="224"/>
        <v>44</v>
      </c>
      <c r="C1824" s="405" t="str">
        <f t="shared" si="225"/>
        <v>第014243号</v>
      </c>
      <c r="D1824" s="405" t="str">
        <f t="shared" si="226"/>
        <v>（株）ミヨシ電設</v>
      </c>
      <c r="E1824" s="405" t="str">
        <f t="shared" si="227"/>
        <v>代表取締役</v>
      </c>
      <c r="F1824" s="405" t="str">
        <f t="shared" si="228"/>
        <v>三好　伸宏</v>
      </c>
      <c r="G1824" s="405" t="str">
        <f t="shared" si="229"/>
        <v>主たる営業所</v>
      </c>
      <c r="H1824" s="405" t="str">
        <f t="shared" si="230"/>
        <v>中津市大字大悟法７４７－６</v>
      </c>
      <c r="L1824" s="403" t="s">
        <v>11563</v>
      </c>
      <c r="M1824" s="403" t="s">
        <v>11564</v>
      </c>
      <c r="N1824" s="403" t="s">
        <v>4781</v>
      </c>
      <c r="O1824" s="403" t="s">
        <v>7084</v>
      </c>
      <c r="P1824" s="403" t="s">
        <v>4782</v>
      </c>
      <c r="Q1824" s="403" t="s">
        <v>9629</v>
      </c>
      <c r="R1824" s="403" t="s">
        <v>20226</v>
      </c>
      <c r="S1824" s="403" t="s">
        <v>17251</v>
      </c>
      <c r="T1824" s="403" t="s">
        <v>17252</v>
      </c>
      <c r="U1824" s="403"/>
      <c r="V1824" s="403" t="s">
        <v>23024</v>
      </c>
      <c r="W1824" s="403" t="s">
        <v>23024</v>
      </c>
      <c r="X1824" s="403" t="s">
        <v>23024</v>
      </c>
      <c r="Y1824" s="403" t="s">
        <v>23024</v>
      </c>
    </row>
    <row r="1825" spans="1:25">
      <c r="A1825" s="363">
        <f t="shared" si="231"/>
        <v>1824</v>
      </c>
      <c r="B1825" s="363" t="str">
        <f t="shared" si="224"/>
        <v>44</v>
      </c>
      <c r="C1825" s="405" t="str">
        <f t="shared" si="225"/>
        <v>第014244号</v>
      </c>
      <c r="D1825" s="405" t="str">
        <f t="shared" si="226"/>
        <v>勇真建設工業（株）</v>
      </c>
      <c r="E1825" s="405" t="str">
        <f t="shared" si="227"/>
        <v>代表取締役</v>
      </c>
      <c r="F1825" s="405" t="str">
        <f t="shared" si="228"/>
        <v>稲吉　真二</v>
      </c>
      <c r="G1825" s="405" t="str">
        <f t="shared" si="229"/>
        <v>主たる営業所</v>
      </c>
      <c r="H1825" s="405" t="str">
        <f t="shared" si="230"/>
        <v>杵築市大字南杵築２３２７－１</v>
      </c>
      <c r="L1825" s="403" t="s">
        <v>11565</v>
      </c>
      <c r="M1825" s="403" t="s">
        <v>11566</v>
      </c>
      <c r="N1825" s="403" t="s">
        <v>4783</v>
      </c>
      <c r="O1825" s="403" t="s">
        <v>7084</v>
      </c>
      <c r="P1825" s="403" t="s">
        <v>4784</v>
      </c>
      <c r="Q1825" s="403" t="s">
        <v>7593</v>
      </c>
      <c r="R1825" s="403" t="s">
        <v>20227</v>
      </c>
      <c r="S1825" s="403" t="s">
        <v>17253</v>
      </c>
      <c r="T1825" s="403" t="s">
        <v>17254</v>
      </c>
      <c r="U1825" s="403"/>
      <c r="V1825" s="403" t="s">
        <v>23024</v>
      </c>
      <c r="W1825" s="403" t="s">
        <v>23024</v>
      </c>
      <c r="X1825" s="403" t="s">
        <v>23024</v>
      </c>
      <c r="Y1825" s="403" t="s">
        <v>23024</v>
      </c>
    </row>
    <row r="1826" spans="1:25">
      <c r="A1826" s="363">
        <f t="shared" si="231"/>
        <v>1825</v>
      </c>
      <c r="B1826" s="363" t="str">
        <f t="shared" si="224"/>
        <v>44</v>
      </c>
      <c r="C1826" s="405" t="str">
        <f t="shared" si="225"/>
        <v>第014245号</v>
      </c>
      <c r="D1826" s="405" t="str">
        <f t="shared" si="226"/>
        <v>翼工業（株）</v>
      </c>
      <c r="E1826" s="405" t="str">
        <f t="shared" si="227"/>
        <v>代表取締役</v>
      </c>
      <c r="F1826" s="405" t="str">
        <f t="shared" si="228"/>
        <v>原田　光市</v>
      </c>
      <c r="G1826" s="405" t="str">
        <f t="shared" si="229"/>
        <v>主たる営業所</v>
      </c>
      <c r="H1826" s="405" t="str">
        <f t="shared" si="230"/>
        <v>中津市豊田町１－１１</v>
      </c>
      <c r="L1826" s="403" t="s">
        <v>11567</v>
      </c>
      <c r="M1826" s="403" t="s">
        <v>11568</v>
      </c>
      <c r="N1826" s="403" t="s">
        <v>4785</v>
      </c>
      <c r="O1826" s="403" t="s">
        <v>7084</v>
      </c>
      <c r="P1826" s="403" t="s">
        <v>4786</v>
      </c>
      <c r="Q1826" s="403" t="s">
        <v>9478</v>
      </c>
      <c r="R1826" s="403" t="s">
        <v>20029</v>
      </c>
      <c r="S1826" s="403" t="s">
        <v>17255</v>
      </c>
      <c r="T1826" s="403" t="s">
        <v>17256</v>
      </c>
      <c r="U1826" s="403"/>
      <c r="V1826" s="403" t="s">
        <v>23024</v>
      </c>
      <c r="W1826" s="403" t="s">
        <v>23024</v>
      </c>
      <c r="X1826" s="403" t="s">
        <v>23024</v>
      </c>
      <c r="Y1826" s="403" t="s">
        <v>23024</v>
      </c>
    </row>
    <row r="1827" spans="1:25">
      <c r="A1827" s="363">
        <f t="shared" si="231"/>
        <v>1826</v>
      </c>
      <c r="B1827" s="363" t="str">
        <f t="shared" si="224"/>
        <v>44</v>
      </c>
      <c r="C1827" s="405" t="str">
        <f t="shared" si="225"/>
        <v>第014252号</v>
      </c>
      <c r="D1827" s="405" t="str">
        <f t="shared" si="226"/>
        <v>ＳＯＵＤＡＩトップ（株）</v>
      </c>
      <c r="E1827" s="405" t="str">
        <f t="shared" si="227"/>
        <v>代表取締役</v>
      </c>
      <c r="F1827" s="405" t="str">
        <f t="shared" si="228"/>
        <v>秦野　太輔</v>
      </c>
      <c r="G1827" s="405" t="str">
        <f t="shared" si="229"/>
        <v>主たる営業所</v>
      </c>
      <c r="H1827" s="405" t="str">
        <f t="shared" si="230"/>
        <v>大分市今津留１－１－１７</v>
      </c>
      <c r="L1827" s="403" t="s">
        <v>11569</v>
      </c>
      <c r="M1827" s="403" t="s">
        <v>11570</v>
      </c>
      <c r="N1827" s="403" t="s">
        <v>4787</v>
      </c>
      <c r="O1827" s="403" t="s">
        <v>7084</v>
      </c>
      <c r="P1827" s="403" t="s">
        <v>4788</v>
      </c>
      <c r="Q1827" s="403" t="s">
        <v>11571</v>
      </c>
      <c r="R1827" s="403" t="s">
        <v>20228</v>
      </c>
      <c r="S1827" s="403" t="s">
        <v>17257</v>
      </c>
      <c r="T1827" s="403" t="s">
        <v>17258</v>
      </c>
      <c r="U1827" s="403"/>
      <c r="V1827" s="403" t="s">
        <v>23024</v>
      </c>
      <c r="W1827" s="403" t="s">
        <v>23024</v>
      </c>
      <c r="X1827" s="403" t="s">
        <v>23024</v>
      </c>
      <c r="Y1827" s="403" t="s">
        <v>23024</v>
      </c>
    </row>
    <row r="1828" spans="1:25">
      <c r="A1828" s="363">
        <f t="shared" si="231"/>
        <v>1827</v>
      </c>
      <c r="B1828" s="363" t="str">
        <f t="shared" si="224"/>
        <v>44</v>
      </c>
      <c r="C1828" s="405" t="str">
        <f t="shared" si="225"/>
        <v>第014255号</v>
      </c>
      <c r="D1828" s="405" t="str">
        <f t="shared" si="226"/>
        <v>武田電気（株）</v>
      </c>
      <c r="E1828" s="405" t="str">
        <f t="shared" si="227"/>
        <v>代表取締役</v>
      </c>
      <c r="F1828" s="405" t="str">
        <f t="shared" si="228"/>
        <v>武田　孝一</v>
      </c>
      <c r="G1828" s="405" t="str">
        <f t="shared" si="229"/>
        <v>主たる営業所</v>
      </c>
      <c r="H1828" s="405" t="str">
        <f t="shared" si="230"/>
        <v>佐伯市直川大字横川５３６</v>
      </c>
      <c r="L1828" s="404" t="s">
        <v>11572</v>
      </c>
      <c r="M1828" s="404" t="s">
        <v>11573</v>
      </c>
      <c r="N1828" s="404" t="s">
        <v>4789</v>
      </c>
      <c r="O1828" s="404" t="s">
        <v>7084</v>
      </c>
      <c r="P1828" s="404" t="s">
        <v>4790</v>
      </c>
      <c r="Q1828" s="404" t="s">
        <v>11574</v>
      </c>
      <c r="R1828" s="404" t="s">
        <v>5683</v>
      </c>
      <c r="S1828" s="404" t="s">
        <v>17259</v>
      </c>
      <c r="T1828" s="404" t="s">
        <v>17259</v>
      </c>
      <c r="U1828" s="404"/>
      <c r="V1828" s="404" t="s">
        <v>23024</v>
      </c>
      <c r="W1828" s="404" t="s">
        <v>23024</v>
      </c>
      <c r="X1828" s="404" t="s">
        <v>23024</v>
      </c>
      <c r="Y1828" s="404" t="s">
        <v>23024</v>
      </c>
    </row>
    <row r="1829" spans="1:25">
      <c r="A1829" s="363">
        <f t="shared" si="231"/>
        <v>1828</v>
      </c>
      <c r="B1829" s="363" t="str">
        <f t="shared" si="224"/>
        <v>44</v>
      </c>
      <c r="C1829" s="405" t="str">
        <f t="shared" si="225"/>
        <v>第014257号</v>
      </c>
      <c r="D1829" s="405" t="str">
        <f t="shared" si="226"/>
        <v>（株）蒼新</v>
      </c>
      <c r="E1829" s="405" t="str">
        <f t="shared" si="227"/>
        <v>代表取締役</v>
      </c>
      <c r="F1829" s="405" t="str">
        <f t="shared" si="228"/>
        <v>三ヶ尻　治明</v>
      </c>
      <c r="G1829" s="405" t="str">
        <f t="shared" si="229"/>
        <v>主たる営業所</v>
      </c>
      <c r="H1829" s="405" t="str">
        <f t="shared" si="230"/>
        <v>宇佐市大字住江２２５－２</v>
      </c>
      <c r="L1829" s="402" t="s">
        <v>20229</v>
      </c>
      <c r="M1829" s="402" t="s">
        <v>20230</v>
      </c>
      <c r="N1829" s="402" t="s">
        <v>20231</v>
      </c>
      <c r="O1829" s="402" t="s">
        <v>7084</v>
      </c>
      <c r="P1829" s="402" t="s">
        <v>20232</v>
      </c>
      <c r="Q1829" s="402" t="s">
        <v>10389</v>
      </c>
      <c r="R1829" s="402" t="s">
        <v>20233</v>
      </c>
      <c r="S1829" s="402" t="s">
        <v>20234</v>
      </c>
      <c r="T1829" s="402" t="s">
        <v>20235</v>
      </c>
      <c r="U1829" s="402"/>
      <c r="V1829" s="402" t="s">
        <v>23024</v>
      </c>
      <c r="W1829" s="402" t="s">
        <v>23024</v>
      </c>
      <c r="X1829" s="402" t="s">
        <v>23024</v>
      </c>
      <c r="Y1829" s="402" t="s">
        <v>23024</v>
      </c>
    </row>
    <row r="1830" spans="1:25">
      <c r="A1830" s="363">
        <f t="shared" si="231"/>
        <v>1829</v>
      </c>
      <c r="B1830" s="363" t="str">
        <f t="shared" si="224"/>
        <v>44</v>
      </c>
      <c r="C1830" s="405" t="str">
        <f t="shared" si="225"/>
        <v>第014267号</v>
      </c>
      <c r="D1830" s="405" t="str">
        <f t="shared" si="226"/>
        <v>かわせみ土木（株）</v>
      </c>
      <c r="E1830" s="405" t="str">
        <f t="shared" si="227"/>
        <v>代表取締役</v>
      </c>
      <c r="F1830" s="405" t="str">
        <f t="shared" si="228"/>
        <v>柴田　滿春</v>
      </c>
      <c r="G1830" s="405" t="str">
        <f t="shared" si="229"/>
        <v>主たる営業所</v>
      </c>
      <c r="H1830" s="405" t="str">
        <f t="shared" si="230"/>
        <v>佐伯市本匠大字三股７３０－３</v>
      </c>
      <c r="L1830" s="403" t="s">
        <v>11575</v>
      </c>
      <c r="M1830" s="403" t="s">
        <v>11576</v>
      </c>
      <c r="N1830" s="403" t="s">
        <v>4791</v>
      </c>
      <c r="O1830" s="403" t="s">
        <v>7084</v>
      </c>
      <c r="P1830" s="403" t="s">
        <v>4792</v>
      </c>
      <c r="Q1830" s="403" t="s">
        <v>11577</v>
      </c>
      <c r="R1830" s="403" t="s">
        <v>20236</v>
      </c>
      <c r="S1830" s="403" t="s">
        <v>17260</v>
      </c>
      <c r="T1830" s="403" t="s">
        <v>17260</v>
      </c>
      <c r="U1830" s="403"/>
      <c r="V1830" s="403" t="s">
        <v>23024</v>
      </c>
      <c r="W1830" s="403" t="s">
        <v>23024</v>
      </c>
      <c r="X1830" s="403" t="s">
        <v>23024</v>
      </c>
      <c r="Y1830" s="403" t="s">
        <v>23024</v>
      </c>
    </row>
    <row r="1831" spans="1:25">
      <c r="A1831" s="363">
        <f t="shared" si="231"/>
        <v>1830</v>
      </c>
      <c r="B1831" s="363" t="str">
        <f t="shared" si="224"/>
        <v>44</v>
      </c>
      <c r="C1831" s="405" t="str">
        <f t="shared" si="225"/>
        <v>第014273号</v>
      </c>
      <c r="D1831" s="405" t="str">
        <f t="shared" si="226"/>
        <v>（株）ｉ－ｓｔｅｐ</v>
      </c>
      <c r="E1831" s="405" t="str">
        <f t="shared" si="227"/>
        <v>代表取締役</v>
      </c>
      <c r="F1831" s="405" t="str">
        <f t="shared" si="228"/>
        <v>古谷　充</v>
      </c>
      <c r="G1831" s="405" t="str">
        <f t="shared" si="229"/>
        <v>主たる営業所</v>
      </c>
      <c r="H1831" s="405" t="str">
        <f t="shared" si="230"/>
        <v>津久見市宮本町１－１２</v>
      </c>
      <c r="L1831" s="403" t="s">
        <v>11578</v>
      </c>
      <c r="M1831" s="403" t="s">
        <v>11579</v>
      </c>
      <c r="N1831" s="403" t="s">
        <v>20237</v>
      </c>
      <c r="O1831" s="403" t="s">
        <v>7084</v>
      </c>
      <c r="P1831" s="403" t="s">
        <v>4793</v>
      </c>
      <c r="Q1831" s="403" t="s">
        <v>7800</v>
      </c>
      <c r="R1831" s="403" t="s">
        <v>20238</v>
      </c>
      <c r="S1831" s="403" t="s">
        <v>17261</v>
      </c>
      <c r="T1831" s="403" t="s">
        <v>17262</v>
      </c>
      <c r="U1831" s="403"/>
      <c r="V1831" s="403" t="s">
        <v>23024</v>
      </c>
      <c r="W1831" s="403" t="s">
        <v>23024</v>
      </c>
      <c r="X1831" s="403" t="s">
        <v>23024</v>
      </c>
      <c r="Y1831" s="403" t="s">
        <v>23024</v>
      </c>
    </row>
    <row r="1832" spans="1:25">
      <c r="A1832" s="363">
        <f t="shared" si="231"/>
        <v>1831</v>
      </c>
      <c r="B1832" s="363" t="str">
        <f t="shared" si="224"/>
        <v>44</v>
      </c>
      <c r="C1832" s="405" t="str">
        <f t="shared" si="225"/>
        <v>第014274号</v>
      </c>
      <c r="D1832" s="405" t="str">
        <f t="shared" si="226"/>
        <v>（株）星野建設工業</v>
      </c>
      <c r="E1832" s="405" t="str">
        <f t="shared" si="227"/>
        <v>代表取締役</v>
      </c>
      <c r="F1832" s="405" t="str">
        <f t="shared" si="228"/>
        <v>星野　涼</v>
      </c>
      <c r="G1832" s="405" t="str">
        <f t="shared" si="229"/>
        <v>主たる営業所</v>
      </c>
      <c r="H1832" s="405" t="str">
        <f t="shared" si="230"/>
        <v>大分市田中町１－３－１０</v>
      </c>
      <c r="L1832" s="403" t="s">
        <v>11580</v>
      </c>
      <c r="M1832" s="403" t="s">
        <v>11581</v>
      </c>
      <c r="N1832" s="403" t="s">
        <v>4794</v>
      </c>
      <c r="O1832" s="403" t="s">
        <v>7084</v>
      </c>
      <c r="P1832" s="403" t="s">
        <v>4795</v>
      </c>
      <c r="Q1832" s="403" t="s">
        <v>9745</v>
      </c>
      <c r="R1832" s="403" t="s">
        <v>20239</v>
      </c>
      <c r="S1832" s="403" t="s">
        <v>17263</v>
      </c>
      <c r="T1832" s="403" t="s">
        <v>17264</v>
      </c>
      <c r="U1832" s="403"/>
      <c r="V1832" s="403" t="s">
        <v>23024</v>
      </c>
      <c r="W1832" s="403" t="s">
        <v>23024</v>
      </c>
      <c r="X1832" s="403" t="s">
        <v>23024</v>
      </c>
      <c r="Y1832" s="403" t="s">
        <v>23024</v>
      </c>
    </row>
    <row r="1833" spans="1:25">
      <c r="A1833" s="363">
        <f t="shared" si="231"/>
        <v>1832</v>
      </c>
      <c r="B1833" s="363" t="str">
        <f t="shared" si="224"/>
        <v>44</v>
      </c>
      <c r="C1833" s="405" t="str">
        <f t="shared" si="225"/>
        <v>第014285号</v>
      </c>
      <c r="D1833" s="405" t="str">
        <f t="shared" si="226"/>
        <v>（有）龍成工業</v>
      </c>
      <c r="E1833" s="405" t="str">
        <f t="shared" si="227"/>
        <v>代表取締役</v>
      </c>
      <c r="F1833" s="405" t="str">
        <f t="shared" si="228"/>
        <v>後藤　聡</v>
      </c>
      <c r="G1833" s="405" t="str">
        <f t="shared" si="229"/>
        <v>主たる営業所</v>
      </c>
      <c r="H1833" s="405" t="str">
        <f t="shared" si="230"/>
        <v>大分市大字上判田５４８７－２２</v>
      </c>
      <c r="L1833" s="403" t="s">
        <v>11582</v>
      </c>
      <c r="M1833" s="403" t="s">
        <v>11583</v>
      </c>
      <c r="N1833" s="403" t="s">
        <v>4796</v>
      </c>
      <c r="O1833" s="403" t="s">
        <v>7084</v>
      </c>
      <c r="P1833" s="403" t="s">
        <v>4797</v>
      </c>
      <c r="Q1833" s="403" t="s">
        <v>11584</v>
      </c>
      <c r="R1833" s="403" t="s">
        <v>20240</v>
      </c>
      <c r="S1833" s="403" t="s">
        <v>17265</v>
      </c>
      <c r="T1833" s="403" t="s">
        <v>17266</v>
      </c>
      <c r="U1833" s="403"/>
      <c r="V1833" s="403" t="s">
        <v>23024</v>
      </c>
      <c r="W1833" s="403" t="s">
        <v>23024</v>
      </c>
      <c r="X1833" s="403" t="s">
        <v>23024</v>
      </c>
      <c r="Y1833" s="403" t="s">
        <v>23024</v>
      </c>
    </row>
    <row r="1834" spans="1:25">
      <c r="A1834" s="363">
        <f t="shared" si="231"/>
        <v>1833</v>
      </c>
      <c r="B1834" s="363" t="str">
        <f t="shared" si="224"/>
        <v>44</v>
      </c>
      <c r="C1834" s="405" t="str">
        <f t="shared" si="225"/>
        <v>第014292号</v>
      </c>
      <c r="D1834" s="405" t="str">
        <f t="shared" si="226"/>
        <v>（株）太虎</v>
      </c>
      <c r="E1834" s="405" t="str">
        <f t="shared" si="227"/>
        <v>代表取締役</v>
      </c>
      <c r="F1834" s="405" t="str">
        <f t="shared" si="228"/>
        <v>田原　宗一</v>
      </c>
      <c r="G1834" s="405" t="str">
        <f t="shared" si="229"/>
        <v>主たる営業所</v>
      </c>
      <c r="H1834" s="405" t="str">
        <f t="shared" si="230"/>
        <v>宇佐市大字江須賀８１３</v>
      </c>
      <c r="L1834" s="403" t="s">
        <v>11585</v>
      </c>
      <c r="M1834" s="403" t="s">
        <v>11586</v>
      </c>
      <c r="N1834" s="403" t="s">
        <v>4798</v>
      </c>
      <c r="O1834" s="403" t="s">
        <v>7084</v>
      </c>
      <c r="P1834" s="403" t="s">
        <v>4799</v>
      </c>
      <c r="Q1834" s="403" t="s">
        <v>8133</v>
      </c>
      <c r="R1834" s="403" t="s">
        <v>5684</v>
      </c>
      <c r="S1834" s="403" t="s">
        <v>17267</v>
      </c>
      <c r="T1834" s="403" t="s">
        <v>17267</v>
      </c>
      <c r="U1834" s="403"/>
      <c r="V1834" s="403" t="s">
        <v>23024</v>
      </c>
      <c r="W1834" s="403" t="s">
        <v>23024</v>
      </c>
      <c r="X1834" s="403" t="s">
        <v>23024</v>
      </c>
      <c r="Y1834" s="403" t="s">
        <v>23024</v>
      </c>
    </row>
    <row r="1835" spans="1:25">
      <c r="A1835" s="363">
        <f t="shared" si="231"/>
        <v>1834</v>
      </c>
      <c r="B1835" s="363" t="str">
        <f t="shared" si="224"/>
        <v>44</v>
      </c>
      <c r="C1835" s="405" t="str">
        <f t="shared" si="225"/>
        <v>第014297号</v>
      </c>
      <c r="D1835" s="405" t="str">
        <f t="shared" si="226"/>
        <v>ＥＭＡ総合エンジニアリング（株）</v>
      </c>
      <c r="E1835" s="405" t="str">
        <f t="shared" si="227"/>
        <v>代表取締役</v>
      </c>
      <c r="F1835" s="405" t="str">
        <f t="shared" si="228"/>
        <v>石田　光太朗</v>
      </c>
      <c r="G1835" s="405" t="str">
        <f t="shared" si="229"/>
        <v>主たる営業所</v>
      </c>
      <c r="H1835" s="405" t="str">
        <f t="shared" si="230"/>
        <v>大分市大津町１－２３－１</v>
      </c>
      <c r="L1835" s="403" t="s">
        <v>20241</v>
      </c>
      <c r="M1835" s="403" t="s">
        <v>20242</v>
      </c>
      <c r="N1835" s="403" t="s">
        <v>20243</v>
      </c>
      <c r="O1835" s="403" t="s">
        <v>7084</v>
      </c>
      <c r="P1835" s="403" t="s">
        <v>20244</v>
      </c>
      <c r="Q1835" s="403" t="s">
        <v>11046</v>
      </c>
      <c r="R1835" s="403" t="s">
        <v>20245</v>
      </c>
      <c r="S1835" s="403" t="s">
        <v>20246</v>
      </c>
      <c r="T1835" s="403" t="s">
        <v>20247</v>
      </c>
      <c r="U1835" s="403"/>
      <c r="V1835" s="403" t="s">
        <v>23024</v>
      </c>
      <c r="W1835" s="403" t="s">
        <v>23024</v>
      </c>
      <c r="X1835" s="403" t="s">
        <v>23024</v>
      </c>
      <c r="Y1835" s="403" t="s">
        <v>23024</v>
      </c>
    </row>
    <row r="1836" spans="1:25">
      <c r="A1836" s="363">
        <f t="shared" si="231"/>
        <v>1835</v>
      </c>
      <c r="B1836" s="363" t="str">
        <f t="shared" si="224"/>
        <v>44</v>
      </c>
      <c r="C1836" s="405" t="str">
        <f t="shared" si="225"/>
        <v>第014304号</v>
      </c>
      <c r="D1836" s="405" t="str">
        <f t="shared" si="226"/>
        <v>（株）ウエダ</v>
      </c>
      <c r="E1836" s="405" t="str">
        <f t="shared" si="227"/>
        <v>代表取締役</v>
      </c>
      <c r="F1836" s="405" t="str">
        <f t="shared" si="228"/>
        <v>植田　浩将</v>
      </c>
      <c r="G1836" s="405" t="str">
        <f t="shared" si="229"/>
        <v>主たる営業所</v>
      </c>
      <c r="H1836" s="405" t="str">
        <f t="shared" si="230"/>
        <v>佐伯市大手町３－２－２６</v>
      </c>
      <c r="L1836" s="403" t="s">
        <v>11587</v>
      </c>
      <c r="M1836" s="403" t="s">
        <v>11588</v>
      </c>
      <c r="N1836" s="403" t="s">
        <v>4800</v>
      </c>
      <c r="O1836" s="403" t="s">
        <v>7084</v>
      </c>
      <c r="P1836" s="403" t="s">
        <v>4801</v>
      </c>
      <c r="Q1836" s="403" t="s">
        <v>11589</v>
      </c>
      <c r="R1836" s="403" t="s">
        <v>20248</v>
      </c>
      <c r="S1836" s="403" t="s">
        <v>17268</v>
      </c>
      <c r="T1836" s="403" t="s">
        <v>17269</v>
      </c>
      <c r="U1836" s="403"/>
      <c r="V1836" s="403" t="s">
        <v>23024</v>
      </c>
      <c r="W1836" s="403" t="s">
        <v>23024</v>
      </c>
      <c r="X1836" s="403" t="s">
        <v>23024</v>
      </c>
      <c r="Y1836" s="403" t="s">
        <v>23024</v>
      </c>
    </row>
    <row r="1837" spans="1:25">
      <c r="A1837" s="363">
        <f t="shared" si="231"/>
        <v>1836</v>
      </c>
      <c r="B1837" s="363" t="str">
        <f t="shared" si="224"/>
        <v>44</v>
      </c>
      <c r="C1837" s="405" t="str">
        <f t="shared" si="225"/>
        <v>第014305号</v>
      </c>
      <c r="D1837" s="405" t="str">
        <f t="shared" si="226"/>
        <v>（株）エム・ケーライン</v>
      </c>
      <c r="E1837" s="405" t="str">
        <f t="shared" si="227"/>
        <v>代表取締役</v>
      </c>
      <c r="F1837" s="405" t="str">
        <f t="shared" si="228"/>
        <v>軸丸　一夫</v>
      </c>
      <c r="G1837" s="405" t="str">
        <f t="shared" si="229"/>
        <v>主たる営業所</v>
      </c>
      <c r="H1837" s="405" t="str">
        <f t="shared" si="230"/>
        <v>大分市森町西２－１－２</v>
      </c>
      <c r="L1837" s="403" t="s">
        <v>11590</v>
      </c>
      <c r="M1837" s="403" t="s">
        <v>11591</v>
      </c>
      <c r="N1837" s="403" t="s">
        <v>4802</v>
      </c>
      <c r="O1837" s="403" t="s">
        <v>7084</v>
      </c>
      <c r="P1837" s="403" t="s">
        <v>4803</v>
      </c>
      <c r="Q1837" s="403" t="s">
        <v>8306</v>
      </c>
      <c r="R1837" s="403" t="s">
        <v>20249</v>
      </c>
      <c r="S1837" s="403" t="s">
        <v>17270</v>
      </c>
      <c r="T1837" s="403" t="s">
        <v>17271</v>
      </c>
      <c r="U1837" s="403"/>
      <c r="V1837" s="403" t="s">
        <v>23024</v>
      </c>
      <c r="W1837" s="403" t="s">
        <v>23024</v>
      </c>
      <c r="X1837" s="403" t="s">
        <v>23024</v>
      </c>
      <c r="Y1837" s="403" t="s">
        <v>23024</v>
      </c>
    </row>
    <row r="1838" spans="1:25">
      <c r="A1838" s="363">
        <f t="shared" si="231"/>
        <v>1837</v>
      </c>
      <c r="B1838" s="363" t="str">
        <f t="shared" si="224"/>
        <v>44</v>
      </c>
      <c r="C1838" s="405" t="str">
        <f t="shared" si="225"/>
        <v>第014307号</v>
      </c>
      <c r="D1838" s="405" t="str">
        <f t="shared" si="226"/>
        <v>（株）ケンセイ工業</v>
      </c>
      <c r="E1838" s="405" t="str">
        <f t="shared" si="227"/>
        <v>代表取締役</v>
      </c>
      <c r="F1838" s="405" t="str">
        <f t="shared" si="228"/>
        <v>長谷川　健治</v>
      </c>
      <c r="G1838" s="405" t="str">
        <f t="shared" si="229"/>
        <v>主たる営業所</v>
      </c>
      <c r="H1838" s="405" t="str">
        <f t="shared" si="230"/>
        <v>大分市高松東３－４－５</v>
      </c>
      <c r="L1838" s="403" t="s">
        <v>20250</v>
      </c>
      <c r="M1838" s="403" t="s">
        <v>20251</v>
      </c>
      <c r="N1838" s="403" t="s">
        <v>20252</v>
      </c>
      <c r="O1838" s="403" t="s">
        <v>7084</v>
      </c>
      <c r="P1838" s="403" t="s">
        <v>20253</v>
      </c>
      <c r="Q1838" s="403" t="s">
        <v>10298</v>
      </c>
      <c r="R1838" s="403" t="s">
        <v>20254</v>
      </c>
      <c r="S1838" s="403" t="s">
        <v>20255</v>
      </c>
      <c r="T1838" s="403" t="s">
        <v>20255</v>
      </c>
      <c r="U1838" s="403"/>
      <c r="V1838" s="403" t="s">
        <v>23024</v>
      </c>
      <c r="W1838" s="403" t="s">
        <v>23024</v>
      </c>
      <c r="X1838" s="403" t="s">
        <v>23024</v>
      </c>
      <c r="Y1838" s="403" t="s">
        <v>23024</v>
      </c>
    </row>
    <row r="1839" spans="1:25">
      <c r="A1839" s="363">
        <f t="shared" si="231"/>
        <v>1838</v>
      </c>
      <c r="B1839" s="363" t="str">
        <f t="shared" si="224"/>
        <v>44</v>
      </c>
      <c r="C1839" s="405" t="str">
        <f t="shared" si="225"/>
        <v>第014319号</v>
      </c>
      <c r="D1839" s="405" t="str">
        <f t="shared" si="226"/>
        <v>西日本土木（株）</v>
      </c>
      <c r="E1839" s="405" t="str">
        <f t="shared" si="227"/>
        <v>代表取締役</v>
      </c>
      <c r="F1839" s="405" t="str">
        <f t="shared" si="228"/>
        <v>隈田　英樹</v>
      </c>
      <c r="G1839" s="405" t="str">
        <f t="shared" si="229"/>
        <v>主たる営業所</v>
      </c>
      <c r="H1839" s="405" t="str">
        <f t="shared" si="230"/>
        <v>豊後高田市新地１０７１</v>
      </c>
      <c r="L1839" s="403" t="s">
        <v>11592</v>
      </c>
      <c r="M1839" s="403" t="s">
        <v>11593</v>
      </c>
      <c r="N1839" s="403" t="s">
        <v>4804</v>
      </c>
      <c r="O1839" s="403" t="s">
        <v>7084</v>
      </c>
      <c r="P1839" s="403" t="s">
        <v>2436</v>
      </c>
      <c r="Q1839" s="403" t="s">
        <v>7672</v>
      </c>
      <c r="R1839" s="403" t="s">
        <v>5685</v>
      </c>
      <c r="S1839" s="403" t="s">
        <v>17272</v>
      </c>
      <c r="T1839" s="403" t="s">
        <v>17273</v>
      </c>
      <c r="U1839" s="403"/>
      <c r="V1839" s="403" t="s">
        <v>23024</v>
      </c>
      <c r="W1839" s="403" t="s">
        <v>23024</v>
      </c>
      <c r="X1839" s="403" t="s">
        <v>23024</v>
      </c>
      <c r="Y1839" s="403" t="s">
        <v>23024</v>
      </c>
    </row>
    <row r="1840" spans="1:25">
      <c r="A1840" s="363">
        <f t="shared" si="231"/>
        <v>1839</v>
      </c>
      <c r="B1840" s="363" t="str">
        <f t="shared" si="224"/>
        <v>44</v>
      </c>
      <c r="C1840" s="405" t="str">
        <f t="shared" si="225"/>
        <v>第014322号</v>
      </c>
      <c r="D1840" s="405" t="str">
        <f t="shared" si="226"/>
        <v>（株）サポート</v>
      </c>
      <c r="E1840" s="405" t="str">
        <f t="shared" si="227"/>
        <v>代表取締役</v>
      </c>
      <c r="F1840" s="405" t="str">
        <f t="shared" si="228"/>
        <v>小西　優子</v>
      </c>
      <c r="G1840" s="405" t="str">
        <f t="shared" si="229"/>
        <v>主たる営業所</v>
      </c>
      <c r="H1840" s="405" t="str">
        <f t="shared" si="230"/>
        <v>大分市大字迫８１７</v>
      </c>
      <c r="L1840" s="403" t="s">
        <v>20256</v>
      </c>
      <c r="M1840" s="403" t="s">
        <v>20257</v>
      </c>
      <c r="N1840" s="403" t="s">
        <v>20258</v>
      </c>
      <c r="O1840" s="403" t="s">
        <v>7084</v>
      </c>
      <c r="P1840" s="403" t="s">
        <v>20259</v>
      </c>
      <c r="Q1840" s="403" t="s">
        <v>10117</v>
      </c>
      <c r="R1840" s="403" t="s">
        <v>5587</v>
      </c>
      <c r="S1840" s="403" t="s">
        <v>20260</v>
      </c>
      <c r="T1840" s="403" t="s">
        <v>20261</v>
      </c>
      <c r="U1840" s="403"/>
      <c r="V1840" s="403" t="s">
        <v>23024</v>
      </c>
      <c r="W1840" s="403" t="s">
        <v>23024</v>
      </c>
      <c r="X1840" s="403" t="s">
        <v>23024</v>
      </c>
      <c r="Y1840" s="403" t="s">
        <v>23024</v>
      </c>
    </row>
    <row r="1841" spans="1:25">
      <c r="A1841" s="363">
        <f t="shared" si="231"/>
        <v>1840</v>
      </c>
      <c r="B1841" s="363" t="str">
        <f t="shared" si="224"/>
        <v>44</v>
      </c>
      <c r="C1841" s="405" t="str">
        <f t="shared" si="225"/>
        <v>第014323号</v>
      </c>
      <c r="D1841" s="405" t="str">
        <f t="shared" si="226"/>
        <v>（株）佐保建設工業</v>
      </c>
      <c r="E1841" s="405" t="str">
        <f t="shared" si="227"/>
        <v>代表取締役</v>
      </c>
      <c r="F1841" s="405" t="str">
        <f t="shared" si="228"/>
        <v>佐保　裕士</v>
      </c>
      <c r="G1841" s="405" t="str">
        <f t="shared" si="229"/>
        <v>主たる営業所</v>
      </c>
      <c r="H1841" s="405" t="str">
        <f t="shared" si="230"/>
        <v>大分市新栄町１－１１</v>
      </c>
      <c r="L1841" s="403" t="s">
        <v>11594</v>
      </c>
      <c r="M1841" s="403" t="s">
        <v>11595</v>
      </c>
      <c r="N1841" s="403" t="s">
        <v>4805</v>
      </c>
      <c r="O1841" s="403" t="s">
        <v>7084</v>
      </c>
      <c r="P1841" s="403" t="s">
        <v>4806</v>
      </c>
      <c r="Q1841" s="403" t="s">
        <v>8817</v>
      </c>
      <c r="R1841" s="403" t="s">
        <v>20262</v>
      </c>
      <c r="S1841" s="403" t="s">
        <v>17274</v>
      </c>
      <c r="T1841" s="403" t="s">
        <v>17274</v>
      </c>
      <c r="U1841" s="403"/>
      <c r="V1841" s="403" t="s">
        <v>23024</v>
      </c>
      <c r="W1841" s="403" t="s">
        <v>23024</v>
      </c>
      <c r="X1841" s="403" t="s">
        <v>23024</v>
      </c>
      <c r="Y1841" s="403" t="s">
        <v>23024</v>
      </c>
    </row>
    <row r="1842" spans="1:25">
      <c r="A1842" s="363">
        <f t="shared" si="231"/>
        <v>1841</v>
      </c>
      <c r="B1842" s="363" t="str">
        <f t="shared" si="224"/>
        <v>44</v>
      </c>
      <c r="C1842" s="405" t="str">
        <f t="shared" si="225"/>
        <v>第014340号</v>
      </c>
      <c r="D1842" s="405" t="str">
        <f t="shared" si="226"/>
        <v>（株）優健</v>
      </c>
      <c r="E1842" s="405" t="str">
        <f t="shared" si="227"/>
        <v>代表取締役</v>
      </c>
      <c r="F1842" s="405" t="str">
        <f t="shared" si="228"/>
        <v>由見　博幸</v>
      </c>
      <c r="G1842" s="405" t="str">
        <f t="shared" si="229"/>
        <v>主たる営業所</v>
      </c>
      <c r="H1842" s="405" t="str">
        <f t="shared" si="230"/>
        <v>大分市大字横瀬３８１－１</v>
      </c>
      <c r="L1842" s="403" t="s">
        <v>11596</v>
      </c>
      <c r="M1842" s="403" t="s">
        <v>11597</v>
      </c>
      <c r="N1842" s="403" t="s">
        <v>5203</v>
      </c>
      <c r="O1842" s="403" t="s">
        <v>7084</v>
      </c>
      <c r="P1842" s="403" t="s">
        <v>4807</v>
      </c>
      <c r="Q1842" s="403" t="s">
        <v>10313</v>
      </c>
      <c r="R1842" s="403" t="s">
        <v>20263</v>
      </c>
      <c r="S1842" s="403" t="s">
        <v>17275</v>
      </c>
      <c r="T1842" s="403" t="s">
        <v>20264</v>
      </c>
      <c r="U1842" s="403"/>
      <c r="V1842" s="403" t="s">
        <v>23024</v>
      </c>
      <c r="W1842" s="403" t="s">
        <v>23024</v>
      </c>
      <c r="X1842" s="403" t="s">
        <v>23024</v>
      </c>
      <c r="Y1842" s="403" t="s">
        <v>23024</v>
      </c>
    </row>
    <row r="1843" spans="1:25">
      <c r="A1843" s="363">
        <f t="shared" si="231"/>
        <v>1842</v>
      </c>
      <c r="B1843" s="363" t="str">
        <f t="shared" si="224"/>
        <v>44</v>
      </c>
      <c r="C1843" s="405" t="str">
        <f t="shared" si="225"/>
        <v>第014346号</v>
      </c>
      <c r="D1843" s="405" t="str">
        <f t="shared" si="226"/>
        <v>（株）朋成工業</v>
      </c>
      <c r="E1843" s="405" t="str">
        <f t="shared" si="227"/>
        <v>代表取締役</v>
      </c>
      <c r="F1843" s="405" t="str">
        <f t="shared" si="228"/>
        <v>小田　朋春</v>
      </c>
      <c r="G1843" s="405" t="str">
        <f t="shared" si="229"/>
        <v>主たる営業所</v>
      </c>
      <c r="H1843" s="405" t="str">
        <f t="shared" si="230"/>
        <v>別府市堀田町２７－４３</v>
      </c>
      <c r="L1843" s="403" t="s">
        <v>11598</v>
      </c>
      <c r="M1843" s="403" t="s">
        <v>11599</v>
      </c>
      <c r="N1843" s="403" t="s">
        <v>4808</v>
      </c>
      <c r="O1843" s="403" t="s">
        <v>7084</v>
      </c>
      <c r="P1843" s="403" t="s">
        <v>4809</v>
      </c>
      <c r="Q1843" s="403" t="s">
        <v>8352</v>
      </c>
      <c r="R1843" s="403" t="s">
        <v>20265</v>
      </c>
      <c r="S1843" s="403" t="s">
        <v>17276</v>
      </c>
      <c r="T1843" s="403" t="s">
        <v>17277</v>
      </c>
      <c r="U1843" s="403"/>
      <c r="V1843" s="403" t="s">
        <v>23024</v>
      </c>
      <c r="W1843" s="403" t="s">
        <v>23024</v>
      </c>
      <c r="X1843" s="403" t="s">
        <v>23024</v>
      </c>
      <c r="Y1843" s="403" t="s">
        <v>23024</v>
      </c>
    </row>
    <row r="1844" spans="1:25">
      <c r="A1844" s="363">
        <f t="shared" si="231"/>
        <v>1843</v>
      </c>
      <c r="B1844" s="363" t="str">
        <f t="shared" si="224"/>
        <v>44</v>
      </c>
      <c r="C1844" s="405" t="str">
        <f t="shared" si="225"/>
        <v>第014351号</v>
      </c>
      <c r="D1844" s="405" t="str">
        <f t="shared" si="226"/>
        <v>（株）オオノ</v>
      </c>
      <c r="E1844" s="405" t="str">
        <f t="shared" si="227"/>
        <v>代表取締役</v>
      </c>
      <c r="F1844" s="405" t="str">
        <f t="shared" si="228"/>
        <v>大野　雄樹</v>
      </c>
      <c r="G1844" s="405" t="str">
        <f t="shared" si="229"/>
        <v>主たる営業所</v>
      </c>
      <c r="H1844" s="405" t="str">
        <f t="shared" si="230"/>
        <v>別府市大字北石垣１１１１</v>
      </c>
      <c r="L1844" s="403" t="s">
        <v>11600</v>
      </c>
      <c r="M1844" s="403" t="s">
        <v>11601</v>
      </c>
      <c r="N1844" s="403" t="s">
        <v>4810</v>
      </c>
      <c r="O1844" s="403" t="s">
        <v>7084</v>
      </c>
      <c r="P1844" s="403" t="s">
        <v>4811</v>
      </c>
      <c r="Q1844" s="403" t="s">
        <v>9402</v>
      </c>
      <c r="R1844" s="403" t="s">
        <v>5686</v>
      </c>
      <c r="S1844" s="403" t="s">
        <v>17278</v>
      </c>
      <c r="T1844" s="403" t="s">
        <v>17279</v>
      </c>
      <c r="U1844" s="403"/>
      <c r="V1844" s="403" t="s">
        <v>23024</v>
      </c>
      <c r="W1844" s="403" t="s">
        <v>23024</v>
      </c>
      <c r="X1844" s="403" t="s">
        <v>23024</v>
      </c>
      <c r="Y1844" s="403" t="s">
        <v>23024</v>
      </c>
    </row>
    <row r="1845" spans="1:25">
      <c r="A1845" s="363">
        <f t="shared" si="231"/>
        <v>1844</v>
      </c>
      <c r="B1845" s="363" t="str">
        <f t="shared" si="224"/>
        <v>44</v>
      </c>
      <c r="C1845" s="405" t="str">
        <f t="shared" si="225"/>
        <v>第014365号</v>
      </c>
      <c r="D1845" s="405" t="str">
        <f t="shared" si="226"/>
        <v>（株）エーアール</v>
      </c>
      <c r="E1845" s="405" t="str">
        <f t="shared" si="227"/>
        <v>代表取締役</v>
      </c>
      <c r="F1845" s="405" t="str">
        <f t="shared" si="228"/>
        <v>尾上　昭宏</v>
      </c>
      <c r="G1845" s="405" t="str">
        <f t="shared" si="229"/>
        <v>主たる営業所</v>
      </c>
      <c r="H1845" s="405" t="str">
        <f t="shared" si="230"/>
        <v>大分市賀来南２－３－２４　シンシアビル賀来１０２</v>
      </c>
      <c r="L1845" s="403" t="s">
        <v>11602</v>
      </c>
      <c r="M1845" s="403" t="s">
        <v>11603</v>
      </c>
      <c r="N1845" s="403" t="s">
        <v>4812</v>
      </c>
      <c r="O1845" s="403" t="s">
        <v>7084</v>
      </c>
      <c r="P1845" s="403" t="s">
        <v>4813</v>
      </c>
      <c r="Q1845" s="403" t="s">
        <v>8792</v>
      </c>
      <c r="R1845" s="403" t="s">
        <v>20266</v>
      </c>
      <c r="S1845" s="403" t="s">
        <v>17280</v>
      </c>
      <c r="T1845" s="403" t="s">
        <v>17281</v>
      </c>
      <c r="U1845" s="403"/>
      <c r="V1845" s="403" t="s">
        <v>23024</v>
      </c>
      <c r="W1845" s="403" t="s">
        <v>23024</v>
      </c>
      <c r="X1845" s="403" t="s">
        <v>23024</v>
      </c>
      <c r="Y1845" s="403" t="s">
        <v>23024</v>
      </c>
    </row>
    <row r="1846" spans="1:25">
      <c r="A1846" s="363">
        <f t="shared" si="231"/>
        <v>1845</v>
      </c>
      <c r="B1846" s="363" t="str">
        <f t="shared" si="224"/>
        <v>44</v>
      </c>
      <c r="C1846" s="405" t="str">
        <f t="shared" si="225"/>
        <v>第014366号</v>
      </c>
      <c r="D1846" s="405" t="str">
        <f t="shared" si="226"/>
        <v>（株）Ｅ・Ｉ</v>
      </c>
      <c r="E1846" s="405" t="str">
        <f t="shared" si="227"/>
        <v>代表取締役</v>
      </c>
      <c r="F1846" s="405" t="str">
        <f t="shared" si="228"/>
        <v>江藤　明</v>
      </c>
      <c r="G1846" s="405" t="str">
        <f t="shared" si="229"/>
        <v>主たる営業所</v>
      </c>
      <c r="H1846" s="405" t="str">
        <f t="shared" si="230"/>
        <v>中津市大字相原２９４５－４</v>
      </c>
      <c r="L1846" s="403" t="s">
        <v>11604</v>
      </c>
      <c r="M1846" s="403" t="s">
        <v>11605</v>
      </c>
      <c r="N1846" s="403" t="s">
        <v>4814</v>
      </c>
      <c r="O1846" s="403" t="s">
        <v>7084</v>
      </c>
      <c r="P1846" s="403" t="s">
        <v>4815</v>
      </c>
      <c r="Q1846" s="403" t="s">
        <v>9620</v>
      </c>
      <c r="R1846" s="403" t="s">
        <v>20267</v>
      </c>
      <c r="S1846" s="403" t="s">
        <v>17282</v>
      </c>
      <c r="T1846" s="403" t="s">
        <v>17282</v>
      </c>
      <c r="U1846" s="403"/>
      <c r="V1846" s="403" t="s">
        <v>23024</v>
      </c>
      <c r="W1846" s="403" t="s">
        <v>23024</v>
      </c>
      <c r="X1846" s="403" t="s">
        <v>23024</v>
      </c>
      <c r="Y1846" s="403" t="s">
        <v>23024</v>
      </c>
    </row>
    <row r="1847" spans="1:25">
      <c r="A1847" s="363">
        <f t="shared" si="231"/>
        <v>1846</v>
      </c>
      <c r="B1847" s="363" t="str">
        <f t="shared" si="224"/>
        <v>44</v>
      </c>
      <c r="C1847" s="405" t="str">
        <f t="shared" si="225"/>
        <v>第014367号</v>
      </c>
      <c r="D1847" s="405" t="str">
        <f t="shared" si="226"/>
        <v>（株）大分フェンス</v>
      </c>
      <c r="E1847" s="405" t="str">
        <f t="shared" si="227"/>
        <v>代表取締役</v>
      </c>
      <c r="F1847" s="405" t="str">
        <f t="shared" si="228"/>
        <v>大野　美鈴</v>
      </c>
      <c r="G1847" s="405" t="str">
        <f t="shared" si="229"/>
        <v>主たる営業所</v>
      </c>
      <c r="H1847" s="405" t="str">
        <f t="shared" si="230"/>
        <v>玖珠郡玖珠町大字山田１８８０</v>
      </c>
      <c r="L1847" s="403" t="s">
        <v>11606</v>
      </c>
      <c r="M1847" s="403" t="s">
        <v>11607</v>
      </c>
      <c r="N1847" s="403" t="s">
        <v>4816</v>
      </c>
      <c r="O1847" s="403" t="s">
        <v>7084</v>
      </c>
      <c r="P1847" s="403" t="s">
        <v>4817</v>
      </c>
      <c r="Q1847" s="403" t="s">
        <v>8625</v>
      </c>
      <c r="R1847" s="403" t="s">
        <v>5687</v>
      </c>
      <c r="S1847" s="403" t="s">
        <v>17283</v>
      </c>
      <c r="T1847" s="403" t="s">
        <v>17284</v>
      </c>
      <c r="U1847" s="403"/>
      <c r="V1847" s="403" t="s">
        <v>23024</v>
      </c>
      <c r="W1847" s="403" t="s">
        <v>23024</v>
      </c>
      <c r="X1847" s="403" t="s">
        <v>23024</v>
      </c>
      <c r="Y1847" s="403" t="s">
        <v>23024</v>
      </c>
    </row>
    <row r="1848" spans="1:25">
      <c r="A1848" s="363">
        <f t="shared" si="231"/>
        <v>1847</v>
      </c>
      <c r="B1848" s="363" t="str">
        <f t="shared" si="224"/>
        <v>44</v>
      </c>
      <c r="C1848" s="405" t="str">
        <f t="shared" si="225"/>
        <v>第014368号</v>
      </c>
      <c r="D1848" s="405" t="str">
        <f t="shared" si="226"/>
        <v>（株）高倉塗装</v>
      </c>
      <c r="E1848" s="405" t="str">
        <f t="shared" si="227"/>
        <v>代表取締役</v>
      </c>
      <c r="F1848" s="405" t="str">
        <f t="shared" si="228"/>
        <v>高倉　光男</v>
      </c>
      <c r="G1848" s="405" t="str">
        <f t="shared" si="229"/>
        <v>主たる営業所</v>
      </c>
      <c r="H1848" s="405" t="str">
        <f t="shared" si="230"/>
        <v>日田市日高２３５９－１２</v>
      </c>
      <c r="L1848" s="403" t="s">
        <v>11608</v>
      </c>
      <c r="M1848" s="403" t="s">
        <v>11609</v>
      </c>
      <c r="N1848" s="403" t="s">
        <v>4818</v>
      </c>
      <c r="O1848" s="403" t="s">
        <v>7084</v>
      </c>
      <c r="P1848" s="403" t="s">
        <v>4819</v>
      </c>
      <c r="Q1848" s="403" t="s">
        <v>8578</v>
      </c>
      <c r="R1848" s="403" t="s">
        <v>20268</v>
      </c>
      <c r="S1848" s="403" t="s">
        <v>17285</v>
      </c>
      <c r="T1848" s="403" t="s">
        <v>17285</v>
      </c>
      <c r="U1848" s="403"/>
      <c r="V1848" s="403" t="s">
        <v>23024</v>
      </c>
      <c r="W1848" s="403" t="s">
        <v>23024</v>
      </c>
      <c r="X1848" s="403" t="s">
        <v>23024</v>
      </c>
      <c r="Y1848" s="403" t="s">
        <v>23024</v>
      </c>
    </row>
    <row r="1849" spans="1:25">
      <c r="A1849" s="363">
        <f t="shared" si="231"/>
        <v>1848</v>
      </c>
      <c r="B1849" s="363" t="str">
        <f t="shared" si="224"/>
        <v>44</v>
      </c>
      <c r="C1849" s="405" t="str">
        <f t="shared" si="225"/>
        <v>第014372号</v>
      </c>
      <c r="D1849" s="405" t="str">
        <f t="shared" si="226"/>
        <v>（株）塗装工事佐藤組</v>
      </c>
      <c r="E1849" s="405" t="str">
        <f t="shared" si="227"/>
        <v>代表取締役</v>
      </c>
      <c r="F1849" s="405" t="str">
        <f t="shared" si="228"/>
        <v>佐藤　圭介</v>
      </c>
      <c r="G1849" s="405" t="str">
        <f t="shared" si="229"/>
        <v>主たる営業所</v>
      </c>
      <c r="H1849" s="405" t="str">
        <f t="shared" si="230"/>
        <v>大分市三佐１－１４－１８</v>
      </c>
      <c r="L1849" s="403" t="s">
        <v>11610</v>
      </c>
      <c r="M1849" s="403" t="s">
        <v>11611</v>
      </c>
      <c r="N1849" s="403" t="s">
        <v>4820</v>
      </c>
      <c r="O1849" s="403" t="s">
        <v>7084</v>
      </c>
      <c r="P1849" s="403" t="s">
        <v>3196</v>
      </c>
      <c r="Q1849" s="403" t="s">
        <v>7413</v>
      </c>
      <c r="R1849" s="403" t="s">
        <v>20269</v>
      </c>
      <c r="S1849" s="403" t="s">
        <v>17286</v>
      </c>
      <c r="T1849" s="403" t="s">
        <v>17287</v>
      </c>
      <c r="U1849" s="403"/>
      <c r="V1849" s="403" t="s">
        <v>23024</v>
      </c>
      <c r="W1849" s="403" t="s">
        <v>23024</v>
      </c>
      <c r="X1849" s="403" t="s">
        <v>23024</v>
      </c>
      <c r="Y1849" s="403" t="s">
        <v>23024</v>
      </c>
    </row>
    <row r="1850" spans="1:25">
      <c r="A1850" s="363">
        <f t="shared" si="231"/>
        <v>1849</v>
      </c>
      <c r="B1850" s="363" t="str">
        <f t="shared" si="224"/>
        <v>44</v>
      </c>
      <c r="C1850" s="405" t="str">
        <f t="shared" si="225"/>
        <v>第014373号</v>
      </c>
      <c r="D1850" s="405" t="str">
        <f t="shared" si="226"/>
        <v>（株）サンリツ</v>
      </c>
      <c r="E1850" s="405" t="str">
        <f t="shared" si="227"/>
        <v>代表取締役</v>
      </c>
      <c r="F1850" s="405" t="str">
        <f t="shared" si="228"/>
        <v>野村　健三</v>
      </c>
      <c r="G1850" s="405" t="str">
        <f t="shared" si="229"/>
        <v>主たる営業所</v>
      </c>
      <c r="H1850" s="405" t="str">
        <f t="shared" si="230"/>
        <v>大分市坂ノ市南１－４－２４</v>
      </c>
      <c r="L1850" s="403" t="s">
        <v>11612</v>
      </c>
      <c r="M1850" s="403" t="s">
        <v>11613</v>
      </c>
      <c r="N1850" s="403" t="s">
        <v>4821</v>
      </c>
      <c r="O1850" s="403" t="s">
        <v>7084</v>
      </c>
      <c r="P1850" s="403" t="s">
        <v>4822</v>
      </c>
      <c r="Q1850" s="403" t="s">
        <v>7571</v>
      </c>
      <c r="R1850" s="403" t="s">
        <v>20270</v>
      </c>
      <c r="S1850" s="403" t="s">
        <v>17288</v>
      </c>
      <c r="T1850" s="403" t="s">
        <v>17289</v>
      </c>
      <c r="U1850" s="403"/>
      <c r="V1850" s="403" t="s">
        <v>23024</v>
      </c>
      <c r="W1850" s="403" t="s">
        <v>23024</v>
      </c>
      <c r="X1850" s="403" t="s">
        <v>23024</v>
      </c>
      <c r="Y1850" s="403" t="s">
        <v>23024</v>
      </c>
    </row>
    <row r="1851" spans="1:25">
      <c r="A1851" s="363">
        <f t="shared" si="231"/>
        <v>1850</v>
      </c>
      <c r="B1851" s="363" t="str">
        <f t="shared" si="224"/>
        <v>44</v>
      </c>
      <c r="C1851" s="405" t="str">
        <f t="shared" si="225"/>
        <v>第014375号</v>
      </c>
      <c r="D1851" s="405" t="str">
        <f t="shared" si="226"/>
        <v>ＤＥＣ（株）</v>
      </c>
      <c r="E1851" s="405" t="str">
        <f t="shared" si="227"/>
        <v>代表取締役</v>
      </c>
      <c r="F1851" s="405" t="str">
        <f t="shared" si="228"/>
        <v>竜田　幸樹</v>
      </c>
      <c r="G1851" s="405" t="str">
        <f t="shared" si="229"/>
        <v>主たる営業所</v>
      </c>
      <c r="H1851" s="405" t="str">
        <f t="shared" si="230"/>
        <v>佐伯市弥生大字井崎１４３２－４</v>
      </c>
      <c r="L1851" s="403" t="s">
        <v>11614</v>
      </c>
      <c r="M1851" s="403" t="s">
        <v>11615</v>
      </c>
      <c r="N1851" s="403" t="s">
        <v>4823</v>
      </c>
      <c r="O1851" s="403" t="s">
        <v>7084</v>
      </c>
      <c r="P1851" s="403" t="s">
        <v>4824</v>
      </c>
      <c r="Q1851" s="403" t="s">
        <v>8486</v>
      </c>
      <c r="R1851" s="403" t="s">
        <v>20271</v>
      </c>
      <c r="S1851" s="403" t="s">
        <v>17290</v>
      </c>
      <c r="T1851" s="403" t="s">
        <v>17291</v>
      </c>
      <c r="U1851" s="403"/>
      <c r="V1851" s="403" t="s">
        <v>23024</v>
      </c>
      <c r="W1851" s="403" t="s">
        <v>23024</v>
      </c>
      <c r="X1851" s="403" t="s">
        <v>23024</v>
      </c>
      <c r="Y1851" s="403" t="s">
        <v>23024</v>
      </c>
    </row>
    <row r="1852" spans="1:25">
      <c r="A1852" s="363">
        <f t="shared" si="231"/>
        <v>1851</v>
      </c>
      <c r="B1852" s="363" t="str">
        <f t="shared" si="224"/>
        <v>44</v>
      </c>
      <c r="C1852" s="405" t="str">
        <f t="shared" si="225"/>
        <v>第014386号</v>
      </c>
      <c r="D1852" s="405" t="str">
        <f t="shared" si="226"/>
        <v>（株）大成土建</v>
      </c>
      <c r="E1852" s="405" t="str">
        <f t="shared" si="227"/>
        <v>代表取締役</v>
      </c>
      <c r="F1852" s="405" t="str">
        <f t="shared" si="228"/>
        <v>河野　千年</v>
      </c>
      <c r="G1852" s="405" t="str">
        <f t="shared" si="229"/>
        <v>主たる営業所</v>
      </c>
      <c r="H1852" s="405" t="str">
        <f t="shared" si="230"/>
        <v>臼杵市大字海添２５０９－８</v>
      </c>
      <c r="L1852" s="403" t="s">
        <v>11616</v>
      </c>
      <c r="M1852" s="403" t="s">
        <v>11617</v>
      </c>
      <c r="N1852" s="403" t="s">
        <v>4825</v>
      </c>
      <c r="O1852" s="403" t="s">
        <v>7084</v>
      </c>
      <c r="P1852" s="403" t="s">
        <v>3207</v>
      </c>
      <c r="Q1852" s="403" t="s">
        <v>7763</v>
      </c>
      <c r="R1852" s="403" t="s">
        <v>20272</v>
      </c>
      <c r="S1852" s="403" t="s">
        <v>17292</v>
      </c>
      <c r="T1852" s="403" t="s">
        <v>17293</v>
      </c>
      <c r="U1852" s="403"/>
      <c r="V1852" s="403" t="s">
        <v>23024</v>
      </c>
      <c r="W1852" s="403" t="s">
        <v>23024</v>
      </c>
      <c r="X1852" s="403" t="s">
        <v>23024</v>
      </c>
      <c r="Y1852" s="403" t="s">
        <v>23024</v>
      </c>
    </row>
    <row r="1853" spans="1:25">
      <c r="A1853" s="363">
        <f t="shared" si="231"/>
        <v>1852</v>
      </c>
      <c r="B1853" s="363" t="str">
        <f t="shared" si="224"/>
        <v>44</v>
      </c>
      <c r="C1853" s="405" t="str">
        <f t="shared" si="225"/>
        <v>第014387号</v>
      </c>
      <c r="D1853" s="405" t="str">
        <f t="shared" si="226"/>
        <v>（株）ユーショウ</v>
      </c>
      <c r="E1853" s="405" t="str">
        <f t="shared" si="227"/>
        <v>代表取締役</v>
      </c>
      <c r="F1853" s="405" t="str">
        <f t="shared" si="228"/>
        <v>今井　省三</v>
      </c>
      <c r="G1853" s="405" t="str">
        <f t="shared" si="229"/>
        <v>主たる営業所</v>
      </c>
      <c r="H1853" s="405" t="str">
        <f t="shared" si="230"/>
        <v>大分市大字一木１０９５</v>
      </c>
      <c r="L1853" s="403" t="s">
        <v>11618</v>
      </c>
      <c r="M1853" s="403" t="s">
        <v>11619</v>
      </c>
      <c r="N1853" s="403" t="s">
        <v>4826</v>
      </c>
      <c r="O1853" s="403" t="s">
        <v>7084</v>
      </c>
      <c r="P1853" s="403" t="s">
        <v>4827</v>
      </c>
      <c r="Q1853" s="403" t="s">
        <v>7501</v>
      </c>
      <c r="R1853" s="403" t="s">
        <v>5346</v>
      </c>
      <c r="S1853" s="403" t="s">
        <v>17294</v>
      </c>
      <c r="T1853" s="403" t="s">
        <v>14045</v>
      </c>
      <c r="U1853" s="403"/>
      <c r="V1853" s="403" t="s">
        <v>23024</v>
      </c>
      <c r="W1853" s="403" t="s">
        <v>23024</v>
      </c>
      <c r="X1853" s="403" t="s">
        <v>23024</v>
      </c>
      <c r="Y1853" s="403" t="s">
        <v>23024</v>
      </c>
    </row>
    <row r="1854" spans="1:25">
      <c r="A1854" s="363">
        <f t="shared" si="231"/>
        <v>1853</v>
      </c>
      <c r="B1854" s="363" t="str">
        <f t="shared" si="224"/>
        <v>44</v>
      </c>
      <c r="C1854" s="405" t="str">
        <f t="shared" si="225"/>
        <v>第014392号</v>
      </c>
      <c r="D1854" s="405" t="str">
        <f t="shared" si="226"/>
        <v>（株）ＳＡＴＡＫＥコーポレーション</v>
      </c>
      <c r="E1854" s="405" t="str">
        <f t="shared" si="227"/>
        <v>代表取締役</v>
      </c>
      <c r="F1854" s="405" t="str">
        <f t="shared" si="228"/>
        <v>神田　尚人</v>
      </c>
      <c r="G1854" s="405" t="str">
        <f t="shared" si="229"/>
        <v>主たる営業所</v>
      </c>
      <c r="H1854" s="405" t="str">
        <f t="shared" si="230"/>
        <v>大分市大字下郡４７７－１</v>
      </c>
      <c r="L1854" s="403" t="s">
        <v>11620</v>
      </c>
      <c r="M1854" s="403" t="s">
        <v>11621</v>
      </c>
      <c r="N1854" s="403" t="s">
        <v>4828</v>
      </c>
      <c r="O1854" s="403" t="s">
        <v>7084</v>
      </c>
      <c r="P1854" s="403" t="s">
        <v>4829</v>
      </c>
      <c r="Q1854" s="403" t="s">
        <v>7419</v>
      </c>
      <c r="R1854" s="403" t="s">
        <v>20273</v>
      </c>
      <c r="S1854" s="403" t="s">
        <v>17295</v>
      </c>
      <c r="T1854" s="403" t="s">
        <v>17296</v>
      </c>
      <c r="U1854" s="403"/>
      <c r="V1854" s="403" t="s">
        <v>23024</v>
      </c>
      <c r="W1854" s="403" t="s">
        <v>23024</v>
      </c>
      <c r="X1854" s="403" t="s">
        <v>23024</v>
      </c>
      <c r="Y1854" s="403" t="s">
        <v>23024</v>
      </c>
    </row>
    <row r="1855" spans="1:25">
      <c r="A1855" s="363">
        <f t="shared" si="231"/>
        <v>1854</v>
      </c>
      <c r="B1855" s="363" t="str">
        <f t="shared" si="224"/>
        <v>44</v>
      </c>
      <c r="C1855" s="405" t="str">
        <f t="shared" si="225"/>
        <v>第014393号</v>
      </c>
      <c r="D1855" s="405" t="str">
        <f t="shared" si="226"/>
        <v>（株）かえで</v>
      </c>
      <c r="E1855" s="405" t="str">
        <f t="shared" si="227"/>
        <v>代表取締役</v>
      </c>
      <c r="F1855" s="405" t="str">
        <f t="shared" si="228"/>
        <v>秋山　美幸</v>
      </c>
      <c r="G1855" s="405" t="str">
        <f t="shared" si="229"/>
        <v>主たる営業所</v>
      </c>
      <c r="H1855" s="405" t="str">
        <f t="shared" si="230"/>
        <v>中津市大字福島２６１５－２２</v>
      </c>
      <c r="L1855" s="403" t="s">
        <v>11622</v>
      </c>
      <c r="M1855" s="403" t="s">
        <v>11623</v>
      </c>
      <c r="N1855" s="403" t="s">
        <v>4830</v>
      </c>
      <c r="O1855" s="403" t="s">
        <v>7084</v>
      </c>
      <c r="P1855" s="403" t="s">
        <v>4831</v>
      </c>
      <c r="Q1855" s="403" t="s">
        <v>8893</v>
      </c>
      <c r="R1855" s="403" t="s">
        <v>20274</v>
      </c>
      <c r="S1855" s="403" t="s">
        <v>17297</v>
      </c>
      <c r="T1855" s="403" t="s">
        <v>17298</v>
      </c>
      <c r="U1855" s="403"/>
      <c r="V1855" s="403" t="s">
        <v>23024</v>
      </c>
      <c r="W1855" s="403" t="s">
        <v>23024</v>
      </c>
      <c r="X1855" s="403" t="s">
        <v>23024</v>
      </c>
      <c r="Y1855" s="403" t="s">
        <v>23024</v>
      </c>
    </row>
    <row r="1856" spans="1:25">
      <c r="A1856" s="363">
        <f t="shared" si="231"/>
        <v>1855</v>
      </c>
      <c r="B1856" s="363" t="str">
        <f t="shared" si="224"/>
        <v>44</v>
      </c>
      <c r="C1856" s="405" t="str">
        <f t="shared" si="225"/>
        <v>第014394号</v>
      </c>
      <c r="D1856" s="405" t="str">
        <f t="shared" si="226"/>
        <v>豊後設備（株）</v>
      </c>
      <c r="E1856" s="405" t="str">
        <f t="shared" si="227"/>
        <v>代表取締役</v>
      </c>
      <c r="F1856" s="405" t="str">
        <f t="shared" si="228"/>
        <v>本田　薫</v>
      </c>
      <c r="G1856" s="405" t="str">
        <f t="shared" si="229"/>
        <v>主たる営業所</v>
      </c>
      <c r="H1856" s="405" t="str">
        <f t="shared" si="230"/>
        <v>大分市大字関園１２０－１１</v>
      </c>
      <c r="L1856" s="403" t="s">
        <v>11624</v>
      </c>
      <c r="M1856" s="403" t="s">
        <v>11625</v>
      </c>
      <c r="N1856" s="403" t="s">
        <v>4832</v>
      </c>
      <c r="O1856" s="403" t="s">
        <v>7084</v>
      </c>
      <c r="P1856" s="403" t="s">
        <v>4833</v>
      </c>
      <c r="Q1856" s="403" t="s">
        <v>8332</v>
      </c>
      <c r="R1856" s="403" t="s">
        <v>20275</v>
      </c>
      <c r="S1856" s="403" t="s">
        <v>17299</v>
      </c>
      <c r="T1856" s="403" t="s">
        <v>17300</v>
      </c>
      <c r="U1856" s="403"/>
      <c r="V1856" s="403" t="s">
        <v>23024</v>
      </c>
      <c r="W1856" s="403" t="s">
        <v>23024</v>
      </c>
      <c r="X1856" s="403" t="s">
        <v>23024</v>
      </c>
      <c r="Y1856" s="403" t="s">
        <v>23024</v>
      </c>
    </row>
    <row r="1857" spans="1:25">
      <c r="A1857" s="363">
        <f t="shared" si="231"/>
        <v>1856</v>
      </c>
      <c r="B1857" s="363" t="str">
        <f t="shared" si="224"/>
        <v>44</v>
      </c>
      <c r="C1857" s="405" t="str">
        <f t="shared" si="225"/>
        <v>第014406号</v>
      </c>
      <c r="D1857" s="405" t="str">
        <f t="shared" si="226"/>
        <v>（株）綜建</v>
      </c>
      <c r="E1857" s="405" t="str">
        <f t="shared" si="227"/>
        <v>代表取締役</v>
      </c>
      <c r="F1857" s="405" t="str">
        <f t="shared" si="228"/>
        <v>伊藤　亜希子</v>
      </c>
      <c r="G1857" s="405" t="str">
        <f t="shared" si="229"/>
        <v>主たる営業所</v>
      </c>
      <c r="H1857" s="405" t="str">
        <f t="shared" si="230"/>
        <v>別府市大字鶴見２９７９</v>
      </c>
      <c r="L1857" s="403" t="s">
        <v>11626</v>
      </c>
      <c r="M1857" s="403" t="s">
        <v>11627</v>
      </c>
      <c r="N1857" s="403" t="s">
        <v>4834</v>
      </c>
      <c r="O1857" s="403" t="s">
        <v>7084</v>
      </c>
      <c r="P1857" s="403" t="s">
        <v>4835</v>
      </c>
      <c r="Q1857" s="403" t="s">
        <v>9433</v>
      </c>
      <c r="R1857" s="403" t="s">
        <v>5688</v>
      </c>
      <c r="S1857" s="403" t="s">
        <v>17301</v>
      </c>
      <c r="T1857" s="403" t="s">
        <v>17302</v>
      </c>
      <c r="U1857" s="403"/>
      <c r="V1857" s="403" t="s">
        <v>23024</v>
      </c>
      <c r="W1857" s="403" t="s">
        <v>23024</v>
      </c>
      <c r="X1857" s="403" t="s">
        <v>23024</v>
      </c>
      <c r="Y1857" s="403" t="s">
        <v>23024</v>
      </c>
    </row>
    <row r="1858" spans="1:25">
      <c r="A1858" s="363">
        <f t="shared" si="231"/>
        <v>1857</v>
      </c>
      <c r="B1858" s="363" t="str">
        <f t="shared" ref="B1858:B1921" si="232">LEFT(L1858,2)</f>
        <v>44</v>
      </c>
      <c r="C1858" s="405" t="str">
        <f t="shared" ref="C1858:C1921" si="233">IF(B1858="","","第"&amp;RIGHT(L1858,6)&amp;"号")</f>
        <v>第014408号</v>
      </c>
      <c r="D1858" s="405" t="str">
        <f t="shared" ref="D1858:D1921" si="234">N1858</f>
        <v>（株）朝陽</v>
      </c>
      <c r="E1858" s="405" t="str">
        <f t="shared" ref="E1858:E1921" si="235">IF(V1858="　",O1858,"")</f>
        <v>代表取締役</v>
      </c>
      <c r="F1858" s="405" t="str">
        <f t="shared" ref="F1858:F1921" si="236">IF(V1858="　",P1858,W1858)</f>
        <v>大山　康之</v>
      </c>
      <c r="G1858" s="405" t="str">
        <f t="shared" ref="G1858:G1921" si="237">IF(V1858="　","主たる営業所",V1858)</f>
        <v>主たる営業所</v>
      </c>
      <c r="H1858" s="405" t="str">
        <f t="shared" ref="H1858:H1921" si="238">IF(V1858="　",R1858,Y1858)</f>
        <v>中津市大字加来１９７３－１</v>
      </c>
      <c r="L1858" s="403" t="s">
        <v>11628</v>
      </c>
      <c r="M1858" s="403" t="s">
        <v>11629</v>
      </c>
      <c r="N1858" s="403" t="s">
        <v>4836</v>
      </c>
      <c r="O1858" s="403" t="s">
        <v>7084</v>
      </c>
      <c r="P1858" s="403" t="s">
        <v>4837</v>
      </c>
      <c r="Q1858" s="403" t="s">
        <v>7351</v>
      </c>
      <c r="R1858" s="403" t="s">
        <v>20276</v>
      </c>
      <c r="S1858" s="403" t="s">
        <v>17303</v>
      </c>
      <c r="T1858" s="403" t="s">
        <v>17304</v>
      </c>
      <c r="U1858" s="403"/>
      <c r="V1858" s="403" t="s">
        <v>23024</v>
      </c>
      <c r="W1858" s="403" t="s">
        <v>23024</v>
      </c>
      <c r="X1858" s="403" t="s">
        <v>23024</v>
      </c>
      <c r="Y1858" s="403" t="s">
        <v>23024</v>
      </c>
    </row>
    <row r="1859" spans="1:25">
      <c r="A1859" s="363">
        <f t="shared" ref="A1859:A1922" si="239">IF(B1859="","",A1858+1)</f>
        <v>1858</v>
      </c>
      <c r="B1859" s="363" t="str">
        <f t="shared" si="232"/>
        <v>44</v>
      </c>
      <c r="C1859" s="405" t="str">
        <f t="shared" si="233"/>
        <v>第014410号</v>
      </c>
      <c r="D1859" s="405" t="str">
        <f t="shared" si="234"/>
        <v>（株）いろは建築技巧</v>
      </c>
      <c r="E1859" s="405" t="str">
        <f t="shared" si="235"/>
        <v>代表取締役</v>
      </c>
      <c r="F1859" s="405" t="str">
        <f t="shared" si="236"/>
        <v>植山　拓也</v>
      </c>
      <c r="G1859" s="405" t="str">
        <f t="shared" si="237"/>
        <v>主たる営業所</v>
      </c>
      <c r="H1859" s="405" t="str">
        <f t="shared" si="238"/>
        <v>中津市大字福島２３７２－１</v>
      </c>
      <c r="L1859" s="403" t="s">
        <v>11630</v>
      </c>
      <c r="M1859" s="403" t="s">
        <v>11631</v>
      </c>
      <c r="N1859" s="403" t="s">
        <v>4838</v>
      </c>
      <c r="O1859" s="403" t="s">
        <v>7084</v>
      </c>
      <c r="P1859" s="403" t="s">
        <v>4839</v>
      </c>
      <c r="Q1859" s="403" t="s">
        <v>8893</v>
      </c>
      <c r="R1859" s="403" t="s">
        <v>20277</v>
      </c>
      <c r="S1859" s="403" t="s">
        <v>17305</v>
      </c>
      <c r="T1859" s="403" t="s">
        <v>17306</v>
      </c>
      <c r="U1859" s="403"/>
      <c r="V1859" s="403" t="s">
        <v>23024</v>
      </c>
      <c r="W1859" s="403" t="s">
        <v>23024</v>
      </c>
      <c r="X1859" s="403" t="s">
        <v>23024</v>
      </c>
      <c r="Y1859" s="403" t="s">
        <v>23024</v>
      </c>
    </row>
    <row r="1860" spans="1:25">
      <c r="A1860" s="363">
        <f t="shared" si="239"/>
        <v>1859</v>
      </c>
      <c r="B1860" s="363" t="str">
        <f t="shared" si="232"/>
        <v>44</v>
      </c>
      <c r="C1860" s="405" t="str">
        <f t="shared" si="233"/>
        <v>第014411号</v>
      </c>
      <c r="D1860" s="405" t="str">
        <f t="shared" si="234"/>
        <v>（株）草野建設工業</v>
      </c>
      <c r="E1860" s="405" t="str">
        <f t="shared" si="235"/>
        <v>代表取締役</v>
      </c>
      <c r="F1860" s="405" t="str">
        <f t="shared" si="236"/>
        <v>草野　隆一郎</v>
      </c>
      <c r="G1860" s="405" t="str">
        <f t="shared" si="237"/>
        <v>主たる営業所</v>
      </c>
      <c r="H1860" s="405" t="str">
        <f t="shared" si="238"/>
        <v>大分市森町西４－４－７</v>
      </c>
      <c r="L1860" s="403" t="s">
        <v>11632</v>
      </c>
      <c r="M1860" s="403" t="s">
        <v>11633</v>
      </c>
      <c r="N1860" s="403" t="s">
        <v>4840</v>
      </c>
      <c r="O1860" s="403" t="s">
        <v>7084</v>
      </c>
      <c r="P1860" s="403" t="s">
        <v>4841</v>
      </c>
      <c r="Q1860" s="403" t="s">
        <v>8306</v>
      </c>
      <c r="R1860" s="403" t="s">
        <v>20278</v>
      </c>
      <c r="S1860" s="403" t="s">
        <v>17307</v>
      </c>
      <c r="T1860" s="403" t="s">
        <v>20279</v>
      </c>
      <c r="U1860" s="403"/>
      <c r="V1860" s="403" t="s">
        <v>23024</v>
      </c>
      <c r="W1860" s="403" t="s">
        <v>23024</v>
      </c>
      <c r="X1860" s="403" t="s">
        <v>23024</v>
      </c>
      <c r="Y1860" s="403" t="s">
        <v>23024</v>
      </c>
    </row>
    <row r="1861" spans="1:25">
      <c r="A1861" s="363">
        <f t="shared" si="239"/>
        <v>1860</v>
      </c>
      <c r="B1861" s="363" t="str">
        <f t="shared" si="232"/>
        <v>44</v>
      </c>
      <c r="C1861" s="405" t="str">
        <f t="shared" si="233"/>
        <v>第014415号</v>
      </c>
      <c r="D1861" s="405" t="str">
        <f t="shared" si="234"/>
        <v>（株）アイシン</v>
      </c>
      <c r="E1861" s="405" t="str">
        <f t="shared" si="235"/>
        <v>代表取締役</v>
      </c>
      <c r="F1861" s="405" t="str">
        <f t="shared" si="236"/>
        <v>岩下　進</v>
      </c>
      <c r="G1861" s="405" t="str">
        <f t="shared" si="237"/>
        <v>主たる営業所</v>
      </c>
      <c r="H1861" s="405" t="str">
        <f t="shared" si="238"/>
        <v>日田市三芳小渕町１３３</v>
      </c>
      <c r="L1861" s="403" t="s">
        <v>20280</v>
      </c>
      <c r="M1861" s="403" t="s">
        <v>11227</v>
      </c>
      <c r="N1861" s="403" t="s">
        <v>20281</v>
      </c>
      <c r="O1861" s="403" t="s">
        <v>7084</v>
      </c>
      <c r="P1861" s="403" t="s">
        <v>20282</v>
      </c>
      <c r="Q1861" s="403" t="s">
        <v>8025</v>
      </c>
      <c r="R1861" s="403" t="s">
        <v>20283</v>
      </c>
      <c r="S1861" s="403" t="s">
        <v>20284</v>
      </c>
      <c r="T1861" s="403" t="s">
        <v>20285</v>
      </c>
      <c r="U1861" s="403"/>
      <c r="V1861" s="403" t="s">
        <v>23024</v>
      </c>
      <c r="W1861" s="403" t="s">
        <v>23024</v>
      </c>
      <c r="X1861" s="403" t="s">
        <v>23024</v>
      </c>
      <c r="Y1861" s="403" t="s">
        <v>23024</v>
      </c>
    </row>
    <row r="1862" spans="1:25">
      <c r="A1862" s="363">
        <f t="shared" si="239"/>
        <v>1861</v>
      </c>
      <c r="B1862" s="363" t="str">
        <f t="shared" si="232"/>
        <v>44</v>
      </c>
      <c r="C1862" s="405" t="str">
        <f t="shared" si="233"/>
        <v>第014417号</v>
      </c>
      <c r="D1862" s="405" t="str">
        <f t="shared" si="234"/>
        <v>玖珠ボーリング工業（株）</v>
      </c>
      <c r="E1862" s="405" t="str">
        <f t="shared" si="235"/>
        <v>代表取締役</v>
      </c>
      <c r="F1862" s="405" t="str">
        <f t="shared" si="236"/>
        <v>野川　裕次郎</v>
      </c>
      <c r="G1862" s="405" t="str">
        <f t="shared" si="237"/>
        <v>主たる営業所</v>
      </c>
      <c r="H1862" s="405" t="str">
        <f t="shared" si="238"/>
        <v>玖珠郡玖珠町大字森３６３４</v>
      </c>
      <c r="L1862" s="403" t="s">
        <v>11634</v>
      </c>
      <c r="M1862" s="403" t="s">
        <v>11635</v>
      </c>
      <c r="N1862" s="403" t="s">
        <v>4842</v>
      </c>
      <c r="O1862" s="403" t="s">
        <v>7084</v>
      </c>
      <c r="P1862" s="403" t="s">
        <v>4843</v>
      </c>
      <c r="Q1862" s="403" t="s">
        <v>10587</v>
      </c>
      <c r="R1862" s="403" t="s">
        <v>5689</v>
      </c>
      <c r="S1862" s="403" t="s">
        <v>17308</v>
      </c>
      <c r="T1862" s="403" t="s">
        <v>17308</v>
      </c>
      <c r="U1862" s="403"/>
      <c r="V1862" s="403" t="s">
        <v>23024</v>
      </c>
      <c r="W1862" s="403" t="s">
        <v>23024</v>
      </c>
      <c r="X1862" s="403" t="s">
        <v>23024</v>
      </c>
      <c r="Y1862" s="403" t="s">
        <v>23024</v>
      </c>
    </row>
    <row r="1863" spans="1:25">
      <c r="A1863" s="363">
        <f t="shared" si="239"/>
        <v>1862</v>
      </c>
      <c r="B1863" s="363" t="str">
        <f t="shared" si="232"/>
        <v>44</v>
      </c>
      <c r="C1863" s="405" t="str">
        <f t="shared" si="233"/>
        <v>第014420号</v>
      </c>
      <c r="D1863" s="405" t="str">
        <f t="shared" si="234"/>
        <v>（有）佐藤重機工業</v>
      </c>
      <c r="E1863" s="405" t="str">
        <f t="shared" si="235"/>
        <v>代表取締役</v>
      </c>
      <c r="F1863" s="405" t="str">
        <f t="shared" si="236"/>
        <v>佐藤　龍次</v>
      </c>
      <c r="G1863" s="405" t="str">
        <f t="shared" si="237"/>
        <v>主たる営業所</v>
      </c>
      <c r="H1863" s="405" t="str">
        <f t="shared" si="238"/>
        <v>由布市湯布院町川西３６３</v>
      </c>
      <c r="L1863" s="403" t="s">
        <v>11636</v>
      </c>
      <c r="M1863" s="403" t="s">
        <v>11637</v>
      </c>
      <c r="N1863" s="403" t="s">
        <v>4844</v>
      </c>
      <c r="O1863" s="403" t="s">
        <v>7084</v>
      </c>
      <c r="P1863" s="403" t="s">
        <v>4845</v>
      </c>
      <c r="Q1863" s="403" t="s">
        <v>11638</v>
      </c>
      <c r="R1863" s="403" t="s">
        <v>5690</v>
      </c>
      <c r="S1863" s="403" t="s">
        <v>17309</v>
      </c>
      <c r="T1863" s="403" t="s">
        <v>17309</v>
      </c>
      <c r="U1863" s="403"/>
      <c r="V1863" s="403" t="s">
        <v>23024</v>
      </c>
      <c r="W1863" s="403" t="s">
        <v>23024</v>
      </c>
      <c r="X1863" s="403" t="s">
        <v>23024</v>
      </c>
      <c r="Y1863" s="403" t="s">
        <v>23024</v>
      </c>
    </row>
    <row r="1864" spans="1:25">
      <c r="A1864" s="363">
        <f t="shared" si="239"/>
        <v>1863</v>
      </c>
      <c r="B1864" s="363" t="str">
        <f t="shared" si="232"/>
        <v>44</v>
      </c>
      <c r="C1864" s="405" t="str">
        <f t="shared" si="233"/>
        <v>第014423号</v>
      </c>
      <c r="D1864" s="405" t="str">
        <f t="shared" si="234"/>
        <v>（株）河野住建</v>
      </c>
      <c r="E1864" s="405" t="str">
        <f t="shared" si="235"/>
        <v>代表取締役</v>
      </c>
      <c r="F1864" s="405" t="str">
        <f t="shared" si="236"/>
        <v>河野　満夫</v>
      </c>
      <c r="G1864" s="405" t="str">
        <f t="shared" si="237"/>
        <v>主たる営業所</v>
      </c>
      <c r="H1864" s="405" t="str">
        <f t="shared" si="238"/>
        <v>佐伯市弥生大字井崎１７８５</v>
      </c>
      <c r="L1864" s="403" t="s">
        <v>11639</v>
      </c>
      <c r="M1864" s="403" t="s">
        <v>11640</v>
      </c>
      <c r="N1864" s="403" t="s">
        <v>4846</v>
      </c>
      <c r="O1864" s="403" t="s">
        <v>7084</v>
      </c>
      <c r="P1864" s="403" t="s">
        <v>4847</v>
      </c>
      <c r="Q1864" s="403" t="s">
        <v>8486</v>
      </c>
      <c r="R1864" s="403" t="s">
        <v>5691</v>
      </c>
      <c r="S1864" s="403" t="s">
        <v>17310</v>
      </c>
      <c r="T1864" s="403" t="s">
        <v>17311</v>
      </c>
      <c r="U1864" s="403"/>
      <c r="V1864" s="403" t="s">
        <v>23024</v>
      </c>
      <c r="W1864" s="403" t="s">
        <v>23024</v>
      </c>
      <c r="X1864" s="403" t="s">
        <v>23024</v>
      </c>
      <c r="Y1864" s="403" t="s">
        <v>23024</v>
      </c>
    </row>
    <row r="1865" spans="1:25">
      <c r="A1865" s="363">
        <f t="shared" si="239"/>
        <v>1864</v>
      </c>
      <c r="B1865" s="363" t="str">
        <f t="shared" si="232"/>
        <v>44</v>
      </c>
      <c r="C1865" s="405" t="str">
        <f t="shared" si="233"/>
        <v>第014433号</v>
      </c>
      <c r="D1865" s="405" t="str">
        <f t="shared" si="234"/>
        <v>（株）中尾工務店</v>
      </c>
      <c r="E1865" s="405" t="str">
        <f t="shared" si="235"/>
        <v>代表取締役</v>
      </c>
      <c r="F1865" s="405" t="str">
        <f t="shared" si="236"/>
        <v>中尾　光生</v>
      </c>
      <c r="G1865" s="405" t="str">
        <f t="shared" si="237"/>
        <v>主たる営業所</v>
      </c>
      <c r="H1865" s="405" t="str">
        <f t="shared" si="238"/>
        <v>中津市大字蛎瀬８１７－１</v>
      </c>
      <c r="L1865" s="403" t="s">
        <v>11641</v>
      </c>
      <c r="M1865" s="403" t="s">
        <v>11642</v>
      </c>
      <c r="N1865" s="403" t="s">
        <v>4848</v>
      </c>
      <c r="O1865" s="403" t="s">
        <v>7084</v>
      </c>
      <c r="P1865" s="403" t="s">
        <v>4849</v>
      </c>
      <c r="Q1865" s="403" t="s">
        <v>10123</v>
      </c>
      <c r="R1865" s="403" t="s">
        <v>20286</v>
      </c>
      <c r="S1865" s="403" t="s">
        <v>17312</v>
      </c>
      <c r="T1865" s="403" t="s">
        <v>17313</v>
      </c>
      <c r="U1865" s="403"/>
      <c r="V1865" s="403" t="s">
        <v>23024</v>
      </c>
      <c r="W1865" s="403" t="s">
        <v>23024</v>
      </c>
      <c r="X1865" s="403" t="s">
        <v>23024</v>
      </c>
      <c r="Y1865" s="403" t="s">
        <v>23024</v>
      </c>
    </row>
    <row r="1866" spans="1:25">
      <c r="A1866" s="363">
        <f t="shared" si="239"/>
        <v>1865</v>
      </c>
      <c r="B1866" s="363" t="str">
        <f t="shared" si="232"/>
        <v>44</v>
      </c>
      <c r="C1866" s="405" t="str">
        <f t="shared" si="233"/>
        <v>第014445号</v>
      </c>
      <c r="D1866" s="405" t="str">
        <f t="shared" si="234"/>
        <v>（株）弘栄</v>
      </c>
      <c r="E1866" s="405" t="str">
        <f t="shared" si="235"/>
        <v>代表取締役</v>
      </c>
      <c r="F1866" s="405" t="str">
        <f t="shared" si="236"/>
        <v>室屋　里美</v>
      </c>
      <c r="G1866" s="405" t="str">
        <f t="shared" si="237"/>
        <v>主たる営業所</v>
      </c>
      <c r="H1866" s="405" t="str">
        <f t="shared" si="238"/>
        <v>豊後高田市呉崎７５５－４５</v>
      </c>
      <c r="L1866" s="403" t="s">
        <v>11643</v>
      </c>
      <c r="M1866" s="403" t="s">
        <v>11496</v>
      </c>
      <c r="N1866" s="403" t="s">
        <v>4851</v>
      </c>
      <c r="O1866" s="403" t="s">
        <v>7084</v>
      </c>
      <c r="P1866" s="403" t="s">
        <v>4852</v>
      </c>
      <c r="Q1866" s="403" t="s">
        <v>7684</v>
      </c>
      <c r="R1866" s="403" t="s">
        <v>20287</v>
      </c>
      <c r="S1866" s="403" t="s">
        <v>17314</v>
      </c>
      <c r="T1866" s="403" t="s">
        <v>17315</v>
      </c>
      <c r="U1866" s="403"/>
      <c r="V1866" s="403" t="s">
        <v>23024</v>
      </c>
      <c r="W1866" s="403" t="s">
        <v>23024</v>
      </c>
      <c r="X1866" s="403" t="s">
        <v>23024</v>
      </c>
      <c r="Y1866" s="403" t="s">
        <v>23024</v>
      </c>
    </row>
    <row r="1867" spans="1:25">
      <c r="A1867" s="363">
        <f t="shared" si="239"/>
        <v>1866</v>
      </c>
      <c r="B1867" s="363" t="str">
        <f t="shared" si="232"/>
        <v>44</v>
      </c>
      <c r="C1867" s="405" t="str">
        <f t="shared" si="233"/>
        <v>第014457号</v>
      </c>
      <c r="D1867" s="405" t="str">
        <f t="shared" si="234"/>
        <v>（株）ヤマト緑化</v>
      </c>
      <c r="E1867" s="405" t="str">
        <f t="shared" si="235"/>
        <v>代表取締役</v>
      </c>
      <c r="F1867" s="405" t="str">
        <f t="shared" si="236"/>
        <v>草原　陵</v>
      </c>
      <c r="G1867" s="405" t="str">
        <f t="shared" si="237"/>
        <v>主たる営業所</v>
      </c>
      <c r="H1867" s="405" t="str">
        <f t="shared" si="238"/>
        <v>大分市金池町１－５－８菅ビル４階</v>
      </c>
      <c r="L1867" s="403" t="s">
        <v>11644</v>
      </c>
      <c r="M1867" s="403" t="s">
        <v>11645</v>
      </c>
      <c r="N1867" s="403" t="s">
        <v>4853</v>
      </c>
      <c r="O1867" s="403" t="s">
        <v>7084</v>
      </c>
      <c r="P1867" s="403" t="s">
        <v>5276</v>
      </c>
      <c r="Q1867" s="403" t="s">
        <v>9903</v>
      </c>
      <c r="R1867" s="403" t="s">
        <v>20288</v>
      </c>
      <c r="S1867" s="403" t="s">
        <v>17316</v>
      </c>
      <c r="T1867" s="403" t="s">
        <v>17317</v>
      </c>
      <c r="U1867" s="403"/>
      <c r="V1867" s="403" t="s">
        <v>23024</v>
      </c>
      <c r="W1867" s="403" t="s">
        <v>23024</v>
      </c>
      <c r="X1867" s="403" t="s">
        <v>23024</v>
      </c>
      <c r="Y1867" s="403" t="s">
        <v>23024</v>
      </c>
    </row>
    <row r="1868" spans="1:25">
      <c r="A1868" s="363">
        <f t="shared" si="239"/>
        <v>1867</v>
      </c>
      <c r="B1868" s="363" t="str">
        <f t="shared" si="232"/>
        <v>44</v>
      </c>
      <c r="C1868" s="405" t="str">
        <f t="shared" si="233"/>
        <v>第014460号</v>
      </c>
      <c r="D1868" s="405" t="str">
        <f t="shared" si="234"/>
        <v>平興業（有）</v>
      </c>
      <c r="E1868" s="405" t="str">
        <f t="shared" si="235"/>
        <v>代表取締役</v>
      </c>
      <c r="F1868" s="405" t="str">
        <f t="shared" si="236"/>
        <v>平山　香</v>
      </c>
      <c r="G1868" s="405" t="str">
        <f t="shared" si="237"/>
        <v>主たる営業所</v>
      </c>
      <c r="H1868" s="405" t="str">
        <f t="shared" si="238"/>
        <v>佐伯市女島３－１０４４７－４　Ｖｉｃｔｏｉｒｅ１０１</v>
      </c>
      <c r="L1868" s="403" t="s">
        <v>11646</v>
      </c>
      <c r="M1868" s="403" t="s">
        <v>11647</v>
      </c>
      <c r="N1868" s="403" t="s">
        <v>4854</v>
      </c>
      <c r="O1868" s="403" t="s">
        <v>7084</v>
      </c>
      <c r="P1868" s="403" t="s">
        <v>4855</v>
      </c>
      <c r="Q1868" s="403" t="s">
        <v>7842</v>
      </c>
      <c r="R1868" s="403" t="s">
        <v>20289</v>
      </c>
      <c r="S1868" s="403" t="s">
        <v>17318</v>
      </c>
      <c r="T1868" s="403" t="s">
        <v>17318</v>
      </c>
      <c r="U1868" s="403"/>
      <c r="V1868" s="403" t="s">
        <v>23024</v>
      </c>
      <c r="W1868" s="403" t="s">
        <v>23024</v>
      </c>
      <c r="X1868" s="403" t="s">
        <v>23024</v>
      </c>
      <c r="Y1868" s="403" t="s">
        <v>23024</v>
      </c>
    </row>
    <row r="1869" spans="1:25">
      <c r="A1869" s="363">
        <f t="shared" si="239"/>
        <v>1868</v>
      </c>
      <c r="B1869" s="363" t="str">
        <f t="shared" si="232"/>
        <v>44</v>
      </c>
      <c r="C1869" s="405" t="str">
        <f t="shared" si="233"/>
        <v>第014465号</v>
      </c>
      <c r="D1869" s="405" t="str">
        <f t="shared" si="234"/>
        <v>（株）ミギワ</v>
      </c>
      <c r="E1869" s="405" t="str">
        <f t="shared" si="235"/>
        <v>代表取締役</v>
      </c>
      <c r="F1869" s="405" t="str">
        <f t="shared" si="236"/>
        <v>平野　かな女</v>
      </c>
      <c r="G1869" s="405" t="str">
        <f t="shared" si="237"/>
        <v>主たる営業所</v>
      </c>
      <c r="H1869" s="405" t="str">
        <f t="shared" si="238"/>
        <v>大分市大字宮河内１６６３－４４</v>
      </c>
      <c r="L1869" s="403" t="s">
        <v>11648</v>
      </c>
      <c r="M1869" s="403" t="s">
        <v>11649</v>
      </c>
      <c r="N1869" s="403" t="s">
        <v>4856</v>
      </c>
      <c r="O1869" s="403" t="s">
        <v>7084</v>
      </c>
      <c r="P1869" s="403" t="s">
        <v>4857</v>
      </c>
      <c r="Q1869" s="403" t="s">
        <v>11650</v>
      </c>
      <c r="R1869" s="403" t="s">
        <v>20290</v>
      </c>
      <c r="S1869" s="403" t="s">
        <v>17319</v>
      </c>
      <c r="T1869" s="403" t="s">
        <v>17319</v>
      </c>
      <c r="U1869" s="403"/>
      <c r="V1869" s="403" t="s">
        <v>23024</v>
      </c>
      <c r="W1869" s="403" t="s">
        <v>23024</v>
      </c>
      <c r="X1869" s="403" t="s">
        <v>23024</v>
      </c>
      <c r="Y1869" s="403" t="s">
        <v>23024</v>
      </c>
    </row>
    <row r="1870" spans="1:25">
      <c r="A1870" s="363">
        <f t="shared" si="239"/>
        <v>1869</v>
      </c>
      <c r="B1870" s="363" t="str">
        <f t="shared" si="232"/>
        <v>44</v>
      </c>
      <c r="C1870" s="405" t="str">
        <f t="shared" si="233"/>
        <v>第014474号</v>
      </c>
      <c r="D1870" s="405" t="str">
        <f t="shared" si="234"/>
        <v>（株）サカイ</v>
      </c>
      <c r="E1870" s="405" t="str">
        <f t="shared" si="235"/>
        <v>代表取締役</v>
      </c>
      <c r="F1870" s="405" t="str">
        <f t="shared" si="236"/>
        <v>酒井　一樹</v>
      </c>
      <c r="G1870" s="405" t="str">
        <f t="shared" si="237"/>
        <v>主たる営業所</v>
      </c>
      <c r="H1870" s="405" t="str">
        <f t="shared" si="238"/>
        <v>日田市大字羽田１４８０</v>
      </c>
      <c r="L1870" s="403" t="s">
        <v>11651</v>
      </c>
      <c r="M1870" s="403" t="s">
        <v>11652</v>
      </c>
      <c r="N1870" s="403" t="s">
        <v>4858</v>
      </c>
      <c r="O1870" s="403" t="s">
        <v>7084</v>
      </c>
      <c r="P1870" s="403" t="s">
        <v>5277</v>
      </c>
      <c r="Q1870" s="403" t="s">
        <v>11653</v>
      </c>
      <c r="R1870" s="403" t="s">
        <v>5692</v>
      </c>
      <c r="S1870" s="403" t="s">
        <v>17320</v>
      </c>
      <c r="T1870" s="403" t="s">
        <v>17321</v>
      </c>
      <c r="U1870" s="403"/>
      <c r="V1870" s="403" t="s">
        <v>23024</v>
      </c>
      <c r="W1870" s="403" t="s">
        <v>23024</v>
      </c>
      <c r="X1870" s="403" t="s">
        <v>23024</v>
      </c>
      <c r="Y1870" s="403" t="s">
        <v>23024</v>
      </c>
    </row>
    <row r="1871" spans="1:25">
      <c r="A1871" s="363">
        <f t="shared" si="239"/>
        <v>1870</v>
      </c>
      <c r="B1871" s="363" t="str">
        <f t="shared" si="232"/>
        <v>44</v>
      </c>
      <c r="C1871" s="405" t="str">
        <f t="shared" si="233"/>
        <v>第014477号</v>
      </c>
      <c r="D1871" s="405" t="str">
        <f t="shared" si="234"/>
        <v>（株）田嶋電気</v>
      </c>
      <c r="E1871" s="405" t="str">
        <f t="shared" si="235"/>
        <v>代表取締役</v>
      </c>
      <c r="F1871" s="405" t="str">
        <f t="shared" si="236"/>
        <v>田嶋　涼平</v>
      </c>
      <c r="G1871" s="405" t="str">
        <f t="shared" si="237"/>
        <v>主たる営業所</v>
      </c>
      <c r="H1871" s="405" t="str">
        <f t="shared" si="238"/>
        <v>大分市大字佐野４２９３</v>
      </c>
      <c r="L1871" s="403" t="s">
        <v>20291</v>
      </c>
      <c r="M1871" s="403" t="s">
        <v>20292</v>
      </c>
      <c r="N1871" s="403" t="s">
        <v>20293</v>
      </c>
      <c r="O1871" s="403" t="s">
        <v>7084</v>
      </c>
      <c r="P1871" s="403" t="s">
        <v>20294</v>
      </c>
      <c r="Q1871" s="403" t="s">
        <v>10247</v>
      </c>
      <c r="R1871" s="403" t="s">
        <v>20295</v>
      </c>
      <c r="S1871" s="403" t="s">
        <v>20296</v>
      </c>
      <c r="T1871" s="403">
        <v>0</v>
      </c>
      <c r="U1871" s="403"/>
      <c r="V1871" s="403" t="s">
        <v>23024</v>
      </c>
      <c r="W1871" s="403" t="s">
        <v>23024</v>
      </c>
      <c r="X1871" s="403" t="s">
        <v>23024</v>
      </c>
      <c r="Y1871" s="403" t="s">
        <v>23024</v>
      </c>
    </row>
    <row r="1872" spans="1:25">
      <c r="A1872" s="363">
        <f t="shared" si="239"/>
        <v>1871</v>
      </c>
      <c r="B1872" s="363" t="str">
        <f t="shared" si="232"/>
        <v>44</v>
      </c>
      <c r="C1872" s="405" t="str">
        <f t="shared" si="233"/>
        <v>第014478号</v>
      </c>
      <c r="D1872" s="405" t="str">
        <f t="shared" si="234"/>
        <v>（有）セーライト</v>
      </c>
      <c r="E1872" s="405" t="str">
        <f t="shared" si="235"/>
        <v>取締役</v>
      </c>
      <c r="F1872" s="405" t="str">
        <f t="shared" si="236"/>
        <v>黒土　かおり</v>
      </c>
      <c r="G1872" s="405" t="str">
        <f t="shared" si="237"/>
        <v>主たる営業所</v>
      </c>
      <c r="H1872" s="405" t="str">
        <f t="shared" si="238"/>
        <v>中津市三光諌山１３１０－３</v>
      </c>
      <c r="L1872" s="403" t="s">
        <v>11654</v>
      </c>
      <c r="M1872" s="403" t="s">
        <v>11655</v>
      </c>
      <c r="N1872" s="403" t="s">
        <v>4859</v>
      </c>
      <c r="O1872" s="403" t="s">
        <v>7085</v>
      </c>
      <c r="P1872" s="403" t="s">
        <v>4860</v>
      </c>
      <c r="Q1872" s="403" t="s">
        <v>11656</v>
      </c>
      <c r="R1872" s="403" t="s">
        <v>20297</v>
      </c>
      <c r="S1872" s="403" t="s">
        <v>17322</v>
      </c>
      <c r="T1872" s="403" t="s">
        <v>17323</v>
      </c>
      <c r="U1872" s="403"/>
      <c r="V1872" s="403" t="s">
        <v>23024</v>
      </c>
      <c r="W1872" s="403" t="s">
        <v>23024</v>
      </c>
      <c r="X1872" s="403" t="s">
        <v>23024</v>
      </c>
      <c r="Y1872" s="403" t="s">
        <v>23024</v>
      </c>
    </row>
    <row r="1873" spans="1:25">
      <c r="A1873" s="363">
        <f t="shared" si="239"/>
        <v>1872</v>
      </c>
      <c r="B1873" s="363" t="str">
        <f t="shared" si="232"/>
        <v>44</v>
      </c>
      <c r="C1873" s="405" t="str">
        <f t="shared" si="233"/>
        <v>第014482号</v>
      </c>
      <c r="D1873" s="405" t="str">
        <f t="shared" si="234"/>
        <v>谷川建設工業（株）</v>
      </c>
      <c r="E1873" s="405" t="str">
        <f t="shared" si="235"/>
        <v>代表取締役</v>
      </c>
      <c r="F1873" s="405" t="str">
        <f t="shared" si="236"/>
        <v>谷川　憲一</v>
      </c>
      <c r="G1873" s="405" t="str">
        <f t="shared" si="237"/>
        <v>主たる営業所</v>
      </c>
      <c r="H1873" s="405" t="str">
        <f t="shared" si="238"/>
        <v>佐伯市常盤南町８－３３</v>
      </c>
      <c r="L1873" s="403" t="s">
        <v>11657</v>
      </c>
      <c r="M1873" s="403" t="s">
        <v>11658</v>
      </c>
      <c r="N1873" s="403" t="s">
        <v>4861</v>
      </c>
      <c r="O1873" s="403" t="s">
        <v>7084</v>
      </c>
      <c r="P1873" s="403" t="s">
        <v>4862</v>
      </c>
      <c r="Q1873" s="403" t="s">
        <v>11659</v>
      </c>
      <c r="R1873" s="403" t="s">
        <v>20298</v>
      </c>
      <c r="S1873" s="403" t="s">
        <v>17324</v>
      </c>
      <c r="T1873" s="403" t="s">
        <v>17325</v>
      </c>
      <c r="U1873" s="403"/>
      <c r="V1873" s="403" t="s">
        <v>23024</v>
      </c>
      <c r="W1873" s="403" t="s">
        <v>23024</v>
      </c>
      <c r="X1873" s="403" t="s">
        <v>23024</v>
      </c>
      <c r="Y1873" s="403" t="s">
        <v>23024</v>
      </c>
    </row>
    <row r="1874" spans="1:25">
      <c r="A1874" s="363">
        <f t="shared" si="239"/>
        <v>1873</v>
      </c>
      <c r="B1874" s="363" t="str">
        <f t="shared" si="232"/>
        <v>44</v>
      </c>
      <c r="C1874" s="405" t="str">
        <f t="shared" si="233"/>
        <v>第014485号</v>
      </c>
      <c r="D1874" s="405" t="str">
        <f t="shared" si="234"/>
        <v>（株）藤建工業</v>
      </c>
      <c r="E1874" s="405" t="str">
        <f t="shared" si="235"/>
        <v>代表取締役</v>
      </c>
      <c r="F1874" s="405" t="str">
        <f t="shared" si="236"/>
        <v>和田　和幸</v>
      </c>
      <c r="G1874" s="405" t="str">
        <f t="shared" si="237"/>
        <v>主たる営業所</v>
      </c>
      <c r="H1874" s="405" t="str">
        <f t="shared" si="238"/>
        <v>速見郡日出町大字川崎２２３３－１</v>
      </c>
      <c r="L1874" s="403" t="s">
        <v>11660</v>
      </c>
      <c r="M1874" s="403" t="s">
        <v>11360</v>
      </c>
      <c r="N1874" s="403" t="s">
        <v>4863</v>
      </c>
      <c r="O1874" s="403" t="s">
        <v>7084</v>
      </c>
      <c r="P1874" s="403" t="s">
        <v>4864</v>
      </c>
      <c r="Q1874" s="403" t="s">
        <v>7590</v>
      </c>
      <c r="R1874" s="403" t="s">
        <v>19152</v>
      </c>
      <c r="S1874" s="403" t="s">
        <v>17326</v>
      </c>
      <c r="T1874" s="403" t="s">
        <v>15304</v>
      </c>
      <c r="U1874" s="403"/>
      <c r="V1874" s="403" t="s">
        <v>23024</v>
      </c>
      <c r="W1874" s="403" t="s">
        <v>23024</v>
      </c>
      <c r="X1874" s="403" t="s">
        <v>23024</v>
      </c>
      <c r="Y1874" s="403" t="s">
        <v>23024</v>
      </c>
    </row>
    <row r="1875" spans="1:25">
      <c r="A1875" s="363">
        <f t="shared" si="239"/>
        <v>1874</v>
      </c>
      <c r="B1875" s="363" t="str">
        <f t="shared" si="232"/>
        <v>44</v>
      </c>
      <c r="C1875" s="405" t="str">
        <f t="shared" si="233"/>
        <v>第014486号</v>
      </c>
      <c r="D1875" s="405" t="str">
        <f t="shared" si="234"/>
        <v>（株）ＭＡＴＳＵＤＡ</v>
      </c>
      <c r="E1875" s="405" t="str">
        <f t="shared" si="235"/>
        <v>代表取締役</v>
      </c>
      <c r="F1875" s="405" t="str">
        <f t="shared" si="236"/>
        <v>松田　要助</v>
      </c>
      <c r="G1875" s="405" t="str">
        <f t="shared" si="237"/>
        <v>主たる営業所</v>
      </c>
      <c r="H1875" s="405" t="str">
        <f t="shared" si="238"/>
        <v>大分市大在北３－１２－２６コモジャス壱番館２０１</v>
      </c>
      <c r="L1875" s="403" t="s">
        <v>11661</v>
      </c>
      <c r="M1875" s="403" t="s">
        <v>11662</v>
      </c>
      <c r="N1875" s="403" t="s">
        <v>4865</v>
      </c>
      <c r="O1875" s="403" t="s">
        <v>7084</v>
      </c>
      <c r="P1875" s="403" t="s">
        <v>4866</v>
      </c>
      <c r="Q1875" s="403" t="s">
        <v>10181</v>
      </c>
      <c r="R1875" s="403" t="s">
        <v>20299</v>
      </c>
      <c r="S1875" s="403" t="s">
        <v>17327</v>
      </c>
      <c r="T1875" s="403" t="s">
        <v>17328</v>
      </c>
      <c r="U1875" s="403"/>
      <c r="V1875" s="403" t="s">
        <v>23024</v>
      </c>
      <c r="W1875" s="403" t="s">
        <v>23024</v>
      </c>
      <c r="X1875" s="403" t="s">
        <v>23024</v>
      </c>
      <c r="Y1875" s="403" t="s">
        <v>23024</v>
      </c>
    </row>
    <row r="1876" spans="1:25">
      <c r="A1876" s="363">
        <f t="shared" si="239"/>
        <v>1875</v>
      </c>
      <c r="B1876" s="363" t="str">
        <f t="shared" si="232"/>
        <v>44</v>
      </c>
      <c r="C1876" s="405" t="str">
        <f t="shared" si="233"/>
        <v>第014491号</v>
      </c>
      <c r="D1876" s="405" t="str">
        <f t="shared" si="234"/>
        <v>（株）花牟礼冷設</v>
      </c>
      <c r="E1876" s="405" t="str">
        <f t="shared" si="235"/>
        <v>代表取締役</v>
      </c>
      <c r="F1876" s="405" t="str">
        <f t="shared" si="236"/>
        <v>伊藤　真一郎</v>
      </c>
      <c r="G1876" s="405" t="str">
        <f t="shared" si="237"/>
        <v>主たる営業所</v>
      </c>
      <c r="H1876" s="405" t="str">
        <f t="shared" si="238"/>
        <v>大分市大字曲字一ノ瀬８５４－１</v>
      </c>
      <c r="L1876" s="403" t="s">
        <v>11663</v>
      </c>
      <c r="M1876" s="403" t="s">
        <v>11664</v>
      </c>
      <c r="N1876" s="403" t="s">
        <v>4867</v>
      </c>
      <c r="O1876" s="403" t="s">
        <v>7084</v>
      </c>
      <c r="P1876" s="403" t="s">
        <v>4868</v>
      </c>
      <c r="Q1876" s="403" t="s">
        <v>9339</v>
      </c>
      <c r="R1876" s="403" t="s">
        <v>20300</v>
      </c>
      <c r="S1876" s="403" t="s">
        <v>17329</v>
      </c>
      <c r="T1876" s="403" t="s">
        <v>17330</v>
      </c>
      <c r="U1876" s="403"/>
      <c r="V1876" s="403" t="s">
        <v>23024</v>
      </c>
      <c r="W1876" s="403" t="s">
        <v>23024</v>
      </c>
      <c r="X1876" s="403" t="s">
        <v>23024</v>
      </c>
      <c r="Y1876" s="403" t="s">
        <v>23024</v>
      </c>
    </row>
    <row r="1877" spans="1:25">
      <c r="A1877" s="363">
        <f t="shared" si="239"/>
        <v>1876</v>
      </c>
      <c r="B1877" s="363" t="str">
        <f t="shared" si="232"/>
        <v>44</v>
      </c>
      <c r="C1877" s="405" t="str">
        <f t="shared" si="233"/>
        <v>第014493号</v>
      </c>
      <c r="D1877" s="405" t="str">
        <f t="shared" si="234"/>
        <v>（株）ぶんごシステム建設工業</v>
      </c>
      <c r="E1877" s="405" t="str">
        <f t="shared" si="235"/>
        <v>代表取締役</v>
      </c>
      <c r="F1877" s="405" t="str">
        <f t="shared" si="236"/>
        <v>中野　満</v>
      </c>
      <c r="G1877" s="405" t="str">
        <f t="shared" si="237"/>
        <v>主たる営業所</v>
      </c>
      <c r="H1877" s="405" t="str">
        <f t="shared" si="238"/>
        <v>大分市東大道１－８－３４－５１１</v>
      </c>
      <c r="L1877" s="403" t="s">
        <v>11665</v>
      </c>
      <c r="M1877" s="403" t="s">
        <v>11666</v>
      </c>
      <c r="N1877" s="403" t="s">
        <v>4869</v>
      </c>
      <c r="O1877" s="403" t="s">
        <v>7084</v>
      </c>
      <c r="P1877" s="403" t="s">
        <v>4870</v>
      </c>
      <c r="Q1877" s="403" t="s">
        <v>7354</v>
      </c>
      <c r="R1877" s="403" t="s">
        <v>20301</v>
      </c>
      <c r="S1877" s="403" t="s">
        <v>17331</v>
      </c>
      <c r="T1877" s="403" t="s">
        <v>17332</v>
      </c>
      <c r="U1877" s="403"/>
      <c r="V1877" s="403" t="s">
        <v>23024</v>
      </c>
      <c r="W1877" s="403" t="s">
        <v>23024</v>
      </c>
      <c r="X1877" s="403" t="s">
        <v>23024</v>
      </c>
      <c r="Y1877" s="403" t="s">
        <v>23024</v>
      </c>
    </row>
    <row r="1878" spans="1:25">
      <c r="A1878" s="363">
        <f t="shared" si="239"/>
        <v>1877</v>
      </c>
      <c r="B1878" s="363" t="str">
        <f t="shared" si="232"/>
        <v>44</v>
      </c>
      <c r="C1878" s="405" t="str">
        <f t="shared" si="233"/>
        <v>第014495号</v>
      </c>
      <c r="D1878" s="405" t="str">
        <f t="shared" si="234"/>
        <v>（株）堀建設工業</v>
      </c>
      <c r="E1878" s="405" t="str">
        <f t="shared" si="235"/>
        <v>代表取締役</v>
      </c>
      <c r="F1878" s="405" t="str">
        <f t="shared" si="236"/>
        <v>堀　敬三</v>
      </c>
      <c r="G1878" s="405" t="str">
        <f t="shared" si="237"/>
        <v>主たる営業所</v>
      </c>
      <c r="H1878" s="405" t="str">
        <f t="shared" si="238"/>
        <v>竹田市大字吉田１９９５－２</v>
      </c>
      <c r="L1878" s="403" t="s">
        <v>11667</v>
      </c>
      <c r="M1878" s="403" t="s">
        <v>11668</v>
      </c>
      <c r="N1878" s="403" t="s">
        <v>4871</v>
      </c>
      <c r="O1878" s="403" t="s">
        <v>7084</v>
      </c>
      <c r="P1878" s="403" t="s">
        <v>4872</v>
      </c>
      <c r="Q1878" s="403" t="s">
        <v>10359</v>
      </c>
      <c r="R1878" s="403" t="s">
        <v>20302</v>
      </c>
      <c r="S1878" s="403" t="s">
        <v>17333</v>
      </c>
      <c r="T1878" s="403" t="s">
        <v>17333</v>
      </c>
      <c r="U1878" s="403"/>
      <c r="V1878" s="403" t="s">
        <v>23024</v>
      </c>
      <c r="W1878" s="403" t="s">
        <v>23024</v>
      </c>
      <c r="X1878" s="403" t="s">
        <v>23024</v>
      </c>
      <c r="Y1878" s="403" t="s">
        <v>23024</v>
      </c>
    </row>
    <row r="1879" spans="1:25">
      <c r="A1879" s="363">
        <f t="shared" si="239"/>
        <v>1878</v>
      </c>
      <c r="B1879" s="363" t="str">
        <f t="shared" si="232"/>
        <v>44</v>
      </c>
      <c r="C1879" s="405" t="str">
        <f t="shared" si="233"/>
        <v>第014497号</v>
      </c>
      <c r="D1879" s="405" t="str">
        <f t="shared" si="234"/>
        <v>（有）ａｚｕｍａｔｅｃ</v>
      </c>
      <c r="E1879" s="405" t="str">
        <f t="shared" si="235"/>
        <v>代表取締役</v>
      </c>
      <c r="F1879" s="405" t="str">
        <f t="shared" si="236"/>
        <v>中野　潔</v>
      </c>
      <c r="G1879" s="405" t="str">
        <f t="shared" si="237"/>
        <v>主たる営業所</v>
      </c>
      <c r="H1879" s="405" t="str">
        <f t="shared" si="238"/>
        <v>大分市今津留２－２－９</v>
      </c>
      <c r="L1879" s="403" t="s">
        <v>20303</v>
      </c>
      <c r="M1879" s="403" t="s">
        <v>20304</v>
      </c>
      <c r="N1879" s="403" t="s">
        <v>20305</v>
      </c>
      <c r="O1879" s="403" t="s">
        <v>7084</v>
      </c>
      <c r="P1879" s="403" t="s">
        <v>20306</v>
      </c>
      <c r="Q1879" s="403" t="s">
        <v>11571</v>
      </c>
      <c r="R1879" s="403" t="s">
        <v>20307</v>
      </c>
      <c r="S1879" s="403" t="s">
        <v>20308</v>
      </c>
      <c r="T1879" s="403" t="s">
        <v>20309</v>
      </c>
      <c r="U1879" s="403"/>
      <c r="V1879" s="403" t="s">
        <v>23024</v>
      </c>
      <c r="W1879" s="403" t="s">
        <v>23024</v>
      </c>
      <c r="X1879" s="403" t="s">
        <v>23024</v>
      </c>
      <c r="Y1879" s="403" t="s">
        <v>23024</v>
      </c>
    </row>
    <row r="1880" spans="1:25">
      <c r="A1880" s="363">
        <f t="shared" si="239"/>
        <v>1879</v>
      </c>
      <c r="B1880" s="363" t="str">
        <f t="shared" si="232"/>
        <v>44</v>
      </c>
      <c r="C1880" s="405" t="str">
        <f t="shared" si="233"/>
        <v>第014499号</v>
      </c>
      <c r="D1880" s="405" t="str">
        <f t="shared" si="234"/>
        <v>（株）河村設備</v>
      </c>
      <c r="E1880" s="405" t="str">
        <f t="shared" si="235"/>
        <v>代表取締役</v>
      </c>
      <c r="F1880" s="405" t="str">
        <f t="shared" si="236"/>
        <v>河村　康詳</v>
      </c>
      <c r="G1880" s="405" t="str">
        <f t="shared" si="237"/>
        <v>主たる営業所</v>
      </c>
      <c r="H1880" s="405" t="str">
        <f t="shared" si="238"/>
        <v>佐伯市女島２－９０３７－６</v>
      </c>
      <c r="L1880" s="403" t="s">
        <v>11669</v>
      </c>
      <c r="M1880" s="403" t="s">
        <v>11670</v>
      </c>
      <c r="N1880" s="403" t="s">
        <v>4873</v>
      </c>
      <c r="O1880" s="403" t="s">
        <v>7084</v>
      </c>
      <c r="P1880" s="403" t="s">
        <v>4874</v>
      </c>
      <c r="Q1880" s="403" t="s">
        <v>7842</v>
      </c>
      <c r="R1880" s="403" t="s">
        <v>20310</v>
      </c>
      <c r="S1880" s="403" t="s">
        <v>17334</v>
      </c>
      <c r="T1880" s="403" t="s">
        <v>17334</v>
      </c>
      <c r="U1880" s="403"/>
      <c r="V1880" s="403" t="s">
        <v>23024</v>
      </c>
      <c r="W1880" s="403" t="s">
        <v>23024</v>
      </c>
      <c r="X1880" s="403" t="s">
        <v>23024</v>
      </c>
      <c r="Y1880" s="403" t="s">
        <v>23024</v>
      </c>
    </row>
    <row r="1881" spans="1:25">
      <c r="A1881" s="363">
        <f t="shared" si="239"/>
        <v>1880</v>
      </c>
      <c r="B1881" s="363" t="str">
        <f t="shared" si="232"/>
        <v>44</v>
      </c>
      <c r="C1881" s="405" t="str">
        <f t="shared" si="233"/>
        <v>第014509号</v>
      </c>
      <c r="D1881" s="405" t="str">
        <f t="shared" si="234"/>
        <v>（株）幸栄住建</v>
      </c>
      <c r="E1881" s="405" t="str">
        <f t="shared" si="235"/>
        <v>代表取締役</v>
      </c>
      <c r="F1881" s="405" t="str">
        <f t="shared" si="236"/>
        <v>宮崎　幸男</v>
      </c>
      <c r="G1881" s="405" t="str">
        <f t="shared" si="237"/>
        <v>主たる営業所</v>
      </c>
      <c r="H1881" s="405" t="str">
        <f t="shared" si="238"/>
        <v>杵築市山香町大字立石２１９０－２</v>
      </c>
      <c r="L1881" s="403" t="s">
        <v>11671</v>
      </c>
      <c r="M1881" s="403" t="s">
        <v>11672</v>
      </c>
      <c r="N1881" s="403" t="s">
        <v>4875</v>
      </c>
      <c r="O1881" s="403" t="s">
        <v>7084</v>
      </c>
      <c r="P1881" s="403" t="s">
        <v>5329</v>
      </c>
      <c r="Q1881" s="403" t="s">
        <v>10175</v>
      </c>
      <c r="R1881" s="403" t="s">
        <v>20311</v>
      </c>
      <c r="S1881" s="403" t="s">
        <v>17335</v>
      </c>
      <c r="T1881" s="403" t="s">
        <v>17336</v>
      </c>
      <c r="U1881" s="403"/>
      <c r="V1881" s="403" t="s">
        <v>23024</v>
      </c>
      <c r="W1881" s="403" t="s">
        <v>23024</v>
      </c>
      <c r="X1881" s="403" t="s">
        <v>23024</v>
      </c>
      <c r="Y1881" s="403" t="s">
        <v>23024</v>
      </c>
    </row>
    <row r="1882" spans="1:25">
      <c r="A1882" s="363">
        <f t="shared" si="239"/>
        <v>1881</v>
      </c>
      <c r="B1882" s="363" t="str">
        <f t="shared" si="232"/>
        <v>44</v>
      </c>
      <c r="C1882" s="405" t="str">
        <f t="shared" si="233"/>
        <v>第014512号</v>
      </c>
      <c r="D1882" s="405" t="str">
        <f t="shared" si="234"/>
        <v>（株）寿．</v>
      </c>
      <c r="E1882" s="405" t="str">
        <f t="shared" si="235"/>
        <v>代表取締役</v>
      </c>
      <c r="F1882" s="405" t="str">
        <f t="shared" si="236"/>
        <v>森崎　高吉</v>
      </c>
      <c r="G1882" s="405" t="str">
        <f t="shared" si="237"/>
        <v>主たる営業所</v>
      </c>
      <c r="H1882" s="405" t="str">
        <f t="shared" si="238"/>
        <v>佐伯市宇目大字千束２０４９－２</v>
      </c>
      <c r="L1882" s="403" t="s">
        <v>11673</v>
      </c>
      <c r="M1882" s="403" t="s">
        <v>11674</v>
      </c>
      <c r="N1882" s="403" t="s">
        <v>4876</v>
      </c>
      <c r="O1882" s="403" t="s">
        <v>7084</v>
      </c>
      <c r="P1882" s="403" t="s">
        <v>4877</v>
      </c>
      <c r="Q1882" s="403" t="s">
        <v>7848</v>
      </c>
      <c r="R1882" s="403" t="s">
        <v>18728</v>
      </c>
      <c r="S1882" s="403" t="s">
        <v>17337</v>
      </c>
      <c r="T1882" s="403" t="s">
        <v>14292</v>
      </c>
      <c r="U1882" s="403"/>
      <c r="V1882" s="403" t="s">
        <v>23024</v>
      </c>
      <c r="W1882" s="403" t="s">
        <v>23024</v>
      </c>
      <c r="X1882" s="403" t="s">
        <v>23024</v>
      </c>
      <c r="Y1882" s="403" t="s">
        <v>23024</v>
      </c>
    </row>
    <row r="1883" spans="1:25">
      <c r="A1883" s="363">
        <f t="shared" si="239"/>
        <v>1882</v>
      </c>
      <c r="B1883" s="363" t="str">
        <f t="shared" si="232"/>
        <v>44</v>
      </c>
      <c r="C1883" s="405" t="str">
        <f t="shared" si="233"/>
        <v>第014523号</v>
      </c>
      <c r="D1883" s="405" t="str">
        <f t="shared" si="234"/>
        <v>（株）グリーンハウスやよい</v>
      </c>
      <c r="E1883" s="405" t="str">
        <f t="shared" si="235"/>
        <v>代表取締役</v>
      </c>
      <c r="F1883" s="405" t="str">
        <f t="shared" si="236"/>
        <v>工藤　泰正</v>
      </c>
      <c r="G1883" s="405" t="str">
        <f t="shared" si="237"/>
        <v>主たる営業所</v>
      </c>
      <c r="H1883" s="405" t="str">
        <f t="shared" si="238"/>
        <v>佐伯市弥生大字井崎１３２８－１</v>
      </c>
      <c r="L1883" s="403" t="s">
        <v>11675</v>
      </c>
      <c r="M1883" s="403" t="s">
        <v>11676</v>
      </c>
      <c r="N1883" s="403" t="s">
        <v>4878</v>
      </c>
      <c r="O1883" s="403" t="s">
        <v>7084</v>
      </c>
      <c r="P1883" s="403" t="s">
        <v>4879</v>
      </c>
      <c r="Q1883" s="403" t="s">
        <v>8486</v>
      </c>
      <c r="R1883" s="403" t="s">
        <v>20312</v>
      </c>
      <c r="S1883" s="403" t="s">
        <v>17338</v>
      </c>
      <c r="T1883" s="403" t="s">
        <v>17339</v>
      </c>
      <c r="U1883" s="403"/>
      <c r="V1883" s="403" t="s">
        <v>23024</v>
      </c>
      <c r="W1883" s="403" t="s">
        <v>23024</v>
      </c>
      <c r="X1883" s="403" t="s">
        <v>23024</v>
      </c>
      <c r="Y1883" s="403" t="s">
        <v>23024</v>
      </c>
    </row>
    <row r="1884" spans="1:25">
      <c r="A1884" s="363">
        <f t="shared" si="239"/>
        <v>1883</v>
      </c>
      <c r="B1884" s="363" t="str">
        <f t="shared" si="232"/>
        <v>44</v>
      </c>
      <c r="C1884" s="405" t="str">
        <f t="shared" si="233"/>
        <v>第014528号</v>
      </c>
      <c r="D1884" s="405" t="str">
        <f t="shared" si="234"/>
        <v>九幸技建（株）</v>
      </c>
      <c r="E1884" s="405" t="str">
        <f t="shared" si="235"/>
        <v>代表取締役</v>
      </c>
      <c r="F1884" s="405" t="str">
        <f t="shared" si="236"/>
        <v>藤原　英子</v>
      </c>
      <c r="G1884" s="405" t="str">
        <f t="shared" si="237"/>
        <v>主たる営業所</v>
      </c>
      <c r="H1884" s="405" t="str">
        <f t="shared" si="238"/>
        <v>大分市大字片島２４５６－２１</v>
      </c>
      <c r="L1884" s="403" t="s">
        <v>11677</v>
      </c>
      <c r="M1884" s="403" t="s">
        <v>11678</v>
      </c>
      <c r="N1884" s="403" t="s">
        <v>4880</v>
      </c>
      <c r="O1884" s="403" t="s">
        <v>7084</v>
      </c>
      <c r="P1884" s="403" t="s">
        <v>4881</v>
      </c>
      <c r="Q1884" s="403" t="s">
        <v>8687</v>
      </c>
      <c r="R1884" s="403" t="s">
        <v>20313</v>
      </c>
      <c r="S1884" s="403" t="s">
        <v>17340</v>
      </c>
      <c r="T1884" s="403" t="s">
        <v>16266</v>
      </c>
      <c r="U1884" s="403"/>
      <c r="V1884" s="403" t="s">
        <v>23024</v>
      </c>
      <c r="W1884" s="403" t="s">
        <v>23024</v>
      </c>
      <c r="X1884" s="403" t="s">
        <v>23024</v>
      </c>
      <c r="Y1884" s="403" t="s">
        <v>23024</v>
      </c>
    </row>
    <row r="1885" spans="1:25">
      <c r="A1885" s="363">
        <f t="shared" si="239"/>
        <v>1884</v>
      </c>
      <c r="B1885" s="363" t="str">
        <f t="shared" si="232"/>
        <v>44</v>
      </c>
      <c r="C1885" s="405" t="str">
        <f t="shared" si="233"/>
        <v>第014530号</v>
      </c>
      <c r="D1885" s="405" t="str">
        <f t="shared" si="234"/>
        <v>（株）サトウ重建</v>
      </c>
      <c r="E1885" s="405" t="str">
        <f t="shared" si="235"/>
        <v>代表取締役</v>
      </c>
      <c r="F1885" s="405" t="str">
        <f t="shared" si="236"/>
        <v>佐藤　將仁</v>
      </c>
      <c r="G1885" s="405" t="str">
        <f t="shared" si="237"/>
        <v>主たる営業所</v>
      </c>
      <c r="H1885" s="405" t="str">
        <f t="shared" si="238"/>
        <v>竹田市直入町大字長湯８２４４－１</v>
      </c>
      <c r="L1885" s="403" t="s">
        <v>11679</v>
      </c>
      <c r="M1885" s="403" t="s">
        <v>11680</v>
      </c>
      <c r="N1885" s="403" t="s">
        <v>4882</v>
      </c>
      <c r="O1885" s="403" t="s">
        <v>7084</v>
      </c>
      <c r="P1885" s="403" t="s">
        <v>4883</v>
      </c>
      <c r="Q1885" s="403" t="s">
        <v>10766</v>
      </c>
      <c r="R1885" s="403" t="s">
        <v>20314</v>
      </c>
      <c r="S1885" s="403" t="s">
        <v>17341</v>
      </c>
      <c r="T1885" s="403" t="s">
        <v>17341</v>
      </c>
      <c r="U1885" s="403"/>
      <c r="V1885" s="403" t="s">
        <v>23024</v>
      </c>
      <c r="W1885" s="403" t="s">
        <v>23024</v>
      </c>
      <c r="X1885" s="403" t="s">
        <v>23024</v>
      </c>
      <c r="Y1885" s="403" t="s">
        <v>23024</v>
      </c>
    </row>
    <row r="1886" spans="1:25">
      <c r="A1886" s="363">
        <f t="shared" si="239"/>
        <v>1885</v>
      </c>
      <c r="B1886" s="363" t="str">
        <f t="shared" si="232"/>
        <v>44</v>
      </c>
      <c r="C1886" s="405" t="str">
        <f t="shared" si="233"/>
        <v>第014534号</v>
      </c>
      <c r="D1886" s="405" t="str">
        <f t="shared" si="234"/>
        <v>ティ・エス</v>
      </c>
      <c r="E1886" s="405" t="str">
        <f t="shared" si="235"/>
        <v>事業主</v>
      </c>
      <c r="F1886" s="405" t="str">
        <f t="shared" si="236"/>
        <v>須河内　由利子</v>
      </c>
      <c r="G1886" s="405" t="str">
        <f t="shared" si="237"/>
        <v>主たる営業所</v>
      </c>
      <c r="H1886" s="405" t="str">
        <f t="shared" si="238"/>
        <v>中津市大字蛎瀬３９１</v>
      </c>
      <c r="L1886" s="403" t="s">
        <v>11681</v>
      </c>
      <c r="M1886" s="403" t="s">
        <v>11682</v>
      </c>
      <c r="N1886" s="403" t="s">
        <v>4884</v>
      </c>
      <c r="O1886" s="403" t="s">
        <v>7088</v>
      </c>
      <c r="P1886" s="403" t="s">
        <v>4885</v>
      </c>
      <c r="Q1886" s="403" t="s">
        <v>10123</v>
      </c>
      <c r="R1886" s="403" t="s">
        <v>5693</v>
      </c>
      <c r="S1886" s="403" t="s">
        <v>17342</v>
      </c>
      <c r="T1886" s="403" t="s">
        <v>17343</v>
      </c>
      <c r="U1886" s="403"/>
      <c r="V1886" s="403" t="s">
        <v>23024</v>
      </c>
      <c r="W1886" s="403" t="s">
        <v>23024</v>
      </c>
      <c r="X1886" s="403" t="s">
        <v>23024</v>
      </c>
      <c r="Y1886" s="403" t="s">
        <v>23024</v>
      </c>
    </row>
    <row r="1887" spans="1:25">
      <c r="A1887" s="363">
        <f t="shared" si="239"/>
        <v>1886</v>
      </c>
      <c r="B1887" s="363" t="str">
        <f t="shared" si="232"/>
        <v>44</v>
      </c>
      <c r="C1887" s="405" t="str">
        <f t="shared" si="233"/>
        <v>第014540号</v>
      </c>
      <c r="D1887" s="405" t="str">
        <f t="shared" si="234"/>
        <v>（株）坂之上設備</v>
      </c>
      <c r="E1887" s="405" t="str">
        <f t="shared" si="235"/>
        <v>代表取締役</v>
      </c>
      <c r="F1887" s="405" t="str">
        <f t="shared" si="236"/>
        <v>坂之上　博昭</v>
      </c>
      <c r="G1887" s="405" t="str">
        <f t="shared" si="237"/>
        <v>主たる営業所</v>
      </c>
      <c r="H1887" s="405" t="str">
        <f t="shared" si="238"/>
        <v>大分市横塚１－１４－１５</v>
      </c>
      <c r="L1887" s="403" t="s">
        <v>20315</v>
      </c>
      <c r="M1887" s="403" t="s">
        <v>20316</v>
      </c>
      <c r="N1887" s="403" t="s">
        <v>20317</v>
      </c>
      <c r="O1887" s="403" t="s">
        <v>7084</v>
      </c>
      <c r="P1887" s="403" t="s">
        <v>20318</v>
      </c>
      <c r="Q1887" s="403" t="s">
        <v>10181</v>
      </c>
      <c r="R1887" s="403" t="s">
        <v>20319</v>
      </c>
      <c r="S1887" s="403" t="s">
        <v>20320</v>
      </c>
      <c r="T1887" s="403" t="s">
        <v>20321</v>
      </c>
      <c r="U1887" s="403"/>
      <c r="V1887" s="403" t="s">
        <v>23024</v>
      </c>
      <c r="W1887" s="403" t="s">
        <v>23024</v>
      </c>
      <c r="X1887" s="403" t="s">
        <v>23024</v>
      </c>
      <c r="Y1887" s="403" t="s">
        <v>23024</v>
      </c>
    </row>
    <row r="1888" spans="1:25">
      <c r="A1888" s="363">
        <f t="shared" si="239"/>
        <v>1887</v>
      </c>
      <c r="B1888" s="363" t="str">
        <f t="shared" si="232"/>
        <v>44</v>
      </c>
      <c r="C1888" s="405" t="str">
        <f t="shared" si="233"/>
        <v>第014542号</v>
      </c>
      <c r="D1888" s="405" t="str">
        <f t="shared" si="234"/>
        <v>輝一建設（株）</v>
      </c>
      <c r="E1888" s="405" t="str">
        <f t="shared" si="235"/>
        <v>代表取締役</v>
      </c>
      <c r="F1888" s="405" t="str">
        <f t="shared" si="236"/>
        <v>植山　芳里</v>
      </c>
      <c r="G1888" s="405" t="str">
        <f t="shared" si="237"/>
        <v>主たる営業所</v>
      </c>
      <c r="H1888" s="405" t="str">
        <f t="shared" si="238"/>
        <v>中津市大字大悟法７３７－４０</v>
      </c>
      <c r="L1888" s="403" t="s">
        <v>11683</v>
      </c>
      <c r="M1888" s="403" t="s">
        <v>11684</v>
      </c>
      <c r="N1888" s="403" t="s">
        <v>4886</v>
      </c>
      <c r="O1888" s="403" t="s">
        <v>7084</v>
      </c>
      <c r="P1888" s="403" t="s">
        <v>4887</v>
      </c>
      <c r="Q1888" s="403" t="s">
        <v>9629</v>
      </c>
      <c r="R1888" s="403" t="s">
        <v>20322</v>
      </c>
      <c r="S1888" s="403" t="s">
        <v>17344</v>
      </c>
      <c r="T1888" s="403" t="s">
        <v>17345</v>
      </c>
      <c r="U1888" s="403"/>
      <c r="V1888" s="403" t="s">
        <v>23024</v>
      </c>
      <c r="W1888" s="403" t="s">
        <v>23024</v>
      </c>
      <c r="X1888" s="403" t="s">
        <v>23024</v>
      </c>
      <c r="Y1888" s="403" t="s">
        <v>23024</v>
      </c>
    </row>
    <row r="1889" spans="1:25">
      <c r="A1889" s="363">
        <f t="shared" si="239"/>
        <v>1888</v>
      </c>
      <c r="B1889" s="363" t="str">
        <f t="shared" si="232"/>
        <v>44</v>
      </c>
      <c r="C1889" s="405" t="str">
        <f t="shared" si="233"/>
        <v>第014543号</v>
      </c>
      <c r="D1889" s="405" t="str">
        <f t="shared" si="234"/>
        <v>（株）天峰警備</v>
      </c>
      <c r="E1889" s="405" t="str">
        <f t="shared" si="235"/>
        <v>代表取締役</v>
      </c>
      <c r="F1889" s="405" t="str">
        <f t="shared" si="236"/>
        <v>恒崎　昇己</v>
      </c>
      <c r="G1889" s="405" t="str">
        <f t="shared" si="237"/>
        <v>主たる営業所</v>
      </c>
      <c r="H1889" s="405" t="str">
        <f t="shared" si="238"/>
        <v>中津市大字大貞字中ノ林３８３－７４</v>
      </c>
      <c r="L1889" s="403" t="s">
        <v>11685</v>
      </c>
      <c r="M1889" s="403" t="s">
        <v>11686</v>
      </c>
      <c r="N1889" s="403" t="s">
        <v>4888</v>
      </c>
      <c r="O1889" s="403" t="s">
        <v>7084</v>
      </c>
      <c r="P1889" s="403" t="s">
        <v>5330</v>
      </c>
      <c r="Q1889" s="403" t="s">
        <v>9475</v>
      </c>
      <c r="R1889" s="403" t="s">
        <v>20323</v>
      </c>
      <c r="S1889" s="403" t="s">
        <v>17346</v>
      </c>
      <c r="T1889" s="403" t="s">
        <v>17347</v>
      </c>
      <c r="U1889" s="403"/>
      <c r="V1889" s="403" t="s">
        <v>23024</v>
      </c>
      <c r="W1889" s="403" t="s">
        <v>23024</v>
      </c>
      <c r="X1889" s="403" t="s">
        <v>23024</v>
      </c>
      <c r="Y1889" s="403" t="s">
        <v>23024</v>
      </c>
    </row>
    <row r="1890" spans="1:25">
      <c r="A1890" s="363">
        <f t="shared" si="239"/>
        <v>1889</v>
      </c>
      <c r="B1890" s="363" t="str">
        <f t="shared" si="232"/>
        <v>44</v>
      </c>
      <c r="C1890" s="405" t="str">
        <f t="shared" si="233"/>
        <v>第014549号</v>
      </c>
      <c r="D1890" s="405" t="str">
        <f t="shared" si="234"/>
        <v>（株）嶋川電気</v>
      </c>
      <c r="E1890" s="405" t="str">
        <f t="shared" si="235"/>
        <v>代表取締役</v>
      </c>
      <c r="F1890" s="405" t="str">
        <f t="shared" si="236"/>
        <v>嶋川　圭一</v>
      </c>
      <c r="G1890" s="405" t="str">
        <f t="shared" si="237"/>
        <v>主たる営業所</v>
      </c>
      <c r="H1890" s="405" t="str">
        <f t="shared" si="238"/>
        <v>別府市平田町１５－２１</v>
      </c>
      <c r="L1890" s="403" t="s">
        <v>11687</v>
      </c>
      <c r="M1890" s="403" t="s">
        <v>11688</v>
      </c>
      <c r="N1890" s="403" t="s">
        <v>4890</v>
      </c>
      <c r="O1890" s="403" t="s">
        <v>7084</v>
      </c>
      <c r="P1890" s="403" t="s">
        <v>4891</v>
      </c>
      <c r="Q1890" s="403" t="s">
        <v>11689</v>
      </c>
      <c r="R1890" s="403" t="s">
        <v>20324</v>
      </c>
      <c r="S1890" s="403" t="s">
        <v>17348</v>
      </c>
      <c r="T1890" s="403" t="s">
        <v>20325</v>
      </c>
      <c r="U1890" s="403"/>
      <c r="V1890" s="403" t="s">
        <v>23024</v>
      </c>
      <c r="W1890" s="403" t="s">
        <v>23024</v>
      </c>
      <c r="X1890" s="403" t="s">
        <v>23024</v>
      </c>
      <c r="Y1890" s="403" t="s">
        <v>23024</v>
      </c>
    </row>
    <row r="1891" spans="1:25">
      <c r="A1891" s="363">
        <f t="shared" si="239"/>
        <v>1890</v>
      </c>
      <c r="B1891" s="363" t="str">
        <f t="shared" si="232"/>
        <v>44</v>
      </c>
      <c r="C1891" s="405" t="str">
        <f t="shared" si="233"/>
        <v>第014550号</v>
      </c>
      <c r="D1891" s="405" t="str">
        <f t="shared" si="234"/>
        <v>愛頼工業（株）</v>
      </c>
      <c r="E1891" s="405" t="str">
        <f t="shared" si="235"/>
        <v>代表取締役</v>
      </c>
      <c r="F1891" s="405" t="str">
        <f t="shared" si="236"/>
        <v>船瀬　知巳</v>
      </c>
      <c r="G1891" s="405" t="str">
        <f t="shared" si="237"/>
        <v>主たる営業所</v>
      </c>
      <c r="H1891" s="405" t="str">
        <f t="shared" si="238"/>
        <v>大分市角子原２－３－１４</v>
      </c>
      <c r="L1891" s="404" t="s">
        <v>11690</v>
      </c>
      <c r="M1891" s="404" t="s">
        <v>11691</v>
      </c>
      <c r="N1891" s="404" t="s">
        <v>4892</v>
      </c>
      <c r="O1891" s="404" t="s">
        <v>7084</v>
      </c>
      <c r="P1891" s="404" t="s">
        <v>4893</v>
      </c>
      <c r="Q1891" s="404" t="s">
        <v>10110</v>
      </c>
      <c r="R1891" s="404" t="s">
        <v>20326</v>
      </c>
      <c r="S1891" s="404" t="s">
        <v>17349</v>
      </c>
      <c r="T1891" s="404" t="s">
        <v>17350</v>
      </c>
      <c r="U1891" s="404"/>
      <c r="V1891" s="404" t="s">
        <v>23024</v>
      </c>
      <c r="W1891" s="404" t="s">
        <v>23024</v>
      </c>
      <c r="X1891" s="404" t="s">
        <v>23024</v>
      </c>
      <c r="Y1891" s="404" t="s">
        <v>23024</v>
      </c>
    </row>
    <row r="1892" spans="1:25">
      <c r="A1892" s="363">
        <f t="shared" si="239"/>
        <v>1891</v>
      </c>
      <c r="B1892" s="363" t="str">
        <f t="shared" si="232"/>
        <v>44</v>
      </c>
      <c r="C1892" s="405" t="str">
        <f t="shared" si="233"/>
        <v>第014557号</v>
      </c>
      <c r="D1892" s="405" t="str">
        <f t="shared" si="234"/>
        <v>（株）ガス設備</v>
      </c>
      <c r="E1892" s="405" t="str">
        <f t="shared" si="235"/>
        <v>代表取締役</v>
      </c>
      <c r="F1892" s="405" t="str">
        <f t="shared" si="236"/>
        <v>林　健一</v>
      </c>
      <c r="G1892" s="405" t="str">
        <f t="shared" si="237"/>
        <v>主たる営業所</v>
      </c>
      <c r="H1892" s="405" t="str">
        <f t="shared" si="238"/>
        <v>大分市大字鶴崎２１５４－１</v>
      </c>
      <c r="L1892" s="402" t="s">
        <v>20327</v>
      </c>
      <c r="M1892" s="402" t="s">
        <v>20328</v>
      </c>
      <c r="N1892" s="402" t="s">
        <v>20329</v>
      </c>
      <c r="O1892" s="402" t="s">
        <v>7084</v>
      </c>
      <c r="P1892" s="402" t="s">
        <v>20330</v>
      </c>
      <c r="Q1892" s="402" t="s">
        <v>7484</v>
      </c>
      <c r="R1892" s="402" t="s">
        <v>20331</v>
      </c>
      <c r="S1892" s="402" t="s">
        <v>20332</v>
      </c>
      <c r="T1892" s="402" t="s">
        <v>20333</v>
      </c>
      <c r="U1892" s="402"/>
      <c r="V1892" s="402" t="s">
        <v>23024</v>
      </c>
      <c r="W1892" s="402" t="s">
        <v>23024</v>
      </c>
      <c r="X1892" s="402" t="s">
        <v>23024</v>
      </c>
      <c r="Y1892" s="402" t="s">
        <v>23024</v>
      </c>
    </row>
    <row r="1893" spans="1:25">
      <c r="A1893" s="363">
        <f t="shared" si="239"/>
        <v>1892</v>
      </c>
      <c r="B1893" s="363" t="str">
        <f t="shared" si="232"/>
        <v>44</v>
      </c>
      <c r="C1893" s="405" t="str">
        <f t="shared" si="233"/>
        <v>第014558号</v>
      </c>
      <c r="D1893" s="405" t="str">
        <f t="shared" si="234"/>
        <v>（株）橋口電工</v>
      </c>
      <c r="E1893" s="405" t="str">
        <f t="shared" si="235"/>
        <v>代表取締役</v>
      </c>
      <c r="F1893" s="405" t="str">
        <f t="shared" si="236"/>
        <v>橋口　英治</v>
      </c>
      <c r="G1893" s="405" t="str">
        <f t="shared" si="237"/>
        <v>主たる営業所</v>
      </c>
      <c r="H1893" s="405" t="str">
        <f t="shared" si="238"/>
        <v>中津市大字犬丸２２８７－８</v>
      </c>
      <c r="L1893" s="403" t="s">
        <v>11692</v>
      </c>
      <c r="M1893" s="403" t="s">
        <v>11693</v>
      </c>
      <c r="N1893" s="403" t="s">
        <v>4894</v>
      </c>
      <c r="O1893" s="403" t="s">
        <v>7084</v>
      </c>
      <c r="P1893" s="403" t="s">
        <v>4895</v>
      </c>
      <c r="Q1893" s="403" t="s">
        <v>9242</v>
      </c>
      <c r="R1893" s="403" t="s">
        <v>20334</v>
      </c>
      <c r="S1893" s="403" t="s">
        <v>17351</v>
      </c>
      <c r="T1893" s="403" t="s">
        <v>17352</v>
      </c>
      <c r="U1893" s="403"/>
      <c r="V1893" s="403" t="s">
        <v>23024</v>
      </c>
      <c r="W1893" s="403" t="s">
        <v>23024</v>
      </c>
      <c r="X1893" s="403" t="s">
        <v>23024</v>
      </c>
      <c r="Y1893" s="403" t="s">
        <v>23024</v>
      </c>
    </row>
    <row r="1894" spans="1:25">
      <c r="A1894" s="363">
        <f t="shared" si="239"/>
        <v>1893</v>
      </c>
      <c r="B1894" s="363" t="str">
        <f t="shared" si="232"/>
        <v>44</v>
      </c>
      <c r="C1894" s="405" t="str">
        <f t="shared" si="233"/>
        <v>第014565号</v>
      </c>
      <c r="D1894" s="405" t="str">
        <f t="shared" si="234"/>
        <v>（株）コウノクラフト</v>
      </c>
      <c r="E1894" s="405" t="str">
        <f t="shared" si="235"/>
        <v>代表取締役</v>
      </c>
      <c r="F1894" s="405" t="str">
        <f t="shared" si="236"/>
        <v>河野　賢太</v>
      </c>
      <c r="G1894" s="405" t="str">
        <f t="shared" si="237"/>
        <v>主たる営業所</v>
      </c>
      <c r="H1894" s="405" t="str">
        <f t="shared" si="238"/>
        <v>大分市大字猪野７２３－９</v>
      </c>
      <c r="L1894" s="403" t="s">
        <v>20335</v>
      </c>
      <c r="M1894" s="403" t="s">
        <v>20336</v>
      </c>
      <c r="N1894" s="403" t="s">
        <v>20337</v>
      </c>
      <c r="O1894" s="403" t="s">
        <v>7084</v>
      </c>
      <c r="P1894" s="403" t="s">
        <v>20338</v>
      </c>
      <c r="Q1894" s="403" t="s">
        <v>8834</v>
      </c>
      <c r="R1894" s="403" t="s">
        <v>20339</v>
      </c>
      <c r="S1894" s="403" t="s">
        <v>20340</v>
      </c>
      <c r="T1894" s="403" t="s">
        <v>20341</v>
      </c>
      <c r="U1894" s="403"/>
      <c r="V1894" s="403" t="s">
        <v>23024</v>
      </c>
      <c r="W1894" s="403" t="s">
        <v>23024</v>
      </c>
      <c r="X1894" s="403" t="s">
        <v>23024</v>
      </c>
      <c r="Y1894" s="403" t="s">
        <v>23024</v>
      </c>
    </row>
    <row r="1895" spans="1:25">
      <c r="A1895" s="363">
        <f t="shared" si="239"/>
        <v>1894</v>
      </c>
      <c r="B1895" s="363" t="str">
        <f t="shared" si="232"/>
        <v>44</v>
      </c>
      <c r="C1895" s="405" t="str">
        <f t="shared" si="233"/>
        <v>第014568号</v>
      </c>
      <c r="D1895" s="405" t="str">
        <f t="shared" si="234"/>
        <v>（株）エイコウ技建</v>
      </c>
      <c r="E1895" s="405" t="str">
        <f t="shared" si="235"/>
        <v>代表取締役</v>
      </c>
      <c r="F1895" s="405" t="str">
        <f t="shared" si="236"/>
        <v>伊東　裕二</v>
      </c>
      <c r="G1895" s="405" t="str">
        <f t="shared" si="237"/>
        <v>主たる営業所</v>
      </c>
      <c r="H1895" s="405" t="str">
        <f t="shared" si="238"/>
        <v>大分市敷戸南町１１－４</v>
      </c>
      <c r="L1895" s="403" t="s">
        <v>11694</v>
      </c>
      <c r="M1895" s="403" t="s">
        <v>11695</v>
      </c>
      <c r="N1895" s="403" t="s">
        <v>4896</v>
      </c>
      <c r="O1895" s="403" t="s">
        <v>7084</v>
      </c>
      <c r="P1895" s="403" t="s">
        <v>4897</v>
      </c>
      <c r="Q1895" s="403" t="s">
        <v>11696</v>
      </c>
      <c r="R1895" s="403" t="s">
        <v>20342</v>
      </c>
      <c r="S1895" s="403" t="s">
        <v>17353</v>
      </c>
      <c r="T1895" s="403" t="s">
        <v>17354</v>
      </c>
      <c r="U1895" s="403"/>
      <c r="V1895" s="403" t="s">
        <v>23024</v>
      </c>
      <c r="W1895" s="403" t="s">
        <v>23024</v>
      </c>
      <c r="X1895" s="403" t="s">
        <v>23024</v>
      </c>
      <c r="Y1895" s="403" t="s">
        <v>23024</v>
      </c>
    </row>
    <row r="1896" spans="1:25">
      <c r="A1896" s="363">
        <f t="shared" si="239"/>
        <v>1895</v>
      </c>
      <c r="B1896" s="363" t="str">
        <f t="shared" si="232"/>
        <v>44</v>
      </c>
      <c r="C1896" s="405" t="str">
        <f t="shared" si="233"/>
        <v>第014569号</v>
      </c>
      <c r="D1896" s="405" t="str">
        <f t="shared" si="234"/>
        <v>新成クリアート（株）</v>
      </c>
      <c r="E1896" s="405" t="str">
        <f t="shared" si="235"/>
        <v>代表取締役</v>
      </c>
      <c r="F1896" s="405" t="str">
        <f t="shared" si="236"/>
        <v>西村　勝吾</v>
      </c>
      <c r="G1896" s="405" t="str">
        <f t="shared" si="237"/>
        <v>主たる営業所</v>
      </c>
      <c r="H1896" s="405" t="str">
        <f t="shared" si="238"/>
        <v>中津市大字加来２２６２－１</v>
      </c>
      <c r="L1896" s="403" t="s">
        <v>11697</v>
      </c>
      <c r="M1896" s="403" t="s">
        <v>11698</v>
      </c>
      <c r="N1896" s="403" t="s">
        <v>4898</v>
      </c>
      <c r="O1896" s="403" t="s">
        <v>7084</v>
      </c>
      <c r="P1896" s="403" t="s">
        <v>4899</v>
      </c>
      <c r="Q1896" s="403" t="s">
        <v>7351</v>
      </c>
      <c r="R1896" s="403" t="s">
        <v>20343</v>
      </c>
      <c r="S1896" s="403" t="s">
        <v>17355</v>
      </c>
      <c r="T1896" s="403" t="s">
        <v>17356</v>
      </c>
      <c r="U1896" s="403"/>
      <c r="V1896" s="403" t="s">
        <v>23024</v>
      </c>
      <c r="W1896" s="403" t="s">
        <v>23024</v>
      </c>
      <c r="X1896" s="403" t="s">
        <v>23024</v>
      </c>
      <c r="Y1896" s="403" t="s">
        <v>23024</v>
      </c>
    </row>
    <row r="1897" spans="1:25">
      <c r="A1897" s="363">
        <f t="shared" si="239"/>
        <v>1896</v>
      </c>
      <c r="B1897" s="363" t="str">
        <f t="shared" si="232"/>
        <v>44</v>
      </c>
      <c r="C1897" s="405" t="str">
        <f t="shared" si="233"/>
        <v>第014572号</v>
      </c>
      <c r="D1897" s="405" t="str">
        <f t="shared" si="234"/>
        <v>（株）エースライン</v>
      </c>
      <c r="E1897" s="405" t="str">
        <f t="shared" si="235"/>
        <v>代表取締役</v>
      </c>
      <c r="F1897" s="405" t="str">
        <f t="shared" si="236"/>
        <v>伊藤　敦人</v>
      </c>
      <c r="G1897" s="405" t="str">
        <f t="shared" si="237"/>
        <v>主たる営業所</v>
      </c>
      <c r="H1897" s="405" t="str">
        <f t="shared" si="238"/>
        <v>大分市大字横尾２６４－１</v>
      </c>
      <c r="L1897" s="403" t="s">
        <v>11699</v>
      </c>
      <c r="M1897" s="403" t="s">
        <v>11700</v>
      </c>
      <c r="N1897" s="403" t="s">
        <v>4900</v>
      </c>
      <c r="O1897" s="403" t="s">
        <v>7084</v>
      </c>
      <c r="P1897" s="403" t="s">
        <v>4901</v>
      </c>
      <c r="Q1897" s="403" t="s">
        <v>7357</v>
      </c>
      <c r="R1897" s="403" t="s">
        <v>20344</v>
      </c>
      <c r="S1897" s="403" t="s">
        <v>17357</v>
      </c>
      <c r="T1897" s="403" t="s">
        <v>17358</v>
      </c>
      <c r="U1897" s="403"/>
      <c r="V1897" s="403" t="s">
        <v>23024</v>
      </c>
      <c r="W1897" s="403" t="s">
        <v>23024</v>
      </c>
      <c r="X1897" s="403" t="s">
        <v>23024</v>
      </c>
      <c r="Y1897" s="403" t="s">
        <v>23024</v>
      </c>
    </row>
    <row r="1898" spans="1:25">
      <c r="A1898" s="363">
        <f t="shared" si="239"/>
        <v>1897</v>
      </c>
      <c r="B1898" s="363" t="str">
        <f t="shared" si="232"/>
        <v>44</v>
      </c>
      <c r="C1898" s="405" t="str">
        <f t="shared" si="233"/>
        <v>第014573号</v>
      </c>
      <c r="D1898" s="405" t="str">
        <f t="shared" si="234"/>
        <v>（株）住いるリノベーション</v>
      </c>
      <c r="E1898" s="405" t="str">
        <f t="shared" si="235"/>
        <v>代表取締役</v>
      </c>
      <c r="F1898" s="405" t="str">
        <f t="shared" si="236"/>
        <v>赤嶺　竜</v>
      </c>
      <c r="G1898" s="405" t="str">
        <f t="shared" si="237"/>
        <v>主たる営業所</v>
      </c>
      <c r="H1898" s="405" t="str">
        <f t="shared" si="238"/>
        <v>臼杵市大字江無田４０９－８</v>
      </c>
      <c r="L1898" s="403" t="s">
        <v>11701</v>
      </c>
      <c r="M1898" s="403" t="s">
        <v>11702</v>
      </c>
      <c r="N1898" s="403" t="s">
        <v>4902</v>
      </c>
      <c r="O1898" s="403" t="s">
        <v>7084</v>
      </c>
      <c r="P1898" s="403" t="s">
        <v>4903</v>
      </c>
      <c r="Q1898" s="403" t="s">
        <v>7768</v>
      </c>
      <c r="R1898" s="403" t="s">
        <v>20345</v>
      </c>
      <c r="S1898" s="403" t="s">
        <v>17359</v>
      </c>
      <c r="T1898" s="403" t="s">
        <v>17359</v>
      </c>
      <c r="U1898" s="403"/>
      <c r="V1898" s="403" t="s">
        <v>23024</v>
      </c>
      <c r="W1898" s="403" t="s">
        <v>23024</v>
      </c>
      <c r="X1898" s="403" t="s">
        <v>23024</v>
      </c>
      <c r="Y1898" s="403" t="s">
        <v>23024</v>
      </c>
    </row>
    <row r="1899" spans="1:25">
      <c r="A1899" s="363">
        <f t="shared" si="239"/>
        <v>1898</v>
      </c>
      <c r="B1899" s="363" t="str">
        <f t="shared" si="232"/>
        <v>44</v>
      </c>
      <c r="C1899" s="405" t="str">
        <f t="shared" si="233"/>
        <v>第014587号</v>
      </c>
      <c r="D1899" s="405" t="str">
        <f t="shared" si="234"/>
        <v>（株）大和</v>
      </c>
      <c r="E1899" s="405" t="str">
        <f t="shared" si="235"/>
        <v>代表取締役</v>
      </c>
      <c r="F1899" s="405" t="str">
        <f t="shared" si="236"/>
        <v>川原　明香里</v>
      </c>
      <c r="G1899" s="405" t="str">
        <f t="shared" si="237"/>
        <v>主たる営業所</v>
      </c>
      <c r="H1899" s="405" t="str">
        <f t="shared" si="238"/>
        <v>由布市挾間町赤野４４４－３</v>
      </c>
      <c r="L1899" s="403" t="s">
        <v>11703</v>
      </c>
      <c r="M1899" s="403" t="s">
        <v>11704</v>
      </c>
      <c r="N1899" s="403" t="s">
        <v>4599</v>
      </c>
      <c r="O1899" s="403" t="s">
        <v>7084</v>
      </c>
      <c r="P1899" s="403" t="s">
        <v>5278</v>
      </c>
      <c r="Q1899" s="403" t="s">
        <v>8670</v>
      </c>
      <c r="R1899" s="403" t="s">
        <v>20346</v>
      </c>
      <c r="S1899" s="403" t="s">
        <v>17360</v>
      </c>
      <c r="T1899" s="403" t="s">
        <v>17361</v>
      </c>
      <c r="U1899" s="403"/>
      <c r="V1899" s="403" t="s">
        <v>23024</v>
      </c>
      <c r="W1899" s="403" t="s">
        <v>23024</v>
      </c>
      <c r="X1899" s="403" t="s">
        <v>23024</v>
      </c>
      <c r="Y1899" s="403" t="s">
        <v>23024</v>
      </c>
    </row>
    <row r="1900" spans="1:25">
      <c r="A1900" s="363">
        <f t="shared" si="239"/>
        <v>1899</v>
      </c>
      <c r="B1900" s="363" t="str">
        <f t="shared" si="232"/>
        <v>44</v>
      </c>
      <c r="C1900" s="405" t="str">
        <f t="shared" si="233"/>
        <v>第014597号</v>
      </c>
      <c r="D1900" s="405" t="str">
        <f t="shared" si="234"/>
        <v>（株）サンケイプランニング</v>
      </c>
      <c r="E1900" s="405" t="str">
        <f t="shared" si="235"/>
        <v>代表取締役</v>
      </c>
      <c r="F1900" s="405" t="str">
        <f t="shared" si="236"/>
        <v>佐藤　秀吉</v>
      </c>
      <c r="G1900" s="405" t="str">
        <f t="shared" si="237"/>
        <v>主たる営業所</v>
      </c>
      <c r="H1900" s="405" t="str">
        <f t="shared" si="238"/>
        <v>大分市大字下郡字神下田２５０－３</v>
      </c>
      <c r="L1900" s="403" t="s">
        <v>11705</v>
      </c>
      <c r="M1900" s="403" t="s">
        <v>11706</v>
      </c>
      <c r="N1900" s="403" t="s">
        <v>4904</v>
      </c>
      <c r="O1900" s="403" t="s">
        <v>7084</v>
      </c>
      <c r="P1900" s="403" t="s">
        <v>4905</v>
      </c>
      <c r="Q1900" s="403" t="s">
        <v>7419</v>
      </c>
      <c r="R1900" s="403" t="s">
        <v>20347</v>
      </c>
      <c r="S1900" s="403" t="s">
        <v>17362</v>
      </c>
      <c r="T1900" s="403" t="s">
        <v>17362</v>
      </c>
      <c r="U1900" s="403"/>
      <c r="V1900" s="403" t="s">
        <v>23024</v>
      </c>
      <c r="W1900" s="403" t="s">
        <v>23024</v>
      </c>
      <c r="X1900" s="403" t="s">
        <v>23024</v>
      </c>
      <c r="Y1900" s="403" t="s">
        <v>23024</v>
      </c>
    </row>
    <row r="1901" spans="1:25">
      <c r="A1901" s="363">
        <f t="shared" si="239"/>
        <v>1900</v>
      </c>
      <c r="B1901" s="363" t="str">
        <f t="shared" si="232"/>
        <v>44</v>
      </c>
      <c r="C1901" s="405" t="str">
        <f t="shared" si="233"/>
        <v>第014604号</v>
      </c>
      <c r="D1901" s="405" t="str">
        <f t="shared" si="234"/>
        <v>（有）光徳石材</v>
      </c>
      <c r="E1901" s="405" t="str">
        <f t="shared" si="235"/>
        <v>代表取締役</v>
      </c>
      <c r="F1901" s="405" t="str">
        <f t="shared" si="236"/>
        <v>水野　裕司</v>
      </c>
      <c r="G1901" s="405" t="str">
        <f t="shared" si="237"/>
        <v>主たる営業所</v>
      </c>
      <c r="H1901" s="405" t="str">
        <f t="shared" si="238"/>
        <v>豊後大野市緒方町下自在２１－２</v>
      </c>
      <c r="L1901" s="403" t="s">
        <v>11707</v>
      </c>
      <c r="M1901" s="403" t="s">
        <v>11708</v>
      </c>
      <c r="N1901" s="403" t="s">
        <v>4906</v>
      </c>
      <c r="O1901" s="403" t="s">
        <v>7084</v>
      </c>
      <c r="P1901" s="403" t="s">
        <v>4907</v>
      </c>
      <c r="Q1901" s="403" t="s">
        <v>9096</v>
      </c>
      <c r="R1901" s="403" t="s">
        <v>20348</v>
      </c>
      <c r="S1901" s="403" t="s">
        <v>17363</v>
      </c>
      <c r="T1901" s="403" t="s">
        <v>17364</v>
      </c>
      <c r="U1901" s="403"/>
      <c r="V1901" s="403" t="s">
        <v>23024</v>
      </c>
      <c r="W1901" s="403" t="s">
        <v>23024</v>
      </c>
      <c r="X1901" s="403" t="s">
        <v>23024</v>
      </c>
      <c r="Y1901" s="403" t="s">
        <v>23024</v>
      </c>
    </row>
    <row r="1902" spans="1:25">
      <c r="A1902" s="363">
        <f t="shared" si="239"/>
        <v>1901</v>
      </c>
      <c r="B1902" s="363" t="str">
        <f t="shared" si="232"/>
        <v>44</v>
      </c>
      <c r="C1902" s="405" t="str">
        <f t="shared" si="233"/>
        <v>第014610号</v>
      </c>
      <c r="D1902" s="405" t="str">
        <f t="shared" si="234"/>
        <v>あすか工業</v>
      </c>
      <c r="E1902" s="405" t="str">
        <f t="shared" si="235"/>
        <v>代表者</v>
      </c>
      <c r="F1902" s="405" t="str">
        <f t="shared" si="236"/>
        <v>吉田　孝弘</v>
      </c>
      <c r="G1902" s="405" t="str">
        <f t="shared" si="237"/>
        <v>主たる営業所</v>
      </c>
      <c r="H1902" s="405" t="str">
        <f t="shared" si="238"/>
        <v>佐伯市大字狩生２－１５６２－３</v>
      </c>
      <c r="L1902" s="403" t="s">
        <v>11709</v>
      </c>
      <c r="M1902" s="403" t="s">
        <v>11710</v>
      </c>
      <c r="N1902" s="403" t="s">
        <v>4908</v>
      </c>
      <c r="O1902" s="403" t="s">
        <v>7086</v>
      </c>
      <c r="P1902" s="403" t="s">
        <v>4909</v>
      </c>
      <c r="Q1902" s="403" t="s">
        <v>10671</v>
      </c>
      <c r="R1902" s="403" t="s">
        <v>20349</v>
      </c>
      <c r="S1902" s="403" t="s">
        <v>17365</v>
      </c>
      <c r="T1902" s="403">
        <v>0</v>
      </c>
      <c r="U1902" s="403"/>
      <c r="V1902" s="403" t="s">
        <v>23024</v>
      </c>
      <c r="W1902" s="403" t="s">
        <v>23024</v>
      </c>
      <c r="X1902" s="403" t="s">
        <v>23024</v>
      </c>
      <c r="Y1902" s="403" t="s">
        <v>23024</v>
      </c>
    </row>
    <row r="1903" spans="1:25">
      <c r="A1903" s="363">
        <f t="shared" si="239"/>
        <v>1902</v>
      </c>
      <c r="B1903" s="363" t="str">
        <f t="shared" si="232"/>
        <v>44</v>
      </c>
      <c r="C1903" s="405" t="str">
        <f t="shared" si="233"/>
        <v>第014611号</v>
      </c>
      <c r="D1903" s="405" t="str">
        <f t="shared" si="234"/>
        <v>エルテック（株）</v>
      </c>
      <c r="E1903" s="405" t="str">
        <f t="shared" si="235"/>
        <v>代表取締役</v>
      </c>
      <c r="F1903" s="405" t="str">
        <f t="shared" si="236"/>
        <v>小森　淳礼</v>
      </c>
      <c r="G1903" s="405" t="str">
        <f t="shared" si="237"/>
        <v>主たる営業所</v>
      </c>
      <c r="H1903" s="405" t="str">
        <f t="shared" si="238"/>
        <v>大分市大字八幡３９－１２</v>
      </c>
      <c r="L1903" s="403" t="s">
        <v>11711</v>
      </c>
      <c r="M1903" s="403" t="s">
        <v>11712</v>
      </c>
      <c r="N1903" s="403" t="s">
        <v>4910</v>
      </c>
      <c r="O1903" s="403" t="s">
        <v>7084</v>
      </c>
      <c r="P1903" s="403" t="s">
        <v>4911</v>
      </c>
      <c r="Q1903" s="403" t="s">
        <v>9705</v>
      </c>
      <c r="R1903" s="403" t="s">
        <v>20350</v>
      </c>
      <c r="S1903" s="403" t="s">
        <v>17366</v>
      </c>
      <c r="T1903" s="403" t="s">
        <v>17367</v>
      </c>
      <c r="U1903" s="403"/>
      <c r="V1903" s="403" t="s">
        <v>23024</v>
      </c>
      <c r="W1903" s="403" t="s">
        <v>23024</v>
      </c>
      <c r="X1903" s="403" t="s">
        <v>23024</v>
      </c>
      <c r="Y1903" s="403" t="s">
        <v>23024</v>
      </c>
    </row>
    <row r="1904" spans="1:25">
      <c r="A1904" s="363">
        <f t="shared" si="239"/>
        <v>1903</v>
      </c>
      <c r="B1904" s="363" t="str">
        <f t="shared" si="232"/>
        <v>44</v>
      </c>
      <c r="C1904" s="405" t="str">
        <f t="shared" si="233"/>
        <v>第014618号</v>
      </c>
      <c r="D1904" s="405" t="str">
        <f t="shared" si="234"/>
        <v>泥谷総建</v>
      </c>
      <c r="E1904" s="405" t="str">
        <f t="shared" si="235"/>
        <v>代表者</v>
      </c>
      <c r="F1904" s="405" t="str">
        <f t="shared" si="236"/>
        <v>泥谷　知博</v>
      </c>
      <c r="G1904" s="405" t="str">
        <f t="shared" si="237"/>
        <v>主たる営業所</v>
      </c>
      <c r="H1904" s="405" t="str">
        <f t="shared" si="238"/>
        <v>佐伯市弥生大字井崎１７８４－２</v>
      </c>
      <c r="L1904" s="403" t="s">
        <v>11713</v>
      </c>
      <c r="M1904" s="403" t="s">
        <v>11714</v>
      </c>
      <c r="N1904" s="403" t="s">
        <v>4912</v>
      </c>
      <c r="O1904" s="403" t="s">
        <v>7086</v>
      </c>
      <c r="P1904" s="403" t="s">
        <v>4913</v>
      </c>
      <c r="Q1904" s="403" t="s">
        <v>8486</v>
      </c>
      <c r="R1904" s="403" t="s">
        <v>20351</v>
      </c>
      <c r="S1904" s="403" t="s">
        <v>17368</v>
      </c>
      <c r="T1904" s="403" t="s">
        <v>17368</v>
      </c>
      <c r="U1904" s="403"/>
      <c r="V1904" s="403" t="s">
        <v>23024</v>
      </c>
      <c r="W1904" s="403" t="s">
        <v>23024</v>
      </c>
      <c r="X1904" s="403" t="s">
        <v>23024</v>
      </c>
      <c r="Y1904" s="403" t="s">
        <v>23024</v>
      </c>
    </row>
    <row r="1905" spans="1:25">
      <c r="A1905" s="363">
        <f t="shared" si="239"/>
        <v>1904</v>
      </c>
      <c r="B1905" s="363" t="str">
        <f t="shared" si="232"/>
        <v>44</v>
      </c>
      <c r="C1905" s="405" t="str">
        <f t="shared" si="233"/>
        <v>第014619号</v>
      </c>
      <c r="D1905" s="405" t="str">
        <f t="shared" si="234"/>
        <v>ホウシュウ（合）</v>
      </c>
      <c r="E1905" s="405" t="str">
        <f t="shared" si="235"/>
        <v>代表社員</v>
      </c>
      <c r="F1905" s="405" t="str">
        <f t="shared" si="236"/>
        <v>渡邉　忠</v>
      </c>
      <c r="G1905" s="405" t="str">
        <f t="shared" si="237"/>
        <v>主たる営業所</v>
      </c>
      <c r="H1905" s="405" t="str">
        <f t="shared" si="238"/>
        <v>大分市大字上戸次３２９４</v>
      </c>
      <c r="L1905" s="403" t="s">
        <v>11715</v>
      </c>
      <c r="M1905" s="403" t="s">
        <v>11716</v>
      </c>
      <c r="N1905" s="403" t="s">
        <v>4914</v>
      </c>
      <c r="O1905" s="403" t="s">
        <v>7087</v>
      </c>
      <c r="P1905" s="403" t="s">
        <v>4915</v>
      </c>
      <c r="Q1905" s="403" t="s">
        <v>7422</v>
      </c>
      <c r="R1905" s="403" t="s">
        <v>5694</v>
      </c>
      <c r="S1905" s="403" t="s">
        <v>17369</v>
      </c>
      <c r="T1905" s="403" t="s">
        <v>17369</v>
      </c>
      <c r="U1905" s="403"/>
      <c r="V1905" s="403" t="s">
        <v>23024</v>
      </c>
      <c r="W1905" s="403" t="s">
        <v>23024</v>
      </c>
      <c r="X1905" s="403" t="s">
        <v>23024</v>
      </c>
      <c r="Y1905" s="403" t="s">
        <v>23024</v>
      </c>
    </row>
    <row r="1906" spans="1:25">
      <c r="A1906" s="363">
        <f t="shared" si="239"/>
        <v>1905</v>
      </c>
      <c r="B1906" s="363" t="str">
        <f t="shared" si="232"/>
        <v>44</v>
      </c>
      <c r="C1906" s="405" t="str">
        <f t="shared" si="233"/>
        <v>第014621号</v>
      </c>
      <c r="D1906" s="405" t="str">
        <f t="shared" si="234"/>
        <v>清末塗装（株）</v>
      </c>
      <c r="E1906" s="405" t="str">
        <f t="shared" si="235"/>
        <v>代表取締役</v>
      </c>
      <c r="F1906" s="405" t="str">
        <f t="shared" si="236"/>
        <v>清末　雄治</v>
      </c>
      <c r="G1906" s="405" t="str">
        <f t="shared" si="237"/>
        <v>主たる営業所</v>
      </c>
      <c r="H1906" s="405" t="str">
        <f t="shared" si="238"/>
        <v>大分市三川下３－２－３６</v>
      </c>
      <c r="L1906" s="403" t="s">
        <v>11717</v>
      </c>
      <c r="M1906" s="403" t="s">
        <v>11718</v>
      </c>
      <c r="N1906" s="403" t="s">
        <v>4916</v>
      </c>
      <c r="O1906" s="403" t="s">
        <v>7084</v>
      </c>
      <c r="P1906" s="403" t="s">
        <v>4917</v>
      </c>
      <c r="Q1906" s="403" t="s">
        <v>8638</v>
      </c>
      <c r="R1906" s="403" t="s">
        <v>20352</v>
      </c>
      <c r="S1906" s="403" t="s">
        <v>17370</v>
      </c>
      <c r="T1906" s="403" t="s">
        <v>17371</v>
      </c>
      <c r="U1906" s="403"/>
      <c r="V1906" s="403" t="s">
        <v>23024</v>
      </c>
      <c r="W1906" s="403" t="s">
        <v>23024</v>
      </c>
      <c r="X1906" s="403" t="s">
        <v>23024</v>
      </c>
      <c r="Y1906" s="403" t="s">
        <v>23024</v>
      </c>
    </row>
    <row r="1907" spans="1:25">
      <c r="A1907" s="363">
        <f t="shared" si="239"/>
        <v>1906</v>
      </c>
      <c r="B1907" s="363" t="str">
        <f t="shared" si="232"/>
        <v>44</v>
      </c>
      <c r="C1907" s="405" t="str">
        <f t="shared" si="233"/>
        <v>第014624号</v>
      </c>
      <c r="D1907" s="405" t="str">
        <f t="shared" si="234"/>
        <v>（株）別大建交</v>
      </c>
      <c r="E1907" s="405" t="str">
        <f t="shared" si="235"/>
        <v>代表取締役</v>
      </c>
      <c r="F1907" s="405" t="str">
        <f t="shared" si="236"/>
        <v>二宮　尚弥</v>
      </c>
      <c r="G1907" s="405" t="str">
        <f t="shared" si="237"/>
        <v>主たる営業所</v>
      </c>
      <c r="H1907" s="405" t="str">
        <f t="shared" si="238"/>
        <v>別府市石垣東４－４－１４－５０２　第３若草ビル</v>
      </c>
      <c r="L1907" s="403" t="s">
        <v>11719</v>
      </c>
      <c r="M1907" s="403" t="s">
        <v>11720</v>
      </c>
      <c r="N1907" s="403" t="s">
        <v>4918</v>
      </c>
      <c r="O1907" s="403" t="s">
        <v>7084</v>
      </c>
      <c r="P1907" s="403" t="s">
        <v>4919</v>
      </c>
      <c r="Q1907" s="403" t="s">
        <v>7363</v>
      </c>
      <c r="R1907" s="403" t="s">
        <v>20353</v>
      </c>
      <c r="S1907" s="403" t="s">
        <v>17372</v>
      </c>
      <c r="T1907" s="403" t="s">
        <v>17373</v>
      </c>
      <c r="U1907" s="403"/>
      <c r="V1907" s="403" t="s">
        <v>23024</v>
      </c>
      <c r="W1907" s="403" t="s">
        <v>23024</v>
      </c>
      <c r="X1907" s="403" t="s">
        <v>23024</v>
      </c>
      <c r="Y1907" s="403" t="s">
        <v>23024</v>
      </c>
    </row>
    <row r="1908" spans="1:25">
      <c r="A1908" s="363">
        <f t="shared" si="239"/>
        <v>1907</v>
      </c>
      <c r="B1908" s="363" t="str">
        <f t="shared" si="232"/>
        <v>44</v>
      </c>
      <c r="C1908" s="405" t="str">
        <f t="shared" si="233"/>
        <v>第014627号</v>
      </c>
      <c r="D1908" s="405" t="str">
        <f t="shared" si="234"/>
        <v>（株）ネオマルス</v>
      </c>
      <c r="E1908" s="405" t="str">
        <f t="shared" si="235"/>
        <v>代表取締役</v>
      </c>
      <c r="F1908" s="405" t="str">
        <f t="shared" si="236"/>
        <v>甲斐　武彦</v>
      </c>
      <c r="G1908" s="405" t="str">
        <f t="shared" si="237"/>
        <v>主たる営業所</v>
      </c>
      <c r="H1908" s="405" t="str">
        <f t="shared" si="238"/>
        <v>大分市都町２－１－１０</v>
      </c>
      <c r="L1908" s="403" t="s">
        <v>11721</v>
      </c>
      <c r="M1908" s="403" t="s">
        <v>11722</v>
      </c>
      <c r="N1908" s="403" t="s">
        <v>4920</v>
      </c>
      <c r="O1908" s="403" t="s">
        <v>7084</v>
      </c>
      <c r="P1908" s="403" t="s">
        <v>4921</v>
      </c>
      <c r="Q1908" s="403" t="s">
        <v>8737</v>
      </c>
      <c r="R1908" s="403" t="s">
        <v>20354</v>
      </c>
      <c r="S1908" s="403" t="s">
        <v>17374</v>
      </c>
      <c r="T1908" s="403" t="s">
        <v>17375</v>
      </c>
      <c r="U1908" s="403"/>
      <c r="V1908" s="403" t="s">
        <v>23024</v>
      </c>
      <c r="W1908" s="403" t="s">
        <v>23024</v>
      </c>
      <c r="X1908" s="403" t="s">
        <v>23024</v>
      </c>
      <c r="Y1908" s="403" t="s">
        <v>23024</v>
      </c>
    </row>
    <row r="1909" spans="1:25">
      <c r="A1909" s="363">
        <f t="shared" si="239"/>
        <v>1908</v>
      </c>
      <c r="B1909" s="363" t="str">
        <f t="shared" si="232"/>
        <v>44</v>
      </c>
      <c r="C1909" s="405" t="str">
        <f t="shared" si="233"/>
        <v>第014631号</v>
      </c>
      <c r="D1909" s="405" t="str">
        <f t="shared" si="234"/>
        <v>（株）ダイコー</v>
      </c>
      <c r="E1909" s="405" t="str">
        <f t="shared" si="235"/>
        <v>代表取締役</v>
      </c>
      <c r="F1909" s="405" t="str">
        <f t="shared" si="236"/>
        <v>高橋　智和</v>
      </c>
      <c r="G1909" s="405" t="str">
        <f t="shared" si="237"/>
        <v>主たる営業所</v>
      </c>
      <c r="H1909" s="405" t="str">
        <f t="shared" si="238"/>
        <v>竹田市大字君ケ園１６９６－１</v>
      </c>
      <c r="L1909" s="403" t="s">
        <v>11723</v>
      </c>
      <c r="M1909" s="403" t="s">
        <v>11724</v>
      </c>
      <c r="N1909" s="403" t="s">
        <v>4922</v>
      </c>
      <c r="O1909" s="403" t="s">
        <v>7084</v>
      </c>
      <c r="P1909" s="403" t="s">
        <v>4923</v>
      </c>
      <c r="Q1909" s="403" t="s">
        <v>7951</v>
      </c>
      <c r="R1909" s="403" t="s">
        <v>20355</v>
      </c>
      <c r="S1909" s="403" t="s">
        <v>17376</v>
      </c>
      <c r="T1909" s="403" t="s">
        <v>17377</v>
      </c>
      <c r="U1909" s="403"/>
      <c r="V1909" s="403" t="s">
        <v>23024</v>
      </c>
      <c r="W1909" s="403" t="s">
        <v>23024</v>
      </c>
      <c r="X1909" s="403" t="s">
        <v>23024</v>
      </c>
      <c r="Y1909" s="403" t="s">
        <v>23024</v>
      </c>
    </row>
    <row r="1910" spans="1:25">
      <c r="A1910" s="363">
        <f t="shared" si="239"/>
        <v>1909</v>
      </c>
      <c r="B1910" s="363" t="str">
        <f t="shared" si="232"/>
        <v>44</v>
      </c>
      <c r="C1910" s="405" t="str">
        <f t="shared" si="233"/>
        <v>第014636号</v>
      </c>
      <c r="D1910" s="405" t="str">
        <f t="shared" si="234"/>
        <v>（株）ＯＫＰ</v>
      </c>
      <c r="E1910" s="405" t="str">
        <f t="shared" si="235"/>
        <v>代表取締役</v>
      </c>
      <c r="F1910" s="405" t="str">
        <f t="shared" si="236"/>
        <v>小野　真人</v>
      </c>
      <c r="G1910" s="405" t="str">
        <f t="shared" si="237"/>
        <v>主たる営業所</v>
      </c>
      <c r="H1910" s="405" t="str">
        <f t="shared" si="238"/>
        <v>大分市原新町１１－２０</v>
      </c>
      <c r="L1910" s="403" t="s">
        <v>11725</v>
      </c>
      <c r="M1910" s="403" t="s">
        <v>11726</v>
      </c>
      <c r="N1910" s="403" t="s">
        <v>4924</v>
      </c>
      <c r="O1910" s="403" t="s">
        <v>7084</v>
      </c>
      <c r="P1910" s="403" t="s">
        <v>4925</v>
      </c>
      <c r="Q1910" s="403" t="s">
        <v>7582</v>
      </c>
      <c r="R1910" s="403" t="s">
        <v>20356</v>
      </c>
      <c r="S1910" s="403" t="s">
        <v>17378</v>
      </c>
      <c r="T1910" s="403" t="s">
        <v>17379</v>
      </c>
      <c r="U1910" s="403"/>
      <c r="V1910" s="403" t="s">
        <v>23024</v>
      </c>
      <c r="W1910" s="403" t="s">
        <v>23024</v>
      </c>
      <c r="X1910" s="403" t="s">
        <v>23024</v>
      </c>
      <c r="Y1910" s="403" t="s">
        <v>23024</v>
      </c>
    </row>
    <row r="1911" spans="1:25">
      <c r="A1911" s="363">
        <f t="shared" si="239"/>
        <v>1910</v>
      </c>
      <c r="B1911" s="363" t="str">
        <f t="shared" si="232"/>
        <v>44</v>
      </c>
      <c r="C1911" s="405" t="str">
        <f t="shared" si="233"/>
        <v>第014640号</v>
      </c>
      <c r="D1911" s="405" t="str">
        <f t="shared" si="234"/>
        <v>（株）隆昇</v>
      </c>
      <c r="E1911" s="405" t="str">
        <f t="shared" si="235"/>
        <v>代表取締役</v>
      </c>
      <c r="F1911" s="405" t="str">
        <f t="shared" si="236"/>
        <v>尾割　隆志</v>
      </c>
      <c r="G1911" s="405" t="str">
        <f t="shared" si="237"/>
        <v>主たる営業所</v>
      </c>
      <c r="H1911" s="405" t="str">
        <f t="shared" si="238"/>
        <v>大分市大字中判田２１３３－５</v>
      </c>
      <c r="L1911" s="403" t="s">
        <v>20357</v>
      </c>
      <c r="M1911" s="403" t="s">
        <v>20358</v>
      </c>
      <c r="N1911" s="403" t="s">
        <v>20359</v>
      </c>
      <c r="O1911" s="403" t="s">
        <v>7084</v>
      </c>
      <c r="P1911" s="403" t="s">
        <v>20360</v>
      </c>
      <c r="Q1911" s="403" t="s">
        <v>7542</v>
      </c>
      <c r="R1911" s="403" t="s">
        <v>20361</v>
      </c>
      <c r="S1911" s="403" t="s">
        <v>20362</v>
      </c>
      <c r="T1911" s="403" t="s">
        <v>20362</v>
      </c>
      <c r="U1911" s="403"/>
      <c r="V1911" s="403" t="s">
        <v>23024</v>
      </c>
      <c r="W1911" s="403" t="s">
        <v>23024</v>
      </c>
      <c r="X1911" s="403" t="s">
        <v>23024</v>
      </c>
      <c r="Y1911" s="403" t="s">
        <v>23024</v>
      </c>
    </row>
    <row r="1912" spans="1:25">
      <c r="A1912" s="363">
        <f t="shared" si="239"/>
        <v>1911</v>
      </c>
      <c r="B1912" s="363" t="str">
        <f t="shared" si="232"/>
        <v>44</v>
      </c>
      <c r="C1912" s="405" t="str">
        <f t="shared" si="233"/>
        <v>第014649号</v>
      </c>
      <c r="D1912" s="405" t="str">
        <f t="shared" si="234"/>
        <v>金苗建設工業（株）</v>
      </c>
      <c r="E1912" s="405" t="str">
        <f t="shared" si="235"/>
        <v>代表取締役</v>
      </c>
      <c r="F1912" s="405" t="str">
        <f t="shared" si="236"/>
        <v>金苗　慶憲</v>
      </c>
      <c r="G1912" s="405" t="str">
        <f t="shared" si="237"/>
        <v>主たる営業所</v>
      </c>
      <c r="H1912" s="405" t="str">
        <f t="shared" si="238"/>
        <v>宇佐市大字南宇佐７０２－４</v>
      </c>
      <c r="L1912" s="403" t="s">
        <v>20363</v>
      </c>
      <c r="M1912" s="403" t="s">
        <v>20364</v>
      </c>
      <c r="N1912" s="403" t="s">
        <v>20365</v>
      </c>
      <c r="O1912" s="403" t="s">
        <v>7084</v>
      </c>
      <c r="P1912" s="403" t="s">
        <v>20366</v>
      </c>
      <c r="Q1912" s="403" t="s">
        <v>10037</v>
      </c>
      <c r="R1912" s="403" t="s">
        <v>20367</v>
      </c>
      <c r="S1912" s="403" t="s">
        <v>20368</v>
      </c>
      <c r="T1912" s="403" t="s">
        <v>20368</v>
      </c>
      <c r="U1912" s="403"/>
      <c r="V1912" s="403" t="s">
        <v>23024</v>
      </c>
      <c r="W1912" s="403" t="s">
        <v>23024</v>
      </c>
      <c r="X1912" s="403" t="s">
        <v>23024</v>
      </c>
      <c r="Y1912" s="403" t="s">
        <v>23024</v>
      </c>
    </row>
    <row r="1913" spans="1:25">
      <c r="A1913" s="363">
        <f t="shared" si="239"/>
        <v>1912</v>
      </c>
      <c r="B1913" s="363" t="str">
        <f t="shared" si="232"/>
        <v>44</v>
      </c>
      <c r="C1913" s="405" t="str">
        <f t="shared" si="233"/>
        <v>第014650号</v>
      </c>
      <c r="D1913" s="405" t="str">
        <f t="shared" si="234"/>
        <v>（株）修栄</v>
      </c>
      <c r="E1913" s="405" t="str">
        <f t="shared" si="235"/>
        <v>代表取締役</v>
      </c>
      <c r="F1913" s="405" t="str">
        <f t="shared" si="236"/>
        <v>小野　修平</v>
      </c>
      <c r="G1913" s="405" t="str">
        <f t="shared" si="237"/>
        <v>主たる営業所</v>
      </c>
      <c r="H1913" s="405" t="str">
        <f t="shared" si="238"/>
        <v>佐伯市大字海崎２４４５－１</v>
      </c>
      <c r="L1913" s="403" t="s">
        <v>20369</v>
      </c>
      <c r="M1913" s="403" t="s">
        <v>20370</v>
      </c>
      <c r="N1913" s="403" t="s">
        <v>20371</v>
      </c>
      <c r="O1913" s="403" t="s">
        <v>7084</v>
      </c>
      <c r="P1913" s="403" t="s">
        <v>20372</v>
      </c>
      <c r="Q1913" s="403" t="s">
        <v>7845</v>
      </c>
      <c r="R1913" s="403" t="s">
        <v>20373</v>
      </c>
      <c r="S1913" s="403" t="s">
        <v>20374</v>
      </c>
      <c r="T1913" s="403" t="s">
        <v>20374</v>
      </c>
      <c r="U1913" s="403"/>
      <c r="V1913" s="403" t="s">
        <v>23024</v>
      </c>
      <c r="W1913" s="403" t="s">
        <v>23024</v>
      </c>
      <c r="X1913" s="403" t="s">
        <v>23024</v>
      </c>
      <c r="Y1913" s="403" t="s">
        <v>23024</v>
      </c>
    </row>
    <row r="1914" spans="1:25">
      <c r="A1914" s="363">
        <f t="shared" si="239"/>
        <v>1913</v>
      </c>
      <c r="B1914" s="363" t="str">
        <f t="shared" si="232"/>
        <v>44</v>
      </c>
      <c r="C1914" s="405" t="str">
        <f t="shared" si="233"/>
        <v>第014659号</v>
      </c>
      <c r="D1914" s="405" t="str">
        <f t="shared" si="234"/>
        <v>（株）吉栄</v>
      </c>
      <c r="E1914" s="405" t="str">
        <f t="shared" si="235"/>
        <v>代表取締役</v>
      </c>
      <c r="F1914" s="405" t="str">
        <f t="shared" si="236"/>
        <v>吉良　和樹</v>
      </c>
      <c r="G1914" s="405" t="str">
        <f t="shared" si="237"/>
        <v>主たる営業所</v>
      </c>
      <c r="H1914" s="405" t="str">
        <f t="shared" si="238"/>
        <v>佐伯市宇目大字塩見園１８１７</v>
      </c>
      <c r="L1914" s="403" t="s">
        <v>11727</v>
      </c>
      <c r="M1914" s="403" t="s">
        <v>11728</v>
      </c>
      <c r="N1914" s="403" t="s">
        <v>4926</v>
      </c>
      <c r="O1914" s="403" t="s">
        <v>7084</v>
      </c>
      <c r="P1914" s="403" t="s">
        <v>4927</v>
      </c>
      <c r="Q1914" s="403" t="s">
        <v>7858</v>
      </c>
      <c r="R1914" s="403" t="s">
        <v>5373</v>
      </c>
      <c r="S1914" s="403" t="s">
        <v>17380</v>
      </c>
      <c r="T1914" s="403" t="s">
        <v>17380</v>
      </c>
      <c r="U1914" s="403"/>
      <c r="V1914" s="403" t="s">
        <v>23024</v>
      </c>
      <c r="W1914" s="403" t="s">
        <v>23024</v>
      </c>
      <c r="X1914" s="403" t="s">
        <v>23024</v>
      </c>
      <c r="Y1914" s="403" t="s">
        <v>23024</v>
      </c>
    </row>
    <row r="1915" spans="1:25">
      <c r="A1915" s="363">
        <f t="shared" si="239"/>
        <v>1914</v>
      </c>
      <c r="B1915" s="363" t="str">
        <f t="shared" si="232"/>
        <v>44</v>
      </c>
      <c r="C1915" s="405" t="str">
        <f t="shared" si="233"/>
        <v>第014661号</v>
      </c>
      <c r="D1915" s="405" t="str">
        <f t="shared" si="234"/>
        <v>（株）ＫＳ電工</v>
      </c>
      <c r="E1915" s="405" t="str">
        <f t="shared" si="235"/>
        <v>代表取締役</v>
      </c>
      <c r="F1915" s="405" t="str">
        <f t="shared" si="236"/>
        <v>瀧石　幸治</v>
      </c>
      <c r="G1915" s="405" t="str">
        <f t="shared" si="237"/>
        <v>主たる営業所</v>
      </c>
      <c r="H1915" s="405" t="str">
        <f t="shared" si="238"/>
        <v>玖珠郡玖珠町大字塚脇３２０－３</v>
      </c>
      <c r="L1915" s="403" t="s">
        <v>11729</v>
      </c>
      <c r="M1915" s="403" t="s">
        <v>11730</v>
      </c>
      <c r="N1915" s="403" t="s">
        <v>4928</v>
      </c>
      <c r="O1915" s="403" t="s">
        <v>7084</v>
      </c>
      <c r="P1915" s="403" t="s">
        <v>4929</v>
      </c>
      <c r="Q1915" s="403" t="s">
        <v>8595</v>
      </c>
      <c r="R1915" s="403" t="s">
        <v>20375</v>
      </c>
      <c r="S1915" s="403" t="s">
        <v>17381</v>
      </c>
      <c r="T1915" s="403" t="s">
        <v>17382</v>
      </c>
      <c r="U1915" s="403"/>
      <c r="V1915" s="403" t="s">
        <v>23024</v>
      </c>
      <c r="W1915" s="403" t="s">
        <v>23024</v>
      </c>
      <c r="X1915" s="403" t="s">
        <v>23024</v>
      </c>
      <c r="Y1915" s="403" t="s">
        <v>23024</v>
      </c>
    </row>
    <row r="1916" spans="1:25">
      <c r="A1916" s="363">
        <f t="shared" si="239"/>
        <v>1915</v>
      </c>
      <c r="B1916" s="363" t="str">
        <f t="shared" si="232"/>
        <v>44</v>
      </c>
      <c r="C1916" s="405" t="str">
        <f t="shared" si="233"/>
        <v>第014665号</v>
      </c>
      <c r="D1916" s="405" t="str">
        <f t="shared" si="234"/>
        <v>（株）下原造園</v>
      </c>
      <c r="E1916" s="405" t="str">
        <f t="shared" si="235"/>
        <v>代表取締役</v>
      </c>
      <c r="F1916" s="405" t="str">
        <f t="shared" si="236"/>
        <v>下原　幸一郎</v>
      </c>
      <c r="G1916" s="405" t="str">
        <f t="shared" si="237"/>
        <v>主たる営業所</v>
      </c>
      <c r="H1916" s="405" t="str">
        <f t="shared" si="238"/>
        <v>杵築市大字南杵築３９７－３</v>
      </c>
      <c r="L1916" s="403" t="s">
        <v>11731</v>
      </c>
      <c r="M1916" s="403" t="s">
        <v>11732</v>
      </c>
      <c r="N1916" s="403" t="s">
        <v>4930</v>
      </c>
      <c r="O1916" s="403" t="s">
        <v>7084</v>
      </c>
      <c r="P1916" s="403" t="s">
        <v>20376</v>
      </c>
      <c r="Q1916" s="403" t="s">
        <v>7593</v>
      </c>
      <c r="R1916" s="403" t="s">
        <v>20377</v>
      </c>
      <c r="S1916" s="403" t="s">
        <v>17383</v>
      </c>
      <c r="T1916" s="403" t="s">
        <v>20378</v>
      </c>
      <c r="U1916" s="403"/>
      <c r="V1916" s="403" t="s">
        <v>23024</v>
      </c>
      <c r="W1916" s="403" t="s">
        <v>23024</v>
      </c>
      <c r="X1916" s="403" t="s">
        <v>23024</v>
      </c>
      <c r="Y1916" s="403" t="s">
        <v>23024</v>
      </c>
    </row>
    <row r="1917" spans="1:25">
      <c r="A1917" s="363">
        <f t="shared" si="239"/>
        <v>1916</v>
      </c>
      <c r="B1917" s="363" t="str">
        <f t="shared" si="232"/>
        <v>44</v>
      </c>
      <c r="C1917" s="405" t="str">
        <f t="shared" si="233"/>
        <v>第014672号</v>
      </c>
      <c r="D1917" s="405" t="str">
        <f t="shared" si="234"/>
        <v>（株）明</v>
      </c>
      <c r="E1917" s="405" t="str">
        <f t="shared" si="235"/>
        <v>代表取締役</v>
      </c>
      <c r="F1917" s="405" t="str">
        <f t="shared" si="236"/>
        <v>秋吉　万里子</v>
      </c>
      <c r="G1917" s="405" t="str">
        <f t="shared" si="237"/>
        <v>主たる営業所</v>
      </c>
      <c r="H1917" s="405" t="str">
        <f t="shared" si="238"/>
        <v>由布市湯布院町川北１１７５－７</v>
      </c>
      <c r="L1917" s="403" t="s">
        <v>11733</v>
      </c>
      <c r="M1917" s="403" t="s">
        <v>11734</v>
      </c>
      <c r="N1917" s="403" t="s">
        <v>4931</v>
      </c>
      <c r="O1917" s="403" t="s">
        <v>7084</v>
      </c>
      <c r="P1917" s="403" t="s">
        <v>4932</v>
      </c>
      <c r="Q1917" s="403" t="s">
        <v>7562</v>
      </c>
      <c r="R1917" s="403" t="s">
        <v>20379</v>
      </c>
      <c r="S1917" s="403" t="s">
        <v>17384</v>
      </c>
      <c r="T1917" s="403" t="s">
        <v>17384</v>
      </c>
      <c r="U1917" s="403"/>
      <c r="V1917" s="403" t="s">
        <v>23024</v>
      </c>
      <c r="W1917" s="403" t="s">
        <v>23024</v>
      </c>
      <c r="X1917" s="403" t="s">
        <v>23024</v>
      </c>
      <c r="Y1917" s="403" t="s">
        <v>23024</v>
      </c>
    </row>
    <row r="1918" spans="1:25">
      <c r="A1918" s="363">
        <f t="shared" si="239"/>
        <v>1917</v>
      </c>
      <c r="B1918" s="363" t="str">
        <f t="shared" si="232"/>
        <v>44</v>
      </c>
      <c r="C1918" s="405" t="str">
        <f t="shared" si="233"/>
        <v>第014673号</v>
      </c>
      <c r="D1918" s="405" t="str">
        <f t="shared" si="234"/>
        <v>（株）川崎工業</v>
      </c>
      <c r="E1918" s="405" t="str">
        <f t="shared" si="235"/>
        <v>代表取締役</v>
      </c>
      <c r="F1918" s="405" t="str">
        <f t="shared" si="236"/>
        <v>川崎　健吾</v>
      </c>
      <c r="G1918" s="405" t="str">
        <f t="shared" si="237"/>
        <v>主たる営業所</v>
      </c>
      <c r="H1918" s="405" t="str">
        <f t="shared" si="238"/>
        <v>大分市大字片島１２２５－１</v>
      </c>
      <c r="L1918" s="403" t="s">
        <v>11735</v>
      </c>
      <c r="M1918" s="403" t="s">
        <v>11736</v>
      </c>
      <c r="N1918" s="403" t="s">
        <v>5294</v>
      </c>
      <c r="O1918" s="403" t="s">
        <v>7084</v>
      </c>
      <c r="P1918" s="403" t="s">
        <v>5331</v>
      </c>
      <c r="Q1918" s="403" t="s">
        <v>8687</v>
      </c>
      <c r="R1918" s="403" t="s">
        <v>20380</v>
      </c>
      <c r="S1918" s="403" t="s">
        <v>17385</v>
      </c>
      <c r="T1918" s="403" t="s">
        <v>17385</v>
      </c>
      <c r="U1918" s="403"/>
      <c r="V1918" s="403" t="s">
        <v>23024</v>
      </c>
      <c r="W1918" s="403" t="s">
        <v>23024</v>
      </c>
      <c r="X1918" s="403" t="s">
        <v>23024</v>
      </c>
      <c r="Y1918" s="403" t="s">
        <v>23024</v>
      </c>
    </row>
    <row r="1919" spans="1:25">
      <c r="A1919" s="363">
        <f t="shared" si="239"/>
        <v>1918</v>
      </c>
      <c r="B1919" s="363" t="str">
        <f t="shared" si="232"/>
        <v>44</v>
      </c>
      <c r="C1919" s="405" t="str">
        <f t="shared" si="233"/>
        <v>第014674号</v>
      </c>
      <c r="D1919" s="405" t="str">
        <f t="shared" si="234"/>
        <v>（株）長谷部内装</v>
      </c>
      <c r="E1919" s="405" t="str">
        <f t="shared" si="235"/>
        <v>代表取締役</v>
      </c>
      <c r="F1919" s="405" t="str">
        <f t="shared" si="236"/>
        <v>長谷部　誠</v>
      </c>
      <c r="G1919" s="405" t="str">
        <f t="shared" si="237"/>
        <v>主たる営業所</v>
      </c>
      <c r="H1919" s="405" t="str">
        <f t="shared" si="238"/>
        <v>日田市大字西有田１６０－２</v>
      </c>
      <c r="L1919" s="403" t="s">
        <v>11737</v>
      </c>
      <c r="M1919" s="403" t="s">
        <v>11738</v>
      </c>
      <c r="N1919" s="403" t="s">
        <v>4933</v>
      </c>
      <c r="O1919" s="403" t="s">
        <v>7084</v>
      </c>
      <c r="P1919" s="403" t="s">
        <v>4934</v>
      </c>
      <c r="Q1919" s="403" t="s">
        <v>9263</v>
      </c>
      <c r="R1919" s="403" t="s">
        <v>20381</v>
      </c>
      <c r="S1919" s="403" t="s">
        <v>17386</v>
      </c>
      <c r="T1919" s="403" t="s">
        <v>17387</v>
      </c>
      <c r="U1919" s="403"/>
      <c r="V1919" s="403" t="s">
        <v>23024</v>
      </c>
      <c r="W1919" s="403" t="s">
        <v>23024</v>
      </c>
      <c r="X1919" s="403" t="s">
        <v>23024</v>
      </c>
      <c r="Y1919" s="403" t="s">
        <v>23024</v>
      </c>
    </row>
    <row r="1920" spans="1:25">
      <c r="A1920" s="363">
        <f t="shared" si="239"/>
        <v>1919</v>
      </c>
      <c r="B1920" s="363" t="str">
        <f t="shared" si="232"/>
        <v>44</v>
      </c>
      <c r="C1920" s="405" t="str">
        <f t="shared" si="233"/>
        <v>第014676号</v>
      </c>
      <c r="D1920" s="405" t="str">
        <f t="shared" si="234"/>
        <v>（株）アライブ</v>
      </c>
      <c r="E1920" s="405" t="str">
        <f t="shared" si="235"/>
        <v>代表取締役</v>
      </c>
      <c r="F1920" s="405" t="str">
        <f t="shared" si="236"/>
        <v>田坂　洋二</v>
      </c>
      <c r="G1920" s="405" t="str">
        <f t="shared" si="237"/>
        <v>主たる営業所</v>
      </c>
      <c r="H1920" s="405" t="str">
        <f t="shared" si="238"/>
        <v>佐伯市中村北町５－３５</v>
      </c>
      <c r="L1920" s="403" t="s">
        <v>11739</v>
      </c>
      <c r="M1920" s="403" t="s">
        <v>11740</v>
      </c>
      <c r="N1920" s="403" t="s">
        <v>4935</v>
      </c>
      <c r="O1920" s="403" t="s">
        <v>7084</v>
      </c>
      <c r="P1920" s="403" t="s">
        <v>4936</v>
      </c>
      <c r="Q1920" s="403" t="s">
        <v>7853</v>
      </c>
      <c r="R1920" s="403" t="s">
        <v>20382</v>
      </c>
      <c r="S1920" s="403" t="s">
        <v>17388</v>
      </c>
      <c r="T1920" s="403" t="s">
        <v>17388</v>
      </c>
      <c r="U1920" s="403"/>
      <c r="V1920" s="403" t="s">
        <v>23024</v>
      </c>
      <c r="W1920" s="403" t="s">
        <v>23024</v>
      </c>
      <c r="X1920" s="403" t="s">
        <v>23024</v>
      </c>
      <c r="Y1920" s="403" t="s">
        <v>23024</v>
      </c>
    </row>
    <row r="1921" spans="1:25">
      <c r="A1921" s="363">
        <f t="shared" si="239"/>
        <v>1920</v>
      </c>
      <c r="B1921" s="363" t="str">
        <f t="shared" si="232"/>
        <v>44</v>
      </c>
      <c r="C1921" s="405" t="str">
        <f t="shared" si="233"/>
        <v>第014699号</v>
      </c>
      <c r="D1921" s="405" t="str">
        <f t="shared" si="234"/>
        <v>（株）石鎚</v>
      </c>
      <c r="E1921" s="405" t="str">
        <f t="shared" si="235"/>
        <v>代表取締役</v>
      </c>
      <c r="F1921" s="405" t="str">
        <f t="shared" si="236"/>
        <v>田中　茂雄</v>
      </c>
      <c r="G1921" s="405" t="str">
        <f t="shared" si="237"/>
        <v>主たる営業所</v>
      </c>
      <c r="H1921" s="405" t="str">
        <f t="shared" si="238"/>
        <v>大分市西新地２－５－１２</v>
      </c>
      <c r="L1921" s="403" t="s">
        <v>11742</v>
      </c>
      <c r="M1921" s="403" t="s">
        <v>11743</v>
      </c>
      <c r="N1921" s="403" t="s">
        <v>4937</v>
      </c>
      <c r="O1921" s="403" t="s">
        <v>7084</v>
      </c>
      <c r="P1921" s="403" t="s">
        <v>4938</v>
      </c>
      <c r="Q1921" s="403" t="s">
        <v>7339</v>
      </c>
      <c r="R1921" s="403" t="s">
        <v>20383</v>
      </c>
      <c r="S1921" s="403" t="s">
        <v>17389</v>
      </c>
      <c r="T1921" s="403" t="s">
        <v>17390</v>
      </c>
      <c r="U1921" s="403"/>
      <c r="V1921" s="403" t="s">
        <v>23024</v>
      </c>
      <c r="W1921" s="403" t="s">
        <v>23024</v>
      </c>
      <c r="X1921" s="403" t="s">
        <v>23024</v>
      </c>
      <c r="Y1921" s="403" t="s">
        <v>23024</v>
      </c>
    </row>
    <row r="1922" spans="1:25">
      <c r="A1922" s="363">
        <f t="shared" si="239"/>
        <v>1921</v>
      </c>
      <c r="B1922" s="363" t="str">
        <f t="shared" ref="B1922:B1985" si="240">LEFT(L1922,2)</f>
        <v>44</v>
      </c>
      <c r="C1922" s="405" t="str">
        <f t="shared" ref="C1922:C1985" si="241">IF(B1922="","","第"&amp;RIGHT(L1922,6)&amp;"号")</f>
        <v>第014702号</v>
      </c>
      <c r="D1922" s="405" t="str">
        <f t="shared" ref="D1922:D1985" si="242">N1922</f>
        <v>（株）ＣＯＳＴ</v>
      </c>
      <c r="E1922" s="405" t="str">
        <f t="shared" ref="E1922:E1985" si="243">IF(V1922="　",O1922,"")</f>
        <v>代表取締役</v>
      </c>
      <c r="F1922" s="405" t="str">
        <f t="shared" ref="F1922:F1985" si="244">IF(V1922="　",P1922,W1922)</f>
        <v>森山　俊明</v>
      </c>
      <c r="G1922" s="405" t="str">
        <f t="shared" ref="G1922:G1985" si="245">IF(V1922="　","主たる営業所",V1922)</f>
        <v>主たる営業所</v>
      </c>
      <c r="H1922" s="405" t="str">
        <f t="shared" ref="H1922:H1985" si="246">IF(V1922="　",R1922,Y1922)</f>
        <v>日田市大字求来里６２９－１</v>
      </c>
      <c r="L1922" s="403" t="s">
        <v>11744</v>
      </c>
      <c r="M1922" s="403" t="s">
        <v>11745</v>
      </c>
      <c r="N1922" s="403" t="s">
        <v>4939</v>
      </c>
      <c r="O1922" s="403" t="s">
        <v>7084</v>
      </c>
      <c r="P1922" s="403" t="s">
        <v>4940</v>
      </c>
      <c r="Q1922" s="403" t="s">
        <v>8547</v>
      </c>
      <c r="R1922" s="403" t="s">
        <v>20384</v>
      </c>
      <c r="S1922" s="403" t="s">
        <v>17391</v>
      </c>
      <c r="T1922" s="403" t="s">
        <v>17392</v>
      </c>
      <c r="U1922" s="403"/>
      <c r="V1922" s="403" t="s">
        <v>23024</v>
      </c>
      <c r="W1922" s="403" t="s">
        <v>23024</v>
      </c>
      <c r="X1922" s="403" t="s">
        <v>23024</v>
      </c>
      <c r="Y1922" s="403" t="s">
        <v>23024</v>
      </c>
    </row>
    <row r="1923" spans="1:25">
      <c r="A1923" s="363">
        <f t="shared" ref="A1923:A1986" si="247">IF(B1923="","",A1922+1)</f>
        <v>1922</v>
      </c>
      <c r="B1923" s="363" t="str">
        <f t="shared" si="240"/>
        <v>44</v>
      </c>
      <c r="C1923" s="405" t="str">
        <f t="shared" si="241"/>
        <v>第014703号</v>
      </c>
      <c r="D1923" s="405" t="str">
        <f t="shared" si="242"/>
        <v>岡部建設（株）</v>
      </c>
      <c r="E1923" s="405" t="str">
        <f t="shared" si="243"/>
        <v>代表取締役</v>
      </c>
      <c r="F1923" s="405" t="str">
        <f t="shared" si="244"/>
        <v>岡部　晃太郎</v>
      </c>
      <c r="G1923" s="405" t="str">
        <f t="shared" si="245"/>
        <v>主たる営業所</v>
      </c>
      <c r="H1923" s="405" t="str">
        <f t="shared" si="246"/>
        <v>豊後高田市西真玉３５６７－１</v>
      </c>
      <c r="L1923" s="403" t="s">
        <v>11746</v>
      </c>
      <c r="M1923" s="403" t="s">
        <v>11747</v>
      </c>
      <c r="N1923" s="403" t="s">
        <v>4941</v>
      </c>
      <c r="O1923" s="403" t="s">
        <v>7084</v>
      </c>
      <c r="P1923" s="403" t="s">
        <v>4942</v>
      </c>
      <c r="Q1923" s="403" t="s">
        <v>11748</v>
      </c>
      <c r="R1923" s="403" t="s">
        <v>20385</v>
      </c>
      <c r="S1923" s="403" t="s">
        <v>17393</v>
      </c>
      <c r="T1923" s="403" t="s">
        <v>17393</v>
      </c>
      <c r="U1923" s="403"/>
      <c r="V1923" s="403" t="s">
        <v>23024</v>
      </c>
      <c r="W1923" s="403" t="s">
        <v>23024</v>
      </c>
      <c r="X1923" s="403" t="s">
        <v>23024</v>
      </c>
      <c r="Y1923" s="403" t="s">
        <v>23024</v>
      </c>
    </row>
    <row r="1924" spans="1:25">
      <c r="A1924" s="363">
        <f t="shared" si="247"/>
        <v>1923</v>
      </c>
      <c r="B1924" s="363" t="str">
        <f t="shared" si="240"/>
        <v>44</v>
      </c>
      <c r="C1924" s="405" t="str">
        <f t="shared" si="241"/>
        <v>第014707号</v>
      </c>
      <c r="D1924" s="405" t="str">
        <f t="shared" si="242"/>
        <v>（株）オーエヌプラマー</v>
      </c>
      <c r="E1924" s="405" t="str">
        <f t="shared" si="243"/>
        <v>代表取締役</v>
      </c>
      <c r="F1924" s="405" t="str">
        <f t="shared" si="244"/>
        <v>小野　信男</v>
      </c>
      <c r="G1924" s="405" t="str">
        <f t="shared" si="245"/>
        <v>主たる営業所</v>
      </c>
      <c r="H1924" s="405" t="str">
        <f t="shared" si="246"/>
        <v>豊後高田市界１５９２－２</v>
      </c>
      <c r="L1924" s="403" t="s">
        <v>11749</v>
      </c>
      <c r="M1924" s="403" t="s">
        <v>11750</v>
      </c>
      <c r="N1924" s="403" t="s">
        <v>4943</v>
      </c>
      <c r="O1924" s="403" t="s">
        <v>7084</v>
      </c>
      <c r="P1924" s="403" t="s">
        <v>4944</v>
      </c>
      <c r="Q1924" s="403" t="s">
        <v>7654</v>
      </c>
      <c r="R1924" s="403" t="s">
        <v>20386</v>
      </c>
      <c r="S1924" s="403" t="s">
        <v>17394</v>
      </c>
      <c r="T1924" s="403" t="s">
        <v>17395</v>
      </c>
      <c r="U1924" s="403"/>
      <c r="V1924" s="403" t="s">
        <v>23024</v>
      </c>
      <c r="W1924" s="403" t="s">
        <v>23024</v>
      </c>
      <c r="X1924" s="403" t="s">
        <v>23024</v>
      </c>
      <c r="Y1924" s="403" t="s">
        <v>23024</v>
      </c>
    </row>
    <row r="1925" spans="1:25">
      <c r="A1925" s="363">
        <f t="shared" si="247"/>
        <v>1924</v>
      </c>
      <c r="B1925" s="363" t="str">
        <f t="shared" si="240"/>
        <v>44</v>
      </c>
      <c r="C1925" s="405" t="str">
        <f t="shared" si="241"/>
        <v>第014708号</v>
      </c>
      <c r="D1925" s="405" t="str">
        <f t="shared" si="242"/>
        <v>小田工業</v>
      </c>
      <c r="E1925" s="405" t="str">
        <f t="shared" si="243"/>
        <v>代表者</v>
      </c>
      <c r="F1925" s="405" t="str">
        <f t="shared" si="244"/>
        <v>小田　晃一</v>
      </c>
      <c r="G1925" s="405" t="str">
        <f t="shared" si="245"/>
        <v>主たる営業所</v>
      </c>
      <c r="H1925" s="405" t="str">
        <f t="shared" si="246"/>
        <v>宇佐市院内町高並９９７</v>
      </c>
      <c r="L1925" s="403" t="s">
        <v>20387</v>
      </c>
      <c r="M1925" s="403" t="s">
        <v>20388</v>
      </c>
      <c r="N1925" s="403" t="s">
        <v>20389</v>
      </c>
      <c r="O1925" s="403" t="s">
        <v>7086</v>
      </c>
      <c r="P1925" s="403" t="s">
        <v>20390</v>
      </c>
      <c r="Q1925" s="403" t="s">
        <v>20391</v>
      </c>
      <c r="R1925" s="403" t="s">
        <v>20392</v>
      </c>
      <c r="S1925" s="403" t="s">
        <v>20393</v>
      </c>
      <c r="T1925" s="403" t="s">
        <v>20393</v>
      </c>
      <c r="U1925" s="403"/>
      <c r="V1925" s="403" t="s">
        <v>23024</v>
      </c>
      <c r="W1925" s="403" t="s">
        <v>23024</v>
      </c>
      <c r="X1925" s="403" t="s">
        <v>23024</v>
      </c>
      <c r="Y1925" s="403" t="s">
        <v>23024</v>
      </c>
    </row>
    <row r="1926" spans="1:25">
      <c r="A1926" s="363">
        <f t="shared" si="247"/>
        <v>1925</v>
      </c>
      <c r="B1926" s="363" t="str">
        <f t="shared" si="240"/>
        <v>44</v>
      </c>
      <c r="C1926" s="405" t="str">
        <f t="shared" si="241"/>
        <v>第014713号</v>
      </c>
      <c r="D1926" s="405" t="str">
        <f t="shared" si="242"/>
        <v>（株）大分防犯サービス</v>
      </c>
      <c r="E1926" s="405" t="str">
        <f t="shared" si="243"/>
        <v>代表取締役</v>
      </c>
      <c r="F1926" s="405" t="str">
        <f t="shared" si="244"/>
        <v>田邉　スミ子</v>
      </c>
      <c r="G1926" s="405" t="str">
        <f t="shared" si="245"/>
        <v>主たる営業所</v>
      </c>
      <c r="H1926" s="405" t="str">
        <f t="shared" si="246"/>
        <v>大分市大字津守６４－１</v>
      </c>
      <c r="L1926" s="403" t="s">
        <v>11751</v>
      </c>
      <c r="M1926" s="403" t="s">
        <v>11752</v>
      </c>
      <c r="N1926" s="403" t="s">
        <v>4945</v>
      </c>
      <c r="O1926" s="403" t="s">
        <v>7084</v>
      </c>
      <c r="P1926" s="403" t="s">
        <v>4946</v>
      </c>
      <c r="Q1926" s="403" t="s">
        <v>7756</v>
      </c>
      <c r="R1926" s="403" t="s">
        <v>20394</v>
      </c>
      <c r="S1926" s="403" t="s">
        <v>17396</v>
      </c>
      <c r="T1926" s="403" t="s">
        <v>17397</v>
      </c>
      <c r="U1926" s="403"/>
      <c r="V1926" s="403" t="s">
        <v>23024</v>
      </c>
      <c r="W1926" s="403" t="s">
        <v>23024</v>
      </c>
      <c r="X1926" s="403" t="s">
        <v>23024</v>
      </c>
      <c r="Y1926" s="403" t="s">
        <v>23024</v>
      </c>
    </row>
    <row r="1927" spans="1:25">
      <c r="A1927" s="363">
        <f t="shared" si="247"/>
        <v>1926</v>
      </c>
      <c r="B1927" s="363" t="str">
        <f t="shared" si="240"/>
        <v>44</v>
      </c>
      <c r="C1927" s="405" t="str">
        <f t="shared" si="241"/>
        <v>第014714号</v>
      </c>
      <c r="D1927" s="405" t="str">
        <f t="shared" si="242"/>
        <v>（株）渋谷建設</v>
      </c>
      <c r="E1927" s="405" t="str">
        <f t="shared" si="243"/>
        <v>代表取締役</v>
      </c>
      <c r="F1927" s="405" t="str">
        <f t="shared" si="244"/>
        <v>渋谷　房徳</v>
      </c>
      <c r="G1927" s="405" t="str">
        <f t="shared" si="245"/>
        <v>主たる営業所</v>
      </c>
      <c r="H1927" s="405" t="str">
        <f t="shared" si="246"/>
        <v>豊後大野市大野町屋原１５２８－１</v>
      </c>
      <c r="L1927" s="403" t="s">
        <v>11753</v>
      </c>
      <c r="M1927" s="403" t="s">
        <v>11754</v>
      </c>
      <c r="N1927" s="403" t="s">
        <v>4947</v>
      </c>
      <c r="O1927" s="403" t="s">
        <v>7084</v>
      </c>
      <c r="P1927" s="403" t="s">
        <v>4948</v>
      </c>
      <c r="Q1927" s="403" t="s">
        <v>9091</v>
      </c>
      <c r="R1927" s="403" t="s">
        <v>20395</v>
      </c>
      <c r="S1927" s="403" t="s">
        <v>17398</v>
      </c>
      <c r="T1927" s="403" t="s">
        <v>17399</v>
      </c>
      <c r="U1927" s="403"/>
      <c r="V1927" s="403" t="s">
        <v>23024</v>
      </c>
      <c r="W1927" s="403" t="s">
        <v>23024</v>
      </c>
      <c r="X1927" s="403" t="s">
        <v>23024</v>
      </c>
      <c r="Y1927" s="403" t="s">
        <v>23024</v>
      </c>
    </row>
    <row r="1928" spans="1:25">
      <c r="A1928" s="363">
        <f t="shared" si="247"/>
        <v>1927</v>
      </c>
      <c r="B1928" s="363" t="str">
        <f t="shared" si="240"/>
        <v>44</v>
      </c>
      <c r="C1928" s="405" t="str">
        <f t="shared" si="241"/>
        <v>第014722号</v>
      </c>
      <c r="D1928" s="405" t="str">
        <f t="shared" si="242"/>
        <v>（株）富士重機クレーン</v>
      </c>
      <c r="E1928" s="405" t="str">
        <f t="shared" si="243"/>
        <v>代表取締役</v>
      </c>
      <c r="F1928" s="405" t="str">
        <f t="shared" si="244"/>
        <v>奈良　浩司</v>
      </c>
      <c r="G1928" s="405" t="str">
        <f t="shared" si="245"/>
        <v>主たる営業所</v>
      </c>
      <c r="H1928" s="405" t="str">
        <f t="shared" si="246"/>
        <v>大分市大字千歳字尾崎２１５１</v>
      </c>
      <c r="L1928" s="403" t="s">
        <v>20396</v>
      </c>
      <c r="M1928" s="403" t="s">
        <v>20397</v>
      </c>
      <c r="N1928" s="403" t="s">
        <v>20398</v>
      </c>
      <c r="O1928" s="403" t="s">
        <v>7084</v>
      </c>
      <c r="P1928" s="403" t="s">
        <v>20399</v>
      </c>
      <c r="Q1928" s="403" t="s">
        <v>11191</v>
      </c>
      <c r="R1928" s="403" t="s">
        <v>20400</v>
      </c>
      <c r="S1928" s="403" t="s">
        <v>20401</v>
      </c>
      <c r="T1928" s="403" t="s">
        <v>20402</v>
      </c>
      <c r="U1928" s="403"/>
      <c r="V1928" s="403" t="s">
        <v>23024</v>
      </c>
      <c r="W1928" s="403" t="s">
        <v>23024</v>
      </c>
      <c r="X1928" s="403" t="s">
        <v>23024</v>
      </c>
      <c r="Y1928" s="403" t="s">
        <v>23024</v>
      </c>
    </row>
    <row r="1929" spans="1:25">
      <c r="A1929" s="363">
        <f t="shared" si="247"/>
        <v>1928</v>
      </c>
      <c r="B1929" s="363" t="str">
        <f t="shared" si="240"/>
        <v>44</v>
      </c>
      <c r="C1929" s="405" t="str">
        <f t="shared" si="241"/>
        <v>第014726号</v>
      </c>
      <c r="D1929" s="405" t="str">
        <f t="shared" si="242"/>
        <v>（株）ウエダ電気工事</v>
      </c>
      <c r="E1929" s="405" t="str">
        <f t="shared" si="243"/>
        <v>代表取締役</v>
      </c>
      <c r="F1929" s="405" t="str">
        <f t="shared" si="244"/>
        <v>上田　潤</v>
      </c>
      <c r="G1929" s="405" t="str">
        <f t="shared" si="245"/>
        <v>主たる営業所</v>
      </c>
      <c r="H1929" s="405" t="str">
        <f t="shared" si="246"/>
        <v>大分市大字生石字久保田４１６－１０</v>
      </c>
      <c r="L1929" s="403" t="s">
        <v>11755</v>
      </c>
      <c r="M1929" s="403" t="s">
        <v>11756</v>
      </c>
      <c r="N1929" s="403" t="s">
        <v>4949</v>
      </c>
      <c r="O1929" s="403" t="s">
        <v>7084</v>
      </c>
      <c r="P1929" s="403" t="s">
        <v>4950</v>
      </c>
      <c r="Q1929" s="403" t="s">
        <v>11757</v>
      </c>
      <c r="R1929" s="403" t="s">
        <v>20403</v>
      </c>
      <c r="S1929" s="403" t="s">
        <v>17400</v>
      </c>
      <c r="T1929" s="403" t="s">
        <v>17401</v>
      </c>
      <c r="U1929" s="403"/>
      <c r="V1929" s="403" t="s">
        <v>23024</v>
      </c>
      <c r="W1929" s="403" t="s">
        <v>23024</v>
      </c>
      <c r="X1929" s="403" t="s">
        <v>23024</v>
      </c>
      <c r="Y1929" s="403" t="s">
        <v>23024</v>
      </c>
    </row>
    <row r="1930" spans="1:25">
      <c r="A1930" s="363">
        <f t="shared" si="247"/>
        <v>1929</v>
      </c>
      <c r="B1930" s="363" t="str">
        <f t="shared" si="240"/>
        <v>44</v>
      </c>
      <c r="C1930" s="405" t="str">
        <f t="shared" si="241"/>
        <v>第014727号</v>
      </c>
      <c r="D1930" s="405" t="str">
        <f t="shared" si="242"/>
        <v>（株）グッドリメイク</v>
      </c>
      <c r="E1930" s="405" t="str">
        <f t="shared" si="243"/>
        <v>代表取締役</v>
      </c>
      <c r="F1930" s="405" t="str">
        <f t="shared" si="244"/>
        <v>山城　祐一</v>
      </c>
      <c r="G1930" s="405" t="str">
        <f t="shared" si="245"/>
        <v>主たる営業所</v>
      </c>
      <c r="H1930" s="405" t="str">
        <f t="shared" si="246"/>
        <v>大分市舞鶴町１－３－２８　ネクスト舞鶴ビル６階</v>
      </c>
      <c r="L1930" s="403" t="s">
        <v>11758</v>
      </c>
      <c r="M1930" s="403" t="s">
        <v>11759</v>
      </c>
      <c r="N1930" s="403" t="s">
        <v>4951</v>
      </c>
      <c r="O1930" s="403" t="s">
        <v>7084</v>
      </c>
      <c r="P1930" s="403" t="s">
        <v>4952</v>
      </c>
      <c r="Q1930" s="403" t="s">
        <v>7282</v>
      </c>
      <c r="R1930" s="403" t="s">
        <v>20404</v>
      </c>
      <c r="S1930" s="403" t="s">
        <v>17402</v>
      </c>
      <c r="T1930" s="403" t="s">
        <v>17403</v>
      </c>
      <c r="U1930" s="403"/>
      <c r="V1930" s="403" t="s">
        <v>23024</v>
      </c>
      <c r="W1930" s="403" t="s">
        <v>23024</v>
      </c>
      <c r="X1930" s="403" t="s">
        <v>23024</v>
      </c>
      <c r="Y1930" s="403" t="s">
        <v>23024</v>
      </c>
    </row>
    <row r="1931" spans="1:25">
      <c r="A1931" s="363">
        <f t="shared" si="247"/>
        <v>1930</v>
      </c>
      <c r="B1931" s="363" t="str">
        <f t="shared" si="240"/>
        <v>44</v>
      </c>
      <c r="C1931" s="405" t="str">
        <f t="shared" si="241"/>
        <v>第014739号</v>
      </c>
      <c r="D1931" s="405" t="str">
        <f t="shared" si="242"/>
        <v>（合）臺真興業</v>
      </c>
      <c r="E1931" s="405" t="str">
        <f t="shared" si="243"/>
        <v>代表取締役</v>
      </c>
      <c r="F1931" s="405" t="str">
        <f t="shared" si="244"/>
        <v>臺野　真琴</v>
      </c>
      <c r="G1931" s="405" t="str">
        <f t="shared" si="245"/>
        <v>主たる営業所</v>
      </c>
      <c r="H1931" s="405" t="str">
        <f t="shared" si="246"/>
        <v>豊後高田市来縄２６０５－１</v>
      </c>
      <c r="L1931" s="403" t="s">
        <v>11760</v>
      </c>
      <c r="M1931" s="403" t="s">
        <v>11761</v>
      </c>
      <c r="N1931" s="403" t="s">
        <v>5295</v>
      </c>
      <c r="O1931" s="403" t="s">
        <v>7084</v>
      </c>
      <c r="P1931" s="403" t="s">
        <v>5332</v>
      </c>
      <c r="Q1931" s="403" t="s">
        <v>7663</v>
      </c>
      <c r="R1931" s="403" t="s">
        <v>20405</v>
      </c>
      <c r="S1931" s="403" t="s">
        <v>17404</v>
      </c>
      <c r="T1931" s="403" t="s">
        <v>17404</v>
      </c>
      <c r="U1931" s="403"/>
      <c r="V1931" s="403" t="s">
        <v>23024</v>
      </c>
      <c r="W1931" s="403" t="s">
        <v>23024</v>
      </c>
      <c r="X1931" s="403" t="s">
        <v>23024</v>
      </c>
      <c r="Y1931" s="403" t="s">
        <v>23024</v>
      </c>
    </row>
    <row r="1932" spans="1:25">
      <c r="A1932" s="363">
        <f t="shared" si="247"/>
        <v>1931</v>
      </c>
      <c r="B1932" s="363" t="str">
        <f t="shared" si="240"/>
        <v>44</v>
      </c>
      <c r="C1932" s="405" t="str">
        <f t="shared" si="241"/>
        <v>第014740号</v>
      </c>
      <c r="D1932" s="405" t="str">
        <f t="shared" si="242"/>
        <v>（株）共同組合建設</v>
      </c>
      <c r="E1932" s="405" t="str">
        <f t="shared" si="243"/>
        <v>代表取締役</v>
      </c>
      <c r="F1932" s="405" t="str">
        <f t="shared" si="244"/>
        <v>中津留　晃広</v>
      </c>
      <c r="G1932" s="405" t="str">
        <f t="shared" si="245"/>
        <v>主たる営業所</v>
      </c>
      <c r="H1932" s="405" t="str">
        <f t="shared" si="246"/>
        <v>大分市大字羽田２７２－１</v>
      </c>
      <c r="L1932" s="403" t="s">
        <v>11762</v>
      </c>
      <c r="M1932" s="403" t="s">
        <v>11763</v>
      </c>
      <c r="N1932" s="403" t="s">
        <v>4953</v>
      </c>
      <c r="O1932" s="403" t="s">
        <v>7084</v>
      </c>
      <c r="P1932" s="403" t="s">
        <v>20406</v>
      </c>
      <c r="Q1932" s="403" t="s">
        <v>8289</v>
      </c>
      <c r="R1932" s="403" t="s">
        <v>20407</v>
      </c>
      <c r="S1932" s="403" t="s">
        <v>17405</v>
      </c>
      <c r="T1932" s="403" t="s">
        <v>16377</v>
      </c>
      <c r="U1932" s="403"/>
      <c r="V1932" s="403" t="s">
        <v>23024</v>
      </c>
      <c r="W1932" s="403" t="s">
        <v>23024</v>
      </c>
      <c r="X1932" s="403" t="s">
        <v>23024</v>
      </c>
      <c r="Y1932" s="403" t="s">
        <v>23024</v>
      </c>
    </row>
    <row r="1933" spans="1:25">
      <c r="A1933" s="363">
        <f t="shared" si="247"/>
        <v>1932</v>
      </c>
      <c r="B1933" s="363" t="str">
        <f t="shared" si="240"/>
        <v>44</v>
      </c>
      <c r="C1933" s="405" t="str">
        <f t="shared" si="241"/>
        <v>第014742号</v>
      </c>
      <c r="D1933" s="405" t="str">
        <f t="shared" si="242"/>
        <v>（株）山本屋</v>
      </c>
      <c r="E1933" s="405" t="str">
        <f t="shared" si="243"/>
        <v>代表取締役</v>
      </c>
      <c r="F1933" s="405" t="str">
        <f t="shared" si="244"/>
        <v>山本　裕一</v>
      </c>
      <c r="G1933" s="405" t="str">
        <f t="shared" si="245"/>
        <v>主たる営業所</v>
      </c>
      <c r="H1933" s="405" t="str">
        <f t="shared" si="246"/>
        <v>別府市大字北石垣９５８－５</v>
      </c>
      <c r="L1933" s="403" t="s">
        <v>11764</v>
      </c>
      <c r="M1933" s="403" t="s">
        <v>11765</v>
      </c>
      <c r="N1933" s="403" t="s">
        <v>4955</v>
      </c>
      <c r="O1933" s="403" t="s">
        <v>7084</v>
      </c>
      <c r="P1933" s="403" t="s">
        <v>4956</v>
      </c>
      <c r="Q1933" s="403" t="s">
        <v>9891</v>
      </c>
      <c r="R1933" s="403" t="s">
        <v>20408</v>
      </c>
      <c r="S1933" s="403" t="s">
        <v>17406</v>
      </c>
      <c r="T1933" s="403" t="s">
        <v>17406</v>
      </c>
      <c r="U1933" s="403"/>
      <c r="V1933" s="403" t="s">
        <v>23024</v>
      </c>
      <c r="W1933" s="403" t="s">
        <v>23024</v>
      </c>
      <c r="X1933" s="403" t="s">
        <v>23024</v>
      </c>
      <c r="Y1933" s="403" t="s">
        <v>23024</v>
      </c>
    </row>
    <row r="1934" spans="1:25">
      <c r="A1934" s="363">
        <f t="shared" si="247"/>
        <v>1933</v>
      </c>
      <c r="B1934" s="363" t="str">
        <f t="shared" si="240"/>
        <v>44</v>
      </c>
      <c r="C1934" s="405" t="str">
        <f t="shared" si="241"/>
        <v>第014747号</v>
      </c>
      <c r="D1934" s="405" t="str">
        <f t="shared" si="242"/>
        <v>ゴードービジネスマシン（株）</v>
      </c>
      <c r="E1934" s="405" t="str">
        <f t="shared" si="243"/>
        <v>代表取締役</v>
      </c>
      <c r="F1934" s="405" t="str">
        <f t="shared" si="244"/>
        <v>小野　敬一</v>
      </c>
      <c r="G1934" s="405" t="str">
        <f t="shared" si="245"/>
        <v>主たる営業所</v>
      </c>
      <c r="H1934" s="405" t="str">
        <f t="shared" si="246"/>
        <v>大分市下郡北１－２－１２</v>
      </c>
      <c r="L1934" s="403" t="s">
        <v>11766</v>
      </c>
      <c r="M1934" s="403" t="s">
        <v>11767</v>
      </c>
      <c r="N1934" s="403" t="s">
        <v>4957</v>
      </c>
      <c r="O1934" s="403" t="s">
        <v>7084</v>
      </c>
      <c r="P1934" s="403" t="s">
        <v>4958</v>
      </c>
      <c r="Q1934" s="403" t="s">
        <v>9524</v>
      </c>
      <c r="R1934" s="403" t="s">
        <v>20409</v>
      </c>
      <c r="S1934" s="403" t="s">
        <v>17407</v>
      </c>
      <c r="T1934" s="403" t="s">
        <v>17408</v>
      </c>
      <c r="U1934" s="403"/>
      <c r="V1934" s="403" t="s">
        <v>23024</v>
      </c>
      <c r="W1934" s="403" t="s">
        <v>23024</v>
      </c>
      <c r="X1934" s="403" t="s">
        <v>23024</v>
      </c>
      <c r="Y1934" s="403" t="s">
        <v>23024</v>
      </c>
    </row>
    <row r="1935" spans="1:25">
      <c r="A1935" s="363">
        <f t="shared" si="247"/>
        <v>1934</v>
      </c>
      <c r="B1935" s="363" t="str">
        <f t="shared" si="240"/>
        <v>44</v>
      </c>
      <c r="C1935" s="405" t="str">
        <f t="shared" si="241"/>
        <v>第014756号</v>
      </c>
      <c r="D1935" s="405" t="str">
        <f t="shared" si="242"/>
        <v>（株）ＭＩＹＡＧＡＷＡ</v>
      </c>
      <c r="E1935" s="405" t="str">
        <f t="shared" si="243"/>
        <v>代表取締役</v>
      </c>
      <c r="F1935" s="405" t="str">
        <f t="shared" si="244"/>
        <v>宮川　昌之</v>
      </c>
      <c r="G1935" s="405" t="str">
        <f t="shared" si="245"/>
        <v>主たる営業所</v>
      </c>
      <c r="H1935" s="405" t="str">
        <f t="shared" si="246"/>
        <v>別府市東荘園２－１１－１２</v>
      </c>
      <c r="L1935" s="403" t="s">
        <v>11768</v>
      </c>
      <c r="M1935" s="403" t="s">
        <v>11769</v>
      </c>
      <c r="N1935" s="403" t="s">
        <v>4959</v>
      </c>
      <c r="O1935" s="403" t="s">
        <v>7084</v>
      </c>
      <c r="P1935" s="403" t="s">
        <v>4960</v>
      </c>
      <c r="Q1935" s="403" t="s">
        <v>7646</v>
      </c>
      <c r="R1935" s="403" t="s">
        <v>20410</v>
      </c>
      <c r="S1935" s="403" t="s">
        <v>17409</v>
      </c>
      <c r="T1935" s="403" t="s">
        <v>17409</v>
      </c>
      <c r="U1935" s="403"/>
      <c r="V1935" s="403" t="s">
        <v>23024</v>
      </c>
      <c r="W1935" s="403" t="s">
        <v>23024</v>
      </c>
      <c r="X1935" s="403" t="s">
        <v>23024</v>
      </c>
      <c r="Y1935" s="403" t="s">
        <v>23024</v>
      </c>
    </row>
    <row r="1936" spans="1:25">
      <c r="A1936" s="363">
        <f t="shared" si="247"/>
        <v>1935</v>
      </c>
      <c r="B1936" s="363" t="str">
        <f t="shared" si="240"/>
        <v>44</v>
      </c>
      <c r="C1936" s="405" t="str">
        <f t="shared" si="241"/>
        <v>第014762号</v>
      </c>
      <c r="D1936" s="405" t="str">
        <f t="shared" si="242"/>
        <v>（株）ＴＳサービス</v>
      </c>
      <c r="E1936" s="405" t="str">
        <f t="shared" si="243"/>
        <v>代表取締役</v>
      </c>
      <c r="F1936" s="405" t="str">
        <f t="shared" si="244"/>
        <v>伊藤　真也</v>
      </c>
      <c r="G1936" s="405" t="str">
        <f t="shared" si="245"/>
        <v>主たる営業所</v>
      </c>
      <c r="H1936" s="405" t="str">
        <f t="shared" si="246"/>
        <v>別府市京町６－３３</v>
      </c>
      <c r="L1936" s="403" t="s">
        <v>11770</v>
      </c>
      <c r="M1936" s="403" t="s">
        <v>11771</v>
      </c>
      <c r="N1936" s="403" t="s">
        <v>4961</v>
      </c>
      <c r="O1936" s="403" t="s">
        <v>7084</v>
      </c>
      <c r="P1936" s="403" t="s">
        <v>4962</v>
      </c>
      <c r="Q1936" s="403" t="s">
        <v>7622</v>
      </c>
      <c r="R1936" s="403" t="s">
        <v>20411</v>
      </c>
      <c r="S1936" s="403" t="s">
        <v>17410</v>
      </c>
      <c r="T1936" s="403" t="s">
        <v>17411</v>
      </c>
      <c r="U1936" s="403"/>
      <c r="V1936" s="403" t="s">
        <v>23024</v>
      </c>
      <c r="W1936" s="403" t="s">
        <v>23024</v>
      </c>
      <c r="X1936" s="403" t="s">
        <v>23024</v>
      </c>
      <c r="Y1936" s="403" t="s">
        <v>23024</v>
      </c>
    </row>
    <row r="1937" spans="1:25">
      <c r="A1937" s="363">
        <f t="shared" si="247"/>
        <v>1936</v>
      </c>
      <c r="B1937" s="363" t="str">
        <f t="shared" si="240"/>
        <v>44</v>
      </c>
      <c r="C1937" s="405" t="str">
        <f t="shared" si="241"/>
        <v>第014770号</v>
      </c>
      <c r="D1937" s="405" t="str">
        <f t="shared" si="242"/>
        <v>ＬＡＮＣＥ（株）</v>
      </c>
      <c r="E1937" s="405" t="str">
        <f t="shared" si="243"/>
        <v>代表取締役</v>
      </c>
      <c r="F1937" s="405" t="str">
        <f t="shared" si="244"/>
        <v>中島　薫平</v>
      </c>
      <c r="G1937" s="405" t="str">
        <f t="shared" si="245"/>
        <v>主たる営業所</v>
      </c>
      <c r="H1937" s="405" t="str">
        <f t="shared" si="246"/>
        <v>宇佐市大字森山６１２－１</v>
      </c>
      <c r="L1937" s="403" t="s">
        <v>11772</v>
      </c>
      <c r="M1937" s="403" t="s">
        <v>11773</v>
      </c>
      <c r="N1937" s="403" t="s">
        <v>4963</v>
      </c>
      <c r="O1937" s="403" t="s">
        <v>7084</v>
      </c>
      <c r="P1937" s="403" t="s">
        <v>4964</v>
      </c>
      <c r="Q1937" s="403" t="s">
        <v>8142</v>
      </c>
      <c r="R1937" s="403" t="s">
        <v>20412</v>
      </c>
      <c r="S1937" s="403" t="s">
        <v>17412</v>
      </c>
      <c r="T1937" s="403" t="s">
        <v>17413</v>
      </c>
      <c r="U1937" s="403"/>
      <c r="V1937" s="403" t="s">
        <v>23024</v>
      </c>
      <c r="W1937" s="403" t="s">
        <v>23024</v>
      </c>
      <c r="X1937" s="403" t="s">
        <v>23024</v>
      </c>
      <c r="Y1937" s="403" t="s">
        <v>23024</v>
      </c>
    </row>
    <row r="1938" spans="1:25">
      <c r="A1938" s="363">
        <f t="shared" si="247"/>
        <v>1937</v>
      </c>
      <c r="B1938" s="363" t="str">
        <f t="shared" si="240"/>
        <v>44</v>
      </c>
      <c r="C1938" s="405" t="str">
        <f t="shared" si="241"/>
        <v>第014774号</v>
      </c>
      <c r="D1938" s="405" t="str">
        <f t="shared" si="242"/>
        <v>Ｋａｚｕ建設工房（株）</v>
      </c>
      <c r="E1938" s="405" t="str">
        <f t="shared" si="243"/>
        <v>代表取締役</v>
      </c>
      <c r="F1938" s="405" t="str">
        <f t="shared" si="244"/>
        <v>工藤　和幸</v>
      </c>
      <c r="G1938" s="405" t="str">
        <f t="shared" si="245"/>
        <v>主たる営業所</v>
      </c>
      <c r="H1938" s="405" t="str">
        <f t="shared" si="246"/>
        <v>大分市高城西町８－１６</v>
      </c>
      <c r="L1938" s="403" t="s">
        <v>11774</v>
      </c>
      <c r="M1938" s="403" t="s">
        <v>11775</v>
      </c>
      <c r="N1938" s="403" t="s">
        <v>4965</v>
      </c>
      <c r="O1938" s="403" t="s">
        <v>7084</v>
      </c>
      <c r="P1938" s="403" t="s">
        <v>4966</v>
      </c>
      <c r="Q1938" s="403" t="s">
        <v>10087</v>
      </c>
      <c r="R1938" s="403" t="s">
        <v>20413</v>
      </c>
      <c r="S1938" s="403" t="s">
        <v>17414</v>
      </c>
      <c r="T1938" s="403" t="s">
        <v>17415</v>
      </c>
      <c r="U1938" s="403"/>
      <c r="V1938" s="403" t="s">
        <v>23024</v>
      </c>
      <c r="W1938" s="403" t="s">
        <v>23024</v>
      </c>
      <c r="X1938" s="403" t="s">
        <v>23024</v>
      </c>
      <c r="Y1938" s="403" t="s">
        <v>23024</v>
      </c>
    </row>
    <row r="1939" spans="1:25">
      <c r="A1939" s="363">
        <f t="shared" si="247"/>
        <v>1938</v>
      </c>
      <c r="B1939" s="363" t="str">
        <f t="shared" si="240"/>
        <v>44</v>
      </c>
      <c r="C1939" s="405" t="str">
        <f t="shared" si="241"/>
        <v>第014787号</v>
      </c>
      <c r="D1939" s="405" t="str">
        <f t="shared" si="242"/>
        <v>（有）綾部建築</v>
      </c>
      <c r="E1939" s="405" t="str">
        <f t="shared" si="243"/>
        <v>取締役</v>
      </c>
      <c r="F1939" s="405" t="str">
        <f t="shared" si="244"/>
        <v>綾部　富男</v>
      </c>
      <c r="G1939" s="405" t="str">
        <f t="shared" si="245"/>
        <v>主たる営業所</v>
      </c>
      <c r="H1939" s="405" t="str">
        <f t="shared" si="246"/>
        <v>別府市大字野田５０３</v>
      </c>
      <c r="L1939" s="403" t="s">
        <v>20414</v>
      </c>
      <c r="M1939" s="403" t="s">
        <v>20415</v>
      </c>
      <c r="N1939" s="403" t="s">
        <v>20416</v>
      </c>
      <c r="O1939" s="403" t="s">
        <v>7085</v>
      </c>
      <c r="P1939" s="403" t="s">
        <v>20417</v>
      </c>
      <c r="Q1939" s="403" t="s">
        <v>8366</v>
      </c>
      <c r="R1939" s="403" t="s">
        <v>20418</v>
      </c>
      <c r="S1939" s="403" t="s">
        <v>20419</v>
      </c>
      <c r="T1939" s="403" t="s">
        <v>20419</v>
      </c>
      <c r="U1939" s="403"/>
      <c r="V1939" s="403" t="s">
        <v>23024</v>
      </c>
      <c r="W1939" s="403" t="s">
        <v>23024</v>
      </c>
      <c r="X1939" s="403" t="s">
        <v>23024</v>
      </c>
      <c r="Y1939" s="403" t="s">
        <v>23024</v>
      </c>
    </row>
    <row r="1940" spans="1:25">
      <c r="A1940" s="363">
        <f t="shared" si="247"/>
        <v>1939</v>
      </c>
      <c r="B1940" s="363" t="str">
        <f t="shared" si="240"/>
        <v>44</v>
      </c>
      <c r="C1940" s="405" t="str">
        <f t="shared" si="241"/>
        <v>第014788号</v>
      </c>
      <c r="D1940" s="405" t="str">
        <f t="shared" si="242"/>
        <v>（株）独艸園</v>
      </c>
      <c r="E1940" s="405" t="str">
        <f t="shared" si="243"/>
        <v>代表取締役</v>
      </c>
      <c r="F1940" s="405" t="str">
        <f t="shared" si="244"/>
        <v>樋口　範昭</v>
      </c>
      <c r="G1940" s="405" t="str">
        <f t="shared" si="245"/>
        <v>主たる営業所</v>
      </c>
      <c r="H1940" s="405" t="str">
        <f t="shared" si="246"/>
        <v>別府市春木町５－１</v>
      </c>
      <c r="L1940" s="403" t="s">
        <v>11776</v>
      </c>
      <c r="M1940" s="403" t="s">
        <v>11777</v>
      </c>
      <c r="N1940" s="403" t="s">
        <v>5204</v>
      </c>
      <c r="O1940" s="403" t="s">
        <v>7084</v>
      </c>
      <c r="P1940" s="403" t="s">
        <v>4967</v>
      </c>
      <c r="Q1940" s="403" t="s">
        <v>9399</v>
      </c>
      <c r="R1940" s="403" t="s">
        <v>20420</v>
      </c>
      <c r="S1940" s="403" t="s">
        <v>20421</v>
      </c>
      <c r="T1940" s="403" t="s">
        <v>20422</v>
      </c>
      <c r="U1940" s="403"/>
      <c r="V1940" s="403" t="s">
        <v>23024</v>
      </c>
      <c r="W1940" s="403" t="s">
        <v>23024</v>
      </c>
      <c r="X1940" s="403" t="s">
        <v>23024</v>
      </c>
      <c r="Y1940" s="403" t="s">
        <v>23024</v>
      </c>
    </row>
    <row r="1941" spans="1:25">
      <c r="A1941" s="363">
        <f t="shared" si="247"/>
        <v>1940</v>
      </c>
      <c r="B1941" s="363" t="str">
        <f t="shared" si="240"/>
        <v>44</v>
      </c>
      <c r="C1941" s="405" t="str">
        <f t="shared" si="241"/>
        <v>第014790号</v>
      </c>
      <c r="D1941" s="405" t="str">
        <f t="shared" si="242"/>
        <v>（株）ナカムラ</v>
      </c>
      <c r="E1941" s="405" t="str">
        <f t="shared" si="243"/>
        <v>代表取締役</v>
      </c>
      <c r="F1941" s="405" t="str">
        <f t="shared" si="244"/>
        <v>中村　康二</v>
      </c>
      <c r="G1941" s="405" t="str">
        <f t="shared" si="245"/>
        <v>主たる営業所</v>
      </c>
      <c r="H1941" s="405" t="str">
        <f t="shared" si="246"/>
        <v>日田市大字東有田１０９６－１</v>
      </c>
      <c r="L1941" s="403" t="s">
        <v>11778</v>
      </c>
      <c r="M1941" s="403" t="s">
        <v>8354</v>
      </c>
      <c r="N1941" s="403" t="s">
        <v>4365</v>
      </c>
      <c r="O1941" s="403" t="s">
        <v>7084</v>
      </c>
      <c r="P1941" s="403" t="s">
        <v>4968</v>
      </c>
      <c r="Q1941" s="403" t="s">
        <v>11250</v>
      </c>
      <c r="R1941" s="403" t="s">
        <v>20423</v>
      </c>
      <c r="S1941" s="403" t="s">
        <v>17416</v>
      </c>
      <c r="T1941" s="403" t="s">
        <v>17417</v>
      </c>
      <c r="U1941" s="403"/>
      <c r="V1941" s="403" t="s">
        <v>23024</v>
      </c>
      <c r="W1941" s="403" t="s">
        <v>23024</v>
      </c>
      <c r="X1941" s="403" t="s">
        <v>23024</v>
      </c>
      <c r="Y1941" s="403" t="s">
        <v>23024</v>
      </c>
    </row>
    <row r="1942" spans="1:25">
      <c r="A1942" s="363">
        <f t="shared" si="247"/>
        <v>1941</v>
      </c>
      <c r="B1942" s="363" t="str">
        <f t="shared" si="240"/>
        <v>44</v>
      </c>
      <c r="C1942" s="405" t="str">
        <f t="shared" si="241"/>
        <v>第014796号</v>
      </c>
      <c r="D1942" s="405" t="str">
        <f t="shared" si="242"/>
        <v>（株）マルハチ</v>
      </c>
      <c r="E1942" s="405" t="str">
        <f t="shared" si="243"/>
        <v>代表取締役</v>
      </c>
      <c r="F1942" s="405" t="str">
        <f t="shared" si="244"/>
        <v>田中　精一</v>
      </c>
      <c r="G1942" s="405" t="str">
        <f t="shared" si="245"/>
        <v>主たる営業所</v>
      </c>
      <c r="H1942" s="405" t="str">
        <f t="shared" si="246"/>
        <v>中津市大字牛神２２１－１</v>
      </c>
      <c r="L1942" s="403" t="s">
        <v>11779</v>
      </c>
      <c r="M1942" s="403" t="s">
        <v>11780</v>
      </c>
      <c r="N1942" s="403" t="s">
        <v>4969</v>
      </c>
      <c r="O1942" s="403" t="s">
        <v>7084</v>
      </c>
      <c r="P1942" s="403" t="s">
        <v>4970</v>
      </c>
      <c r="Q1942" s="403" t="s">
        <v>8099</v>
      </c>
      <c r="R1942" s="403" t="s">
        <v>20424</v>
      </c>
      <c r="S1942" s="403" t="s">
        <v>17418</v>
      </c>
      <c r="T1942" s="403" t="s">
        <v>17419</v>
      </c>
      <c r="U1942" s="403"/>
      <c r="V1942" s="403" t="s">
        <v>23024</v>
      </c>
      <c r="W1942" s="403" t="s">
        <v>23024</v>
      </c>
      <c r="X1942" s="403" t="s">
        <v>23024</v>
      </c>
      <c r="Y1942" s="403" t="s">
        <v>23024</v>
      </c>
    </row>
    <row r="1943" spans="1:25">
      <c r="A1943" s="363">
        <f t="shared" si="247"/>
        <v>1942</v>
      </c>
      <c r="B1943" s="363" t="str">
        <f t="shared" si="240"/>
        <v>44</v>
      </c>
      <c r="C1943" s="405" t="str">
        <f t="shared" si="241"/>
        <v>第014797号</v>
      </c>
      <c r="D1943" s="405" t="str">
        <f t="shared" si="242"/>
        <v>（株）田北総業</v>
      </c>
      <c r="E1943" s="405" t="str">
        <f t="shared" si="243"/>
        <v>代表取締役</v>
      </c>
      <c r="F1943" s="405" t="str">
        <f t="shared" si="244"/>
        <v>田北　成美</v>
      </c>
      <c r="G1943" s="405" t="str">
        <f t="shared" si="245"/>
        <v>主たる営業所</v>
      </c>
      <c r="H1943" s="405" t="str">
        <f t="shared" si="246"/>
        <v>竹田市荻町馬背野５８－５</v>
      </c>
      <c r="L1943" s="403" t="s">
        <v>11781</v>
      </c>
      <c r="M1943" s="403" t="s">
        <v>11782</v>
      </c>
      <c r="N1943" s="403" t="s">
        <v>4971</v>
      </c>
      <c r="O1943" s="403" t="s">
        <v>7084</v>
      </c>
      <c r="P1943" s="403" t="s">
        <v>4972</v>
      </c>
      <c r="Q1943" s="403" t="s">
        <v>11783</v>
      </c>
      <c r="R1943" s="403" t="s">
        <v>20425</v>
      </c>
      <c r="S1943" s="403" t="s">
        <v>17420</v>
      </c>
      <c r="T1943" s="403" t="s">
        <v>17420</v>
      </c>
      <c r="U1943" s="403"/>
      <c r="V1943" s="403" t="s">
        <v>23024</v>
      </c>
      <c r="W1943" s="403" t="s">
        <v>23024</v>
      </c>
      <c r="X1943" s="403" t="s">
        <v>23024</v>
      </c>
      <c r="Y1943" s="403" t="s">
        <v>23024</v>
      </c>
    </row>
    <row r="1944" spans="1:25">
      <c r="A1944" s="363">
        <f t="shared" si="247"/>
        <v>1943</v>
      </c>
      <c r="B1944" s="363" t="str">
        <f t="shared" si="240"/>
        <v>44</v>
      </c>
      <c r="C1944" s="405" t="str">
        <f t="shared" si="241"/>
        <v>第014798号</v>
      </c>
      <c r="D1944" s="405" t="str">
        <f t="shared" si="242"/>
        <v>フジサワ産業（株）</v>
      </c>
      <c r="E1944" s="405" t="str">
        <f t="shared" si="243"/>
        <v>代表取締役</v>
      </c>
      <c r="F1944" s="405" t="str">
        <f t="shared" si="244"/>
        <v>藤澤　隆一</v>
      </c>
      <c r="G1944" s="405" t="str">
        <f t="shared" si="245"/>
        <v>主たる営業所</v>
      </c>
      <c r="H1944" s="405" t="str">
        <f t="shared" si="246"/>
        <v>大分市南春日町１０－１３</v>
      </c>
      <c r="L1944" s="403" t="s">
        <v>20426</v>
      </c>
      <c r="M1944" s="403" t="s">
        <v>20427</v>
      </c>
      <c r="N1944" s="403" t="s">
        <v>20428</v>
      </c>
      <c r="O1944" s="403" t="s">
        <v>7084</v>
      </c>
      <c r="P1944" s="403" t="s">
        <v>20429</v>
      </c>
      <c r="Q1944" s="403" t="s">
        <v>11898</v>
      </c>
      <c r="R1944" s="403" t="s">
        <v>20430</v>
      </c>
      <c r="S1944" s="403" t="s">
        <v>20431</v>
      </c>
      <c r="T1944" s="403" t="s">
        <v>20432</v>
      </c>
      <c r="U1944" s="403"/>
      <c r="V1944" s="403" t="s">
        <v>23024</v>
      </c>
      <c r="W1944" s="403" t="s">
        <v>23024</v>
      </c>
      <c r="X1944" s="403" t="s">
        <v>23024</v>
      </c>
      <c r="Y1944" s="403" t="s">
        <v>23024</v>
      </c>
    </row>
    <row r="1945" spans="1:25">
      <c r="A1945" s="363">
        <f t="shared" si="247"/>
        <v>1944</v>
      </c>
      <c r="B1945" s="363" t="str">
        <f t="shared" si="240"/>
        <v>44</v>
      </c>
      <c r="C1945" s="405" t="str">
        <f t="shared" si="241"/>
        <v>第014803号</v>
      </c>
      <c r="D1945" s="405" t="str">
        <f t="shared" si="242"/>
        <v>フジグロース（株）</v>
      </c>
      <c r="E1945" s="405" t="str">
        <f t="shared" si="243"/>
        <v>代表取締役</v>
      </c>
      <c r="F1945" s="405" t="str">
        <f t="shared" si="244"/>
        <v>藤井　順二</v>
      </c>
      <c r="G1945" s="405" t="str">
        <f t="shared" si="245"/>
        <v>主たる営業所</v>
      </c>
      <c r="H1945" s="405" t="str">
        <f t="shared" si="246"/>
        <v>中津市大字高瀬１０１６－１</v>
      </c>
      <c r="L1945" s="403" t="s">
        <v>11784</v>
      </c>
      <c r="M1945" s="403" t="s">
        <v>11785</v>
      </c>
      <c r="N1945" s="403" t="s">
        <v>4973</v>
      </c>
      <c r="O1945" s="403" t="s">
        <v>7084</v>
      </c>
      <c r="P1945" s="403" t="s">
        <v>4974</v>
      </c>
      <c r="Q1945" s="403" t="s">
        <v>8102</v>
      </c>
      <c r="R1945" s="403" t="s">
        <v>20433</v>
      </c>
      <c r="S1945" s="403" t="s">
        <v>17421</v>
      </c>
      <c r="T1945" s="403" t="s">
        <v>17422</v>
      </c>
      <c r="U1945" s="403"/>
      <c r="V1945" s="403" t="s">
        <v>23024</v>
      </c>
      <c r="W1945" s="403" t="s">
        <v>23024</v>
      </c>
      <c r="X1945" s="403" t="s">
        <v>23024</v>
      </c>
      <c r="Y1945" s="403" t="s">
        <v>23024</v>
      </c>
    </row>
    <row r="1946" spans="1:25">
      <c r="A1946" s="363">
        <f t="shared" si="247"/>
        <v>1945</v>
      </c>
      <c r="B1946" s="363" t="str">
        <f t="shared" si="240"/>
        <v>44</v>
      </c>
      <c r="C1946" s="405" t="str">
        <f t="shared" si="241"/>
        <v>第014806号</v>
      </c>
      <c r="D1946" s="405" t="str">
        <f t="shared" si="242"/>
        <v>（株）大航</v>
      </c>
      <c r="E1946" s="405" t="str">
        <f t="shared" si="243"/>
        <v>代表取締役</v>
      </c>
      <c r="F1946" s="405" t="str">
        <f t="shared" si="244"/>
        <v>大石　智</v>
      </c>
      <c r="G1946" s="405" t="str">
        <f t="shared" si="245"/>
        <v>主たる営業所</v>
      </c>
      <c r="H1946" s="405" t="str">
        <f t="shared" si="246"/>
        <v>豊後高田市草地４３８７－１</v>
      </c>
      <c r="L1946" s="403" t="s">
        <v>11786</v>
      </c>
      <c r="M1946" s="403" t="s">
        <v>11787</v>
      </c>
      <c r="N1946" s="403" t="s">
        <v>4975</v>
      </c>
      <c r="O1946" s="403" t="s">
        <v>7084</v>
      </c>
      <c r="P1946" s="403" t="s">
        <v>4976</v>
      </c>
      <c r="Q1946" s="403" t="s">
        <v>10353</v>
      </c>
      <c r="R1946" s="403" t="s">
        <v>20434</v>
      </c>
      <c r="S1946" s="403" t="s">
        <v>17423</v>
      </c>
      <c r="T1946" s="403" t="s">
        <v>17424</v>
      </c>
      <c r="U1946" s="403"/>
      <c r="V1946" s="403" t="s">
        <v>23024</v>
      </c>
      <c r="W1946" s="403" t="s">
        <v>23024</v>
      </c>
      <c r="X1946" s="403" t="s">
        <v>23024</v>
      </c>
      <c r="Y1946" s="403" t="s">
        <v>23024</v>
      </c>
    </row>
    <row r="1947" spans="1:25">
      <c r="A1947" s="363">
        <f t="shared" si="247"/>
        <v>1946</v>
      </c>
      <c r="B1947" s="363" t="str">
        <f t="shared" si="240"/>
        <v>44</v>
      </c>
      <c r="C1947" s="405" t="str">
        <f t="shared" si="241"/>
        <v>第014810号</v>
      </c>
      <c r="D1947" s="405" t="str">
        <f t="shared" si="242"/>
        <v>Ｍ’ｓワークス（株）</v>
      </c>
      <c r="E1947" s="405" t="str">
        <f t="shared" si="243"/>
        <v>代表取締役</v>
      </c>
      <c r="F1947" s="405" t="str">
        <f t="shared" si="244"/>
        <v>長久　雅寿</v>
      </c>
      <c r="G1947" s="405" t="str">
        <f t="shared" si="245"/>
        <v>主たる営業所</v>
      </c>
      <c r="H1947" s="405" t="str">
        <f t="shared" si="246"/>
        <v>中津市大字北原５９５</v>
      </c>
      <c r="L1947" s="403" t="s">
        <v>11788</v>
      </c>
      <c r="M1947" s="403" t="s">
        <v>11789</v>
      </c>
      <c r="N1947" s="403" t="s">
        <v>4977</v>
      </c>
      <c r="O1947" s="403" t="s">
        <v>7084</v>
      </c>
      <c r="P1947" s="403" t="s">
        <v>4978</v>
      </c>
      <c r="Q1947" s="403" t="s">
        <v>9251</v>
      </c>
      <c r="R1947" s="403" t="s">
        <v>5695</v>
      </c>
      <c r="S1947" s="403" t="s">
        <v>17425</v>
      </c>
      <c r="T1947" s="403" t="s">
        <v>17426</v>
      </c>
      <c r="U1947" s="403"/>
      <c r="V1947" s="403" t="s">
        <v>23024</v>
      </c>
      <c r="W1947" s="403" t="s">
        <v>23024</v>
      </c>
      <c r="X1947" s="403" t="s">
        <v>23024</v>
      </c>
      <c r="Y1947" s="403" t="s">
        <v>23024</v>
      </c>
    </row>
    <row r="1948" spans="1:25">
      <c r="A1948" s="363">
        <f t="shared" si="247"/>
        <v>1947</v>
      </c>
      <c r="B1948" s="363" t="str">
        <f t="shared" si="240"/>
        <v>44</v>
      </c>
      <c r="C1948" s="405" t="str">
        <f t="shared" si="241"/>
        <v>第014815号</v>
      </c>
      <c r="D1948" s="405" t="str">
        <f t="shared" si="242"/>
        <v>（株）昌大建設</v>
      </c>
      <c r="E1948" s="405" t="str">
        <f t="shared" si="243"/>
        <v>代表取締役</v>
      </c>
      <c r="F1948" s="405" t="str">
        <f t="shared" si="244"/>
        <v>大城　貴之</v>
      </c>
      <c r="G1948" s="405" t="str">
        <f t="shared" si="245"/>
        <v>主たる営業所</v>
      </c>
      <c r="H1948" s="405" t="str">
        <f t="shared" si="246"/>
        <v>別府市大字鶴見字鶴見原４５４８－４９８</v>
      </c>
      <c r="L1948" s="403" t="s">
        <v>20435</v>
      </c>
      <c r="M1948" s="403" t="s">
        <v>20436</v>
      </c>
      <c r="N1948" s="403" t="s">
        <v>20437</v>
      </c>
      <c r="O1948" s="403" t="s">
        <v>7084</v>
      </c>
      <c r="P1948" s="403" t="s">
        <v>4979</v>
      </c>
      <c r="Q1948" s="403" t="s">
        <v>9433</v>
      </c>
      <c r="R1948" s="403" t="s">
        <v>20438</v>
      </c>
      <c r="S1948" s="403" t="s">
        <v>20439</v>
      </c>
      <c r="T1948" s="403" t="s">
        <v>20440</v>
      </c>
      <c r="U1948" s="403"/>
      <c r="V1948" s="403" t="s">
        <v>23024</v>
      </c>
      <c r="W1948" s="403" t="s">
        <v>23024</v>
      </c>
      <c r="X1948" s="403" t="s">
        <v>23024</v>
      </c>
      <c r="Y1948" s="403" t="s">
        <v>23024</v>
      </c>
    </row>
    <row r="1949" spans="1:25">
      <c r="A1949" s="363">
        <f t="shared" si="247"/>
        <v>1948</v>
      </c>
      <c r="B1949" s="363" t="str">
        <f t="shared" si="240"/>
        <v>44</v>
      </c>
      <c r="C1949" s="405" t="str">
        <f t="shared" si="241"/>
        <v>第014816号</v>
      </c>
      <c r="D1949" s="405" t="str">
        <f t="shared" si="242"/>
        <v>安藤総合設備（株）</v>
      </c>
      <c r="E1949" s="405" t="str">
        <f t="shared" si="243"/>
        <v>代表取締役</v>
      </c>
      <c r="F1949" s="405" t="str">
        <f t="shared" si="244"/>
        <v>安藤　征崇</v>
      </c>
      <c r="G1949" s="405" t="str">
        <f t="shared" si="245"/>
        <v>主たる営業所</v>
      </c>
      <c r="H1949" s="405" t="str">
        <f t="shared" si="246"/>
        <v>大分市向原西１－７－２５</v>
      </c>
      <c r="L1949" s="403" t="s">
        <v>11790</v>
      </c>
      <c r="M1949" s="403" t="s">
        <v>11791</v>
      </c>
      <c r="N1949" s="403" t="s">
        <v>4980</v>
      </c>
      <c r="O1949" s="403" t="s">
        <v>7084</v>
      </c>
      <c r="P1949" s="403" t="s">
        <v>4981</v>
      </c>
      <c r="Q1949" s="403" t="s">
        <v>7309</v>
      </c>
      <c r="R1949" s="403" t="s">
        <v>20441</v>
      </c>
      <c r="S1949" s="403" t="s">
        <v>17427</v>
      </c>
      <c r="T1949" s="403" t="s">
        <v>17427</v>
      </c>
      <c r="U1949" s="403"/>
      <c r="V1949" s="403" t="s">
        <v>23024</v>
      </c>
      <c r="W1949" s="403" t="s">
        <v>23024</v>
      </c>
      <c r="X1949" s="403" t="s">
        <v>23024</v>
      </c>
      <c r="Y1949" s="403" t="s">
        <v>23024</v>
      </c>
    </row>
    <row r="1950" spans="1:25">
      <c r="A1950" s="363">
        <f t="shared" si="247"/>
        <v>1949</v>
      </c>
      <c r="B1950" s="363" t="str">
        <f t="shared" si="240"/>
        <v>44</v>
      </c>
      <c r="C1950" s="405" t="str">
        <f t="shared" si="241"/>
        <v>第014817号</v>
      </c>
      <c r="D1950" s="405" t="str">
        <f t="shared" si="242"/>
        <v>大岩電工（株）</v>
      </c>
      <c r="E1950" s="405" t="str">
        <f t="shared" si="243"/>
        <v>代表取締役</v>
      </c>
      <c r="F1950" s="405" t="str">
        <f t="shared" si="244"/>
        <v>幸　賢亮</v>
      </c>
      <c r="G1950" s="405" t="str">
        <f t="shared" si="245"/>
        <v>主たる営業所</v>
      </c>
      <c r="H1950" s="405" t="str">
        <f t="shared" si="246"/>
        <v>大分市大字鶴崎２０２０－３</v>
      </c>
      <c r="L1950" s="403" t="s">
        <v>11792</v>
      </c>
      <c r="M1950" s="403" t="s">
        <v>11793</v>
      </c>
      <c r="N1950" s="403" t="s">
        <v>4982</v>
      </c>
      <c r="O1950" s="403" t="s">
        <v>7084</v>
      </c>
      <c r="P1950" s="403" t="s">
        <v>5279</v>
      </c>
      <c r="Q1950" s="403" t="s">
        <v>7484</v>
      </c>
      <c r="R1950" s="403" t="s">
        <v>20442</v>
      </c>
      <c r="S1950" s="403" t="s">
        <v>17428</v>
      </c>
      <c r="T1950" s="403" t="s">
        <v>17429</v>
      </c>
      <c r="U1950" s="403"/>
      <c r="V1950" s="403" t="s">
        <v>23024</v>
      </c>
      <c r="W1950" s="403" t="s">
        <v>23024</v>
      </c>
      <c r="X1950" s="403" t="s">
        <v>23024</v>
      </c>
      <c r="Y1950" s="403" t="s">
        <v>23024</v>
      </c>
    </row>
    <row r="1951" spans="1:25">
      <c r="A1951" s="363">
        <f t="shared" si="247"/>
        <v>1950</v>
      </c>
      <c r="B1951" s="363" t="str">
        <f t="shared" si="240"/>
        <v>44</v>
      </c>
      <c r="C1951" s="405" t="str">
        <f t="shared" si="241"/>
        <v>第014818号</v>
      </c>
      <c r="D1951" s="405" t="str">
        <f t="shared" si="242"/>
        <v>（株）甲斐塗装</v>
      </c>
      <c r="E1951" s="405" t="str">
        <f t="shared" si="243"/>
        <v>代表取締役</v>
      </c>
      <c r="F1951" s="405" t="str">
        <f t="shared" si="244"/>
        <v>甲斐　祐樹</v>
      </c>
      <c r="G1951" s="405" t="str">
        <f t="shared" si="245"/>
        <v>主たる営業所</v>
      </c>
      <c r="H1951" s="405" t="str">
        <f t="shared" si="246"/>
        <v>佐伯市向島１－２－５</v>
      </c>
      <c r="L1951" s="403" t="s">
        <v>11794</v>
      </c>
      <c r="M1951" s="403" t="s">
        <v>11795</v>
      </c>
      <c r="N1951" s="403" t="s">
        <v>4983</v>
      </c>
      <c r="O1951" s="403" t="s">
        <v>7084</v>
      </c>
      <c r="P1951" s="403" t="s">
        <v>5280</v>
      </c>
      <c r="Q1951" s="403" t="s">
        <v>8505</v>
      </c>
      <c r="R1951" s="403" t="s">
        <v>20443</v>
      </c>
      <c r="S1951" s="403" t="s">
        <v>20444</v>
      </c>
      <c r="T1951" s="403" t="s">
        <v>20444</v>
      </c>
      <c r="U1951" s="403"/>
      <c r="V1951" s="403" t="s">
        <v>23024</v>
      </c>
      <c r="W1951" s="403" t="s">
        <v>23024</v>
      </c>
      <c r="X1951" s="403" t="s">
        <v>23024</v>
      </c>
      <c r="Y1951" s="403" t="s">
        <v>23024</v>
      </c>
    </row>
    <row r="1952" spans="1:25">
      <c r="A1952" s="363">
        <f t="shared" si="247"/>
        <v>1951</v>
      </c>
      <c r="B1952" s="363" t="str">
        <f t="shared" si="240"/>
        <v>44</v>
      </c>
      <c r="C1952" s="405" t="str">
        <f t="shared" si="241"/>
        <v>第014826号</v>
      </c>
      <c r="D1952" s="405" t="str">
        <f t="shared" si="242"/>
        <v>（株）幸慎工業</v>
      </c>
      <c r="E1952" s="405" t="str">
        <f t="shared" si="243"/>
        <v>代表取締役</v>
      </c>
      <c r="F1952" s="405" t="str">
        <f t="shared" si="244"/>
        <v>小園　広幸</v>
      </c>
      <c r="G1952" s="405" t="str">
        <f t="shared" si="245"/>
        <v>主たる営業所</v>
      </c>
      <c r="H1952" s="405" t="str">
        <f t="shared" si="246"/>
        <v>大分市大字廻栖野２１８０</v>
      </c>
      <c r="L1952" s="403" t="s">
        <v>11796</v>
      </c>
      <c r="M1952" s="403" t="s">
        <v>11331</v>
      </c>
      <c r="N1952" s="403" t="s">
        <v>4984</v>
      </c>
      <c r="O1952" s="403" t="s">
        <v>7084</v>
      </c>
      <c r="P1952" s="403" t="s">
        <v>4985</v>
      </c>
      <c r="Q1952" s="403" t="s">
        <v>8300</v>
      </c>
      <c r="R1952" s="403" t="s">
        <v>5696</v>
      </c>
      <c r="S1952" s="403" t="s">
        <v>17430</v>
      </c>
      <c r="T1952" s="403" t="s">
        <v>17431</v>
      </c>
      <c r="U1952" s="403"/>
      <c r="V1952" s="403" t="s">
        <v>23024</v>
      </c>
      <c r="W1952" s="403" t="s">
        <v>23024</v>
      </c>
      <c r="X1952" s="403" t="s">
        <v>23024</v>
      </c>
      <c r="Y1952" s="403" t="s">
        <v>23024</v>
      </c>
    </row>
    <row r="1953" spans="1:25">
      <c r="A1953" s="363">
        <f t="shared" si="247"/>
        <v>1952</v>
      </c>
      <c r="B1953" s="363" t="str">
        <f t="shared" si="240"/>
        <v>44</v>
      </c>
      <c r="C1953" s="405" t="str">
        <f t="shared" si="241"/>
        <v>第014827号</v>
      </c>
      <c r="D1953" s="405" t="str">
        <f t="shared" si="242"/>
        <v>（株）ｉＮＳＡＸ</v>
      </c>
      <c r="E1953" s="405" t="str">
        <f t="shared" si="243"/>
        <v>代表取締役</v>
      </c>
      <c r="F1953" s="405" t="str">
        <f t="shared" si="244"/>
        <v>佐矢　優</v>
      </c>
      <c r="G1953" s="405" t="str">
        <f t="shared" si="245"/>
        <v>主たる営業所</v>
      </c>
      <c r="H1953" s="405" t="str">
        <f t="shared" si="246"/>
        <v>速見郡日出町大字豊岡７８０番地１</v>
      </c>
      <c r="L1953" s="403" t="s">
        <v>20445</v>
      </c>
      <c r="M1953" s="403" t="s">
        <v>20446</v>
      </c>
      <c r="N1953" s="403" t="s">
        <v>20447</v>
      </c>
      <c r="O1953" s="403" t="s">
        <v>7084</v>
      </c>
      <c r="P1953" s="403" t="s">
        <v>20448</v>
      </c>
      <c r="Q1953" s="403" t="s">
        <v>8401</v>
      </c>
      <c r="R1953" s="403" t="s">
        <v>20449</v>
      </c>
      <c r="S1953" s="403" t="s">
        <v>20450</v>
      </c>
      <c r="T1953" s="403" t="s">
        <v>20451</v>
      </c>
      <c r="U1953" s="403"/>
      <c r="V1953" s="403" t="s">
        <v>23024</v>
      </c>
      <c r="W1953" s="403" t="s">
        <v>23024</v>
      </c>
      <c r="X1953" s="403" t="s">
        <v>23024</v>
      </c>
      <c r="Y1953" s="403" t="s">
        <v>23024</v>
      </c>
    </row>
    <row r="1954" spans="1:25">
      <c r="A1954" s="363">
        <f t="shared" si="247"/>
        <v>1953</v>
      </c>
      <c r="B1954" s="363" t="str">
        <f t="shared" si="240"/>
        <v>44</v>
      </c>
      <c r="C1954" s="405" t="str">
        <f t="shared" si="241"/>
        <v>第014831号</v>
      </c>
      <c r="D1954" s="405" t="str">
        <f t="shared" si="242"/>
        <v>（株）中成工業</v>
      </c>
      <c r="E1954" s="405" t="str">
        <f t="shared" si="243"/>
        <v>代表取締役</v>
      </c>
      <c r="F1954" s="405" t="str">
        <f t="shared" si="244"/>
        <v>中尾　誠二</v>
      </c>
      <c r="G1954" s="405" t="str">
        <f t="shared" si="245"/>
        <v>主たる営業所</v>
      </c>
      <c r="H1954" s="405" t="str">
        <f t="shared" si="246"/>
        <v>臼杵市大字稲田１９４５</v>
      </c>
      <c r="L1954" s="404" t="s">
        <v>11797</v>
      </c>
      <c r="M1954" s="404" t="s">
        <v>11798</v>
      </c>
      <c r="N1954" s="404" t="s">
        <v>4986</v>
      </c>
      <c r="O1954" s="404" t="s">
        <v>7084</v>
      </c>
      <c r="P1954" s="404" t="s">
        <v>4987</v>
      </c>
      <c r="Q1954" s="404" t="s">
        <v>11207</v>
      </c>
      <c r="R1954" s="404" t="s">
        <v>5697</v>
      </c>
      <c r="S1954" s="404" t="s">
        <v>17432</v>
      </c>
      <c r="T1954" s="404" t="s">
        <v>17432</v>
      </c>
      <c r="U1954" s="404"/>
      <c r="V1954" s="404" t="s">
        <v>23024</v>
      </c>
      <c r="W1954" s="404" t="s">
        <v>23024</v>
      </c>
      <c r="X1954" s="404" t="s">
        <v>23024</v>
      </c>
      <c r="Y1954" s="404" t="s">
        <v>23024</v>
      </c>
    </row>
    <row r="1955" spans="1:25">
      <c r="A1955" s="363">
        <f t="shared" si="247"/>
        <v>1954</v>
      </c>
      <c r="B1955" s="363" t="str">
        <f t="shared" si="240"/>
        <v>44</v>
      </c>
      <c r="C1955" s="405" t="str">
        <f t="shared" si="241"/>
        <v>第014834号</v>
      </c>
      <c r="D1955" s="405" t="str">
        <f t="shared" si="242"/>
        <v>（株）常磐マリンサービス</v>
      </c>
      <c r="E1955" s="405" t="str">
        <f t="shared" si="243"/>
        <v>代表取締役</v>
      </c>
      <c r="F1955" s="405" t="str">
        <f t="shared" si="244"/>
        <v>中村　義久</v>
      </c>
      <c r="G1955" s="405" t="str">
        <f t="shared" si="245"/>
        <v>主たる営業所</v>
      </c>
      <c r="H1955" s="405" t="str">
        <f t="shared" si="246"/>
        <v>大分市生石４－１－２０</v>
      </c>
      <c r="L1955" s="402" t="s">
        <v>11799</v>
      </c>
      <c r="M1955" s="402" t="s">
        <v>11800</v>
      </c>
      <c r="N1955" s="402" t="s">
        <v>4988</v>
      </c>
      <c r="O1955" s="402" t="s">
        <v>7084</v>
      </c>
      <c r="P1955" s="402" t="s">
        <v>4989</v>
      </c>
      <c r="Q1955" s="402" t="s">
        <v>8804</v>
      </c>
      <c r="R1955" s="402" t="s">
        <v>20452</v>
      </c>
      <c r="S1955" s="402" t="s">
        <v>17433</v>
      </c>
      <c r="T1955" s="402" t="s">
        <v>17434</v>
      </c>
      <c r="U1955" s="402"/>
      <c r="V1955" s="402" t="s">
        <v>23024</v>
      </c>
      <c r="W1955" s="402" t="s">
        <v>23024</v>
      </c>
      <c r="X1955" s="402" t="s">
        <v>23024</v>
      </c>
      <c r="Y1955" s="402" t="s">
        <v>23024</v>
      </c>
    </row>
    <row r="1956" spans="1:25">
      <c r="A1956" s="363">
        <f t="shared" si="247"/>
        <v>1955</v>
      </c>
      <c r="B1956" s="363" t="str">
        <f t="shared" si="240"/>
        <v>44</v>
      </c>
      <c r="C1956" s="405" t="str">
        <f t="shared" si="241"/>
        <v>第014843号</v>
      </c>
      <c r="D1956" s="405" t="str">
        <f t="shared" si="242"/>
        <v>（株）纏三矢</v>
      </c>
      <c r="E1956" s="405" t="str">
        <f t="shared" si="243"/>
        <v>代表取締役</v>
      </c>
      <c r="F1956" s="405" t="str">
        <f t="shared" si="244"/>
        <v>河村　嘉則</v>
      </c>
      <c r="G1956" s="405" t="str">
        <f t="shared" si="245"/>
        <v>主たる営業所</v>
      </c>
      <c r="H1956" s="405" t="str">
        <f t="shared" si="246"/>
        <v>佐伯市弥生大字井崎５０</v>
      </c>
      <c r="L1956" s="403" t="s">
        <v>11801</v>
      </c>
      <c r="M1956" s="403" t="s">
        <v>11802</v>
      </c>
      <c r="N1956" s="403" t="s">
        <v>4990</v>
      </c>
      <c r="O1956" s="403" t="s">
        <v>7084</v>
      </c>
      <c r="P1956" s="403" t="s">
        <v>5281</v>
      </c>
      <c r="Q1956" s="403" t="s">
        <v>8486</v>
      </c>
      <c r="R1956" s="403" t="s">
        <v>5698</v>
      </c>
      <c r="S1956" s="403" t="s">
        <v>17435</v>
      </c>
      <c r="T1956" s="403" t="s">
        <v>17436</v>
      </c>
      <c r="U1956" s="403"/>
      <c r="V1956" s="403" t="s">
        <v>23024</v>
      </c>
      <c r="W1956" s="403" t="s">
        <v>23024</v>
      </c>
      <c r="X1956" s="403" t="s">
        <v>23024</v>
      </c>
      <c r="Y1956" s="403" t="s">
        <v>23024</v>
      </c>
    </row>
    <row r="1957" spans="1:25">
      <c r="A1957" s="363">
        <f t="shared" si="247"/>
        <v>1956</v>
      </c>
      <c r="B1957" s="363" t="str">
        <f t="shared" si="240"/>
        <v>44</v>
      </c>
      <c r="C1957" s="405" t="str">
        <f t="shared" si="241"/>
        <v>第014849号</v>
      </c>
      <c r="D1957" s="405" t="str">
        <f t="shared" si="242"/>
        <v>（株）プリムローズ</v>
      </c>
      <c r="E1957" s="405" t="str">
        <f t="shared" si="243"/>
        <v>代表取締役</v>
      </c>
      <c r="F1957" s="405" t="str">
        <f t="shared" si="244"/>
        <v>伊藤　辰也</v>
      </c>
      <c r="G1957" s="405" t="str">
        <f t="shared" si="245"/>
        <v>主たる営業所</v>
      </c>
      <c r="H1957" s="405" t="str">
        <f t="shared" si="246"/>
        <v>大分市大字葛木２０５ー１８</v>
      </c>
      <c r="L1957" s="403" t="s">
        <v>11803</v>
      </c>
      <c r="M1957" s="403" t="s">
        <v>11804</v>
      </c>
      <c r="N1957" s="403" t="s">
        <v>4991</v>
      </c>
      <c r="O1957" s="403" t="s">
        <v>7084</v>
      </c>
      <c r="P1957" s="403" t="s">
        <v>4992</v>
      </c>
      <c r="Q1957" s="403" t="s">
        <v>7954</v>
      </c>
      <c r="R1957" s="403" t="s">
        <v>20453</v>
      </c>
      <c r="S1957" s="403" t="s">
        <v>20454</v>
      </c>
      <c r="T1957" s="403">
        <v>0</v>
      </c>
      <c r="U1957" s="403"/>
      <c r="V1957" s="403" t="s">
        <v>23024</v>
      </c>
      <c r="W1957" s="403" t="s">
        <v>23024</v>
      </c>
      <c r="X1957" s="403" t="s">
        <v>23024</v>
      </c>
      <c r="Y1957" s="403" t="s">
        <v>23024</v>
      </c>
    </row>
    <row r="1958" spans="1:25">
      <c r="A1958" s="363">
        <f t="shared" si="247"/>
        <v>1957</v>
      </c>
      <c r="B1958" s="363" t="str">
        <f t="shared" si="240"/>
        <v>44</v>
      </c>
      <c r="C1958" s="405" t="str">
        <f t="shared" si="241"/>
        <v>第014850号</v>
      </c>
      <c r="D1958" s="405" t="str">
        <f t="shared" si="242"/>
        <v>マルゲン（株）</v>
      </c>
      <c r="E1958" s="405" t="str">
        <f t="shared" si="243"/>
        <v>代表取締役</v>
      </c>
      <c r="F1958" s="405" t="str">
        <f t="shared" si="244"/>
        <v>渡邉　義美</v>
      </c>
      <c r="G1958" s="405" t="str">
        <f t="shared" si="245"/>
        <v>主たる営業所</v>
      </c>
      <c r="H1958" s="405" t="str">
        <f t="shared" si="246"/>
        <v>日田市東有田２５７９－１９</v>
      </c>
      <c r="L1958" s="403" t="s">
        <v>11805</v>
      </c>
      <c r="M1958" s="403" t="s">
        <v>11806</v>
      </c>
      <c r="N1958" s="403" t="s">
        <v>4993</v>
      </c>
      <c r="O1958" s="403" t="s">
        <v>7084</v>
      </c>
      <c r="P1958" s="403" t="s">
        <v>5282</v>
      </c>
      <c r="Q1958" s="403" t="s">
        <v>10636</v>
      </c>
      <c r="R1958" s="403" t="s">
        <v>20455</v>
      </c>
      <c r="S1958" s="403" t="s">
        <v>17437</v>
      </c>
      <c r="T1958" s="403" t="s">
        <v>17438</v>
      </c>
      <c r="U1958" s="403"/>
      <c r="V1958" s="403" t="s">
        <v>23024</v>
      </c>
      <c r="W1958" s="403" t="s">
        <v>23024</v>
      </c>
      <c r="X1958" s="403" t="s">
        <v>23024</v>
      </c>
      <c r="Y1958" s="403" t="s">
        <v>23024</v>
      </c>
    </row>
    <row r="1959" spans="1:25">
      <c r="A1959" s="363">
        <f t="shared" si="247"/>
        <v>1958</v>
      </c>
      <c r="B1959" s="363" t="str">
        <f t="shared" si="240"/>
        <v>44</v>
      </c>
      <c r="C1959" s="405" t="str">
        <f t="shared" si="241"/>
        <v>第014852号</v>
      </c>
      <c r="D1959" s="405" t="str">
        <f t="shared" si="242"/>
        <v>ムラカミ（株）</v>
      </c>
      <c r="E1959" s="405" t="str">
        <f t="shared" si="243"/>
        <v>代表取締役</v>
      </c>
      <c r="F1959" s="405" t="str">
        <f t="shared" si="244"/>
        <v>村上　敬之</v>
      </c>
      <c r="G1959" s="405" t="str">
        <f t="shared" si="245"/>
        <v>主たる営業所</v>
      </c>
      <c r="H1959" s="405" t="str">
        <f t="shared" si="246"/>
        <v>由布市挾間町鬼崎２７５７－１</v>
      </c>
      <c r="L1959" s="403" t="s">
        <v>11807</v>
      </c>
      <c r="M1959" s="403" t="s">
        <v>11808</v>
      </c>
      <c r="N1959" s="403" t="s">
        <v>4994</v>
      </c>
      <c r="O1959" s="403" t="s">
        <v>7084</v>
      </c>
      <c r="P1959" s="403" t="s">
        <v>4995</v>
      </c>
      <c r="Q1959" s="403" t="s">
        <v>9728</v>
      </c>
      <c r="R1959" s="403" t="s">
        <v>20456</v>
      </c>
      <c r="S1959" s="403" t="s">
        <v>17439</v>
      </c>
      <c r="T1959" s="403" t="s">
        <v>17439</v>
      </c>
      <c r="U1959" s="403"/>
      <c r="V1959" s="403" t="s">
        <v>23024</v>
      </c>
      <c r="W1959" s="403" t="s">
        <v>23024</v>
      </c>
      <c r="X1959" s="403" t="s">
        <v>23024</v>
      </c>
      <c r="Y1959" s="403" t="s">
        <v>23024</v>
      </c>
    </row>
    <row r="1960" spans="1:25">
      <c r="A1960" s="363">
        <f t="shared" si="247"/>
        <v>1959</v>
      </c>
      <c r="B1960" s="363" t="str">
        <f t="shared" si="240"/>
        <v>44</v>
      </c>
      <c r="C1960" s="405" t="str">
        <f t="shared" si="241"/>
        <v>第014855号</v>
      </c>
      <c r="D1960" s="405" t="str">
        <f t="shared" si="242"/>
        <v>（株）ＴＲ設備工業</v>
      </c>
      <c r="E1960" s="405" t="str">
        <f t="shared" si="243"/>
        <v>代表取締役</v>
      </c>
      <c r="F1960" s="405" t="str">
        <f t="shared" si="244"/>
        <v>中和田　崇</v>
      </c>
      <c r="G1960" s="405" t="str">
        <f t="shared" si="245"/>
        <v>主たる営業所</v>
      </c>
      <c r="H1960" s="405" t="str">
        <f t="shared" si="246"/>
        <v>大分市ふじが丘西３－１４－６</v>
      </c>
      <c r="L1960" s="403" t="s">
        <v>11809</v>
      </c>
      <c r="M1960" s="403" t="s">
        <v>11810</v>
      </c>
      <c r="N1960" s="403" t="s">
        <v>4996</v>
      </c>
      <c r="O1960" s="403" t="s">
        <v>7084</v>
      </c>
      <c r="P1960" s="403" t="s">
        <v>4997</v>
      </c>
      <c r="Q1960" s="403" t="s">
        <v>8722</v>
      </c>
      <c r="R1960" s="403" t="s">
        <v>20457</v>
      </c>
      <c r="S1960" s="403" t="s">
        <v>17440</v>
      </c>
      <c r="T1960" s="403" t="s">
        <v>17441</v>
      </c>
      <c r="U1960" s="403"/>
      <c r="V1960" s="403" t="s">
        <v>23024</v>
      </c>
      <c r="W1960" s="403" t="s">
        <v>23024</v>
      </c>
      <c r="X1960" s="403" t="s">
        <v>23024</v>
      </c>
      <c r="Y1960" s="403" t="s">
        <v>23024</v>
      </c>
    </row>
    <row r="1961" spans="1:25">
      <c r="A1961" s="363">
        <f t="shared" si="247"/>
        <v>1960</v>
      </c>
      <c r="B1961" s="363" t="str">
        <f t="shared" si="240"/>
        <v>44</v>
      </c>
      <c r="C1961" s="405" t="str">
        <f t="shared" si="241"/>
        <v>第014860号</v>
      </c>
      <c r="D1961" s="405" t="str">
        <f t="shared" si="242"/>
        <v>明聖（株）</v>
      </c>
      <c r="E1961" s="405" t="str">
        <f t="shared" si="243"/>
        <v>代表取締役</v>
      </c>
      <c r="F1961" s="405" t="str">
        <f t="shared" si="244"/>
        <v>萩　明</v>
      </c>
      <c r="G1961" s="405" t="str">
        <f t="shared" si="245"/>
        <v>主たる営業所</v>
      </c>
      <c r="H1961" s="405" t="str">
        <f t="shared" si="246"/>
        <v>中津市大字万田字辻畠１６５－１</v>
      </c>
      <c r="L1961" s="403" t="s">
        <v>11811</v>
      </c>
      <c r="M1961" s="403" t="s">
        <v>11812</v>
      </c>
      <c r="N1961" s="403" t="s">
        <v>4998</v>
      </c>
      <c r="O1961" s="403" t="s">
        <v>7084</v>
      </c>
      <c r="P1961" s="403" t="s">
        <v>4999</v>
      </c>
      <c r="Q1961" s="403" t="s">
        <v>8090</v>
      </c>
      <c r="R1961" s="403" t="s">
        <v>20458</v>
      </c>
      <c r="S1961" s="403" t="s">
        <v>17442</v>
      </c>
      <c r="T1961" s="403" t="s">
        <v>17442</v>
      </c>
      <c r="U1961" s="403"/>
      <c r="V1961" s="403" t="s">
        <v>23024</v>
      </c>
      <c r="W1961" s="403" t="s">
        <v>23024</v>
      </c>
      <c r="X1961" s="403" t="s">
        <v>23024</v>
      </c>
      <c r="Y1961" s="403" t="s">
        <v>23024</v>
      </c>
    </row>
    <row r="1962" spans="1:25">
      <c r="A1962" s="363">
        <f t="shared" si="247"/>
        <v>1961</v>
      </c>
      <c r="B1962" s="363" t="str">
        <f t="shared" si="240"/>
        <v>44</v>
      </c>
      <c r="C1962" s="405" t="str">
        <f t="shared" si="241"/>
        <v>第014866号</v>
      </c>
      <c r="D1962" s="405" t="str">
        <f t="shared" si="242"/>
        <v>（株）Ａｄｖａｎｃｅ</v>
      </c>
      <c r="E1962" s="405" t="str">
        <f t="shared" si="243"/>
        <v>代表取締役</v>
      </c>
      <c r="F1962" s="405" t="str">
        <f t="shared" si="244"/>
        <v>岩田　由紀</v>
      </c>
      <c r="G1962" s="405" t="str">
        <f t="shared" si="245"/>
        <v>主たる営業所</v>
      </c>
      <c r="H1962" s="405" t="str">
        <f t="shared" si="246"/>
        <v>大分市大字三芳１１２９－１</v>
      </c>
      <c r="L1962" s="403" t="s">
        <v>11813</v>
      </c>
      <c r="M1962" s="403" t="s">
        <v>11814</v>
      </c>
      <c r="N1962" s="403" t="s">
        <v>5000</v>
      </c>
      <c r="O1962" s="403" t="s">
        <v>7084</v>
      </c>
      <c r="P1962" s="403" t="s">
        <v>5001</v>
      </c>
      <c r="Q1962" s="403" t="s">
        <v>7492</v>
      </c>
      <c r="R1962" s="403" t="s">
        <v>20459</v>
      </c>
      <c r="S1962" s="403" t="s">
        <v>17443</v>
      </c>
      <c r="T1962" s="403" t="s">
        <v>17444</v>
      </c>
      <c r="U1962" s="403"/>
      <c r="V1962" s="403" t="s">
        <v>23024</v>
      </c>
      <c r="W1962" s="403" t="s">
        <v>23024</v>
      </c>
      <c r="X1962" s="403" t="s">
        <v>23024</v>
      </c>
      <c r="Y1962" s="403" t="s">
        <v>23024</v>
      </c>
    </row>
    <row r="1963" spans="1:25">
      <c r="A1963" s="363">
        <f t="shared" si="247"/>
        <v>1962</v>
      </c>
      <c r="B1963" s="363" t="str">
        <f t="shared" si="240"/>
        <v>44</v>
      </c>
      <c r="C1963" s="405" t="str">
        <f t="shared" si="241"/>
        <v>第014867号</v>
      </c>
      <c r="D1963" s="405" t="str">
        <f t="shared" si="242"/>
        <v>（株）ｙｕｋｉテック</v>
      </c>
      <c r="E1963" s="405" t="str">
        <f t="shared" si="243"/>
        <v>代表取締役</v>
      </c>
      <c r="F1963" s="405" t="str">
        <f t="shared" si="244"/>
        <v>藤富　ヨシ子</v>
      </c>
      <c r="G1963" s="405" t="str">
        <f t="shared" si="245"/>
        <v>主たる営業所</v>
      </c>
      <c r="H1963" s="405" t="str">
        <f t="shared" si="246"/>
        <v>日田市豆田町１０－１６シティタカセ１階１－１号室</v>
      </c>
      <c r="L1963" s="403" t="s">
        <v>11815</v>
      </c>
      <c r="M1963" s="403" t="s">
        <v>11816</v>
      </c>
      <c r="N1963" s="403" t="s">
        <v>5002</v>
      </c>
      <c r="O1963" s="403" t="s">
        <v>7084</v>
      </c>
      <c r="P1963" s="403" t="s">
        <v>5003</v>
      </c>
      <c r="Q1963" s="403" t="s">
        <v>10902</v>
      </c>
      <c r="R1963" s="403" t="s">
        <v>20460</v>
      </c>
      <c r="S1963" s="403" t="s">
        <v>17445</v>
      </c>
      <c r="T1963" s="403" t="s">
        <v>17446</v>
      </c>
      <c r="U1963" s="403"/>
      <c r="V1963" s="403" t="s">
        <v>23024</v>
      </c>
      <c r="W1963" s="403" t="s">
        <v>23024</v>
      </c>
      <c r="X1963" s="403" t="s">
        <v>23024</v>
      </c>
      <c r="Y1963" s="403" t="s">
        <v>23024</v>
      </c>
    </row>
    <row r="1964" spans="1:25">
      <c r="A1964" s="363">
        <f t="shared" si="247"/>
        <v>1963</v>
      </c>
      <c r="B1964" s="363" t="str">
        <f t="shared" si="240"/>
        <v>44</v>
      </c>
      <c r="C1964" s="405" t="str">
        <f t="shared" si="241"/>
        <v>第014869号</v>
      </c>
      <c r="D1964" s="405" t="str">
        <f t="shared" si="242"/>
        <v>（株）太田技建</v>
      </c>
      <c r="E1964" s="405" t="str">
        <f t="shared" si="243"/>
        <v>代表取締役</v>
      </c>
      <c r="F1964" s="405" t="str">
        <f t="shared" si="244"/>
        <v>太田　淳治</v>
      </c>
      <c r="G1964" s="405" t="str">
        <f t="shared" si="245"/>
        <v>主たる営業所</v>
      </c>
      <c r="H1964" s="405" t="str">
        <f t="shared" si="246"/>
        <v>大分市徳島２－１４－２６</v>
      </c>
      <c r="L1964" s="403" t="s">
        <v>20461</v>
      </c>
      <c r="M1964" s="403" t="s">
        <v>20462</v>
      </c>
      <c r="N1964" s="403" t="s">
        <v>20463</v>
      </c>
      <c r="O1964" s="403" t="s">
        <v>7084</v>
      </c>
      <c r="P1964" s="403" t="s">
        <v>20464</v>
      </c>
      <c r="Q1964" s="403" t="s">
        <v>7515</v>
      </c>
      <c r="R1964" s="403" t="s">
        <v>20465</v>
      </c>
      <c r="S1964" s="403" t="s">
        <v>20466</v>
      </c>
      <c r="T1964" s="403" t="s">
        <v>20466</v>
      </c>
      <c r="U1964" s="403"/>
      <c r="V1964" s="403" t="s">
        <v>23024</v>
      </c>
      <c r="W1964" s="403" t="s">
        <v>23024</v>
      </c>
      <c r="X1964" s="403" t="s">
        <v>23024</v>
      </c>
      <c r="Y1964" s="403" t="s">
        <v>23024</v>
      </c>
    </row>
    <row r="1965" spans="1:25">
      <c r="A1965" s="363">
        <f t="shared" si="247"/>
        <v>1964</v>
      </c>
      <c r="B1965" s="363" t="str">
        <f t="shared" si="240"/>
        <v>44</v>
      </c>
      <c r="C1965" s="405" t="str">
        <f t="shared" si="241"/>
        <v>第014871号</v>
      </c>
      <c r="D1965" s="405" t="str">
        <f t="shared" si="242"/>
        <v>（株）マルヨシ建築</v>
      </c>
      <c r="E1965" s="405" t="str">
        <f t="shared" si="243"/>
        <v>代表取締役</v>
      </c>
      <c r="F1965" s="405" t="str">
        <f t="shared" si="244"/>
        <v>原田　紀義</v>
      </c>
      <c r="G1965" s="405" t="str">
        <f t="shared" si="245"/>
        <v>主たる営業所</v>
      </c>
      <c r="H1965" s="405" t="str">
        <f t="shared" si="246"/>
        <v>玖珠郡九重町大字松木４８８２－２</v>
      </c>
      <c r="L1965" s="403" t="s">
        <v>11817</v>
      </c>
      <c r="M1965" s="403" t="s">
        <v>11818</v>
      </c>
      <c r="N1965" s="403" t="s">
        <v>5004</v>
      </c>
      <c r="O1965" s="403" t="s">
        <v>7084</v>
      </c>
      <c r="P1965" s="403" t="s">
        <v>5005</v>
      </c>
      <c r="Q1965" s="403" t="s">
        <v>8605</v>
      </c>
      <c r="R1965" s="403" t="s">
        <v>20467</v>
      </c>
      <c r="S1965" s="403" t="s">
        <v>17447</v>
      </c>
      <c r="T1965" s="403" t="s">
        <v>17448</v>
      </c>
      <c r="U1965" s="403"/>
      <c r="V1965" s="403" t="s">
        <v>23024</v>
      </c>
      <c r="W1965" s="403" t="s">
        <v>23024</v>
      </c>
      <c r="X1965" s="403" t="s">
        <v>23024</v>
      </c>
      <c r="Y1965" s="403" t="s">
        <v>23024</v>
      </c>
    </row>
    <row r="1966" spans="1:25">
      <c r="A1966" s="363">
        <f t="shared" si="247"/>
        <v>1965</v>
      </c>
      <c r="B1966" s="363" t="str">
        <f t="shared" si="240"/>
        <v>44</v>
      </c>
      <c r="C1966" s="405" t="str">
        <f t="shared" si="241"/>
        <v>第014878号</v>
      </c>
      <c r="D1966" s="405" t="str">
        <f t="shared" si="242"/>
        <v>（株）ＹＳＴ</v>
      </c>
      <c r="E1966" s="405" t="str">
        <f t="shared" si="243"/>
        <v>代表取締役</v>
      </c>
      <c r="F1966" s="405" t="str">
        <f t="shared" si="244"/>
        <v>河野　義人</v>
      </c>
      <c r="G1966" s="405" t="str">
        <f t="shared" si="245"/>
        <v>主たる営業所</v>
      </c>
      <c r="H1966" s="405" t="str">
        <f t="shared" si="246"/>
        <v>杵築市大字相原６０－７</v>
      </c>
      <c r="L1966" s="403" t="s">
        <v>11819</v>
      </c>
      <c r="M1966" s="403" t="s">
        <v>11820</v>
      </c>
      <c r="N1966" s="403" t="s">
        <v>5006</v>
      </c>
      <c r="O1966" s="403" t="s">
        <v>7084</v>
      </c>
      <c r="P1966" s="403" t="s">
        <v>5007</v>
      </c>
      <c r="Q1966" s="403" t="s">
        <v>8358</v>
      </c>
      <c r="R1966" s="403" t="s">
        <v>20468</v>
      </c>
      <c r="S1966" s="403" t="s">
        <v>17449</v>
      </c>
      <c r="T1966" s="403" t="s">
        <v>20469</v>
      </c>
      <c r="U1966" s="403"/>
      <c r="V1966" s="403" t="s">
        <v>23024</v>
      </c>
      <c r="W1966" s="403" t="s">
        <v>23024</v>
      </c>
      <c r="X1966" s="403" t="s">
        <v>23024</v>
      </c>
      <c r="Y1966" s="403" t="s">
        <v>23024</v>
      </c>
    </row>
    <row r="1967" spans="1:25">
      <c r="A1967" s="363">
        <f t="shared" si="247"/>
        <v>1966</v>
      </c>
      <c r="B1967" s="363" t="str">
        <f t="shared" si="240"/>
        <v>44</v>
      </c>
      <c r="C1967" s="405" t="str">
        <f t="shared" si="241"/>
        <v>第014885号</v>
      </c>
      <c r="D1967" s="405" t="str">
        <f t="shared" si="242"/>
        <v>（株）ＫＡＩＳＥＩ</v>
      </c>
      <c r="E1967" s="405" t="str">
        <f t="shared" si="243"/>
        <v>代表取締役</v>
      </c>
      <c r="F1967" s="405" t="str">
        <f t="shared" si="244"/>
        <v>浅野　師磨</v>
      </c>
      <c r="G1967" s="405" t="str">
        <f t="shared" si="245"/>
        <v>主たる営業所</v>
      </c>
      <c r="H1967" s="405" t="str">
        <f t="shared" si="246"/>
        <v>大分市大字東上野２５１０－１</v>
      </c>
      <c r="L1967" s="403" t="s">
        <v>20470</v>
      </c>
      <c r="M1967" s="403" t="s">
        <v>20471</v>
      </c>
      <c r="N1967" s="403" t="s">
        <v>20472</v>
      </c>
      <c r="O1967" s="403" t="s">
        <v>7084</v>
      </c>
      <c r="P1967" s="403" t="s">
        <v>20473</v>
      </c>
      <c r="Q1967" s="403" t="s">
        <v>8309</v>
      </c>
      <c r="R1967" s="403" t="s">
        <v>20474</v>
      </c>
      <c r="S1967" s="403" t="s">
        <v>20475</v>
      </c>
      <c r="T1967" s="403" t="s">
        <v>20475</v>
      </c>
      <c r="U1967" s="403"/>
      <c r="V1967" s="403" t="s">
        <v>23024</v>
      </c>
      <c r="W1967" s="403" t="s">
        <v>23024</v>
      </c>
      <c r="X1967" s="403" t="s">
        <v>23024</v>
      </c>
      <c r="Y1967" s="403" t="s">
        <v>23024</v>
      </c>
    </row>
    <row r="1968" spans="1:25">
      <c r="A1968" s="363">
        <f t="shared" si="247"/>
        <v>1967</v>
      </c>
      <c r="B1968" s="363" t="str">
        <f t="shared" si="240"/>
        <v>44</v>
      </c>
      <c r="C1968" s="405" t="str">
        <f t="shared" si="241"/>
        <v>第014887号</v>
      </c>
      <c r="D1968" s="405" t="str">
        <f t="shared" si="242"/>
        <v>（株）清華工業</v>
      </c>
      <c r="E1968" s="405" t="str">
        <f t="shared" si="243"/>
        <v>代表取締役</v>
      </c>
      <c r="F1968" s="405" t="str">
        <f t="shared" si="244"/>
        <v>岩下　孝</v>
      </c>
      <c r="G1968" s="405" t="str">
        <f t="shared" si="245"/>
        <v>主たる営業所</v>
      </c>
      <c r="H1968" s="405" t="str">
        <f t="shared" si="246"/>
        <v>由布市挾間町下市７５９－２</v>
      </c>
      <c r="L1968" s="403" t="s">
        <v>11821</v>
      </c>
      <c r="M1968" s="403" t="s">
        <v>11822</v>
      </c>
      <c r="N1968" s="403" t="s">
        <v>5008</v>
      </c>
      <c r="O1968" s="403" t="s">
        <v>7084</v>
      </c>
      <c r="P1968" s="403" t="s">
        <v>5009</v>
      </c>
      <c r="Q1968" s="403" t="s">
        <v>11049</v>
      </c>
      <c r="R1968" s="403" t="s">
        <v>20154</v>
      </c>
      <c r="S1968" s="403" t="s">
        <v>17450</v>
      </c>
      <c r="T1968" s="403">
        <v>0</v>
      </c>
      <c r="U1968" s="403"/>
      <c r="V1968" s="403" t="s">
        <v>23024</v>
      </c>
      <c r="W1968" s="403" t="s">
        <v>23024</v>
      </c>
      <c r="X1968" s="403" t="s">
        <v>23024</v>
      </c>
      <c r="Y1968" s="403" t="s">
        <v>23024</v>
      </c>
    </row>
    <row r="1969" spans="1:25">
      <c r="A1969" s="363">
        <f t="shared" si="247"/>
        <v>1968</v>
      </c>
      <c r="B1969" s="363" t="str">
        <f t="shared" si="240"/>
        <v>44</v>
      </c>
      <c r="C1969" s="405" t="str">
        <f t="shared" si="241"/>
        <v>第014902号</v>
      </c>
      <c r="D1969" s="405" t="str">
        <f t="shared" si="242"/>
        <v>（株）奈良設備</v>
      </c>
      <c r="E1969" s="405" t="str">
        <f t="shared" si="243"/>
        <v>代表取締役</v>
      </c>
      <c r="F1969" s="405" t="str">
        <f t="shared" si="244"/>
        <v>奈良　勝則</v>
      </c>
      <c r="G1969" s="405" t="str">
        <f t="shared" si="245"/>
        <v>主たる営業所</v>
      </c>
      <c r="H1969" s="405" t="str">
        <f t="shared" si="246"/>
        <v>大分市大字宮崎９８１－２</v>
      </c>
      <c r="L1969" s="403" t="s">
        <v>20476</v>
      </c>
      <c r="M1969" s="403" t="s">
        <v>20477</v>
      </c>
      <c r="N1969" s="403" t="s">
        <v>20478</v>
      </c>
      <c r="O1969" s="403" t="s">
        <v>7084</v>
      </c>
      <c r="P1969" s="403" t="s">
        <v>20479</v>
      </c>
      <c r="Q1969" s="403" t="s">
        <v>10824</v>
      </c>
      <c r="R1969" s="403" t="s">
        <v>20480</v>
      </c>
      <c r="S1969" s="403" t="s">
        <v>20481</v>
      </c>
      <c r="T1969" s="403" t="s">
        <v>20481</v>
      </c>
      <c r="U1969" s="403"/>
      <c r="V1969" s="403" t="s">
        <v>23024</v>
      </c>
      <c r="W1969" s="403" t="s">
        <v>23024</v>
      </c>
      <c r="X1969" s="403" t="s">
        <v>23024</v>
      </c>
      <c r="Y1969" s="403" t="s">
        <v>23024</v>
      </c>
    </row>
    <row r="1970" spans="1:25">
      <c r="A1970" s="363">
        <f t="shared" si="247"/>
        <v>1969</v>
      </c>
      <c r="B1970" s="363" t="str">
        <f t="shared" si="240"/>
        <v>44</v>
      </c>
      <c r="C1970" s="405" t="str">
        <f t="shared" si="241"/>
        <v>第014906号</v>
      </c>
      <c r="D1970" s="405" t="str">
        <f t="shared" si="242"/>
        <v>（株）シシリアン</v>
      </c>
      <c r="E1970" s="405" t="str">
        <f t="shared" si="243"/>
        <v>代表取締役</v>
      </c>
      <c r="F1970" s="405" t="str">
        <f t="shared" si="244"/>
        <v>安部　祐治</v>
      </c>
      <c r="G1970" s="405" t="str">
        <f t="shared" si="245"/>
        <v>主たる営業所</v>
      </c>
      <c r="H1970" s="405" t="str">
        <f t="shared" si="246"/>
        <v>大分市王子西町１０－２２</v>
      </c>
      <c r="L1970" s="403" t="s">
        <v>11824</v>
      </c>
      <c r="M1970" s="403" t="s">
        <v>11825</v>
      </c>
      <c r="N1970" s="403" t="s">
        <v>5011</v>
      </c>
      <c r="O1970" s="403" t="s">
        <v>7084</v>
      </c>
      <c r="P1970" s="403" t="s">
        <v>5012</v>
      </c>
      <c r="Q1970" s="403" t="s">
        <v>7403</v>
      </c>
      <c r="R1970" s="403" t="s">
        <v>20482</v>
      </c>
      <c r="S1970" s="403" t="s">
        <v>17451</v>
      </c>
      <c r="T1970" s="403" t="s">
        <v>17452</v>
      </c>
      <c r="U1970" s="403"/>
      <c r="V1970" s="403" t="s">
        <v>23024</v>
      </c>
      <c r="W1970" s="403" t="s">
        <v>23024</v>
      </c>
      <c r="X1970" s="403" t="s">
        <v>23024</v>
      </c>
      <c r="Y1970" s="403" t="s">
        <v>23024</v>
      </c>
    </row>
    <row r="1971" spans="1:25">
      <c r="A1971" s="363">
        <f t="shared" si="247"/>
        <v>1970</v>
      </c>
      <c r="B1971" s="363" t="str">
        <f t="shared" si="240"/>
        <v>44</v>
      </c>
      <c r="C1971" s="405" t="str">
        <f t="shared" si="241"/>
        <v>第014913号</v>
      </c>
      <c r="D1971" s="405" t="str">
        <f t="shared" si="242"/>
        <v>（合）ＲＹＯＷＡ</v>
      </c>
      <c r="E1971" s="405" t="str">
        <f t="shared" si="243"/>
        <v>代表社員</v>
      </c>
      <c r="F1971" s="405" t="str">
        <f t="shared" si="244"/>
        <v>古賀　正和</v>
      </c>
      <c r="G1971" s="405" t="str">
        <f t="shared" si="245"/>
        <v>主たる営業所</v>
      </c>
      <c r="H1971" s="405" t="str">
        <f t="shared" si="246"/>
        <v>大分市日岡３－１－１６サンヒルズ・クレスト２０２</v>
      </c>
      <c r="L1971" s="403" t="s">
        <v>11826</v>
      </c>
      <c r="M1971" s="403" t="s">
        <v>11827</v>
      </c>
      <c r="N1971" s="403" t="s">
        <v>5013</v>
      </c>
      <c r="O1971" s="403" t="s">
        <v>7087</v>
      </c>
      <c r="P1971" s="403" t="s">
        <v>5014</v>
      </c>
      <c r="Q1971" s="403" t="s">
        <v>11828</v>
      </c>
      <c r="R1971" s="403" t="s">
        <v>20483</v>
      </c>
      <c r="S1971" s="403" t="s">
        <v>17453</v>
      </c>
      <c r="T1971" s="403" t="s">
        <v>17453</v>
      </c>
      <c r="U1971" s="403"/>
      <c r="V1971" s="403" t="s">
        <v>23024</v>
      </c>
      <c r="W1971" s="403" t="s">
        <v>23024</v>
      </c>
      <c r="X1971" s="403" t="s">
        <v>23024</v>
      </c>
      <c r="Y1971" s="403" t="s">
        <v>23024</v>
      </c>
    </row>
    <row r="1972" spans="1:25">
      <c r="A1972" s="363">
        <f t="shared" si="247"/>
        <v>1971</v>
      </c>
      <c r="B1972" s="363" t="str">
        <f t="shared" si="240"/>
        <v>44</v>
      </c>
      <c r="C1972" s="405" t="str">
        <f t="shared" si="241"/>
        <v>第014914号</v>
      </c>
      <c r="D1972" s="405" t="str">
        <f t="shared" si="242"/>
        <v>（株）イシケン建設工業</v>
      </c>
      <c r="E1972" s="405" t="str">
        <f t="shared" si="243"/>
        <v>代表取締役</v>
      </c>
      <c r="F1972" s="405" t="str">
        <f t="shared" si="244"/>
        <v>長田　和美</v>
      </c>
      <c r="G1972" s="405" t="str">
        <f t="shared" si="245"/>
        <v>主たる営業所</v>
      </c>
      <c r="H1972" s="405" t="str">
        <f t="shared" si="246"/>
        <v>宇佐市安心院町折敷田１５４－１</v>
      </c>
      <c r="L1972" s="403" t="s">
        <v>11829</v>
      </c>
      <c r="M1972" s="403" t="s">
        <v>11830</v>
      </c>
      <c r="N1972" s="403" t="s">
        <v>5015</v>
      </c>
      <c r="O1972" s="403" t="s">
        <v>7084</v>
      </c>
      <c r="P1972" s="403" t="s">
        <v>5016</v>
      </c>
      <c r="Q1972" s="403" t="s">
        <v>11831</v>
      </c>
      <c r="R1972" s="403" t="s">
        <v>20484</v>
      </c>
      <c r="S1972" s="403" t="s">
        <v>17454</v>
      </c>
      <c r="T1972" s="403" t="s">
        <v>17455</v>
      </c>
      <c r="U1972" s="403"/>
      <c r="V1972" s="403" t="s">
        <v>23024</v>
      </c>
      <c r="W1972" s="403" t="s">
        <v>23024</v>
      </c>
      <c r="X1972" s="403" t="s">
        <v>23024</v>
      </c>
      <c r="Y1972" s="403" t="s">
        <v>23024</v>
      </c>
    </row>
    <row r="1973" spans="1:25">
      <c r="A1973" s="363">
        <f t="shared" si="247"/>
        <v>1972</v>
      </c>
      <c r="B1973" s="363" t="str">
        <f t="shared" si="240"/>
        <v>44</v>
      </c>
      <c r="C1973" s="405" t="str">
        <f t="shared" si="241"/>
        <v>第014918号</v>
      </c>
      <c r="D1973" s="405" t="str">
        <f t="shared" si="242"/>
        <v>（有）サイガングリーンアース</v>
      </c>
      <c r="E1973" s="405" t="str">
        <f t="shared" si="243"/>
        <v>代表取締役</v>
      </c>
      <c r="F1973" s="405" t="str">
        <f t="shared" si="244"/>
        <v>西願　哲</v>
      </c>
      <c r="G1973" s="405" t="str">
        <f t="shared" si="245"/>
        <v>主たる営業所</v>
      </c>
      <c r="H1973" s="405" t="str">
        <f t="shared" si="246"/>
        <v>宇佐市大字江須賀２７２０－８</v>
      </c>
      <c r="L1973" s="403" t="s">
        <v>11832</v>
      </c>
      <c r="M1973" s="403" t="s">
        <v>11833</v>
      </c>
      <c r="N1973" s="403" t="s">
        <v>5017</v>
      </c>
      <c r="O1973" s="403" t="s">
        <v>7084</v>
      </c>
      <c r="P1973" s="403" t="s">
        <v>5018</v>
      </c>
      <c r="Q1973" s="403" t="s">
        <v>8133</v>
      </c>
      <c r="R1973" s="403" t="s">
        <v>20485</v>
      </c>
      <c r="S1973" s="403" t="s">
        <v>17456</v>
      </c>
      <c r="T1973" s="403" t="s">
        <v>17457</v>
      </c>
      <c r="U1973" s="403"/>
      <c r="V1973" s="403" t="s">
        <v>23024</v>
      </c>
      <c r="W1973" s="403" t="s">
        <v>23024</v>
      </c>
      <c r="X1973" s="403" t="s">
        <v>23024</v>
      </c>
      <c r="Y1973" s="403" t="s">
        <v>23024</v>
      </c>
    </row>
    <row r="1974" spans="1:25">
      <c r="A1974" s="363">
        <f t="shared" si="247"/>
        <v>1973</v>
      </c>
      <c r="B1974" s="363" t="str">
        <f t="shared" si="240"/>
        <v>44</v>
      </c>
      <c r="C1974" s="405" t="str">
        <f t="shared" si="241"/>
        <v>第014925号</v>
      </c>
      <c r="D1974" s="405" t="str">
        <f t="shared" si="242"/>
        <v>ＫＯＷＡ（株）</v>
      </c>
      <c r="E1974" s="405" t="str">
        <f t="shared" si="243"/>
        <v>代表取締役</v>
      </c>
      <c r="F1974" s="405" t="str">
        <f t="shared" si="244"/>
        <v>戸上　幸政</v>
      </c>
      <c r="G1974" s="405" t="str">
        <f t="shared" si="245"/>
        <v>主たる営業所</v>
      </c>
      <c r="H1974" s="405" t="str">
        <f t="shared" si="246"/>
        <v>大分市大字猪野字原口８２－６</v>
      </c>
      <c r="L1974" s="403" t="s">
        <v>11834</v>
      </c>
      <c r="M1974" s="403" t="s">
        <v>11835</v>
      </c>
      <c r="N1974" s="403" t="s">
        <v>5019</v>
      </c>
      <c r="O1974" s="403" t="s">
        <v>7084</v>
      </c>
      <c r="P1974" s="403" t="s">
        <v>5020</v>
      </c>
      <c r="Q1974" s="403" t="s">
        <v>8834</v>
      </c>
      <c r="R1974" s="403" t="s">
        <v>20486</v>
      </c>
      <c r="S1974" s="403" t="s">
        <v>17458</v>
      </c>
      <c r="T1974" s="403" t="s">
        <v>17459</v>
      </c>
      <c r="U1974" s="403"/>
      <c r="V1974" s="403" t="s">
        <v>23024</v>
      </c>
      <c r="W1974" s="403" t="s">
        <v>23024</v>
      </c>
      <c r="X1974" s="403" t="s">
        <v>23024</v>
      </c>
      <c r="Y1974" s="403" t="s">
        <v>23024</v>
      </c>
    </row>
    <row r="1975" spans="1:25">
      <c r="A1975" s="363">
        <f t="shared" si="247"/>
        <v>1974</v>
      </c>
      <c r="B1975" s="363" t="str">
        <f t="shared" si="240"/>
        <v>44</v>
      </c>
      <c r="C1975" s="405" t="str">
        <f t="shared" si="241"/>
        <v>第014930号</v>
      </c>
      <c r="D1975" s="405" t="str">
        <f t="shared" si="242"/>
        <v>日田総合ハウス（株）</v>
      </c>
      <c r="E1975" s="405" t="str">
        <f t="shared" si="243"/>
        <v>代表取締役</v>
      </c>
      <c r="F1975" s="405" t="str">
        <f t="shared" si="244"/>
        <v>綿貫　賢太郎</v>
      </c>
      <c r="G1975" s="405" t="str">
        <f t="shared" si="245"/>
        <v>主たる営業所</v>
      </c>
      <c r="H1975" s="405" t="str">
        <f t="shared" si="246"/>
        <v>日田市中央１－１－２０－７０２</v>
      </c>
      <c r="L1975" s="403" t="s">
        <v>11836</v>
      </c>
      <c r="M1975" s="403" t="s">
        <v>11837</v>
      </c>
      <c r="N1975" s="403" t="s">
        <v>5021</v>
      </c>
      <c r="O1975" s="403" t="s">
        <v>7084</v>
      </c>
      <c r="P1975" s="403" t="s">
        <v>5022</v>
      </c>
      <c r="Q1975" s="403" t="s">
        <v>11838</v>
      </c>
      <c r="R1975" s="403" t="s">
        <v>20487</v>
      </c>
      <c r="S1975" s="403" t="s">
        <v>17460</v>
      </c>
      <c r="T1975" s="403" t="s">
        <v>17461</v>
      </c>
      <c r="U1975" s="403"/>
      <c r="V1975" s="403" t="s">
        <v>23024</v>
      </c>
      <c r="W1975" s="403" t="s">
        <v>23024</v>
      </c>
      <c r="X1975" s="403" t="s">
        <v>23024</v>
      </c>
      <c r="Y1975" s="403" t="s">
        <v>23024</v>
      </c>
    </row>
    <row r="1976" spans="1:25">
      <c r="A1976" s="363">
        <f t="shared" si="247"/>
        <v>1975</v>
      </c>
      <c r="B1976" s="363" t="str">
        <f t="shared" si="240"/>
        <v>44</v>
      </c>
      <c r="C1976" s="405" t="str">
        <f t="shared" si="241"/>
        <v>第014936号</v>
      </c>
      <c r="D1976" s="405" t="str">
        <f t="shared" si="242"/>
        <v>（株）猪野建設</v>
      </c>
      <c r="E1976" s="405" t="str">
        <f t="shared" si="243"/>
        <v>代表取締役</v>
      </c>
      <c r="F1976" s="405" t="str">
        <f t="shared" si="244"/>
        <v>猪野　元成</v>
      </c>
      <c r="G1976" s="405" t="str">
        <f t="shared" si="245"/>
        <v>主たる営業所</v>
      </c>
      <c r="H1976" s="405" t="str">
        <f t="shared" si="246"/>
        <v>大分市大字鴛野３３６－１２</v>
      </c>
      <c r="L1976" s="403" t="s">
        <v>20488</v>
      </c>
      <c r="M1976" s="403" t="s">
        <v>20489</v>
      </c>
      <c r="N1976" s="403" t="s">
        <v>20490</v>
      </c>
      <c r="O1976" s="403" t="s">
        <v>7084</v>
      </c>
      <c r="P1976" s="403" t="s">
        <v>20491</v>
      </c>
      <c r="Q1976" s="403" t="s">
        <v>8710</v>
      </c>
      <c r="R1976" s="403" t="s">
        <v>20492</v>
      </c>
      <c r="S1976" s="403" t="s">
        <v>20493</v>
      </c>
      <c r="T1976" s="403" t="s">
        <v>20494</v>
      </c>
      <c r="U1976" s="403"/>
      <c r="V1976" s="403" t="s">
        <v>23024</v>
      </c>
      <c r="W1976" s="403" t="s">
        <v>23024</v>
      </c>
      <c r="X1976" s="403" t="s">
        <v>23024</v>
      </c>
      <c r="Y1976" s="403" t="s">
        <v>23024</v>
      </c>
    </row>
    <row r="1977" spans="1:25">
      <c r="A1977" s="363">
        <f t="shared" si="247"/>
        <v>1976</v>
      </c>
      <c r="B1977" s="363" t="str">
        <f t="shared" si="240"/>
        <v>44</v>
      </c>
      <c r="C1977" s="405" t="str">
        <f t="shared" si="241"/>
        <v>第014938号</v>
      </c>
      <c r="D1977" s="405" t="str">
        <f t="shared" si="242"/>
        <v>（株）晟建設工業</v>
      </c>
      <c r="E1977" s="405" t="str">
        <f t="shared" si="243"/>
        <v>代表取締役</v>
      </c>
      <c r="F1977" s="405" t="str">
        <f t="shared" si="244"/>
        <v>上田　誠</v>
      </c>
      <c r="G1977" s="405" t="str">
        <f t="shared" si="245"/>
        <v>主たる営業所</v>
      </c>
      <c r="H1977" s="405" t="str">
        <f t="shared" si="246"/>
        <v>別府市大字野田８３２－１</v>
      </c>
      <c r="L1977" s="403" t="s">
        <v>11839</v>
      </c>
      <c r="M1977" s="403" t="s">
        <v>11840</v>
      </c>
      <c r="N1977" s="403" t="s">
        <v>5023</v>
      </c>
      <c r="O1977" s="403" t="s">
        <v>7084</v>
      </c>
      <c r="P1977" s="403" t="s">
        <v>5024</v>
      </c>
      <c r="Q1977" s="403" t="s">
        <v>8366</v>
      </c>
      <c r="R1977" s="403" t="s">
        <v>20495</v>
      </c>
      <c r="S1977" s="403" t="s">
        <v>17462</v>
      </c>
      <c r="T1977" s="403" t="s">
        <v>17463</v>
      </c>
      <c r="U1977" s="403"/>
      <c r="V1977" s="403" t="s">
        <v>23024</v>
      </c>
      <c r="W1977" s="403" t="s">
        <v>23024</v>
      </c>
      <c r="X1977" s="403" t="s">
        <v>23024</v>
      </c>
      <c r="Y1977" s="403" t="s">
        <v>23024</v>
      </c>
    </row>
    <row r="1978" spans="1:25">
      <c r="A1978" s="363">
        <f t="shared" si="247"/>
        <v>1977</v>
      </c>
      <c r="B1978" s="363" t="str">
        <f t="shared" si="240"/>
        <v>44</v>
      </c>
      <c r="C1978" s="405" t="str">
        <f t="shared" si="241"/>
        <v>第014941号</v>
      </c>
      <c r="D1978" s="405" t="str">
        <f t="shared" si="242"/>
        <v>Ｙ＆Ｅ企画（株）</v>
      </c>
      <c r="E1978" s="405" t="str">
        <f t="shared" si="243"/>
        <v>代表取締役</v>
      </c>
      <c r="F1978" s="405" t="str">
        <f t="shared" si="244"/>
        <v>平沼　陽佑</v>
      </c>
      <c r="G1978" s="405" t="str">
        <f t="shared" si="245"/>
        <v>主たる営業所</v>
      </c>
      <c r="H1978" s="405" t="str">
        <f t="shared" si="246"/>
        <v>日田市大字日高２５１８－９</v>
      </c>
      <c r="L1978" s="403" t="s">
        <v>11841</v>
      </c>
      <c r="M1978" s="403" t="s">
        <v>11842</v>
      </c>
      <c r="N1978" s="403" t="s">
        <v>5025</v>
      </c>
      <c r="O1978" s="403" t="s">
        <v>7084</v>
      </c>
      <c r="P1978" s="403" t="s">
        <v>5026</v>
      </c>
      <c r="Q1978" s="403" t="s">
        <v>8578</v>
      </c>
      <c r="R1978" s="403" t="s">
        <v>20496</v>
      </c>
      <c r="S1978" s="403" t="s">
        <v>17464</v>
      </c>
      <c r="T1978" s="403" t="s">
        <v>17465</v>
      </c>
      <c r="U1978" s="403"/>
      <c r="V1978" s="403" t="s">
        <v>23024</v>
      </c>
      <c r="W1978" s="403" t="s">
        <v>23024</v>
      </c>
      <c r="X1978" s="403" t="s">
        <v>23024</v>
      </c>
      <c r="Y1978" s="403" t="s">
        <v>23024</v>
      </c>
    </row>
    <row r="1979" spans="1:25">
      <c r="A1979" s="363">
        <f t="shared" si="247"/>
        <v>1978</v>
      </c>
      <c r="B1979" s="363" t="str">
        <f t="shared" si="240"/>
        <v>44</v>
      </c>
      <c r="C1979" s="405" t="str">
        <f t="shared" si="241"/>
        <v>第014942号</v>
      </c>
      <c r="D1979" s="405" t="str">
        <f t="shared" si="242"/>
        <v>（株）オクノ</v>
      </c>
      <c r="E1979" s="405" t="str">
        <f t="shared" si="243"/>
        <v>代表取締役</v>
      </c>
      <c r="F1979" s="405" t="str">
        <f t="shared" si="244"/>
        <v>奥野　晃</v>
      </c>
      <c r="G1979" s="405" t="str">
        <f t="shared" si="245"/>
        <v>主たる営業所</v>
      </c>
      <c r="H1979" s="405" t="str">
        <f t="shared" si="246"/>
        <v>宇佐市大字四日市１５０１－６</v>
      </c>
      <c r="L1979" s="403" t="s">
        <v>11843</v>
      </c>
      <c r="M1979" s="403" t="s">
        <v>11844</v>
      </c>
      <c r="N1979" s="403" t="s">
        <v>5027</v>
      </c>
      <c r="O1979" s="403" t="s">
        <v>7084</v>
      </c>
      <c r="P1979" s="403" t="s">
        <v>5028</v>
      </c>
      <c r="Q1979" s="403" t="s">
        <v>8148</v>
      </c>
      <c r="R1979" s="403" t="s">
        <v>20497</v>
      </c>
      <c r="S1979" s="403" t="s">
        <v>17466</v>
      </c>
      <c r="T1979" s="403" t="s">
        <v>17466</v>
      </c>
      <c r="U1979" s="403"/>
      <c r="V1979" s="403" t="s">
        <v>23024</v>
      </c>
      <c r="W1979" s="403" t="s">
        <v>23024</v>
      </c>
      <c r="X1979" s="403" t="s">
        <v>23024</v>
      </c>
      <c r="Y1979" s="403" t="s">
        <v>23024</v>
      </c>
    </row>
    <row r="1980" spans="1:25">
      <c r="A1980" s="363">
        <f t="shared" si="247"/>
        <v>1979</v>
      </c>
      <c r="B1980" s="363" t="str">
        <f t="shared" si="240"/>
        <v>44</v>
      </c>
      <c r="C1980" s="405" t="str">
        <f t="shared" si="241"/>
        <v>第014944号</v>
      </c>
      <c r="D1980" s="405" t="str">
        <f t="shared" si="242"/>
        <v>（合）Ｉｎｄｕｌｇｅｎｃｅ</v>
      </c>
      <c r="E1980" s="405" t="str">
        <f t="shared" si="243"/>
        <v>代表社員</v>
      </c>
      <c r="F1980" s="405" t="str">
        <f t="shared" si="244"/>
        <v>清松　和也</v>
      </c>
      <c r="G1980" s="405" t="str">
        <f t="shared" si="245"/>
        <v>主たる営業所</v>
      </c>
      <c r="H1980" s="405" t="str">
        <f t="shared" si="246"/>
        <v>佐伯市大字長谷６２３０</v>
      </c>
      <c r="L1980" s="403" t="s">
        <v>11845</v>
      </c>
      <c r="M1980" s="403" t="s">
        <v>11846</v>
      </c>
      <c r="N1980" s="403" t="s">
        <v>5029</v>
      </c>
      <c r="O1980" s="403" t="s">
        <v>7087</v>
      </c>
      <c r="P1980" s="403" t="s">
        <v>5283</v>
      </c>
      <c r="Q1980" s="403" t="s">
        <v>8479</v>
      </c>
      <c r="R1980" s="403" t="s">
        <v>5699</v>
      </c>
      <c r="S1980" s="403" t="s">
        <v>17467</v>
      </c>
      <c r="T1980" s="403" t="s">
        <v>17467</v>
      </c>
      <c r="U1980" s="403"/>
      <c r="V1980" s="403" t="s">
        <v>23024</v>
      </c>
      <c r="W1980" s="403" t="s">
        <v>23024</v>
      </c>
      <c r="X1980" s="403" t="s">
        <v>23024</v>
      </c>
      <c r="Y1980" s="403" t="s">
        <v>23024</v>
      </c>
    </row>
    <row r="1981" spans="1:25">
      <c r="A1981" s="363">
        <f t="shared" si="247"/>
        <v>1980</v>
      </c>
      <c r="B1981" s="363" t="str">
        <f t="shared" si="240"/>
        <v>44</v>
      </c>
      <c r="C1981" s="405" t="str">
        <f t="shared" si="241"/>
        <v>第014948号</v>
      </c>
      <c r="D1981" s="405" t="str">
        <f t="shared" si="242"/>
        <v>（株）緑加オンワード</v>
      </c>
      <c r="E1981" s="405" t="str">
        <f t="shared" si="243"/>
        <v>代表取締役</v>
      </c>
      <c r="F1981" s="405" t="str">
        <f t="shared" si="244"/>
        <v>加納　英明</v>
      </c>
      <c r="G1981" s="405" t="str">
        <f t="shared" si="245"/>
        <v>主たる営業所</v>
      </c>
      <c r="H1981" s="405" t="str">
        <f t="shared" si="246"/>
        <v>別府市小倉町４５番４号</v>
      </c>
      <c r="L1981" s="403" t="s">
        <v>11847</v>
      </c>
      <c r="M1981" s="403" t="s">
        <v>11848</v>
      </c>
      <c r="N1981" s="403" t="s">
        <v>5030</v>
      </c>
      <c r="O1981" s="403" t="s">
        <v>7084</v>
      </c>
      <c r="P1981" s="403" t="s">
        <v>5031</v>
      </c>
      <c r="Q1981" s="403" t="s">
        <v>7625</v>
      </c>
      <c r="R1981" s="403" t="s">
        <v>20498</v>
      </c>
      <c r="S1981" s="403" t="s">
        <v>17468</v>
      </c>
      <c r="T1981" s="403">
        <v>0</v>
      </c>
      <c r="U1981" s="403"/>
      <c r="V1981" s="403" t="s">
        <v>23024</v>
      </c>
      <c r="W1981" s="403" t="s">
        <v>23024</v>
      </c>
      <c r="X1981" s="403" t="s">
        <v>23024</v>
      </c>
      <c r="Y1981" s="403" t="s">
        <v>23024</v>
      </c>
    </row>
    <row r="1982" spans="1:25">
      <c r="A1982" s="363">
        <f t="shared" si="247"/>
        <v>1981</v>
      </c>
      <c r="B1982" s="363" t="str">
        <f t="shared" si="240"/>
        <v>44</v>
      </c>
      <c r="C1982" s="405" t="str">
        <f t="shared" si="241"/>
        <v>第014952号</v>
      </c>
      <c r="D1982" s="405" t="str">
        <f t="shared" si="242"/>
        <v>（株）東部開発</v>
      </c>
      <c r="E1982" s="405" t="str">
        <f t="shared" si="243"/>
        <v>代表取締役</v>
      </c>
      <c r="F1982" s="405" t="str">
        <f t="shared" si="244"/>
        <v>首藤　聖司</v>
      </c>
      <c r="G1982" s="405" t="str">
        <f t="shared" si="245"/>
        <v>主たる営業所</v>
      </c>
      <c r="H1982" s="405" t="str">
        <f t="shared" si="246"/>
        <v>大分市大字迫字丸山６５８－１</v>
      </c>
      <c r="L1982" s="403" t="s">
        <v>11849</v>
      </c>
      <c r="M1982" s="403" t="s">
        <v>11850</v>
      </c>
      <c r="N1982" s="403" t="s">
        <v>5032</v>
      </c>
      <c r="O1982" s="403" t="s">
        <v>7084</v>
      </c>
      <c r="P1982" s="403" t="s">
        <v>5033</v>
      </c>
      <c r="Q1982" s="403" t="s">
        <v>10117</v>
      </c>
      <c r="R1982" s="403" t="s">
        <v>20499</v>
      </c>
      <c r="S1982" s="403" t="s">
        <v>17469</v>
      </c>
      <c r="T1982" s="403" t="s">
        <v>17470</v>
      </c>
      <c r="U1982" s="403"/>
      <c r="V1982" s="403" t="s">
        <v>23024</v>
      </c>
      <c r="W1982" s="403" t="s">
        <v>23024</v>
      </c>
      <c r="X1982" s="403" t="s">
        <v>23024</v>
      </c>
      <c r="Y1982" s="403" t="s">
        <v>23024</v>
      </c>
    </row>
    <row r="1983" spans="1:25">
      <c r="A1983" s="363">
        <f t="shared" si="247"/>
        <v>1982</v>
      </c>
      <c r="B1983" s="363" t="str">
        <f t="shared" si="240"/>
        <v>44</v>
      </c>
      <c r="C1983" s="405" t="str">
        <f t="shared" si="241"/>
        <v>第014969号</v>
      </c>
      <c r="D1983" s="405" t="str">
        <f t="shared" si="242"/>
        <v>（株）内尾設備</v>
      </c>
      <c r="E1983" s="405" t="str">
        <f t="shared" si="243"/>
        <v>代表取締役</v>
      </c>
      <c r="F1983" s="405" t="str">
        <f t="shared" si="244"/>
        <v>内尾　正信</v>
      </c>
      <c r="G1983" s="405" t="str">
        <f t="shared" si="245"/>
        <v>主たる営業所</v>
      </c>
      <c r="H1983" s="405" t="str">
        <f t="shared" si="246"/>
        <v>宇佐市大字上高１２７６－２</v>
      </c>
      <c r="L1983" s="403" t="s">
        <v>11851</v>
      </c>
      <c r="M1983" s="403" t="s">
        <v>11852</v>
      </c>
      <c r="N1983" s="403" t="s">
        <v>5034</v>
      </c>
      <c r="O1983" s="403" t="s">
        <v>7084</v>
      </c>
      <c r="P1983" s="403" t="s">
        <v>5035</v>
      </c>
      <c r="Q1983" s="403" t="s">
        <v>8249</v>
      </c>
      <c r="R1983" s="403" t="s">
        <v>20500</v>
      </c>
      <c r="S1983" s="403" t="s">
        <v>17471</v>
      </c>
      <c r="T1983" s="403" t="s">
        <v>17471</v>
      </c>
      <c r="U1983" s="403"/>
      <c r="V1983" s="403" t="s">
        <v>23024</v>
      </c>
      <c r="W1983" s="403" t="s">
        <v>23024</v>
      </c>
      <c r="X1983" s="403" t="s">
        <v>23024</v>
      </c>
      <c r="Y1983" s="403" t="s">
        <v>23024</v>
      </c>
    </row>
    <row r="1984" spans="1:25">
      <c r="A1984" s="363">
        <f t="shared" si="247"/>
        <v>1983</v>
      </c>
      <c r="B1984" s="363" t="str">
        <f t="shared" si="240"/>
        <v>44</v>
      </c>
      <c r="C1984" s="405" t="str">
        <f t="shared" si="241"/>
        <v>第014972号</v>
      </c>
      <c r="D1984" s="405" t="str">
        <f t="shared" si="242"/>
        <v>（有）未来リペア建設</v>
      </c>
      <c r="E1984" s="405" t="str">
        <f t="shared" si="243"/>
        <v>代表取締役</v>
      </c>
      <c r="F1984" s="405" t="str">
        <f t="shared" si="244"/>
        <v>菊川　貴也</v>
      </c>
      <c r="G1984" s="405" t="str">
        <f t="shared" si="245"/>
        <v>主たる営業所</v>
      </c>
      <c r="H1984" s="405" t="str">
        <f t="shared" si="246"/>
        <v>竹田市大字拝田原６０７－１</v>
      </c>
      <c r="L1984" s="403" t="s">
        <v>11853</v>
      </c>
      <c r="M1984" s="403" t="s">
        <v>11854</v>
      </c>
      <c r="N1984" s="403" t="s">
        <v>5036</v>
      </c>
      <c r="O1984" s="403" t="s">
        <v>7084</v>
      </c>
      <c r="P1984" s="403" t="s">
        <v>4094</v>
      </c>
      <c r="Q1984" s="403" t="s">
        <v>7345</v>
      </c>
      <c r="R1984" s="403" t="s">
        <v>20501</v>
      </c>
      <c r="S1984" s="403" t="s">
        <v>17472</v>
      </c>
      <c r="T1984" s="403" t="s">
        <v>17472</v>
      </c>
      <c r="U1984" s="403"/>
      <c r="V1984" s="403" t="s">
        <v>23024</v>
      </c>
      <c r="W1984" s="403" t="s">
        <v>23024</v>
      </c>
      <c r="X1984" s="403" t="s">
        <v>23024</v>
      </c>
      <c r="Y1984" s="403" t="s">
        <v>23024</v>
      </c>
    </row>
    <row r="1985" spans="1:25">
      <c r="A1985" s="363">
        <f t="shared" si="247"/>
        <v>1984</v>
      </c>
      <c r="B1985" s="363" t="str">
        <f t="shared" si="240"/>
        <v>44</v>
      </c>
      <c r="C1985" s="405" t="str">
        <f t="shared" si="241"/>
        <v>第014980号</v>
      </c>
      <c r="D1985" s="405" t="str">
        <f t="shared" si="242"/>
        <v>（株）アイビーユー</v>
      </c>
      <c r="E1985" s="405" t="str">
        <f t="shared" si="243"/>
        <v>代表取締役</v>
      </c>
      <c r="F1985" s="405" t="str">
        <f t="shared" si="244"/>
        <v>恒崎　伊吹</v>
      </c>
      <c r="G1985" s="405" t="str">
        <f t="shared" si="245"/>
        <v>主たる営業所</v>
      </c>
      <c r="H1985" s="405" t="str">
        <f t="shared" si="246"/>
        <v>中津市大字福島２０５６－１</v>
      </c>
      <c r="L1985" s="403" t="s">
        <v>11855</v>
      </c>
      <c r="M1985" s="403" t="s">
        <v>11856</v>
      </c>
      <c r="N1985" s="403" t="s">
        <v>5037</v>
      </c>
      <c r="O1985" s="403" t="s">
        <v>7084</v>
      </c>
      <c r="P1985" s="403" t="s">
        <v>5333</v>
      </c>
      <c r="Q1985" s="403" t="s">
        <v>8893</v>
      </c>
      <c r="R1985" s="403" t="s">
        <v>20502</v>
      </c>
      <c r="S1985" s="403" t="s">
        <v>17473</v>
      </c>
      <c r="T1985" s="403" t="s">
        <v>17474</v>
      </c>
      <c r="U1985" s="403"/>
      <c r="V1985" s="403" t="s">
        <v>23024</v>
      </c>
      <c r="W1985" s="403" t="s">
        <v>23024</v>
      </c>
      <c r="X1985" s="403" t="s">
        <v>23024</v>
      </c>
      <c r="Y1985" s="403" t="s">
        <v>23024</v>
      </c>
    </row>
    <row r="1986" spans="1:25">
      <c r="A1986" s="363">
        <f t="shared" si="247"/>
        <v>1985</v>
      </c>
      <c r="B1986" s="363" t="str">
        <f t="shared" ref="B1986:B2049" si="248">LEFT(L1986,2)</f>
        <v>44</v>
      </c>
      <c r="C1986" s="405" t="str">
        <f t="shared" ref="C1986:C2049" si="249">IF(B1986="","","第"&amp;RIGHT(L1986,6)&amp;"号")</f>
        <v>第014981号</v>
      </c>
      <c r="D1986" s="405" t="str">
        <f t="shared" ref="D1986:D2049" si="250">N1986</f>
        <v>悠洗浄設備（株）</v>
      </c>
      <c r="E1986" s="405" t="str">
        <f t="shared" ref="E1986:E2049" si="251">IF(V1986="　",O1986,"")</f>
        <v>代表取締役</v>
      </c>
      <c r="F1986" s="405" t="str">
        <f t="shared" ref="F1986:F2049" si="252">IF(V1986="　",P1986,W1986)</f>
        <v>高橋　信人</v>
      </c>
      <c r="G1986" s="405" t="str">
        <f t="shared" ref="G1986:G2049" si="253">IF(V1986="　","主たる営業所",V1986)</f>
        <v>主たる営業所</v>
      </c>
      <c r="H1986" s="405" t="str">
        <f t="shared" ref="H1986:H2049" si="254">IF(V1986="　",R1986,Y1986)</f>
        <v>宇佐市大字南宇佐２４４３</v>
      </c>
      <c r="L1986" s="403" t="s">
        <v>11857</v>
      </c>
      <c r="M1986" s="403" t="s">
        <v>11858</v>
      </c>
      <c r="N1986" s="403" t="s">
        <v>5038</v>
      </c>
      <c r="O1986" s="403" t="s">
        <v>7084</v>
      </c>
      <c r="P1986" s="403" t="s">
        <v>5039</v>
      </c>
      <c r="Q1986" s="403" t="s">
        <v>10037</v>
      </c>
      <c r="R1986" s="403" t="s">
        <v>5700</v>
      </c>
      <c r="S1986" s="403" t="s">
        <v>17475</v>
      </c>
      <c r="T1986" s="403" t="s">
        <v>17476</v>
      </c>
      <c r="U1986" s="403"/>
      <c r="V1986" s="403" t="s">
        <v>23024</v>
      </c>
      <c r="W1986" s="403" t="s">
        <v>23024</v>
      </c>
      <c r="X1986" s="403" t="s">
        <v>23024</v>
      </c>
      <c r="Y1986" s="403" t="s">
        <v>23024</v>
      </c>
    </row>
    <row r="1987" spans="1:25">
      <c r="A1987" s="363">
        <f t="shared" ref="A1987:A2050" si="255">IF(B1987="","",A1986+1)</f>
        <v>1986</v>
      </c>
      <c r="B1987" s="363" t="str">
        <f t="shared" si="248"/>
        <v>44</v>
      </c>
      <c r="C1987" s="405" t="str">
        <f t="shared" si="249"/>
        <v>第014994号</v>
      </c>
      <c r="D1987" s="405" t="str">
        <f t="shared" si="250"/>
        <v>（株）藤田組</v>
      </c>
      <c r="E1987" s="405" t="str">
        <f t="shared" si="251"/>
        <v>代表取締役</v>
      </c>
      <c r="F1987" s="405" t="str">
        <f t="shared" si="252"/>
        <v>藤田　誠治</v>
      </c>
      <c r="G1987" s="405" t="str">
        <f t="shared" si="253"/>
        <v>主たる営業所</v>
      </c>
      <c r="H1987" s="405" t="str">
        <f t="shared" si="254"/>
        <v>大分市大字金谷迫１５５４－２</v>
      </c>
      <c r="L1987" s="403" t="s">
        <v>11859</v>
      </c>
      <c r="M1987" s="403" t="s">
        <v>11860</v>
      </c>
      <c r="N1987" s="403" t="s">
        <v>5040</v>
      </c>
      <c r="O1987" s="403" t="s">
        <v>7084</v>
      </c>
      <c r="P1987" s="403" t="s">
        <v>5041</v>
      </c>
      <c r="Q1987" s="403" t="s">
        <v>8312</v>
      </c>
      <c r="R1987" s="403" t="s">
        <v>20503</v>
      </c>
      <c r="S1987" s="403" t="s">
        <v>17477</v>
      </c>
      <c r="T1987" s="403" t="s">
        <v>17478</v>
      </c>
      <c r="U1987" s="403"/>
      <c r="V1987" s="403" t="s">
        <v>23024</v>
      </c>
      <c r="W1987" s="403" t="s">
        <v>23024</v>
      </c>
      <c r="X1987" s="403" t="s">
        <v>23024</v>
      </c>
      <c r="Y1987" s="403" t="s">
        <v>23024</v>
      </c>
    </row>
    <row r="1988" spans="1:25">
      <c r="A1988" s="363">
        <f t="shared" si="255"/>
        <v>1987</v>
      </c>
      <c r="B1988" s="363" t="str">
        <f t="shared" si="248"/>
        <v>44</v>
      </c>
      <c r="C1988" s="405" t="str">
        <f t="shared" si="249"/>
        <v>第015004号</v>
      </c>
      <c r="D1988" s="405" t="str">
        <f t="shared" si="250"/>
        <v>（株）ユクテック</v>
      </c>
      <c r="E1988" s="405" t="str">
        <f t="shared" si="251"/>
        <v>代表取締役</v>
      </c>
      <c r="F1988" s="405" t="str">
        <f t="shared" si="252"/>
        <v>石川　ヌルザーダ</v>
      </c>
      <c r="G1988" s="405" t="str">
        <f t="shared" si="253"/>
        <v>主たる営業所</v>
      </c>
      <c r="H1988" s="405" t="str">
        <f t="shared" si="254"/>
        <v>大分市大字八幡１３９０</v>
      </c>
      <c r="L1988" s="403" t="s">
        <v>11861</v>
      </c>
      <c r="M1988" s="403" t="s">
        <v>11862</v>
      </c>
      <c r="N1988" s="403" t="s">
        <v>5042</v>
      </c>
      <c r="O1988" s="403" t="s">
        <v>7084</v>
      </c>
      <c r="P1988" s="403" t="s">
        <v>5043</v>
      </c>
      <c r="Q1988" s="403" t="s">
        <v>8713</v>
      </c>
      <c r="R1988" s="403" t="s">
        <v>5701</v>
      </c>
      <c r="S1988" s="403" t="s">
        <v>17479</v>
      </c>
      <c r="T1988" s="403" t="s">
        <v>16012</v>
      </c>
      <c r="U1988" s="403"/>
      <c r="V1988" s="403" t="s">
        <v>23024</v>
      </c>
      <c r="W1988" s="403" t="s">
        <v>23024</v>
      </c>
      <c r="X1988" s="403" t="s">
        <v>23024</v>
      </c>
      <c r="Y1988" s="403" t="s">
        <v>23024</v>
      </c>
    </row>
    <row r="1989" spans="1:25">
      <c r="A1989" s="363">
        <f t="shared" si="255"/>
        <v>1988</v>
      </c>
      <c r="B1989" s="363" t="str">
        <f t="shared" si="248"/>
        <v>44</v>
      </c>
      <c r="C1989" s="405" t="str">
        <f t="shared" si="249"/>
        <v>第015006号</v>
      </c>
      <c r="D1989" s="405" t="str">
        <f t="shared" si="250"/>
        <v>（有）協和建設</v>
      </c>
      <c r="E1989" s="405" t="str">
        <f t="shared" si="251"/>
        <v>代表取締役</v>
      </c>
      <c r="F1989" s="405" t="str">
        <f t="shared" si="252"/>
        <v>伊達　智彦</v>
      </c>
      <c r="G1989" s="405" t="str">
        <f t="shared" si="253"/>
        <v>主たる営業所</v>
      </c>
      <c r="H1989" s="405" t="str">
        <f t="shared" si="254"/>
        <v>別府市実相寺町１－３メゾンボザールＣ－２０１号</v>
      </c>
      <c r="L1989" s="403" t="s">
        <v>11863</v>
      </c>
      <c r="M1989" s="403" t="s">
        <v>11864</v>
      </c>
      <c r="N1989" s="403" t="s">
        <v>5044</v>
      </c>
      <c r="O1989" s="403" t="s">
        <v>7084</v>
      </c>
      <c r="P1989" s="403" t="s">
        <v>5045</v>
      </c>
      <c r="Q1989" s="403" t="s">
        <v>9221</v>
      </c>
      <c r="R1989" s="403" t="s">
        <v>20504</v>
      </c>
      <c r="S1989" s="403" t="s">
        <v>17480</v>
      </c>
      <c r="T1989" s="403" t="s">
        <v>17481</v>
      </c>
      <c r="U1989" s="403"/>
      <c r="V1989" s="403" t="s">
        <v>23024</v>
      </c>
      <c r="W1989" s="403" t="s">
        <v>23024</v>
      </c>
      <c r="X1989" s="403" t="s">
        <v>23024</v>
      </c>
      <c r="Y1989" s="403" t="s">
        <v>23024</v>
      </c>
    </row>
    <row r="1990" spans="1:25">
      <c r="A1990" s="363">
        <f t="shared" si="255"/>
        <v>1989</v>
      </c>
      <c r="B1990" s="363" t="str">
        <f t="shared" si="248"/>
        <v>44</v>
      </c>
      <c r="C1990" s="405" t="str">
        <f t="shared" si="249"/>
        <v>第015013号</v>
      </c>
      <c r="D1990" s="405" t="str">
        <f t="shared" si="250"/>
        <v>（株）ＴＡＴＳＵＫＩ</v>
      </c>
      <c r="E1990" s="405" t="str">
        <f t="shared" si="251"/>
        <v>代表取締役</v>
      </c>
      <c r="F1990" s="405" t="str">
        <f t="shared" si="252"/>
        <v>泥谷　早由利</v>
      </c>
      <c r="G1990" s="405" t="str">
        <f t="shared" si="253"/>
        <v>主たる営業所</v>
      </c>
      <c r="H1990" s="405" t="str">
        <f t="shared" si="254"/>
        <v>大分市大字津留１９４１内川ビル１０３</v>
      </c>
      <c r="L1990" s="403" t="s">
        <v>20505</v>
      </c>
      <c r="M1990" s="403" t="s">
        <v>20506</v>
      </c>
      <c r="N1990" s="403" t="s">
        <v>20507</v>
      </c>
      <c r="O1990" s="403" t="s">
        <v>7084</v>
      </c>
      <c r="P1990" s="403" t="s">
        <v>20508</v>
      </c>
      <c r="Q1990" s="403" t="s">
        <v>7294</v>
      </c>
      <c r="R1990" s="403" t="s">
        <v>20509</v>
      </c>
      <c r="S1990" s="403" t="s">
        <v>20510</v>
      </c>
      <c r="T1990" s="403" t="s">
        <v>20511</v>
      </c>
      <c r="U1990" s="403"/>
      <c r="V1990" s="403" t="s">
        <v>23024</v>
      </c>
      <c r="W1990" s="403" t="s">
        <v>23024</v>
      </c>
      <c r="X1990" s="403" t="s">
        <v>23024</v>
      </c>
      <c r="Y1990" s="403" t="s">
        <v>23024</v>
      </c>
    </row>
    <row r="1991" spans="1:25">
      <c r="A1991" s="363">
        <f t="shared" si="255"/>
        <v>1990</v>
      </c>
      <c r="B1991" s="363" t="str">
        <f t="shared" si="248"/>
        <v>44</v>
      </c>
      <c r="C1991" s="405" t="str">
        <f t="shared" si="249"/>
        <v>第015016号</v>
      </c>
      <c r="D1991" s="405" t="str">
        <f t="shared" si="250"/>
        <v>（有）城康電設</v>
      </c>
      <c r="E1991" s="405" t="str">
        <f t="shared" si="251"/>
        <v>代表取締役</v>
      </c>
      <c r="F1991" s="405" t="str">
        <f t="shared" si="252"/>
        <v>小野　賀也</v>
      </c>
      <c r="G1991" s="405" t="str">
        <f t="shared" si="253"/>
        <v>主たる営業所</v>
      </c>
      <c r="H1991" s="405" t="str">
        <f t="shared" si="254"/>
        <v>大分市萩原３－５－５</v>
      </c>
      <c r="L1991" s="403" t="s">
        <v>11865</v>
      </c>
      <c r="M1991" s="403" t="s">
        <v>11866</v>
      </c>
      <c r="N1991" s="403" t="s">
        <v>5046</v>
      </c>
      <c r="O1991" s="403" t="s">
        <v>7084</v>
      </c>
      <c r="P1991" s="403" t="s">
        <v>5047</v>
      </c>
      <c r="Q1991" s="403" t="s">
        <v>7394</v>
      </c>
      <c r="R1991" s="403" t="s">
        <v>20512</v>
      </c>
      <c r="S1991" s="403" t="s">
        <v>17482</v>
      </c>
      <c r="T1991" s="403" t="s">
        <v>17483</v>
      </c>
      <c r="U1991" s="403"/>
      <c r="V1991" s="403" t="s">
        <v>23024</v>
      </c>
      <c r="W1991" s="403" t="s">
        <v>23024</v>
      </c>
      <c r="X1991" s="403" t="s">
        <v>23024</v>
      </c>
      <c r="Y1991" s="403" t="s">
        <v>23024</v>
      </c>
    </row>
    <row r="1992" spans="1:25">
      <c r="A1992" s="363">
        <f t="shared" si="255"/>
        <v>1991</v>
      </c>
      <c r="B1992" s="363" t="str">
        <f t="shared" si="248"/>
        <v>44</v>
      </c>
      <c r="C1992" s="405" t="str">
        <f t="shared" si="249"/>
        <v>第015018号</v>
      </c>
      <c r="D1992" s="405" t="str">
        <f t="shared" si="250"/>
        <v>山翔（株）</v>
      </c>
      <c r="E1992" s="405" t="str">
        <f t="shared" si="251"/>
        <v>代表取締役</v>
      </c>
      <c r="F1992" s="405" t="str">
        <f t="shared" si="252"/>
        <v>山崎　祐介</v>
      </c>
      <c r="G1992" s="405" t="str">
        <f t="shared" si="253"/>
        <v>主たる営業所</v>
      </c>
      <c r="H1992" s="405" t="str">
        <f t="shared" si="254"/>
        <v>大分市大字中尾５８６－１２</v>
      </c>
      <c r="L1992" s="403" t="s">
        <v>20513</v>
      </c>
      <c r="M1992" s="403" t="s">
        <v>20514</v>
      </c>
      <c r="N1992" s="403" t="s">
        <v>20515</v>
      </c>
      <c r="O1992" s="403" t="s">
        <v>7084</v>
      </c>
      <c r="P1992" s="403" t="s">
        <v>20516</v>
      </c>
      <c r="Q1992" s="403" t="s">
        <v>8329</v>
      </c>
      <c r="R1992" s="403" t="s">
        <v>20517</v>
      </c>
      <c r="S1992" s="403" t="s">
        <v>20518</v>
      </c>
      <c r="T1992" s="403" t="s">
        <v>20519</v>
      </c>
      <c r="U1992" s="403"/>
      <c r="V1992" s="403" t="s">
        <v>23024</v>
      </c>
      <c r="W1992" s="403" t="s">
        <v>23024</v>
      </c>
      <c r="X1992" s="403" t="s">
        <v>23024</v>
      </c>
      <c r="Y1992" s="403" t="s">
        <v>23024</v>
      </c>
    </row>
    <row r="1993" spans="1:25">
      <c r="A1993" s="363">
        <f t="shared" si="255"/>
        <v>1992</v>
      </c>
      <c r="B1993" s="363" t="str">
        <f t="shared" si="248"/>
        <v>44</v>
      </c>
      <c r="C1993" s="405" t="str">
        <f t="shared" si="249"/>
        <v>第015033号</v>
      </c>
      <c r="D1993" s="405" t="str">
        <f t="shared" si="250"/>
        <v>（株）武実</v>
      </c>
      <c r="E1993" s="405" t="str">
        <f t="shared" si="251"/>
        <v>代表取締役</v>
      </c>
      <c r="F1993" s="405" t="str">
        <f t="shared" si="252"/>
        <v>宇留嶋　美弥</v>
      </c>
      <c r="G1993" s="405" t="str">
        <f t="shared" si="253"/>
        <v>主たる営業所</v>
      </c>
      <c r="H1993" s="405" t="str">
        <f t="shared" si="254"/>
        <v>宇佐市大字北宇佐２０５３</v>
      </c>
      <c r="L1993" s="403" t="s">
        <v>11867</v>
      </c>
      <c r="M1993" s="403" t="s">
        <v>11868</v>
      </c>
      <c r="N1993" s="403" t="s">
        <v>5048</v>
      </c>
      <c r="O1993" s="403" t="s">
        <v>7084</v>
      </c>
      <c r="P1993" s="403" t="s">
        <v>5049</v>
      </c>
      <c r="Q1993" s="403" t="s">
        <v>8175</v>
      </c>
      <c r="R1993" s="403" t="s">
        <v>5702</v>
      </c>
      <c r="S1993" s="403" t="s">
        <v>17484</v>
      </c>
      <c r="T1993" s="403" t="s">
        <v>17485</v>
      </c>
      <c r="U1993" s="403"/>
      <c r="V1993" s="403" t="s">
        <v>23024</v>
      </c>
      <c r="W1993" s="403" t="s">
        <v>23024</v>
      </c>
      <c r="X1993" s="403" t="s">
        <v>23024</v>
      </c>
      <c r="Y1993" s="403" t="s">
        <v>23024</v>
      </c>
    </row>
    <row r="1994" spans="1:25">
      <c r="A1994" s="363">
        <f t="shared" si="255"/>
        <v>1993</v>
      </c>
      <c r="B1994" s="363" t="str">
        <f t="shared" si="248"/>
        <v>44</v>
      </c>
      <c r="C1994" s="405" t="str">
        <f t="shared" si="249"/>
        <v>第015036号</v>
      </c>
      <c r="D1994" s="405" t="str">
        <f t="shared" si="250"/>
        <v>（株）藤田防災</v>
      </c>
      <c r="E1994" s="405" t="str">
        <f t="shared" si="251"/>
        <v>代表取締役</v>
      </c>
      <c r="F1994" s="405" t="str">
        <f t="shared" si="252"/>
        <v>藤田　博文</v>
      </c>
      <c r="G1994" s="405" t="str">
        <f t="shared" si="253"/>
        <v>主たる営業所</v>
      </c>
      <c r="H1994" s="405" t="str">
        <f t="shared" si="254"/>
        <v>大分市京が丘南４－９－１</v>
      </c>
      <c r="L1994" s="403" t="s">
        <v>20520</v>
      </c>
      <c r="M1994" s="403" t="s">
        <v>20521</v>
      </c>
      <c r="N1994" s="403" t="s">
        <v>20522</v>
      </c>
      <c r="O1994" s="403" t="s">
        <v>7084</v>
      </c>
      <c r="P1994" s="403" t="s">
        <v>20523</v>
      </c>
      <c r="Q1994" s="403" t="s">
        <v>20524</v>
      </c>
      <c r="R1994" s="403" t="s">
        <v>20525</v>
      </c>
      <c r="S1994" s="403" t="s">
        <v>20526</v>
      </c>
      <c r="T1994" s="403" t="s">
        <v>20527</v>
      </c>
      <c r="U1994" s="403"/>
      <c r="V1994" s="403" t="s">
        <v>23024</v>
      </c>
      <c r="W1994" s="403" t="s">
        <v>23024</v>
      </c>
      <c r="X1994" s="403" t="s">
        <v>23024</v>
      </c>
      <c r="Y1994" s="403" t="s">
        <v>23024</v>
      </c>
    </row>
    <row r="1995" spans="1:25">
      <c r="A1995" s="363">
        <f t="shared" si="255"/>
        <v>1994</v>
      </c>
      <c r="B1995" s="363" t="str">
        <f t="shared" si="248"/>
        <v>44</v>
      </c>
      <c r="C1995" s="405" t="str">
        <f t="shared" si="249"/>
        <v>第015046号</v>
      </c>
      <c r="D1995" s="405" t="str">
        <f t="shared" si="250"/>
        <v>（株）基源</v>
      </c>
      <c r="E1995" s="405" t="str">
        <f t="shared" si="251"/>
        <v>代表取締役</v>
      </c>
      <c r="F1995" s="405" t="str">
        <f t="shared" si="252"/>
        <v>木元　豊子</v>
      </c>
      <c r="G1995" s="405" t="str">
        <f t="shared" si="253"/>
        <v>主たる営業所</v>
      </c>
      <c r="H1995" s="405" t="str">
        <f t="shared" si="254"/>
        <v>大分市大字福良４８３</v>
      </c>
      <c r="L1995" s="403" t="s">
        <v>11869</v>
      </c>
      <c r="M1995" s="403" t="s">
        <v>11870</v>
      </c>
      <c r="N1995" s="403" t="s">
        <v>5050</v>
      </c>
      <c r="O1995" s="403" t="s">
        <v>7084</v>
      </c>
      <c r="P1995" s="403" t="s">
        <v>5051</v>
      </c>
      <c r="Q1995" s="403" t="s">
        <v>9988</v>
      </c>
      <c r="R1995" s="403" t="s">
        <v>5578</v>
      </c>
      <c r="S1995" s="403" t="s">
        <v>17486</v>
      </c>
      <c r="T1995" s="403">
        <v>0</v>
      </c>
      <c r="U1995" s="403"/>
      <c r="V1995" s="403" t="s">
        <v>23024</v>
      </c>
      <c r="W1995" s="403" t="s">
        <v>23024</v>
      </c>
      <c r="X1995" s="403" t="s">
        <v>23024</v>
      </c>
      <c r="Y1995" s="403" t="s">
        <v>23024</v>
      </c>
    </row>
    <row r="1996" spans="1:25">
      <c r="A1996" s="363">
        <f t="shared" si="255"/>
        <v>1995</v>
      </c>
      <c r="B1996" s="363" t="str">
        <f t="shared" si="248"/>
        <v>44</v>
      </c>
      <c r="C1996" s="405" t="str">
        <f t="shared" si="249"/>
        <v>第015048号</v>
      </c>
      <c r="D1996" s="405" t="str">
        <f t="shared" si="250"/>
        <v>（株）将真建工</v>
      </c>
      <c r="E1996" s="405" t="str">
        <f t="shared" si="251"/>
        <v>代表取締役</v>
      </c>
      <c r="F1996" s="405" t="str">
        <f t="shared" si="252"/>
        <v>中津留　治将</v>
      </c>
      <c r="G1996" s="405" t="str">
        <f t="shared" si="253"/>
        <v>主たる営業所</v>
      </c>
      <c r="H1996" s="405" t="str">
        <f t="shared" si="254"/>
        <v>大分市大字屋山２２２４</v>
      </c>
      <c r="L1996" s="403" t="s">
        <v>11871</v>
      </c>
      <c r="M1996" s="403" t="s">
        <v>11872</v>
      </c>
      <c r="N1996" s="403" t="s">
        <v>5052</v>
      </c>
      <c r="O1996" s="403" t="s">
        <v>7084</v>
      </c>
      <c r="P1996" s="403" t="s">
        <v>1565</v>
      </c>
      <c r="Q1996" s="403" t="s">
        <v>9356</v>
      </c>
      <c r="R1996" s="403" t="s">
        <v>5703</v>
      </c>
      <c r="S1996" s="403" t="s">
        <v>17487</v>
      </c>
      <c r="T1996" s="403" t="s">
        <v>17488</v>
      </c>
      <c r="U1996" s="403"/>
      <c r="V1996" s="403" t="s">
        <v>23024</v>
      </c>
      <c r="W1996" s="403" t="s">
        <v>23024</v>
      </c>
      <c r="X1996" s="403" t="s">
        <v>23024</v>
      </c>
      <c r="Y1996" s="403" t="s">
        <v>23024</v>
      </c>
    </row>
    <row r="1997" spans="1:25">
      <c r="A1997" s="363">
        <f t="shared" si="255"/>
        <v>1996</v>
      </c>
      <c r="B1997" s="363" t="str">
        <f t="shared" si="248"/>
        <v>44</v>
      </c>
      <c r="C1997" s="405" t="str">
        <f t="shared" si="249"/>
        <v>第015051号</v>
      </c>
      <c r="D1997" s="405" t="str">
        <f t="shared" si="250"/>
        <v>（株）ダイマル創建</v>
      </c>
      <c r="E1997" s="405" t="str">
        <f t="shared" si="251"/>
        <v>代表取締役</v>
      </c>
      <c r="F1997" s="405" t="str">
        <f t="shared" si="252"/>
        <v>丸尾　健二</v>
      </c>
      <c r="G1997" s="405" t="str">
        <f t="shared" si="253"/>
        <v>主たる営業所</v>
      </c>
      <c r="H1997" s="405" t="str">
        <f t="shared" si="254"/>
        <v>宇佐市大字東大堀２０１－３</v>
      </c>
      <c r="L1997" s="403" t="s">
        <v>11873</v>
      </c>
      <c r="M1997" s="403" t="s">
        <v>11874</v>
      </c>
      <c r="N1997" s="403" t="s">
        <v>5053</v>
      </c>
      <c r="O1997" s="403" t="s">
        <v>7084</v>
      </c>
      <c r="P1997" s="403" t="s">
        <v>5054</v>
      </c>
      <c r="Q1997" s="403" t="s">
        <v>11875</v>
      </c>
      <c r="R1997" s="403" t="s">
        <v>20528</v>
      </c>
      <c r="S1997" s="403" t="s">
        <v>17489</v>
      </c>
      <c r="T1997" s="403" t="s">
        <v>17489</v>
      </c>
      <c r="U1997" s="403"/>
      <c r="V1997" s="403" t="s">
        <v>23024</v>
      </c>
      <c r="W1997" s="403" t="s">
        <v>23024</v>
      </c>
      <c r="X1997" s="403" t="s">
        <v>23024</v>
      </c>
      <c r="Y1997" s="403" t="s">
        <v>23024</v>
      </c>
    </row>
    <row r="1998" spans="1:25">
      <c r="A1998" s="363">
        <f t="shared" si="255"/>
        <v>1997</v>
      </c>
      <c r="B1998" s="363" t="str">
        <f t="shared" si="248"/>
        <v>44</v>
      </c>
      <c r="C1998" s="405" t="str">
        <f t="shared" si="249"/>
        <v>第015056号</v>
      </c>
      <c r="D1998" s="405" t="str">
        <f t="shared" si="250"/>
        <v>河津電工</v>
      </c>
      <c r="E1998" s="405" t="str">
        <f t="shared" si="251"/>
        <v>事業主</v>
      </c>
      <c r="F1998" s="405" t="str">
        <f t="shared" si="252"/>
        <v>河津　茂幸</v>
      </c>
      <c r="G1998" s="405" t="str">
        <f t="shared" si="253"/>
        <v>主たる営業所</v>
      </c>
      <c r="H1998" s="405" t="str">
        <f t="shared" si="254"/>
        <v>日田市大字庄手３０３－１</v>
      </c>
      <c r="L1998" s="403" t="s">
        <v>20529</v>
      </c>
      <c r="M1998" s="403" t="s">
        <v>20530</v>
      </c>
      <c r="N1998" s="403" t="s">
        <v>20531</v>
      </c>
      <c r="O1998" s="403" t="s">
        <v>7088</v>
      </c>
      <c r="P1998" s="403" t="s">
        <v>20532</v>
      </c>
      <c r="Q1998" s="403" t="s">
        <v>8673</v>
      </c>
      <c r="R1998" s="403" t="s">
        <v>20533</v>
      </c>
      <c r="S1998" s="403" t="s">
        <v>20534</v>
      </c>
      <c r="T1998" s="403">
        <v>0</v>
      </c>
      <c r="U1998" s="403"/>
      <c r="V1998" s="403" t="s">
        <v>23024</v>
      </c>
      <c r="W1998" s="403" t="s">
        <v>23024</v>
      </c>
      <c r="X1998" s="403" t="s">
        <v>23024</v>
      </c>
      <c r="Y1998" s="403" t="s">
        <v>23024</v>
      </c>
    </row>
    <row r="1999" spans="1:25">
      <c r="A1999" s="363">
        <f t="shared" si="255"/>
        <v>1998</v>
      </c>
      <c r="B1999" s="363" t="str">
        <f t="shared" si="248"/>
        <v>44</v>
      </c>
      <c r="C1999" s="405" t="str">
        <f t="shared" si="249"/>
        <v>第015061号</v>
      </c>
      <c r="D1999" s="405" t="str">
        <f t="shared" si="250"/>
        <v>佐田電工</v>
      </c>
      <c r="E1999" s="405" t="str">
        <f t="shared" si="251"/>
        <v>代表者</v>
      </c>
      <c r="F1999" s="405" t="str">
        <f t="shared" si="252"/>
        <v>佐田　秀信</v>
      </c>
      <c r="G1999" s="405" t="str">
        <f t="shared" si="253"/>
        <v>主たる営業所</v>
      </c>
      <c r="H1999" s="405" t="str">
        <f t="shared" si="254"/>
        <v>大分市大字片島４３４－１</v>
      </c>
      <c r="L1999" s="403" t="s">
        <v>11876</v>
      </c>
      <c r="M1999" s="403" t="s">
        <v>11877</v>
      </c>
      <c r="N1999" s="403" t="s">
        <v>5055</v>
      </c>
      <c r="O1999" s="403" t="s">
        <v>7086</v>
      </c>
      <c r="P1999" s="403" t="s">
        <v>5056</v>
      </c>
      <c r="Q1999" s="403" t="s">
        <v>8687</v>
      </c>
      <c r="R1999" s="403" t="s">
        <v>20535</v>
      </c>
      <c r="S1999" s="403" t="s">
        <v>17490</v>
      </c>
      <c r="T1999" s="403" t="s">
        <v>17490</v>
      </c>
      <c r="U1999" s="403"/>
      <c r="V1999" s="403" t="s">
        <v>23024</v>
      </c>
      <c r="W1999" s="403" t="s">
        <v>23024</v>
      </c>
      <c r="X1999" s="403" t="s">
        <v>23024</v>
      </c>
      <c r="Y1999" s="403" t="s">
        <v>23024</v>
      </c>
    </row>
    <row r="2000" spans="1:25">
      <c r="A2000" s="363">
        <f t="shared" si="255"/>
        <v>1999</v>
      </c>
      <c r="B2000" s="363" t="str">
        <f t="shared" si="248"/>
        <v>44</v>
      </c>
      <c r="C2000" s="405" t="str">
        <f t="shared" si="249"/>
        <v>第015062号</v>
      </c>
      <c r="D2000" s="405" t="str">
        <f t="shared" si="250"/>
        <v>（株）和高開発</v>
      </c>
      <c r="E2000" s="405" t="str">
        <f t="shared" si="251"/>
        <v>代表取締役</v>
      </c>
      <c r="F2000" s="405" t="str">
        <f t="shared" si="252"/>
        <v>高橋　敏秋</v>
      </c>
      <c r="G2000" s="405" t="str">
        <f t="shared" si="253"/>
        <v>主たる営業所</v>
      </c>
      <c r="H2000" s="405" t="str">
        <f t="shared" si="254"/>
        <v>臼杵市野津町大字藤小野９６２－１</v>
      </c>
      <c r="L2000" s="403" t="s">
        <v>11878</v>
      </c>
      <c r="M2000" s="403" t="s">
        <v>11879</v>
      </c>
      <c r="N2000" s="403" t="s">
        <v>5057</v>
      </c>
      <c r="O2000" s="403" t="s">
        <v>7084</v>
      </c>
      <c r="P2000" s="403" t="s">
        <v>5058</v>
      </c>
      <c r="Q2000" s="403" t="s">
        <v>11880</v>
      </c>
      <c r="R2000" s="403" t="s">
        <v>20536</v>
      </c>
      <c r="S2000" s="403" t="s">
        <v>17491</v>
      </c>
      <c r="T2000" s="403" t="s">
        <v>17491</v>
      </c>
      <c r="U2000" s="403"/>
      <c r="V2000" s="403" t="s">
        <v>23024</v>
      </c>
      <c r="W2000" s="403" t="s">
        <v>23024</v>
      </c>
      <c r="X2000" s="403" t="s">
        <v>23024</v>
      </c>
      <c r="Y2000" s="403" t="s">
        <v>23024</v>
      </c>
    </row>
    <row r="2001" spans="1:25">
      <c r="A2001" s="363">
        <f t="shared" si="255"/>
        <v>2000</v>
      </c>
      <c r="B2001" s="363" t="str">
        <f t="shared" si="248"/>
        <v>44</v>
      </c>
      <c r="C2001" s="405" t="str">
        <f t="shared" si="249"/>
        <v>第015070号</v>
      </c>
      <c r="D2001" s="405" t="str">
        <f t="shared" si="250"/>
        <v>（一財）杵築市総合振興センター</v>
      </c>
      <c r="E2001" s="405" t="str">
        <f t="shared" si="251"/>
        <v>代表理事</v>
      </c>
      <c r="F2001" s="405" t="str">
        <f t="shared" si="252"/>
        <v>真砂　矩男</v>
      </c>
      <c r="G2001" s="405" t="str">
        <f t="shared" si="253"/>
        <v>主たる営業所</v>
      </c>
      <c r="H2001" s="405" t="str">
        <f t="shared" si="254"/>
        <v>杵築市大字杵築３８６－１</v>
      </c>
      <c r="L2001" s="403" t="s">
        <v>11881</v>
      </c>
      <c r="M2001" s="403" t="s">
        <v>11882</v>
      </c>
      <c r="N2001" s="403" t="s">
        <v>5059</v>
      </c>
      <c r="O2001" s="403" t="s">
        <v>7090</v>
      </c>
      <c r="P2001" s="403" t="s">
        <v>5060</v>
      </c>
      <c r="Q2001" s="403" t="s">
        <v>7637</v>
      </c>
      <c r="R2001" s="403" t="s">
        <v>20537</v>
      </c>
      <c r="S2001" s="403" t="s">
        <v>17492</v>
      </c>
      <c r="T2001" s="403" t="s">
        <v>17493</v>
      </c>
      <c r="U2001" s="403"/>
      <c r="V2001" s="403" t="s">
        <v>23024</v>
      </c>
      <c r="W2001" s="403" t="s">
        <v>23024</v>
      </c>
      <c r="X2001" s="403" t="s">
        <v>23024</v>
      </c>
      <c r="Y2001" s="403" t="s">
        <v>23024</v>
      </c>
    </row>
    <row r="2002" spans="1:25">
      <c r="A2002" s="363">
        <f t="shared" si="255"/>
        <v>2001</v>
      </c>
      <c r="B2002" s="363" t="str">
        <f t="shared" si="248"/>
        <v>44</v>
      </c>
      <c r="C2002" s="405" t="str">
        <f t="shared" si="249"/>
        <v>第015077号</v>
      </c>
      <c r="D2002" s="405" t="str">
        <f t="shared" si="250"/>
        <v>（株）ミナミ</v>
      </c>
      <c r="E2002" s="405" t="str">
        <f t="shared" si="251"/>
        <v>代表取締役</v>
      </c>
      <c r="F2002" s="405" t="str">
        <f t="shared" si="252"/>
        <v>南浴　裕實</v>
      </c>
      <c r="G2002" s="405" t="str">
        <f t="shared" si="253"/>
        <v>主たる営業所</v>
      </c>
      <c r="H2002" s="405" t="str">
        <f t="shared" si="254"/>
        <v>豊後高田市見目７４７－１</v>
      </c>
      <c r="L2002" s="403" t="s">
        <v>11883</v>
      </c>
      <c r="M2002" s="403" t="s">
        <v>11884</v>
      </c>
      <c r="N2002" s="403" t="s">
        <v>5061</v>
      </c>
      <c r="O2002" s="403" t="s">
        <v>7084</v>
      </c>
      <c r="P2002" s="403" t="s">
        <v>5062</v>
      </c>
      <c r="Q2002" s="403" t="s">
        <v>7679</v>
      </c>
      <c r="R2002" s="403" t="s">
        <v>18677</v>
      </c>
      <c r="S2002" s="403" t="s">
        <v>17494</v>
      </c>
      <c r="T2002" s="403" t="s">
        <v>14170</v>
      </c>
      <c r="U2002" s="403"/>
      <c r="V2002" s="403" t="s">
        <v>23024</v>
      </c>
      <c r="W2002" s="403" t="s">
        <v>23024</v>
      </c>
      <c r="X2002" s="403" t="s">
        <v>23024</v>
      </c>
      <c r="Y2002" s="403" t="s">
        <v>23024</v>
      </c>
    </row>
    <row r="2003" spans="1:25">
      <c r="A2003" s="363">
        <f t="shared" si="255"/>
        <v>2002</v>
      </c>
      <c r="B2003" s="363" t="str">
        <f t="shared" si="248"/>
        <v>44</v>
      </c>
      <c r="C2003" s="405" t="str">
        <f t="shared" si="249"/>
        <v>第015081号</v>
      </c>
      <c r="D2003" s="405" t="str">
        <f t="shared" si="250"/>
        <v>（株）瀧建設</v>
      </c>
      <c r="E2003" s="405" t="str">
        <f t="shared" si="251"/>
        <v>代表取締役</v>
      </c>
      <c r="F2003" s="405" t="str">
        <f t="shared" si="252"/>
        <v>瀧　慎太郎</v>
      </c>
      <c r="G2003" s="405" t="str">
        <f t="shared" si="253"/>
        <v>主たる営業所</v>
      </c>
      <c r="H2003" s="405" t="str">
        <f t="shared" si="254"/>
        <v>中津市大字定留１０５０－１</v>
      </c>
      <c r="L2003" s="403" t="s">
        <v>11885</v>
      </c>
      <c r="M2003" s="403" t="s">
        <v>11886</v>
      </c>
      <c r="N2003" s="403" t="s">
        <v>5063</v>
      </c>
      <c r="O2003" s="403" t="s">
        <v>7084</v>
      </c>
      <c r="P2003" s="403" t="s">
        <v>5064</v>
      </c>
      <c r="Q2003" s="403" t="s">
        <v>9248</v>
      </c>
      <c r="R2003" s="403" t="s">
        <v>20538</v>
      </c>
      <c r="S2003" s="403" t="s">
        <v>17495</v>
      </c>
      <c r="T2003" s="403" t="s">
        <v>17496</v>
      </c>
      <c r="U2003" s="403"/>
      <c r="V2003" s="403" t="s">
        <v>23024</v>
      </c>
      <c r="W2003" s="403" t="s">
        <v>23024</v>
      </c>
      <c r="X2003" s="403" t="s">
        <v>23024</v>
      </c>
      <c r="Y2003" s="403" t="s">
        <v>23024</v>
      </c>
    </row>
    <row r="2004" spans="1:25">
      <c r="A2004" s="363">
        <f t="shared" si="255"/>
        <v>2003</v>
      </c>
      <c r="B2004" s="363" t="str">
        <f t="shared" si="248"/>
        <v>44</v>
      </c>
      <c r="C2004" s="405" t="str">
        <f t="shared" si="249"/>
        <v>第015082号</v>
      </c>
      <c r="D2004" s="405" t="str">
        <f t="shared" si="250"/>
        <v>環境工研（株）</v>
      </c>
      <c r="E2004" s="405" t="str">
        <f t="shared" si="251"/>
        <v>代表取締役</v>
      </c>
      <c r="F2004" s="405" t="str">
        <f t="shared" si="252"/>
        <v>大島　吉博</v>
      </c>
      <c r="G2004" s="405" t="str">
        <f t="shared" si="253"/>
        <v>主たる営業所</v>
      </c>
      <c r="H2004" s="405" t="str">
        <f t="shared" si="254"/>
        <v>大分市花高松１－１－１５</v>
      </c>
      <c r="L2004" s="403" t="s">
        <v>11887</v>
      </c>
      <c r="M2004" s="403" t="s">
        <v>11888</v>
      </c>
      <c r="N2004" s="403" t="s">
        <v>5065</v>
      </c>
      <c r="O2004" s="403" t="s">
        <v>7084</v>
      </c>
      <c r="P2004" s="403" t="s">
        <v>5066</v>
      </c>
      <c r="Q2004" s="403" t="s">
        <v>8650</v>
      </c>
      <c r="R2004" s="403" t="s">
        <v>20539</v>
      </c>
      <c r="S2004" s="403" t="s">
        <v>17497</v>
      </c>
      <c r="T2004" s="403" t="s">
        <v>17498</v>
      </c>
      <c r="U2004" s="403"/>
      <c r="V2004" s="403" t="s">
        <v>23024</v>
      </c>
      <c r="W2004" s="403" t="s">
        <v>23024</v>
      </c>
      <c r="X2004" s="403" t="s">
        <v>23024</v>
      </c>
      <c r="Y2004" s="403" t="s">
        <v>23024</v>
      </c>
    </row>
    <row r="2005" spans="1:25">
      <c r="A2005" s="363">
        <f t="shared" si="255"/>
        <v>2004</v>
      </c>
      <c r="B2005" s="363" t="str">
        <f t="shared" si="248"/>
        <v>44</v>
      </c>
      <c r="C2005" s="405" t="str">
        <f t="shared" si="249"/>
        <v>第015094号</v>
      </c>
      <c r="D2005" s="405" t="str">
        <f t="shared" si="250"/>
        <v>（株）ユウシン</v>
      </c>
      <c r="E2005" s="405" t="str">
        <f t="shared" si="251"/>
        <v>代表取締役</v>
      </c>
      <c r="F2005" s="405" t="str">
        <f t="shared" si="252"/>
        <v>山本　真也</v>
      </c>
      <c r="G2005" s="405" t="str">
        <f t="shared" si="253"/>
        <v>主たる営業所</v>
      </c>
      <c r="H2005" s="405" t="str">
        <f t="shared" si="254"/>
        <v>別府市大字北石垣８６６－３２</v>
      </c>
      <c r="L2005" s="403" t="s">
        <v>20540</v>
      </c>
      <c r="M2005" s="403" t="s">
        <v>20541</v>
      </c>
      <c r="N2005" s="403" t="s">
        <v>20542</v>
      </c>
      <c r="O2005" s="403" t="s">
        <v>7084</v>
      </c>
      <c r="P2005" s="403" t="s">
        <v>20543</v>
      </c>
      <c r="Q2005" s="403" t="s">
        <v>7616</v>
      </c>
      <c r="R2005" s="403" t="s">
        <v>20544</v>
      </c>
      <c r="S2005" s="403" t="s">
        <v>20545</v>
      </c>
      <c r="T2005" s="403" t="s">
        <v>20545</v>
      </c>
      <c r="U2005" s="403"/>
      <c r="V2005" s="403" t="s">
        <v>23024</v>
      </c>
      <c r="W2005" s="403" t="s">
        <v>23024</v>
      </c>
      <c r="X2005" s="403" t="s">
        <v>23024</v>
      </c>
      <c r="Y2005" s="403" t="s">
        <v>23024</v>
      </c>
    </row>
    <row r="2006" spans="1:25">
      <c r="A2006" s="363">
        <f t="shared" si="255"/>
        <v>2005</v>
      </c>
      <c r="B2006" s="363" t="str">
        <f t="shared" si="248"/>
        <v>44</v>
      </c>
      <c r="C2006" s="405" t="str">
        <f t="shared" si="249"/>
        <v>第015095号</v>
      </c>
      <c r="D2006" s="405" t="str">
        <f t="shared" si="250"/>
        <v>（株）エアテック九州</v>
      </c>
      <c r="E2006" s="405" t="str">
        <f t="shared" si="251"/>
        <v>代表取締役</v>
      </c>
      <c r="F2006" s="405" t="str">
        <f t="shared" si="252"/>
        <v>矢野　浩英</v>
      </c>
      <c r="G2006" s="405" t="str">
        <f t="shared" si="253"/>
        <v>主たる営業所</v>
      </c>
      <c r="H2006" s="405" t="str">
        <f t="shared" si="254"/>
        <v>大分市大字津守２１７－７</v>
      </c>
      <c r="L2006" s="403" t="s">
        <v>20546</v>
      </c>
      <c r="M2006" s="403" t="s">
        <v>20547</v>
      </c>
      <c r="N2006" s="403" t="s">
        <v>20548</v>
      </c>
      <c r="O2006" s="403" t="s">
        <v>7084</v>
      </c>
      <c r="P2006" s="403" t="s">
        <v>20549</v>
      </c>
      <c r="Q2006" s="403" t="s">
        <v>7756</v>
      </c>
      <c r="R2006" s="403" t="s">
        <v>20550</v>
      </c>
      <c r="S2006" s="403" t="s">
        <v>20551</v>
      </c>
      <c r="T2006" s="403" t="s">
        <v>20552</v>
      </c>
      <c r="U2006" s="403"/>
      <c r="V2006" s="403" t="s">
        <v>23024</v>
      </c>
      <c r="W2006" s="403" t="s">
        <v>23024</v>
      </c>
      <c r="X2006" s="403" t="s">
        <v>23024</v>
      </c>
      <c r="Y2006" s="403" t="s">
        <v>23024</v>
      </c>
    </row>
    <row r="2007" spans="1:25">
      <c r="A2007" s="363">
        <f t="shared" si="255"/>
        <v>2006</v>
      </c>
      <c r="B2007" s="363" t="str">
        <f t="shared" si="248"/>
        <v>44</v>
      </c>
      <c r="C2007" s="405" t="str">
        <f t="shared" si="249"/>
        <v>第015127号</v>
      </c>
      <c r="D2007" s="405" t="str">
        <f t="shared" si="250"/>
        <v>（有）青葉建設</v>
      </c>
      <c r="E2007" s="405" t="str">
        <f t="shared" si="251"/>
        <v>代表取締役</v>
      </c>
      <c r="F2007" s="405" t="str">
        <f t="shared" si="252"/>
        <v>宇野　豪</v>
      </c>
      <c r="G2007" s="405" t="str">
        <f t="shared" si="253"/>
        <v>主たる営業所</v>
      </c>
      <c r="H2007" s="405" t="str">
        <f t="shared" si="254"/>
        <v>別府市南荘園町１７－１３</v>
      </c>
      <c r="L2007" s="403" t="s">
        <v>11889</v>
      </c>
      <c r="M2007" s="403" t="s">
        <v>11890</v>
      </c>
      <c r="N2007" s="403" t="s">
        <v>5067</v>
      </c>
      <c r="O2007" s="403" t="s">
        <v>7084</v>
      </c>
      <c r="P2007" s="403" t="s">
        <v>5068</v>
      </c>
      <c r="Q2007" s="403" t="s">
        <v>11891</v>
      </c>
      <c r="R2007" s="403" t="s">
        <v>20553</v>
      </c>
      <c r="S2007" s="403" t="s">
        <v>17499</v>
      </c>
      <c r="T2007" s="403" t="s">
        <v>17500</v>
      </c>
      <c r="U2007" s="403"/>
      <c r="V2007" s="403" t="s">
        <v>23024</v>
      </c>
      <c r="W2007" s="403" t="s">
        <v>23024</v>
      </c>
      <c r="X2007" s="403" t="s">
        <v>23024</v>
      </c>
      <c r="Y2007" s="403" t="s">
        <v>23024</v>
      </c>
    </row>
    <row r="2008" spans="1:25">
      <c r="A2008" s="363">
        <f t="shared" si="255"/>
        <v>2007</v>
      </c>
      <c r="B2008" s="363" t="str">
        <f t="shared" si="248"/>
        <v>44</v>
      </c>
      <c r="C2008" s="405" t="str">
        <f t="shared" si="249"/>
        <v>第015132号</v>
      </c>
      <c r="D2008" s="405" t="str">
        <f t="shared" si="250"/>
        <v>（株）誠産業</v>
      </c>
      <c r="E2008" s="405" t="str">
        <f t="shared" si="251"/>
        <v>代表取締役</v>
      </c>
      <c r="F2008" s="405" t="str">
        <f t="shared" si="252"/>
        <v>木村　誠</v>
      </c>
      <c r="G2008" s="405" t="str">
        <f t="shared" si="253"/>
        <v>主たる営業所</v>
      </c>
      <c r="H2008" s="405" t="str">
        <f t="shared" si="254"/>
        <v>大分市大字横尾２０６２－１</v>
      </c>
      <c r="L2008" s="403" t="s">
        <v>11892</v>
      </c>
      <c r="M2008" s="403" t="s">
        <v>11893</v>
      </c>
      <c r="N2008" s="403" t="s">
        <v>5205</v>
      </c>
      <c r="O2008" s="403" t="s">
        <v>7084</v>
      </c>
      <c r="P2008" s="403" t="s">
        <v>2110</v>
      </c>
      <c r="Q2008" s="403" t="s">
        <v>7357</v>
      </c>
      <c r="R2008" s="403" t="s">
        <v>18564</v>
      </c>
      <c r="S2008" s="403" t="s">
        <v>17501</v>
      </c>
      <c r="T2008" s="403" t="s">
        <v>17502</v>
      </c>
      <c r="U2008" s="403"/>
      <c r="V2008" s="403" t="s">
        <v>23024</v>
      </c>
      <c r="W2008" s="403" t="s">
        <v>23024</v>
      </c>
      <c r="X2008" s="403" t="s">
        <v>23024</v>
      </c>
      <c r="Y2008" s="403" t="s">
        <v>23024</v>
      </c>
    </row>
    <row r="2009" spans="1:25">
      <c r="A2009" s="363">
        <f t="shared" si="255"/>
        <v>2008</v>
      </c>
      <c r="B2009" s="363" t="str">
        <f t="shared" si="248"/>
        <v>44</v>
      </c>
      <c r="C2009" s="405" t="str">
        <f t="shared" si="249"/>
        <v>第015149号</v>
      </c>
      <c r="D2009" s="405" t="str">
        <f t="shared" si="250"/>
        <v>後藤電気</v>
      </c>
      <c r="E2009" s="405" t="str">
        <f t="shared" si="251"/>
        <v>事業主</v>
      </c>
      <c r="F2009" s="405" t="str">
        <f t="shared" si="252"/>
        <v>立川　浩一</v>
      </c>
      <c r="G2009" s="405" t="str">
        <f t="shared" si="253"/>
        <v>主たる営業所</v>
      </c>
      <c r="H2009" s="405" t="str">
        <f t="shared" si="254"/>
        <v>臼杵市野津町大字野津市２０２１－２</v>
      </c>
      <c r="L2009" s="403" t="s">
        <v>20554</v>
      </c>
      <c r="M2009" s="403" t="s">
        <v>20555</v>
      </c>
      <c r="N2009" s="403" t="s">
        <v>20556</v>
      </c>
      <c r="O2009" s="403" t="s">
        <v>7088</v>
      </c>
      <c r="P2009" s="403" t="s">
        <v>20557</v>
      </c>
      <c r="Q2009" s="403" t="s">
        <v>7893</v>
      </c>
      <c r="R2009" s="403" t="s">
        <v>20558</v>
      </c>
      <c r="S2009" s="403" t="s">
        <v>20559</v>
      </c>
      <c r="T2009" s="403" t="s">
        <v>20559</v>
      </c>
      <c r="U2009" s="403"/>
      <c r="V2009" s="403" t="s">
        <v>23024</v>
      </c>
      <c r="W2009" s="403" t="s">
        <v>23024</v>
      </c>
      <c r="X2009" s="403" t="s">
        <v>23024</v>
      </c>
      <c r="Y2009" s="403" t="s">
        <v>23024</v>
      </c>
    </row>
    <row r="2010" spans="1:25">
      <c r="A2010" s="363">
        <f t="shared" si="255"/>
        <v>2009</v>
      </c>
      <c r="B2010" s="363" t="str">
        <f t="shared" si="248"/>
        <v>44</v>
      </c>
      <c r="C2010" s="405" t="str">
        <f t="shared" si="249"/>
        <v>第015165号</v>
      </c>
      <c r="D2010" s="405" t="str">
        <f t="shared" si="250"/>
        <v>大分電装（株）</v>
      </c>
      <c r="E2010" s="405" t="str">
        <f t="shared" si="251"/>
        <v>代表取締役</v>
      </c>
      <c r="F2010" s="405" t="str">
        <f t="shared" si="252"/>
        <v>春岡　彰</v>
      </c>
      <c r="G2010" s="405" t="str">
        <f t="shared" si="253"/>
        <v>主たる営業所</v>
      </c>
      <c r="H2010" s="405" t="str">
        <f t="shared" si="254"/>
        <v>臼杵市野津町大字宮原２８５６－２６</v>
      </c>
      <c r="L2010" s="403" t="s">
        <v>20560</v>
      </c>
      <c r="M2010" s="403" t="s">
        <v>20561</v>
      </c>
      <c r="N2010" s="403" t="s">
        <v>20562</v>
      </c>
      <c r="O2010" s="403" t="s">
        <v>7084</v>
      </c>
      <c r="P2010" s="403" t="s">
        <v>20563</v>
      </c>
      <c r="Q2010" s="403" t="s">
        <v>9009</v>
      </c>
      <c r="R2010" s="403" t="s">
        <v>20564</v>
      </c>
      <c r="S2010" s="403" t="s">
        <v>20565</v>
      </c>
      <c r="T2010" s="403" t="s">
        <v>20565</v>
      </c>
      <c r="U2010" s="403"/>
      <c r="V2010" s="403" t="s">
        <v>23024</v>
      </c>
      <c r="W2010" s="403" t="s">
        <v>23024</v>
      </c>
      <c r="X2010" s="403" t="s">
        <v>23024</v>
      </c>
      <c r="Y2010" s="403" t="s">
        <v>23024</v>
      </c>
    </row>
    <row r="2011" spans="1:25">
      <c r="A2011" s="363">
        <f t="shared" si="255"/>
        <v>2010</v>
      </c>
      <c r="B2011" s="363" t="str">
        <f t="shared" si="248"/>
        <v>44</v>
      </c>
      <c r="C2011" s="405" t="str">
        <f t="shared" si="249"/>
        <v>第015166号</v>
      </c>
      <c r="D2011" s="405" t="str">
        <f t="shared" si="250"/>
        <v>本間建設（株）</v>
      </c>
      <c r="E2011" s="405" t="str">
        <f t="shared" si="251"/>
        <v>代表取締役</v>
      </c>
      <c r="F2011" s="405" t="str">
        <f t="shared" si="252"/>
        <v>本間　暢人</v>
      </c>
      <c r="G2011" s="405" t="str">
        <f t="shared" si="253"/>
        <v>主たる営業所</v>
      </c>
      <c r="H2011" s="405" t="str">
        <f t="shared" si="254"/>
        <v>中津市大字角木３３８－４</v>
      </c>
      <c r="L2011" s="403" t="s">
        <v>20566</v>
      </c>
      <c r="M2011" s="403" t="s">
        <v>20567</v>
      </c>
      <c r="N2011" s="403" t="s">
        <v>20568</v>
      </c>
      <c r="O2011" s="403" t="s">
        <v>7084</v>
      </c>
      <c r="P2011" s="403" t="s">
        <v>20569</v>
      </c>
      <c r="Q2011" s="403" t="s">
        <v>20570</v>
      </c>
      <c r="R2011" s="403" t="s">
        <v>20571</v>
      </c>
      <c r="S2011" s="403" t="s">
        <v>20572</v>
      </c>
      <c r="T2011" s="403" t="s">
        <v>20572</v>
      </c>
      <c r="U2011" s="403"/>
      <c r="V2011" s="403" t="s">
        <v>23024</v>
      </c>
      <c r="W2011" s="403" t="s">
        <v>23024</v>
      </c>
      <c r="X2011" s="403" t="s">
        <v>23024</v>
      </c>
      <c r="Y2011" s="403" t="s">
        <v>23024</v>
      </c>
    </row>
    <row r="2012" spans="1:25">
      <c r="A2012" s="363">
        <f t="shared" si="255"/>
        <v>2011</v>
      </c>
      <c r="B2012" s="363" t="str">
        <f t="shared" si="248"/>
        <v>44</v>
      </c>
      <c r="C2012" s="405" t="str">
        <f t="shared" si="249"/>
        <v>第015178号</v>
      </c>
      <c r="D2012" s="405" t="str">
        <f t="shared" si="250"/>
        <v>（株）アリコーンテック</v>
      </c>
      <c r="E2012" s="405" t="str">
        <f t="shared" si="251"/>
        <v>代表取締役</v>
      </c>
      <c r="F2012" s="405" t="str">
        <f t="shared" si="252"/>
        <v>佐藤　敏徳</v>
      </c>
      <c r="G2012" s="405" t="str">
        <f t="shared" si="253"/>
        <v>主たる営業所</v>
      </c>
      <c r="H2012" s="405" t="str">
        <f t="shared" si="254"/>
        <v>由布市庄内町直野内山１０９６</v>
      </c>
      <c r="L2012" s="403" t="s">
        <v>20573</v>
      </c>
      <c r="M2012" s="403" t="s">
        <v>20574</v>
      </c>
      <c r="N2012" s="403" t="s">
        <v>20575</v>
      </c>
      <c r="O2012" s="403" t="s">
        <v>7084</v>
      </c>
      <c r="P2012" s="403" t="s">
        <v>20576</v>
      </c>
      <c r="Q2012" s="403" t="s">
        <v>10552</v>
      </c>
      <c r="R2012" s="403" t="s">
        <v>20577</v>
      </c>
      <c r="S2012" s="403" t="s">
        <v>20578</v>
      </c>
      <c r="T2012" s="403" t="s">
        <v>20579</v>
      </c>
      <c r="U2012" s="403"/>
      <c r="V2012" s="403" t="s">
        <v>23024</v>
      </c>
      <c r="W2012" s="403" t="s">
        <v>23024</v>
      </c>
      <c r="X2012" s="403" t="s">
        <v>23024</v>
      </c>
      <c r="Y2012" s="403" t="s">
        <v>23024</v>
      </c>
    </row>
    <row r="2013" spans="1:25">
      <c r="A2013" s="363">
        <f t="shared" si="255"/>
        <v>2012</v>
      </c>
      <c r="B2013" s="363" t="str">
        <f t="shared" si="248"/>
        <v>44</v>
      </c>
      <c r="C2013" s="405" t="str">
        <f t="shared" si="249"/>
        <v>第015187号</v>
      </c>
      <c r="D2013" s="405" t="str">
        <f t="shared" si="250"/>
        <v>（株）裕神建設</v>
      </c>
      <c r="E2013" s="405" t="str">
        <f t="shared" si="251"/>
        <v>代表取締役</v>
      </c>
      <c r="F2013" s="405" t="str">
        <f t="shared" si="252"/>
        <v>塩穴　裕司</v>
      </c>
      <c r="G2013" s="405" t="str">
        <f t="shared" si="253"/>
        <v>主たる営業所</v>
      </c>
      <c r="H2013" s="405" t="str">
        <f t="shared" si="254"/>
        <v>大分市大字常行１２４－１</v>
      </c>
      <c r="L2013" s="403" t="s">
        <v>20580</v>
      </c>
      <c r="M2013" s="403" t="s">
        <v>11337</v>
      </c>
      <c r="N2013" s="403" t="s">
        <v>20581</v>
      </c>
      <c r="O2013" s="403" t="s">
        <v>7084</v>
      </c>
      <c r="P2013" s="403" t="s">
        <v>20582</v>
      </c>
      <c r="Q2013" s="403" t="s">
        <v>9500</v>
      </c>
      <c r="R2013" s="403" t="s">
        <v>20583</v>
      </c>
      <c r="S2013" s="403" t="s">
        <v>20584</v>
      </c>
      <c r="T2013" s="403" t="s">
        <v>20585</v>
      </c>
      <c r="U2013" s="403"/>
      <c r="V2013" s="403" t="s">
        <v>23024</v>
      </c>
      <c r="W2013" s="403" t="s">
        <v>23024</v>
      </c>
      <c r="X2013" s="403" t="s">
        <v>23024</v>
      </c>
      <c r="Y2013" s="403" t="s">
        <v>23024</v>
      </c>
    </row>
    <row r="2014" spans="1:25">
      <c r="A2014" s="363">
        <f t="shared" si="255"/>
        <v>2013</v>
      </c>
      <c r="B2014" s="363" t="str">
        <f t="shared" si="248"/>
        <v>44</v>
      </c>
      <c r="C2014" s="405" t="str">
        <f t="shared" si="249"/>
        <v>第015188号</v>
      </c>
      <c r="D2014" s="405" t="str">
        <f t="shared" si="250"/>
        <v>（株）吉野</v>
      </c>
      <c r="E2014" s="405" t="str">
        <f t="shared" si="251"/>
        <v>代表取締役</v>
      </c>
      <c r="F2014" s="405" t="str">
        <f t="shared" si="252"/>
        <v>吉野　政利</v>
      </c>
      <c r="G2014" s="405" t="str">
        <f t="shared" si="253"/>
        <v>主たる営業所</v>
      </c>
      <c r="H2014" s="405" t="str">
        <f t="shared" si="254"/>
        <v>日田市天瀬町出口１１２８－３</v>
      </c>
      <c r="L2014" s="403" t="s">
        <v>11894</v>
      </c>
      <c r="M2014" s="403" t="s">
        <v>11895</v>
      </c>
      <c r="N2014" s="403" t="s">
        <v>5119</v>
      </c>
      <c r="O2014" s="403" t="s">
        <v>7084</v>
      </c>
      <c r="P2014" s="403" t="s">
        <v>5120</v>
      </c>
      <c r="Q2014" s="403" t="s">
        <v>10157</v>
      </c>
      <c r="R2014" s="403" t="s">
        <v>20586</v>
      </c>
      <c r="S2014" s="403" t="s">
        <v>17503</v>
      </c>
      <c r="T2014" s="403" t="s">
        <v>17504</v>
      </c>
      <c r="U2014" s="403"/>
      <c r="V2014" s="403" t="s">
        <v>23024</v>
      </c>
      <c r="W2014" s="403" t="s">
        <v>23024</v>
      </c>
      <c r="X2014" s="403" t="s">
        <v>23024</v>
      </c>
      <c r="Y2014" s="403" t="s">
        <v>23024</v>
      </c>
    </row>
    <row r="2015" spans="1:25">
      <c r="A2015" s="363">
        <f t="shared" si="255"/>
        <v>2014</v>
      </c>
      <c r="B2015" s="363" t="str">
        <f t="shared" si="248"/>
        <v>44</v>
      </c>
      <c r="C2015" s="405" t="str">
        <f t="shared" si="249"/>
        <v>第015194号</v>
      </c>
      <c r="D2015" s="405" t="str">
        <f t="shared" si="250"/>
        <v>スイエンス（株）</v>
      </c>
      <c r="E2015" s="405" t="str">
        <f t="shared" si="251"/>
        <v>代表取締役</v>
      </c>
      <c r="F2015" s="405" t="str">
        <f t="shared" si="252"/>
        <v>浦田　浩治</v>
      </c>
      <c r="G2015" s="405" t="str">
        <f t="shared" si="253"/>
        <v>主たる営業所</v>
      </c>
      <c r="H2015" s="405" t="str">
        <f t="shared" si="254"/>
        <v>大分市日岡１－３－１４</v>
      </c>
      <c r="L2015" s="403" t="s">
        <v>20587</v>
      </c>
      <c r="M2015" s="403" t="s">
        <v>20588</v>
      </c>
      <c r="N2015" s="403" t="s">
        <v>20589</v>
      </c>
      <c r="O2015" s="403" t="s">
        <v>7084</v>
      </c>
      <c r="P2015" s="403" t="s">
        <v>20590</v>
      </c>
      <c r="Q2015" s="403" t="s">
        <v>11828</v>
      </c>
      <c r="R2015" s="403" t="s">
        <v>20591</v>
      </c>
      <c r="S2015" s="403" t="s">
        <v>20592</v>
      </c>
      <c r="T2015" s="403" t="s">
        <v>20593</v>
      </c>
      <c r="U2015" s="403"/>
      <c r="V2015" s="403" t="s">
        <v>23024</v>
      </c>
      <c r="W2015" s="403" t="s">
        <v>23024</v>
      </c>
      <c r="X2015" s="403" t="s">
        <v>23024</v>
      </c>
      <c r="Y2015" s="403" t="s">
        <v>23024</v>
      </c>
    </row>
    <row r="2016" spans="1:25">
      <c r="A2016" s="363">
        <f t="shared" si="255"/>
        <v>2015</v>
      </c>
      <c r="B2016" s="363" t="str">
        <f t="shared" si="248"/>
        <v>44</v>
      </c>
      <c r="C2016" s="405" t="str">
        <f t="shared" si="249"/>
        <v>第015197号</v>
      </c>
      <c r="D2016" s="405" t="str">
        <f t="shared" si="250"/>
        <v>（株）大明</v>
      </c>
      <c r="E2016" s="405" t="str">
        <f t="shared" si="251"/>
        <v>代表取締役</v>
      </c>
      <c r="F2016" s="405" t="str">
        <f t="shared" si="252"/>
        <v>井上　奨大</v>
      </c>
      <c r="G2016" s="405" t="str">
        <f t="shared" si="253"/>
        <v>主たる営業所</v>
      </c>
      <c r="H2016" s="405" t="str">
        <f t="shared" si="254"/>
        <v>宇佐市大字北宇佐２５１－３</v>
      </c>
      <c r="L2016" s="403" t="s">
        <v>20594</v>
      </c>
      <c r="M2016" s="403" t="s">
        <v>20595</v>
      </c>
      <c r="N2016" s="403" t="s">
        <v>20596</v>
      </c>
      <c r="O2016" s="403" t="s">
        <v>7084</v>
      </c>
      <c r="P2016" s="403" t="s">
        <v>20597</v>
      </c>
      <c r="Q2016" s="403" t="s">
        <v>8175</v>
      </c>
      <c r="R2016" s="403" t="s">
        <v>20598</v>
      </c>
      <c r="S2016" s="403" t="s">
        <v>20599</v>
      </c>
      <c r="T2016" s="403"/>
      <c r="U2016" s="403"/>
      <c r="V2016" s="403" t="s">
        <v>23024</v>
      </c>
      <c r="W2016" s="403" t="s">
        <v>23024</v>
      </c>
      <c r="X2016" s="403" t="s">
        <v>23024</v>
      </c>
      <c r="Y2016" s="403" t="s">
        <v>23024</v>
      </c>
    </row>
    <row r="2017" spans="1:25">
      <c r="A2017" s="363">
        <f t="shared" si="255"/>
        <v>2016</v>
      </c>
      <c r="B2017" s="363" t="str">
        <f t="shared" si="248"/>
        <v>44</v>
      </c>
      <c r="C2017" s="405" t="str">
        <f t="shared" si="249"/>
        <v>第015228号</v>
      </c>
      <c r="D2017" s="405" t="str">
        <f t="shared" si="250"/>
        <v>（株）ｍｉｚｋｅｎ</v>
      </c>
      <c r="E2017" s="405" t="str">
        <f t="shared" si="251"/>
        <v>代表取締役</v>
      </c>
      <c r="F2017" s="405" t="str">
        <f t="shared" si="252"/>
        <v>谷口　謙治</v>
      </c>
      <c r="G2017" s="405" t="str">
        <f t="shared" si="253"/>
        <v>主たる営業所</v>
      </c>
      <c r="H2017" s="405" t="str">
        <f t="shared" si="254"/>
        <v>大分市大字駄原２２０８－３</v>
      </c>
      <c r="L2017" s="404" t="s">
        <v>20600</v>
      </c>
      <c r="M2017" s="404" t="s">
        <v>20601</v>
      </c>
      <c r="N2017" s="404" t="s">
        <v>20602</v>
      </c>
      <c r="O2017" s="404" t="s">
        <v>7084</v>
      </c>
      <c r="P2017" s="404" t="s">
        <v>20603</v>
      </c>
      <c r="Q2017" s="404" t="s">
        <v>11757</v>
      </c>
      <c r="R2017" s="404" t="s">
        <v>20604</v>
      </c>
      <c r="S2017" s="404" t="s">
        <v>20605</v>
      </c>
      <c r="T2017" s="404" t="s">
        <v>20605</v>
      </c>
      <c r="U2017" s="404"/>
      <c r="V2017" s="404" t="s">
        <v>23024</v>
      </c>
      <c r="W2017" s="404" t="s">
        <v>23024</v>
      </c>
      <c r="X2017" s="404" t="s">
        <v>23024</v>
      </c>
      <c r="Y2017" s="404" t="s">
        <v>23024</v>
      </c>
    </row>
    <row r="2018" spans="1:25">
      <c r="A2018" s="363">
        <f t="shared" si="255"/>
        <v>2017</v>
      </c>
      <c r="B2018" s="363" t="str">
        <f t="shared" si="248"/>
        <v>44</v>
      </c>
      <c r="C2018" s="405" t="str">
        <f t="shared" si="249"/>
        <v>第015230号</v>
      </c>
      <c r="D2018" s="405" t="str">
        <f t="shared" si="250"/>
        <v>（株）川野設備</v>
      </c>
      <c r="E2018" s="405" t="str">
        <f t="shared" si="251"/>
        <v>代表取締役</v>
      </c>
      <c r="F2018" s="405" t="str">
        <f t="shared" si="252"/>
        <v>川野　武</v>
      </c>
      <c r="G2018" s="405" t="str">
        <f t="shared" si="253"/>
        <v>主たる営業所</v>
      </c>
      <c r="H2018" s="405" t="str">
        <f t="shared" si="254"/>
        <v>玖珠郡玖珠町大字森１３－１１</v>
      </c>
      <c r="L2018" s="402" t="s">
        <v>20606</v>
      </c>
      <c r="M2018" s="402" t="s">
        <v>9654</v>
      </c>
      <c r="N2018" s="402" t="s">
        <v>20607</v>
      </c>
      <c r="O2018" s="402" t="s">
        <v>7084</v>
      </c>
      <c r="P2018" s="402" t="s">
        <v>20608</v>
      </c>
      <c r="Q2018" s="402" t="s">
        <v>7988</v>
      </c>
      <c r="R2018" s="402" t="s">
        <v>20609</v>
      </c>
      <c r="S2018" s="402" t="s">
        <v>20610</v>
      </c>
      <c r="T2018" s="402" t="s">
        <v>20610</v>
      </c>
      <c r="U2018" s="402"/>
      <c r="V2018" s="402" t="s">
        <v>23024</v>
      </c>
      <c r="W2018" s="402" t="s">
        <v>23024</v>
      </c>
      <c r="X2018" s="402" t="s">
        <v>23024</v>
      </c>
      <c r="Y2018" s="402" t="s">
        <v>23024</v>
      </c>
    </row>
    <row r="2019" spans="1:25">
      <c r="A2019" s="363">
        <f t="shared" si="255"/>
        <v>2018</v>
      </c>
      <c r="B2019" s="363" t="str">
        <f t="shared" si="248"/>
        <v>44</v>
      </c>
      <c r="C2019" s="405" t="str">
        <f t="shared" si="249"/>
        <v>第015233号</v>
      </c>
      <c r="D2019" s="405" t="str">
        <f t="shared" si="250"/>
        <v>苅北電工（株）</v>
      </c>
      <c r="E2019" s="405" t="str">
        <f t="shared" si="251"/>
        <v>代表取締役</v>
      </c>
      <c r="F2019" s="405" t="str">
        <f t="shared" si="252"/>
        <v>苅北　貞寿</v>
      </c>
      <c r="G2019" s="405" t="str">
        <f t="shared" si="253"/>
        <v>主たる営業所</v>
      </c>
      <c r="H2019" s="405" t="str">
        <f t="shared" si="254"/>
        <v>宇佐市大字下高２２３２</v>
      </c>
      <c r="L2019" s="403" t="s">
        <v>20611</v>
      </c>
      <c r="M2019" s="403" t="s">
        <v>20612</v>
      </c>
      <c r="N2019" s="403" t="s">
        <v>20613</v>
      </c>
      <c r="O2019" s="403" t="s">
        <v>7084</v>
      </c>
      <c r="P2019" s="403" t="s">
        <v>20614</v>
      </c>
      <c r="Q2019" s="403" t="s">
        <v>8205</v>
      </c>
      <c r="R2019" s="403" t="s">
        <v>20615</v>
      </c>
      <c r="S2019" s="403" t="s">
        <v>20616</v>
      </c>
      <c r="T2019" s="403" t="s">
        <v>20617</v>
      </c>
      <c r="U2019" s="403"/>
      <c r="V2019" s="403" t="s">
        <v>23024</v>
      </c>
      <c r="W2019" s="403" t="s">
        <v>23024</v>
      </c>
      <c r="X2019" s="403" t="s">
        <v>23024</v>
      </c>
      <c r="Y2019" s="403" t="s">
        <v>23024</v>
      </c>
    </row>
    <row r="2020" spans="1:25">
      <c r="A2020" s="363">
        <f t="shared" si="255"/>
        <v>2019</v>
      </c>
      <c r="B2020" s="363" t="str">
        <f t="shared" si="248"/>
        <v>44</v>
      </c>
      <c r="C2020" s="405" t="str">
        <f t="shared" si="249"/>
        <v>第015241号</v>
      </c>
      <c r="D2020" s="405" t="str">
        <f t="shared" si="250"/>
        <v>（株）南都通商</v>
      </c>
      <c r="E2020" s="405" t="str">
        <f t="shared" si="251"/>
        <v>代表取締役</v>
      </c>
      <c r="F2020" s="405" t="str">
        <f t="shared" si="252"/>
        <v>藤原　剛平</v>
      </c>
      <c r="G2020" s="405" t="str">
        <f t="shared" si="253"/>
        <v>主たる営業所</v>
      </c>
      <c r="H2020" s="405" t="str">
        <f t="shared" si="254"/>
        <v>大分市中津留２－１－１２玉田ビル１０２</v>
      </c>
      <c r="L2020" s="403" t="s">
        <v>20618</v>
      </c>
      <c r="M2020" s="403" t="s">
        <v>20619</v>
      </c>
      <c r="N2020" s="403" t="s">
        <v>20620</v>
      </c>
      <c r="O2020" s="403" t="s">
        <v>7084</v>
      </c>
      <c r="P2020" s="403" t="s">
        <v>20621</v>
      </c>
      <c r="Q2020" s="403" t="s">
        <v>10712</v>
      </c>
      <c r="R2020" s="403" t="s">
        <v>20622</v>
      </c>
      <c r="S2020" s="403" t="s">
        <v>20623</v>
      </c>
      <c r="T2020" s="403" t="s">
        <v>20623</v>
      </c>
      <c r="U2020" s="403"/>
      <c r="V2020" s="403" t="s">
        <v>23024</v>
      </c>
      <c r="W2020" s="403" t="s">
        <v>23024</v>
      </c>
      <c r="X2020" s="403" t="s">
        <v>23024</v>
      </c>
      <c r="Y2020" s="403" t="s">
        <v>23024</v>
      </c>
    </row>
    <row r="2021" spans="1:25">
      <c r="A2021" s="363">
        <f t="shared" si="255"/>
        <v>2020</v>
      </c>
      <c r="B2021" s="363" t="str">
        <f t="shared" si="248"/>
        <v>44</v>
      </c>
      <c r="C2021" s="405" t="str">
        <f t="shared" si="249"/>
        <v>第015260号</v>
      </c>
      <c r="D2021" s="405" t="str">
        <f t="shared" si="250"/>
        <v>（株）Ｔｏｍ’ｓ　Ｊａｐａｎ</v>
      </c>
      <c r="E2021" s="405" t="str">
        <f t="shared" si="251"/>
        <v>代表取締役</v>
      </c>
      <c r="F2021" s="405" t="str">
        <f t="shared" si="252"/>
        <v>野上　聡也</v>
      </c>
      <c r="G2021" s="405" t="str">
        <f t="shared" si="253"/>
        <v>主たる営業所</v>
      </c>
      <c r="H2021" s="405" t="str">
        <f t="shared" si="254"/>
        <v>大分市豊町１－９－８</v>
      </c>
      <c r="L2021" s="403" t="s">
        <v>20624</v>
      </c>
      <c r="M2021" s="403" t="s">
        <v>20625</v>
      </c>
      <c r="N2021" s="403" t="s">
        <v>20626</v>
      </c>
      <c r="O2021" s="403" t="s">
        <v>7084</v>
      </c>
      <c r="P2021" s="403" t="s">
        <v>20627</v>
      </c>
      <c r="Q2021" s="403" t="s">
        <v>10769</v>
      </c>
      <c r="R2021" s="403" t="s">
        <v>20628</v>
      </c>
      <c r="S2021" s="403" t="s">
        <v>20629</v>
      </c>
      <c r="T2021" s="403" t="s">
        <v>20630</v>
      </c>
      <c r="U2021" s="403"/>
      <c r="V2021" s="403" t="s">
        <v>23024</v>
      </c>
      <c r="W2021" s="403" t="s">
        <v>23024</v>
      </c>
      <c r="X2021" s="403" t="s">
        <v>23024</v>
      </c>
      <c r="Y2021" s="403" t="s">
        <v>23024</v>
      </c>
    </row>
    <row r="2022" spans="1:25">
      <c r="A2022" s="363">
        <f t="shared" si="255"/>
        <v>2021</v>
      </c>
      <c r="B2022" s="363" t="str">
        <f t="shared" si="248"/>
        <v>44</v>
      </c>
      <c r="C2022" s="405" t="str">
        <f t="shared" si="249"/>
        <v>第015281号</v>
      </c>
      <c r="D2022" s="405" t="str">
        <f t="shared" si="250"/>
        <v>（株）ヘイワテック</v>
      </c>
      <c r="E2022" s="405" t="str">
        <f t="shared" si="251"/>
        <v>代表取締役</v>
      </c>
      <c r="F2022" s="405" t="str">
        <f t="shared" si="252"/>
        <v>平川　和也</v>
      </c>
      <c r="G2022" s="405" t="str">
        <f t="shared" si="253"/>
        <v>主たる営業所</v>
      </c>
      <c r="H2022" s="405" t="str">
        <f t="shared" si="254"/>
        <v>大分市大字家島２４０－１　家島ビルＢ</v>
      </c>
      <c r="L2022" s="403" t="s">
        <v>20631</v>
      </c>
      <c r="M2022" s="403" t="s">
        <v>20632</v>
      </c>
      <c r="N2022" s="403" t="s">
        <v>20633</v>
      </c>
      <c r="O2022" s="403" t="s">
        <v>7084</v>
      </c>
      <c r="P2022" s="403" t="s">
        <v>20634</v>
      </c>
      <c r="Q2022" s="403" t="s">
        <v>8779</v>
      </c>
      <c r="R2022" s="403" t="s">
        <v>20635</v>
      </c>
      <c r="S2022" s="403" t="s">
        <v>20636</v>
      </c>
      <c r="T2022" s="403" t="s">
        <v>20636</v>
      </c>
      <c r="U2022" s="403"/>
      <c r="V2022" s="403" t="s">
        <v>23024</v>
      </c>
      <c r="W2022" s="403" t="s">
        <v>23024</v>
      </c>
      <c r="X2022" s="403" t="s">
        <v>23024</v>
      </c>
      <c r="Y2022" s="403" t="s">
        <v>23024</v>
      </c>
    </row>
    <row r="2023" spans="1:25">
      <c r="A2023" s="363">
        <f t="shared" si="255"/>
        <v>2022</v>
      </c>
      <c r="B2023" s="363" t="str">
        <f t="shared" si="248"/>
        <v>44</v>
      </c>
      <c r="C2023" s="405" t="str">
        <f t="shared" si="249"/>
        <v>第015287号</v>
      </c>
      <c r="D2023" s="405" t="str">
        <f t="shared" si="250"/>
        <v>（株）カネンテ</v>
      </c>
      <c r="E2023" s="405" t="str">
        <f t="shared" si="251"/>
        <v>代表取締役</v>
      </c>
      <c r="F2023" s="405" t="str">
        <f t="shared" si="252"/>
        <v>小野　浩一</v>
      </c>
      <c r="G2023" s="405" t="str">
        <f t="shared" si="253"/>
        <v>主たる営業所</v>
      </c>
      <c r="H2023" s="405" t="str">
        <f t="shared" si="254"/>
        <v>大分市富士見が丘東５－１１－８</v>
      </c>
      <c r="L2023" s="403" t="s">
        <v>20637</v>
      </c>
      <c r="M2023" s="403" t="s">
        <v>20638</v>
      </c>
      <c r="N2023" s="403" t="s">
        <v>20639</v>
      </c>
      <c r="O2023" s="403" t="s">
        <v>7084</v>
      </c>
      <c r="P2023" s="403" t="s">
        <v>20640</v>
      </c>
      <c r="Q2023" s="403" t="s">
        <v>10907</v>
      </c>
      <c r="R2023" s="403" t="s">
        <v>20641</v>
      </c>
      <c r="S2023" s="403" t="s">
        <v>20642</v>
      </c>
      <c r="T2023" s="403" t="s">
        <v>20642</v>
      </c>
      <c r="U2023" s="403"/>
      <c r="V2023" s="403" t="s">
        <v>23024</v>
      </c>
      <c r="W2023" s="403" t="s">
        <v>23024</v>
      </c>
      <c r="X2023" s="403" t="s">
        <v>23024</v>
      </c>
      <c r="Y2023" s="403" t="s">
        <v>23024</v>
      </c>
    </row>
    <row r="2024" spans="1:25">
      <c r="A2024" s="363">
        <f t="shared" si="255"/>
        <v>2023</v>
      </c>
      <c r="B2024" s="363" t="str">
        <f t="shared" si="248"/>
        <v>44</v>
      </c>
      <c r="C2024" s="405" t="str">
        <f t="shared" si="249"/>
        <v>第015301号</v>
      </c>
      <c r="D2024" s="405" t="str">
        <f t="shared" si="250"/>
        <v>（株）ＤＥＮＴＥＣ</v>
      </c>
      <c r="E2024" s="405" t="str">
        <f t="shared" si="251"/>
        <v>代表取締役</v>
      </c>
      <c r="F2024" s="405" t="str">
        <f t="shared" si="252"/>
        <v>佐藤　秀樹</v>
      </c>
      <c r="G2024" s="405" t="str">
        <f t="shared" si="253"/>
        <v>主たる営業所</v>
      </c>
      <c r="H2024" s="405" t="str">
        <f t="shared" si="254"/>
        <v>豊後大野市三重町赤嶺３１８５－１</v>
      </c>
      <c r="L2024" s="403" t="s">
        <v>20643</v>
      </c>
      <c r="M2024" s="403" t="s">
        <v>20644</v>
      </c>
      <c r="N2024" s="403" t="s">
        <v>20645</v>
      </c>
      <c r="O2024" s="403" t="s">
        <v>7084</v>
      </c>
      <c r="P2024" s="403" t="s">
        <v>20646</v>
      </c>
      <c r="Q2024" s="403" t="s">
        <v>7879</v>
      </c>
      <c r="R2024" s="403" t="s">
        <v>20647</v>
      </c>
      <c r="S2024" s="403" t="s">
        <v>20648</v>
      </c>
      <c r="T2024" s="403"/>
      <c r="U2024" s="403"/>
      <c r="V2024" s="403" t="s">
        <v>23024</v>
      </c>
      <c r="W2024" s="403" t="s">
        <v>23024</v>
      </c>
      <c r="X2024" s="403" t="s">
        <v>23024</v>
      </c>
      <c r="Y2024" s="403" t="s">
        <v>23024</v>
      </c>
    </row>
    <row r="2025" spans="1:25">
      <c r="A2025" s="363">
        <f t="shared" si="255"/>
        <v>2024</v>
      </c>
      <c r="B2025" s="363" t="str">
        <f t="shared" si="248"/>
        <v>44</v>
      </c>
      <c r="C2025" s="405" t="str">
        <f t="shared" si="249"/>
        <v>第015308号</v>
      </c>
      <c r="D2025" s="405" t="str">
        <f t="shared" si="250"/>
        <v>（株）太陽</v>
      </c>
      <c r="E2025" s="405" t="str">
        <f t="shared" si="251"/>
        <v>代表取締役</v>
      </c>
      <c r="F2025" s="405" t="str">
        <f t="shared" si="252"/>
        <v>冨田　太志</v>
      </c>
      <c r="G2025" s="405" t="str">
        <f t="shared" si="253"/>
        <v>主たる営業所</v>
      </c>
      <c r="H2025" s="405" t="str">
        <f t="shared" si="254"/>
        <v>臼杵市大字野田５２８</v>
      </c>
      <c r="L2025" s="403" t="s">
        <v>20649</v>
      </c>
      <c r="M2025" s="403" t="s">
        <v>10330</v>
      </c>
      <c r="N2025" s="403" t="s">
        <v>4642</v>
      </c>
      <c r="O2025" s="403" t="s">
        <v>7084</v>
      </c>
      <c r="P2025" s="403" t="s">
        <v>20650</v>
      </c>
      <c r="Q2025" s="403" t="s">
        <v>7360</v>
      </c>
      <c r="R2025" s="403" t="s">
        <v>20651</v>
      </c>
      <c r="S2025" s="403" t="s">
        <v>20652</v>
      </c>
      <c r="T2025" s="403" t="s">
        <v>20653</v>
      </c>
      <c r="U2025" s="403"/>
      <c r="V2025" s="403" t="s">
        <v>23024</v>
      </c>
      <c r="W2025" s="403" t="s">
        <v>23024</v>
      </c>
      <c r="X2025" s="403" t="s">
        <v>23024</v>
      </c>
      <c r="Y2025" s="403" t="s">
        <v>23024</v>
      </c>
    </row>
    <row r="2026" spans="1:25">
      <c r="A2026" s="363">
        <f t="shared" si="255"/>
        <v>2025</v>
      </c>
      <c r="B2026" s="363" t="str">
        <f t="shared" si="248"/>
        <v>44</v>
      </c>
      <c r="C2026" s="405" t="str">
        <f t="shared" si="249"/>
        <v>第015319号</v>
      </c>
      <c r="D2026" s="405" t="str">
        <f t="shared" si="250"/>
        <v>（株）大和電業社</v>
      </c>
      <c r="E2026" s="405" t="str">
        <f t="shared" si="251"/>
        <v>代表取締役社長</v>
      </c>
      <c r="F2026" s="405" t="str">
        <f t="shared" si="252"/>
        <v>大西　康生</v>
      </c>
      <c r="G2026" s="405" t="str">
        <f t="shared" si="253"/>
        <v>主たる営業所</v>
      </c>
      <c r="H2026" s="405" t="str">
        <f t="shared" si="254"/>
        <v>大分市南春日町１１－５</v>
      </c>
      <c r="L2026" s="403" t="s">
        <v>11896</v>
      </c>
      <c r="M2026" s="403" t="s">
        <v>11897</v>
      </c>
      <c r="N2026" s="403" t="s">
        <v>1475</v>
      </c>
      <c r="O2026" s="403" t="s">
        <v>7083</v>
      </c>
      <c r="P2026" s="403" t="s">
        <v>1476</v>
      </c>
      <c r="Q2026" s="403" t="s">
        <v>11898</v>
      </c>
      <c r="R2026" s="403" t="s">
        <v>20654</v>
      </c>
      <c r="S2026" s="403" t="s">
        <v>17505</v>
      </c>
      <c r="T2026" s="403" t="s">
        <v>17506</v>
      </c>
      <c r="U2026" s="403"/>
      <c r="V2026" s="403" t="s">
        <v>23024</v>
      </c>
      <c r="W2026" s="403" t="s">
        <v>23024</v>
      </c>
      <c r="X2026" s="403" t="s">
        <v>23024</v>
      </c>
      <c r="Y2026" s="403" t="s">
        <v>23024</v>
      </c>
    </row>
    <row r="2027" spans="1:25">
      <c r="A2027" s="363">
        <f t="shared" si="255"/>
        <v>2026</v>
      </c>
      <c r="B2027" s="363" t="str">
        <f t="shared" si="248"/>
        <v>44</v>
      </c>
      <c r="C2027" s="405" t="str">
        <f t="shared" si="249"/>
        <v>第015327号</v>
      </c>
      <c r="D2027" s="405" t="str">
        <f t="shared" si="250"/>
        <v>（株）進兼</v>
      </c>
      <c r="E2027" s="405" t="str">
        <f t="shared" si="251"/>
        <v>代表取締役</v>
      </c>
      <c r="F2027" s="405" t="str">
        <f t="shared" si="252"/>
        <v>榎田　祥平</v>
      </c>
      <c r="G2027" s="405" t="str">
        <f t="shared" si="253"/>
        <v>主たる営業所</v>
      </c>
      <c r="H2027" s="405" t="str">
        <f t="shared" si="254"/>
        <v>宇佐市大字長洲１７４７－３</v>
      </c>
      <c r="L2027" s="403" t="s">
        <v>20655</v>
      </c>
      <c r="M2027" s="403" t="s">
        <v>20656</v>
      </c>
      <c r="N2027" s="403" t="s">
        <v>20657</v>
      </c>
      <c r="O2027" s="403" t="s">
        <v>7084</v>
      </c>
      <c r="P2027" s="403" t="s">
        <v>20658</v>
      </c>
      <c r="Q2027" s="403" t="s">
        <v>7333</v>
      </c>
      <c r="R2027" s="403" t="s">
        <v>20659</v>
      </c>
      <c r="S2027" s="403" t="s">
        <v>20660</v>
      </c>
      <c r="T2027" s="403" t="s">
        <v>20661</v>
      </c>
      <c r="U2027" s="403"/>
      <c r="V2027" s="403" t="s">
        <v>23024</v>
      </c>
      <c r="W2027" s="403" t="s">
        <v>23024</v>
      </c>
      <c r="X2027" s="403" t="s">
        <v>23024</v>
      </c>
      <c r="Y2027" s="403" t="s">
        <v>23024</v>
      </c>
    </row>
    <row r="2028" spans="1:25">
      <c r="A2028" s="363">
        <f t="shared" si="255"/>
        <v>2027</v>
      </c>
      <c r="B2028" s="363" t="str">
        <f t="shared" si="248"/>
        <v>44</v>
      </c>
      <c r="C2028" s="405" t="str">
        <f t="shared" si="249"/>
        <v>第015330号</v>
      </c>
      <c r="D2028" s="405" t="str">
        <f t="shared" si="250"/>
        <v>（株）Ｋ．Ｓ企画</v>
      </c>
      <c r="E2028" s="405" t="str">
        <f t="shared" si="251"/>
        <v>代表取締役</v>
      </c>
      <c r="F2028" s="405" t="str">
        <f t="shared" si="252"/>
        <v>河津　徹</v>
      </c>
      <c r="G2028" s="405" t="str">
        <f t="shared" si="253"/>
        <v>主たる営業所</v>
      </c>
      <c r="H2028" s="405" t="str">
        <f t="shared" si="254"/>
        <v>日田市大字日高９５３－１</v>
      </c>
      <c r="L2028" s="403" t="s">
        <v>20662</v>
      </c>
      <c r="M2028" s="403" t="s">
        <v>20663</v>
      </c>
      <c r="N2028" s="403" t="s">
        <v>20664</v>
      </c>
      <c r="O2028" s="403" t="s">
        <v>7084</v>
      </c>
      <c r="P2028" s="403" t="s">
        <v>20665</v>
      </c>
      <c r="Q2028" s="403" t="s">
        <v>8578</v>
      </c>
      <c r="R2028" s="403" t="s">
        <v>20666</v>
      </c>
      <c r="S2028" s="403" t="s">
        <v>20667</v>
      </c>
      <c r="T2028" s="403" t="s">
        <v>20668</v>
      </c>
      <c r="U2028" s="403"/>
      <c r="V2028" s="403" t="s">
        <v>23024</v>
      </c>
      <c r="W2028" s="403" t="s">
        <v>23024</v>
      </c>
      <c r="X2028" s="403" t="s">
        <v>23024</v>
      </c>
      <c r="Y2028" s="403" t="s">
        <v>23024</v>
      </c>
    </row>
    <row r="2029" spans="1:25">
      <c r="A2029" s="363">
        <f t="shared" si="255"/>
        <v>2028</v>
      </c>
      <c r="B2029" s="363" t="str">
        <f t="shared" si="248"/>
        <v>44</v>
      </c>
      <c r="C2029" s="405" t="str">
        <f t="shared" si="249"/>
        <v>第015332号</v>
      </c>
      <c r="D2029" s="405" t="str">
        <f t="shared" si="250"/>
        <v>（株）ファーストハウジング</v>
      </c>
      <c r="E2029" s="405" t="str">
        <f t="shared" si="251"/>
        <v>代表取締役</v>
      </c>
      <c r="F2029" s="405" t="str">
        <f t="shared" si="252"/>
        <v>高原　裕二</v>
      </c>
      <c r="G2029" s="405" t="str">
        <f t="shared" si="253"/>
        <v>主たる営業所</v>
      </c>
      <c r="H2029" s="405" t="str">
        <f t="shared" si="254"/>
        <v>中津市豊田町６－２０</v>
      </c>
      <c r="L2029" s="403" t="s">
        <v>20669</v>
      </c>
      <c r="M2029" s="403" t="s">
        <v>20670</v>
      </c>
      <c r="N2029" s="403" t="s">
        <v>20671</v>
      </c>
      <c r="O2029" s="403" t="s">
        <v>7084</v>
      </c>
      <c r="P2029" s="403" t="s">
        <v>20672</v>
      </c>
      <c r="Q2029" s="403" t="s">
        <v>9478</v>
      </c>
      <c r="R2029" s="403" t="s">
        <v>20673</v>
      </c>
      <c r="S2029" s="403" t="s">
        <v>20674</v>
      </c>
      <c r="T2029" s="403" t="s">
        <v>20675</v>
      </c>
      <c r="U2029" s="403"/>
      <c r="V2029" s="403" t="s">
        <v>23024</v>
      </c>
      <c r="W2029" s="403" t="s">
        <v>23024</v>
      </c>
      <c r="X2029" s="403" t="s">
        <v>23024</v>
      </c>
      <c r="Y2029" s="403" t="s">
        <v>23024</v>
      </c>
    </row>
    <row r="2030" spans="1:25">
      <c r="A2030" s="363">
        <f t="shared" si="255"/>
        <v>2029</v>
      </c>
      <c r="B2030" s="363" t="str">
        <f t="shared" si="248"/>
        <v>44</v>
      </c>
      <c r="C2030" s="405" t="str">
        <f t="shared" si="249"/>
        <v>第015338号</v>
      </c>
      <c r="D2030" s="405" t="str">
        <f t="shared" si="250"/>
        <v>（株）ムラカミ</v>
      </c>
      <c r="E2030" s="405" t="str">
        <f t="shared" si="251"/>
        <v>代表取締役</v>
      </c>
      <c r="F2030" s="405" t="str">
        <f t="shared" si="252"/>
        <v>村上　義元</v>
      </c>
      <c r="G2030" s="405" t="str">
        <f t="shared" si="253"/>
        <v>主たる営業所</v>
      </c>
      <c r="H2030" s="405" t="str">
        <f t="shared" si="254"/>
        <v>大分市大字葛木３０３－３</v>
      </c>
      <c r="L2030" s="403" t="s">
        <v>20676</v>
      </c>
      <c r="M2030" s="403" t="s">
        <v>11808</v>
      </c>
      <c r="N2030" s="403" t="s">
        <v>20677</v>
      </c>
      <c r="O2030" s="403" t="s">
        <v>7084</v>
      </c>
      <c r="P2030" s="403" t="s">
        <v>20678</v>
      </c>
      <c r="Q2030" s="403" t="s">
        <v>7954</v>
      </c>
      <c r="R2030" s="403" t="s">
        <v>19422</v>
      </c>
      <c r="S2030" s="403" t="s">
        <v>20679</v>
      </c>
      <c r="T2030" s="403"/>
      <c r="U2030" s="403"/>
      <c r="V2030" s="403" t="s">
        <v>23024</v>
      </c>
      <c r="W2030" s="403" t="s">
        <v>23024</v>
      </c>
      <c r="X2030" s="403" t="s">
        <v>23024</v>
      </c>
      <c r="Y2030" s="403" t="s">
        <v>23024</v>
      </c>
    </row>
    <row r="2031" spans="1:25">
      <c r="A2031" s="363">
        <f t="shared" si="255"/>
        <v>2030</v>
      </c>
      <c r="B2031" s="363" t="str">
        <f t="shared" si="248"/>
        <v>44</v>
      </c>
      <c r="C2031" s="405" t="str">
        <f t="shared" si="249"/>
        <v>第015342号</v>
      </c>
      <c r="D2031" s="405" t="str">
        <f t="shared" si="250"/>
        <v>（株）Ｄｒｙｔ</v>
      </c>
      <c r="E2031" s="405" t="str">
        <f t="shared" si="251"/>
        <v>代表取締役</v>
      </c>
      <c r="F2031" s="405" t="str">
        <f t="shared" si="252"/>
        <v>大久保　大地</v>
      </c>
      <c r="G2031" s="405" t="str">
        <f t="shared" si="253"/>
        <v>主たる営業所</v>
      </c>
      <c r="H2031" s="405" t="str">
        <f t="shared" si="254"/>
        <v>別府市扇山４丁目２３番３４号</v>
      </c>
      <c r="L2031" s="403" t="s">
        <v>20680</v>
      </c>
      <c r="M2031" s="403" t="s">
        <v>20681</v>
      </c>
      <c r="N2031" s="403" t="s">
        <v>20682</v>
      </c>
      <c r="O2031" s="403" t="s">
        <v>7084</v>
      </c>
      <c r="P2031" s="403" t="s">
        <v>20683</v>
      </c>
      <c r="Q2031" s="403" t="s">
        <v>20684</v>
      </c>
      <c r="R2031" s="403" t="s">
        <v>20685</v>
      </c>
      <c r="S2031" s="403" t="s">
        <v>20686</v>
      </c>
      <c r="T2031" s="403"/>
      <c r="U2031" s="403"/>
      <c r="V2031" s="403" t="s">
        <v>23024</v>
      </c>
      <c r="W2031" s="403" t="s">
        <v>23024</v>
      </c>
      <c r="X2031" s="403" t="s">
        <v>23024</v>
      </c>
      <c r="Y2031" s="403" t="s">
        <v>23024</v>
      </c>
    </row>
    <row r="2032" spans="1:25">
      <c r="A2032" s="363">
        <f t="shared" si="255"/>
        <v>2031</v>
      </c>
      <c r="B2032" s="363" t="str">
        <f t="shared" si="248"/>
        <v>44</v>
      </c>
      <c r="C2032" s="405" t="str">
        <f t="shared" si="249"/>
        <v>第015346号</v>
      </c>
      <c r="D2032" s="405" t="str">
        <f t="shared" si="250"/>
        <v>（株）吉田設備工業</v>
      </c>
      <c r="E2032" s="405" t="str">
        <f t="shared" si="251"/>
        <v>代表取締役</v>
      </c>
      <c r="F2032" s="405" t="str">
        <f t="shared" si="252"/>
        <v>吉田　悠衣</v>
      </c>
      <c r="G2032" s="405" t="str">
        <f t="shared" si="253"/>
        <v>主たる営業所</v>
      </c>
      <c r="H2032" s="405" t="str">
        <f t="shared" si="254"/>
        <v>中津市大字北原５８７</v>
      </c>
      <c r="L2032" s="403" t="s">
        <v>20687</v>
      </c>
      <c r="M2032" s="403" t="s">
        <v>20688</v>
      </c>
      <c r="N2032" s="403" t="s">
        <v>20689</v>
      </c>
      <c r="O2032" s="403" t="s">
        <v>7084</v>
      </c>
      <c r="P2032" s="403" t="s">
        <v>20690</v>
      </c>
      <c r="Q2032" s="403" t="s">
        <v>9251</v>
      </c>
      <c r="R2032" s="403" t="s">
        <v>20691</v>
      </c>
      <c r="S2032" s="403" t="s">
        <v>20692</v>
      </c>
      <c r="T2032" s="403" t="s">
        <v>20693</v>
      </c>
      <c r="U2032" s="403"/>
      <c r="V2032" s="403" t="s">
        <v>23024</v>
      </c>
      <c r="W2032" s="403" t="s">
        <v>23024</v>
      </c>
      <c r="X2032" s="403" t="s">
        <v>23024</v>
      </c>
      <c r="Y2032" s="403" t="s">
        <v>23024</v>
      </c>
    </row>
    <row r="2033" spans="1:25">
      <c r="A2033" s="363">
        <f t="shared" si="255"/>
        <v>2032</v>
      </c>
      <c r="B2033" s="363" t="str">
        <f t="shared" si="248"/>
        <v>44</v>
      </c>
      <c r="C2033" s="405" t="str">
        <f t="shared" si="249"/>
        <v>第015347号</v>
      </c>
      <c r="D2033" s="405" t="str">
        <f t="shared" si="250"/>
        <v>法面建設工業（株）</v>
      </c>
      <c r="E2033" s="405" t="str">
        <f t="shared" si="251"/>
        <v>代表取締役</v>
      </c>
      <c r="F2033" s="405" t="str">
        <f t="shared" si="252"/>
        <v>狹間　良和</v>
      </c>
      <c r="G2033" s="405" t="str">
        <f t="shared" si="253"/>
        <v>主たる営業所</v>
      </c>
      <c r="H2033" s="405" t="str">
        <f t="shared" si="254"/>
        <v>大分市明野東４－３－２</v>
      </c>
      <c r="L2033" s="403" t="s">
        <v>20694</v>
      </c>
      <c r="M2033" s="403" t="s">
        <v>20695</v>
      </c>
      <c r="N2033" s="403" t="s">
        <v>20696</v>
      </c>
      <c r="O2033" s="403" t="s">
        <v>7084</v>
      </c>
      <c r="P2033" s="403" t="s">
        <v>20697</v>
      </c>
      <c r="Q2033" s="403" t="s">
        <v>20698</v>
      </c>
      <c r="R2033" s="403" t="s">
        <v>20699</v>
      </c>
      <c r="S2033" s="403" t="s">
        <v>20700</v>
      </c>
      <c r="T2033" s="403"/>
      <c r="U2033" s="403"/>
      <c r="V2033" s="403" t="s">
        <v>23024</v>
      </c>
      <c r="W2033" s="403" t="s">
        <v>23024</v>
      </c>
      <c r="X2033" s="403" t="s">
        <v>23024</v>
      </c>
      <c r="Y2033" s="403" t="s">
        <v>23024</v>
      </c>
    </row>
    <row r="2034" spans="1:25">
      <c r="A2034" s="363">
        <f t="shared" si="255"/>
        <v>2033</v>
      </c>
      <c r="B2034" s="363" t="str">
        <f t="shared" si="248"/>
        <v>44</v>
      </c>
      <c r="C2034" s="405" t="str">
        <f t="shared" si="249"/>
        <v>第015349号</v>
      </c>
      <c r="D2034" s="405" t="str">
        <f t="shared" si="250"/>
        <v>（有）マリンオート大分</v>
      </c>
      <c r="E2034" s="405" t="str">
        <f t="shared" si="251"/>
        <v>代表取締役</v>
      </c>
      <c r="F2034" s="405" t="str">
        <f t="shared" si="252"/>
        <v>下村　千代</v>
      </c>
      <c r="G2034" s="405" t="str">
        <f t="shared" si="253"/>
        <v>主たる営業所</v>
      </c>
      <c r="H2034" s="405" t="str">
        <f t="shared" si="254"/>
        <v>豊後高田市中真玉２０６７－１</v>
      </c>
      <c r="L2034" s="403" t="s">
        <v>20701</v>
      </c>
      <c r="M2034" s="403" t="s">
        <v>20702</v>
      </c>
      <c r="N2034" s="403" t="s">
        <v>20703</v>
      </c>
      <c r="O2034" s="403" t="s">
        <v>7084</v>
      </c>
      <c r="P2034" s="403" t="s">
        <v>20704</v>
      </c>
      <c r="Q2034" s="403" t="s">
        <v>7651</v>
      </c>
      <c r="R2034" s="403" t="s">
        <v>20705</v>
      </c>
      <c r="S2034" s="403" t="s">
        <v>20706</v>
      </c>
      <c r="T2034" s="403" t="s">
        <v>20707</v>
      </c>
      <c r="U2034" s="403"/>
      <c r="V2034" s="403" t="s">
        <v>23024</v>
      </c>
      <c r="W2034" s="403" t="s">
        <v>23024</v>
      </c>
      <c r="X2034" s="403" t="s">
        <v>23024</v>
      </c>
      <c r="Y2034" s="403" t="s">
        <v>23024</v>
      </c>
    </row>
    <row r="2035" spans="1:25">
      <c r="A2035" s="363">
        <f t="shared" si="255"/>
        <v>2034</v>
      </c>
      <c r="B2035" s="363" t="str">
        <f t="shared" si="248"/>
        <v>44</v>
      </c>
      <c r="C2035" s="405" t="str">
        <f t="shared" si="249"/>
        <v>第015369号</v>
      </c>
      <c r="D2035" s="405" t="str">
        <f t="shared" si="250"/>
        <v>（株）木村建設</v>
      </c>
      <c r="E2035" s="405" t="str">
        <f t="shared" si="251"/>
        <v>代表取締役</v>
      </c>
      <c r="F2035" s="405" t="str">
        <f t="shared" si="252"/>
        <v>木村　恭介</v>
      </c>
      <c r="G2035" s="405" t="str">
        <f t="shared" si="253"/>
        <v>主たる営業所</v>
      </c>
      <c r="H2035" s="405" t="str">
        <f t="shared" si="254"/>
        <v>由布市湯布院町川上６４４－５</v>
      </c>
      <c r="L2035" s="403" t="s">
        <v>20708</v>
      </c>
      <c r="M2035" s="403" t="s">
        <v>20709</v>
      </c>
      <c r="N2035" s="403" t="s">
        <v>20710</v>
      </c>
      <c r="O2035" s="403" t="s">
        <v>7084</v>
      </c>
      <c r="P2035" s="403" t="s">
        <v>20711</v>
      </c>
      <c r="Q2035" s="403" t="s">
        <v>7377</v>
      </c>
      <c r="R2035" s="403" t="s">
        <v>20712</v>
      </c>
      <c r="S2035" s="403" t="s">
        <v>20713</v>
      </c>
      <c r="T2035" s="403"/>
      <c r="U2035" s="403"/>
      <c r="V2035" s="403" t="s">
        <v>23024</v>
      </c>
      <c r="W2035" s="403" t="s">
        <v>23024</v>
      </c>
      <c r="X2035" s="403" t="s">
        <v>23024</v>
      </c>
      <c r="Y2035" s="403" t="s">
        <v>23024</v>
      </c>
    </row>
    <row r="2036" spans="1:25">
      <c r="A2036" s="363">
        <f t="shared" si="255"/>
        <v>2035</v>
      </c>
      <c r="B2036" s="363" t="str">
        <f t="shared" si="248"/>
        <v>44</v>
      </c>
      <c r="C2036" s="405" t="str">
        <f t="shared" si="249"/>
        <v>第015375号</v>
      </c>
      <c r="D2036" s="405" t="str">
        <f t="shared" si="250"/>
        <v>（有）加藤ブロック工業所</v>
      </c>
      <c r="E2036" s="405" t="str">
        <f t="shared" si="251"/>
        <v>代表取締役</v>
      </c>
      <c r="F2036" s="405" t="str">
        <f t="shared" si="252"/>
        <v>加藤　俊一</v>
      </c>
      <c r="G2036" s="405" t="str">
        <f t="shared" si="253"/>
        <v>主たる営業所</v>
      </c>
      <c r="H2036" s="405" t="str">
        <f t="shared" si="254"/>
        <v>国東市安岐町中園４９９</v>
      </c>
      <c r="L2036" s="403" t="s">
        <v>20714</v>
      </c>
      <c r="M2036" s="403" t="s">
        <v>20715</v>
      </c>
      <c r="N2036" s="403" t="s">
        <v>20716</v>
      </c>
      <c r="O2036" s="403" t="s">
        <v>7084</v>
      </c>
      <c r="P2036" s="403" t="s">
        <v>20717</v>
      </c>
      <c r="Q2036" s="403" t="s">
        <v>8934</v>
      </c>
      <c r="R2036" s="403" t="s">
        <v>20718</v>
      </c>
      <c r="S2036" s="403" t="s">
        <v>20719</v>
      </c>
      <c r="T2036" s="403"/>
      <c r="U2036" s="403"/>
      <c r="V2036" s="403" t="s">
        <v>23024</v>
      </c>
      <c r="W2036" s="403" t="s">
        <v>23024</v>
      </c>
      <c r="X2036" s="403" t="s">
        <v>23024</v>
      </c>
      <c r="Y2036" s="403" t="s">
        <v>23024</v>
      </c>
    </row>
    <row r="2037" spans="1:25">
      <c r="A2037" s="363">
        <f t="shared" si="255"/>
        <v>2036</v>
      </c>
      <c r="B2037" s="363" t="str">
        <f t="shared" si="248"/>
        <v>44</v>
      </c>
      <c r="C2037" s="405" t="str">
        <f t="shared" si="249"/>
        <v>第015401号</v>
      </c>
      <c r="D2037" s="405" t="str">
        <f t="shared" si="250"/>
        <v>（株）名護屋土木</v>
      </c>
      <c r="E2037" s="405" t="str">
        <f t="shared" si="251"/>
        <v>代表取締役</v>
      </c>
      <c r="F2037" s="405" t="str">
        <f t="shared" si="252"/>
        <v>松森　小夜</v>
      </c>
      <c r="G2037" s="405" t="str">
        <f t="shared" si="253"/>
        <v>主たる営業所</v>
      </c>
      <c r="H2037" s="405" t="str">
        <f t="shared" si="254"/>
        <v>佐伯市蒲江大字森崎浦３７１－１</v>
      </c>
      <c r="L2037" s="403" t="s">
        <v>20720</v>
      </c>
      <c r="M2037" s="403" t="s">
        <v>20721</v>
      </c>
      <c r="N2037" s="403" t="s">
        <v>20722</v>
      </c>
      <c r="O2037" s="403" t="s">
        <v>7084</v>
      </c>
      <c r="P2037" s="403" t="s">
        <v>20723</v>
      </c>
      <c r="Q2037" s="403" t="s">
        <v>10369</v>
      </c>
      <c r="R2037" s="403" t="s">
        <v>19958</v>
      </c>
      <c r="S2037" s="403" t="s">
        <v>20724</v>
      </c>
      <c r="T2037" s="403" t="s">
        <v>16850</v>
      </c>
      <c r="U2037" s="403"/>
      <c r="V2037" s="403" t="s">
        <v>23024</v>
      </c>
      <c r="W2037" s="403" t="s">
        <v>23024</v>
      </c>
      <c r="X2037" s="403" t="s">
        <v>23024</v>
      </c>
      <c r="Y2037" s="403" t="s">
        <v>23024</v>
      </c>
    </row>
    <row r="2038" spans="1:25">
      <c r="A2038" s="363">
        <f t="shared" si="255"/>
        <v>2037</v>
      </c>
      <c r="B2038" s="363" t="str">
        <f t="shared" si="248"/>
        <v>44</v>
      </c>
      <c r="C2038" s="405" t="str">
        <f t="shared" si="249"/>
        <v>第015408号</v>
      </c>
      <c r="D2038" s="405" t="str">
        <f t="shared" si="250"/>
        <v>（株）礼大</v>
      </c>
      <c r="E2038" s="405" t="str">
        <f t="shared" si="251"/>
        <v>代表取締役</v>
      </c>
      <c r="F2038" s="405" t="str">
        <f t="shared" si="252"/>
        <v>岡本　司</v>
      </c>
      <c r="G2038" s="405" t="str">
        <f t="shared" si="253"/>
        <v>主たる営業所</v>
      </c>
      <c r="H2038" s="405" t="str">
        <f t="shared" si="254"/>
        <v>大分市大字下判田字堂ノ山２８２３－１</v>
      </c>
      <c r="L2038" s="403" t="s">
        <v>20725</v>
      </c>
      <c r="M2038" s="403" t="s">
        <v>20726</v>
      </c>
      <c r="N2038" s="403" t="s">
        <v>20727</v>
      </c>
      <c r="O2038" s="403" t="s">
        <v>7084</v>
      </c>
      <c r="P2038" s="403" t="s">
        <v>20728</v>
      </c>
      <c r="Q2038" s="403" t="s">
        <v>11446</v>
      </c>
      <c r="R2038" s="403" t="s">
        <v>20729</v>
      </c>
      <c r="S2038" s="403" t="s">
        <v>20730</v>
      </c>
      <c r="T2038" s="403" t="s">
        <v>20730</v>
      </c>
      <c r="U2038" s="403"/>
      <c r="V2038" s="403" t="s">
        <v>23024</v>
      </c>
      <c r="W2038" s="403" t="s">
        <v>23024</v>
      </c>
      <c r="X2038" s="403" t="s">
        <v>23024</v>
      </c>
      <c r="Y2038" s="403" t="s">
        <v>23024</v>
      </c>
    </row>
    <row r="2039" spans="1:25">
      <c r="A2039" s="363">
        <f t="shared" si="255"/>
        <v>2038</v>
      </c>
      <c r="B2039" s="363" t="str">
        <f t="shared" si="248"/>
        <v>44</v>
      </c>
      <c r="C2039" s="405" t="str">
        <f t="shared" si="249"/>
        <v>第015422号</v>
      </c>
      <c r="D2039" s="405" t="str">
        <f t="shared" si="250"/>
        <v>（株）ＲＡＸＹ</v>
      </c>
      <c r="E2039" s="405" t="str">
        <f t="shared" si="251"/>
        <v>代表取締役</v>
      </c>
      <c r="F2039" s="405" t="str">
        <f t="shared" si="252"/>
        <v>日下部　惣親</v>
      </c>
      <c r="G2039" s="405" t="str">
        <f t="shared" si="253"/>
        <v>主たる営業所</v>
      </c>
      <c r="H2039" s="405" t="str">
        <f t="shared" si="254"/>
        <v>大分市花江川６－２０－１</v>
      </c>
      <c r="L2039" s="403" t="s">
        <v>20731</v>
      </c>
      <c r="M2039" s="403" t="s">
        <v>20732</v>
      </c>
      <c r="N2039" s="403" t="s">
        <v>20733</v>
      </c>
      <c r="O2039" s="403" t="s">
        <v>7084</v>
      </c>
      <c r="P2039" s="403" t="s">
        <v>20734</v>
      </c>
      <c r="Q2039" s="403" t="s">
        <v>11389</v>
      </c>
      <c r="R2039" s="403" t="s">
        <v>20735</v>
      </c>
      <c r="S2039" s="403" t="s">
        <v>20736</v>
      </c>
      <c r="T2039" s="403" t="s">
        <v>20736</v>
      </c>
      <c r="U2039" s="403"/>
      <c r="V2039" s="403" t="s">
        <v>23024</v>
      </c>
      <c r="W2039" s="403" t="s">
        <v>23024</v>
      </c>
      <c r="X2039" s="403" t="s">
        <v>23024</v>
      </c>
      <c r="Y2039" s="403" t="s">
        <v>23024</v>
      </c>
    </row>
    <row r="2040" spans="1:25">
      <c r="A2040" s="363">
        <f t="shared" si="255"/>
        <v>2039</v>
      </c>
      <c r="B2040" s="363" t="str">
        <f t="shared" si="248"/>
        <v>00</v>
      </c>
      <c r="C2040" s="405" t="str">
        <f t="shared" si="249"/>
        <v>第000002号</v>
      </c>
      <c r="D2040" s="405" t="str">
        <f t="shared" si="250"/>
        <v>ＴＳＵＣＨＩＹＡ（株）</v>
      </c>
      <c r="E2040" s="405" t="str">
        <f t="shared" si="251"/>
        <v/>
      </c>
      <c r="F2040" s="405" t="str">
        <f t="shared" si="252"/>
        <v>菱田　貴久</v>
      </c>
      <c r="G2040" s="405" t="str">
        <f t="shared" si="253"/>
        <v>九州支店</v>
      </c>
      <c r="H2040" s="405" t="str">
        <f t="shared" si="254"/>
        <v>福岡市博多区榎田２－９－３８</v>
      </c>
      <c r="L2040" s="403" t="s">
        <v>11899</v>
      </c>
      <c r="M2040" s="403" t="s">
        <v>11900</v>
      </c>
      <c r="N2040" s="403" t="s">
        <v>5704</v>
      </c>
      <c r="O2040" s="403" t="s">
        <v>7083</v>
      </c>
      <c r="P2040" s="403" t="s">
        <v>6395</v>
      </c>
      <c r="Q2040" s="403" t="s">
        <v>11901</v>
      </c>
      <c r="R2040" s="403" t="s">
        <v>20737</v>
      </c>
      <c r="S2040" s="403" t="s">
        <v>20738</v>
      </c>
      <c r="T2040" s="403" t="s">
        <v>20739</v>
      </c>
      <c r="U2040" s="403"/>
      <c r="V2040" s="403" t="s">
        <v>7007</v>
      </c>
      <c r="W2040" s="403" t="s">
        <v>17507</v>
      </c>
      <c r="X2040" s="403" t="s">
        <v>17508</v>
      </c>
      <c r="Y2040" s="403" t="s">
        <v>20740</v>
      </c>
    </row>
    <row r="2041" spans="1:25">
      <c r="A2041" s="363">
        <f t="shared" si="255"/>
        <v>2040</v>
      </c>
      <c r="B2041" s="363" t="str">
        <f t="shared" si="248"/>
        <v>00</v>
      </c>
      <c r="C2041" s="405" t="str">
        <f t="shared" si="249"/>
        <v>第000015号</v>
      </c>
      <c r="D2041" s="405" t="str">
        <f t="shared" si="250"/>
        <v>（株）大電</v>
      </c>
      <c r="E2041" s="405" t="str">
        <f t="shared" si="251"/>
        <v/>
      </c>
      <c r="F2041" s="405" t="str">
        <f t="shared" si="252"/>
        <v>高井　和仁</v>
      </c>
      <c r="G2041" s="405" t="str">
        <f t="shared" si="253"/>
        <v>西部支店</v>
      </c>
      <c r="H2041" s="405" t="str">
        <f t="shared" si="254"/>
        <v>朝倉市甘木３０７－１</v>
      </c>
      <c r="L2041" s="403" t="s">
        <v>11902</v>
      </c>
      <c r="M2041" s="403" t="s">
        <v>11903</v>
      </c>
      <c r="N2041" s="403" t="s">
        <v>5705</v>
      </c>
      <c r="O2041" s="403" t="s">
        <v>7084</v>
      </c>
      <c r="P2041" s="403" t="s">
        <v>6396</v>
      </c>
      <c r="Q2041" s="403" t="s">
        <v>11904</v>
      </c>
      <c r="R2041" s="403" t="s">
        <v>20741</v>
      </c>
      <c r="S2041" s="403" t="s">
        <v>20742</v>
      </c>
      <c r="T2041" s="403" t="s">
        <v>20743</v>
      </c>
      <c r="U2041" s="403"/>
      <c r="V2041" s="403" t="s">
        <v>7008</v>
      </c>
      <c r="W2041" s="403" t="s">
        <v>17509</v>
      </c>
      <c r="X2041" s="403" t="s">
        <v>17510</v>
      </c>
      <c r="Y2041" s="403" t="s">
        <v>20744</v>
      </c>
    </row>
    <row r="2042" spans="1:25">
      <c r="A2042" s="363">
        <f t="shared" si="255"/>
        <v>2041</v>
      </c>
      <c r="B2042" s="363" t="str">
        <f t="shared" si="248"/>
        <v>00</v>
      </c>
      <c r="C2042" s="405" t="str">
        <f t="shared" si="249"/>
        <v>第000085号</v>
      </c>
      <c r="D2042" s="405" t="str">
        <f t="shared" si="250"/>
        <v>日本地研（株）</v>
      </c>
      <c r="E2042" s="405" t="str">
        <f t="shared" si="251"/>
        <v/>
      </c>
      <c r="F2042" s="405" t="str">
        <f t="shared" si="252"/>
        <v>穴井　隆美</v>
      </c>
      <c r="G2042" s="405" t="str">
        <f t="shared" si="253"/>
        <v>大分支店</v>
      </c>
      <c r="H2042" s="405" t="str">
        <f t="shared" si="254"/>
        <v>大分市高江西２－７－１</v>
      </c>
      <c r="L2042" s="403" t="s">
        <v>11905</v>
      </c>
      <c r="M2042" s="403" t="s">
        <v>11906</v>
      </c>
      <c r="N2042" s="403" t="s">
        <v>5706</v>
      </c>
      <c r="O2042" s="403" t="s">
        <v>7084</v>
      </c>
      <c r="P2042" s="403" t="s">
        <v>6397</v>
      </c>
      <c r="Q2042" s="403" t="s">
        <v>11907</v>
      </c>
      <c r="R2042" s="403" t="s">
        <v>20745</v>
      </c>
      <c r="S2042" s="403" t="s">
        <v>20746</v>
      </c>
      <c r="T2042" s="403" t="s">
        <v>20747</v>
      </c>
      <c r="U2042" s="403"/>
      <c r="V2042" s="403" t="s">
        <v>7009</v>
      </c>
      <c r="W2042" s="403" t="s">
        <v>17511</v>
      </c>
      <c r="X2042" s="403" t="s">
        <v>8854</v>
      </c>
      <c r="Y2042" s="403" t="s">
        <v>20748</v>
      </c>
    </row>
    <row r="2043" spans="1:25">
      <c r="A2043" s="363">
        <f t="shared" si="255"/>
        <v>2042</v>
      </c>
      <c r="B2043" s="363" t="str">
        <f t="shared" si="248"/>
        <v>00</v>
      </c>
      <c r="C2043" s="405" t="str">
        <f t="shared" si="249"/>
        <v>第000106号</v>
      </c>
      <c r="D2043" s="405" t="str">
        <f t="shared" si="250"/>
        <v>（株）ヒラカワ</v>
      </c>
      <c r="E2043" s="405" t="str">
        <f t="shared" si="251"/>
        <v/>
      </c>
      <c r="F2043" s="405" t="str">
        <f t="shared" si="252"/>
        <v>前田　勝利</v>
      </c>
      <c r="G2043" s="405" t="str">
        <f t="shared" si="253"/>
        <v>福岡営業所</v>
      </c>
      <c r="H2043" s="405" t="str">
        <f t="shared" si="254"/>
        <v>福岡市博多区東比恵２－７－３３　西原ビル２号</v>
      </c>
      <c r="L2043" s="403" t="s">
        <v>11908</v>
      </c>
      <c r="M2043" s="403" t="s">
        <v>11909</v>
      </c>
      <c r="N2043" s="403" t="s">
        <v>5707</v>
      </c>
      <c r="O2043" s="403" t="s">
        <v>7083</v>
      </c>
      <c r="P2043" s="403" t="s">
        <v>20749</v>
      </c>
      <c r="Q2043" s="403" t="s">
        <v>11910</v>
      </c>
      <c r="R2043" s="403" t="s">
        <v>20750</v>
      </c>
      <c r="S2043" s="403" t="s">
        <v>20751</v>
      </c>
      <c r="T2043" s="403" t="s">
        <v>20752</v>
      </c>
      <c r="U2043" s="403"/>
      <c r="V2043" s="403" t="s">
        <v>7010</v>
      </c>
      <c r="W2043" s="403" t="s">
        <v>17512</v>
      </c>
      <c r="X2043" s="403" t="s">
        <v>13787</v>
      </c>
      <c r="Y2043" s="403" t="s">
        <v>20753</v>
      </c>
    </row>
    <row r="2044" spans="1:25">
      <c r="A2044" s="363">
        <f t="shared" si="255"/>
        <v>2043</v>
      </c>
      <c r="B2044" s="363" t="str">
        <f t="shared" si="248"/>
        <v>00</v>
      </c>
      <c r="C2044" s="405" t="str">
        <f t="shared" si="249"/>
        <v>第000114号</v>
      </c>
      <c r="D2044" s="405" t="str">
        <f t="shared" si="250"/>
        <v>（株）きんでん</v>
      </c>
      <c r="E2044" s="405" t="str">
        <f t="shared" si="251"/>
        <v/>
      </c>
      <c r="F2044" s="405" t="str">
        <f t="shared" si="252"/>
        <v>吉田　靖</v>
      </c>
      <c r="G2044" s="405" t="str">
        <f t="shared" si="253"/>
        <v>九州支社</v>
      </c>
      <c r="H2044" s="405" t="str">
        <f t="shared" si="254"/>
        <v>福岡市博多区祇園町７－２０博多祇園センタープレイス５階</v>
      </c>
      <c r="L2044" s="403" t="s">
        <v>11911</v>
      </c>
      <c r="M2044" s="403" t="s">
        <v>11912</v>
      </c>
      <c r="N2044" s="403" t="s">
        <v>5708</v>
      </c>
      <c r="O2044" s="403" t="s">
        <v>7089</v>
      </c>
      <c r="P2044" s="403" t="s">
        <v>6398</v>
      </c>
      <c r="Q2044" s="403" t="s">
        <v>11913</v>
      </c>
      <c r="R2044" s="403" t="s">
        <v>20754</v>
      </c>
      <c r="S2044" s="403" t="s">
        <v>20755</v>
      </c>
      <c r="T2044" s="403" t="s">
        <v>20756</v>
      </c>
      <c r="U2044" s="403"/>
      <c r="V2044" s="403" t="s">
        <v>7011</v>
      </c>
      <c r="W2044" s="403" t="s">
        <v>17513</v>
      </c>
      <c r="X2044" s="403" t="s">
        <v>17514</v>
      </c>
      <c r="Y2044" s="403" t="s">
        <v>20757</v>
      </c>
    </row>
    <row r="2045" spans="1:25">
      <c r="A2045" s="363">
        <f t="shared" si="255"/>
        <v>2044</v>
      </c>
      <c r="B2045" s="363" t="str">
        <f t="shared" si="248"/>
        <v>00</v>
      </c>
      <c r="C2045" s="405" t="str">
        <f t="shared" si="249"/>
        <v>第000142号</v>
      </c>
      <c r="D2045" s="405" t="str">
        <f t="shared" si="250"/>
        <v>（株）駒井ハルテック</v>
      </c>
      <c r="E2045" s="405" t="str">
        <f t="shared" si="251"/>
        <v/>
      </c>
      <c r="F2045" s="405" t="str">
        <f t="shared" si="252"/>
        <v>田村　有治</v>
      </c>
      <c r="G2045" s="405" t="str">
        <f t="shared" si="253"/>
        <v>九州営業所</v>
      </c>
      <c r="H2045" s="405" t="str">
        <f t="shared" si="254"/>
        <v>福岡市博多区博多駅東２－４－１７</v>
      </c>
      <c r="L2045" s="403" t="s">
        <v>11914</v>
      </c>
      <c r="M2045" s="403" t="s">
        <v>11915</v>
      </c>
      <c r="N2045" s="403" t="s">
        <v>5709</v>
      </c>
      <c r="O2045" s="403" t="s">
        <v>7084</v>
      </c>
      <c r="P2045" s="403" t="s">
        <v>6399</v>
      </c>
      <c r="Q2045" s="403" t="s">
        <v>11916</v>
      </c>
      <c r="R2045" s="403" t="s">
        <v>20758</v>
      </c>
      <c r="S2045" s="403" t="s">
        <v>20759</v>
      </c>
      <c r="T2045" s="403" t="s">
        <v>20760</v>
      </c>
      <c r="U2045" s="403"/>
      <c r="V2045" s="403" t="s">
        <v>7012</v>
      </c>
      <c r="W2045" s="403" t="s">
        <v>17515</v>
      </c>
      <c r="X2045" s="403" t="s">
        <v>13524</v>
      </c>
      <c r="Y2045" s="403" t="s">
        <v>20761</v>
      </c>
    </row>
    <row r="2046" spans="1:25">
      <c r="A2046" s="363">
        <f t="shared" si="255"/>
        <v>2045</v>
      </c>
      <c r="B2046" s="363" t="str">
        <f t="shared" si="248"/>
        <v>00</v>
      </c>
      <c r="C2046" s="405" t="str">
        <f t="shared" si="249"/>
        <v>第000180号</v>
      </c>
      <c r="D2046" s="405" t="str">
        <f t="shared" si="250"/>
        <v>住友電設（株）</v>
      </c>
      <c r="E2046" s="405" t="str">
        <f t="shared" si="251"/>
        <v/>
      </c>
      <c r="F2046" s="405" t="str">
        <f t="shared" si="252"/>
        <v>上村　昭一</v>
      </c>
      <c r="G2046" s="405" t="str">
        <f t="shared" si="253"/>
        <v>九州支店</v>
      </c>
      <c r="H2046" s="405" t="str">
        <f t="shared" si="254"/>
        <v>福岡市中央区天神１－１０－２０天神ビジネスセンター５階</v>
      </c>
      <c r="L2046" s="403" t="s">
        <v>11917</v>
      </c>
      <c r="M2046" s="403" t="s">
        <v>11918</v>
      </c>
      <c r="N2046" s="403" t="s">
        <v>5710</v>
      </c>
      <c r="O2046" s="403" t="s">
        <v>7089</v>
      </c>
      <c r="P2046" s="403" t="s">
        <v>6400</v>
      </c>
      <c r="Q2046" s="403" t="s">
        <v>11919</v>
      </c>
      <c r="R2046" s="403" t="s">
        <v>20762</v>
      </c>
      <c r="S2046" s="403" t="s">
        <v>20763</v>
      </c>
      <c r="T2046" s="403" t="s">
        <v>20764</v>
      </c>
      <c r="U2046" s="403"/>
      <c r="V2046" s="403" t="s">
        <v>7007</v>
      </c>
      <c r="W2046" s="403" t="s">
        <v>17516</v>
      </c>
      <c r="X2046" s="403" t="s">
        <v>17517</v>
      </c>
      <c r="Y2046" s="403" t="s">
        <v>20765</v>
      </c>
    </row>
    <row r="2047" spans="1:25">
      <c r="A2047" s="363">
        <f t="shared" si="255"/>
        <v>2046</v>
      </c>
      <c r="B2047" s="363" t="str">
        <f t="shared" si="248"/>
        <v>00</v>
      </c>
      <c r="C2047" s="405" t="str">
        <f t="shared" si="249"/>
        <v>第000200号</v>
      </c>
      <c r="D2047" s="405" t="str">
        <f t="shared" si="250"/>
        <v>三井住友建設（株）</v>
      </c>
      <c r="E2047" s="405" t="str">
        <f t="shared" si="251"/>
        <v/>
      </c>
      <c r="F2047" s="405" t="str">
        <f t="shared" si="252"/>
        <v>伊藤　泰生</v>
      </c>
      <c r="G2047" s="405" t="str">
        <f t="shared" si="253"/>
        <v>九州支店</v>
      </c>
      <c r="H2047" s="405" t="str">
        <f t="shared" si="254"/>
        <v>福岡市博多区上呉服町１０－１</v>
      </c>
      <c r="L2047" s="403" t="s">
        <v>11920</v>
      </c>
      <c r="M2047" s="403" t="s">
        <v>11921</v>
      </c>
      <c r="N2047" s="403" t="s">
        <v>5711</v>
      </c>
      <c r="O2047" s="403" t="s">
        <v>7083</v>
      </c>
      <c r="P2047" s="403" t="s">
        <v>6401</v>
      </c>
      <c r="Q2047" s="403" t="s">
        <v>11922</v>
      </c>
      <c r="R2047" s="403" t="s">
        <v>20766</v>
      </c>
      <c r="S2047" s="403" t="s">
        <v>20767</v>
      </c>
      <c r="T2047" s="403" t="s">
        <v>20768</v>
      </c>
      <c r="U2047" s="403"/>
      <c r="V2047" s="403" t="s">
        <v>7007</v>
      </c>
      <c r="W2047" s="403" t="s">
        <v>20769</v>
      </c>
      <c r="X2047" s="403" t="s">
        <v>12874</v>
      </c>
      <c r="Y2047" s="403" t="s">
        <v>20770</v>
      </c>
    </row>
    <row r="2048" spans="1:25">
      <c r="A2048" s="363">
        <f t="shared" si="255"/>
        <v>2047</v>
      </c>
      <c r="B2048" s="363" t="str">
        <f t="shared" si="248"/>
        <v>00</v>
      </c>
      <c r="C2048" s="405" t="str">
        <f t="shared" si="249"/>
        <v>第000211号</v>
      </c>
      <c r="D2048" s="405" t="str">
        <f t="shared" si="250"/>
        <v>日特建設（株）</v>
      </c>
      <c r="E2048" s="405" t="str">
        <f t="shared" si="251"/>
        <v/>
      </c>
      <c r="F2048" s="405" t="str">
        <f t="shared" si="252"/>
        <v>藤川　修</v>
      </c>
      <c r="G2048" s="405" t="str">
        <f t="shared" si="253"/>
        <v>大分営業所</v>
      </c>
      <c r="H2048" s="405" t="str">
        <f t="shared" si="254"/>
        <v>大分市大字小池原１１５３　ＣＡＢＩＮ東九１　２０１号室</v>
      </c>
      <c r="L2048" s="403" t="s">
        <v>11923</v>
      </c>
      <c r="M2048" s="403" t="s">
        <v>11924</v>
      </c>
      <c r="N2048" s="403" t="s">
        <v>5712</v>
      </c>
      <c r="O2048" s="403" t="s">
        <v>7083</v>
      </c>
      <c r="P2048" s="403" t="s">
        <v>6402</v>
      </c>
      <c r="Q2048" s="403" t="s">
        <v>11925</v>
      </c>
      <c r="R2048" s="403" t="s">
        <v>20771</v>
      </c>
      <c r="S2048" s="403" t="s">
        <v>20772</v>
      </c>
      <c r="T2048" s="403" t="s">
        <v>20773</v>
      </c>
      <c r="U2048" s="403"/>
      <c r="V2048" s="403" t="s">
        <v>7013</v>
      </c>
      <c r="W2048" s="403" t="s">
        <v>17518</v>
      </c>
      <c r="X2048" s="403" t="s">
        <v>8694</v>
      </c>
      <c r="Y2048" s="403" t="s">
        <v>7073</v>
      </c>
    </row>
    <row r="2049" spans="1:25">
      <c r="A2049" s="363">
        <f t="shared" si="255"/>
        <v>2048</v>
      </c>
      <c r="B2049" s="363" t="str">
        <f t="shared" si="248"/>
        <v>00</v>
      </c>
      <c r="C2049" s="405" t="str">
        <f t="shared" si="249"/>
        <v>第000231号</v>
      </c>
      <c r="D2049" s="405" t="str">
        <f t="shared" si="250"/>
        <v>（株）日本ピーエス</v>
      </c>
      <c r="E2049" s="405" t="str">
        <f t="shared" si="251"/>
        <v/>
      </c>
      <c r="F2049" s="405" t="str">
        <f t="shared" si="252"/>
        <v>用貝　洋</v>
      </c>
      <c r="G2049" s="405" t="str">
        <f t="shared" si="253"/>
        <v>九州支店</v>
      </c>
      <c r="H2049" s="405" t="str">
        <f t="shared" si="254"/>
        <v>福岡市博多区博多駅南３－７－１０</v>
      </c>
      <c r="L2049" s="403" t="s">
        <v>11926</v>
      </c>
      <c r="M2049" s="403" t="s">
        <v>11927</v>
      </c>
      <c r="N2049" s="403" t="s">
        <v>5713</v>
      </c>
      <c r="O2049" s="403" t="s">
        <v>7083</v>
      </c>
      <c r="P2049" s="403" t="s">
        <v>6403</v>
      </c>
      <c r="Q2049" s="403" t="s">
        <v>11928</v>
      </c>
      <c r="R2049" s="403" t="s">
        <v>20774</v>
      </c>
      <c r="S2049" s="403" t="s">
        <v>20775</v>
      </c>
      <c r="T2049" s="403" t="s">
        <v>20776</v>
      </c>
      <c r="U2049" s="403"/>
      <c r="V2049" s="403" t="s">
        <v>7007</v>
      </c>
      <c r="W2049" s="403" t="s">
        <v>17519</v>
      </c>
      <c r="X2049" s="403" t="s">
        <v>11975</v>
      </c>
      <c r="Y2049" s="403" t="s">
        <v>20777</v>
      </c>
    </row>
    <row r="2050" spans="1:25">
      <c r="A2050" s="363">
        <f t="shared" si="255"/>
        <v>2049</v>
      </c>
      <c r="B2050" s="363" t="str">
        <f t="shared" ref="B2050:B2113" si="256">LEFT(L2050,2)</f>
        <v>00</v>
      </c>
      <c r="C2050" s="405" t="str">
        <f t="shared" ref="C2050:C2113" si="257">IF(B2050="","","第"&amp;RIGHT(L2050,6)&amp;"号")</f>
        <v>第000244号</v>
      </c>
      <c r="D2050" s="405" t="str">
        <f t="shared" ref="D2050:D2113" si="258">N2050</f>
        <v>エクシオグループ（株）</v>
      </c>
      <c r="E2050" s="405" t="str">
        <f t="shared" ref="E2050:E2113" si="259">IF(V2050="　",O2050,"")</f>
        <v/>
      </c>
      <c r="F2050" s="405" t="str">
        <f t="shared" ref="F2050:F2113" si="260">IF(V2050="　",P2050,W2050)</f>
        <v>杉山　恵一郎</v>
      </c>
      <c r="G2050" s="405" t="str">
        <f t="shared" ref="G2050:G2113" si="261">IF(V2050="　","主たる営業所",V2050)</f>
        <v>九州支店</v>
      </c>
      <c r="H2050" s="405" t="str">
        <f t="shared" ref="H2050:H2113" si="262">IF(V2050="　",R2050,Y2050)</f>
        <v>太宰府市水城２－１５－１５</v>
      </c>
      <c r="L2050" s="403" t="s">
        <v>11929</v>
      </c>
      <c r="M2050" s="403" t="s">
        <v>11930</v>
      </c>
      <c r="N2050" s="403" t="s">
        <v>5714</v>
      </c>
      <c r="O2050" s="403" t="s">
        <v>7084</v>
      </c>
      <c r="P2050" s="403" t="s">
        <v>20778</v>
      </c>
      <c r="Q2050" s="403" t="s">
        <v>11931</v>
      </c>
      <c r="R2050" s="403" t="s">
        <v>20779</v>
      </c>
      <c r="S2050" s="403" t="s">
        <v>20780</v>
      </c>
      <c r="T2050" s="403" t="s">
        <v>20781</v>
      </c>
      <c r="U2050" s="403"/>
      <c r="V2050" s="403" t="s">
        <v>7007</v>
      </c>
      <c r="W2050" s="403" t="s">
        <v>17520</v>
      </c>
      <c r="X2050" s="403" t="s">
        <v>20782</v>
      </c>
      <c r="Y2050" s="403" t="s">
        <v>20783</v>
      </c>
    </row>
    <row r="2051" spans="1:25">
      <c r="A2051" s="363">
        <f t="shared" ref="A2051:A2114" si="263">IF(B2051="","",A2050+1)</f>
        <v>2050</v>
      </c>
      <c r="B2051" s="363" t="str">
        <f t="shared" si="256"/>
        <v>00</v>
      </c>
      <c r="C2051" s="405" t="str">
        <f t="shared" si="257"/>
        <v>第000265号</v>
      </c>
      <c r="D2051" s="405" t="str">
        <f t="shared" si="258"/>
        <v>（株）大阪防水建設社</v>
      </c>
      <c r="E2051" s="405" t="str">
        <f t="shared" si="259"/>
        <v/>
      </c>
      <c r="F2051" s="405" t="str">
        <f t="shared" si="260"/>
        <v>南宮　竜</v>
      </c>
      <c r="G2051" s="405" t="str">
        <f t="shared" si="261"/>
        <v>九州支店</v>
      </c>
      <c r="H2051" s="405" t="str">
        <f t="shared" si="262"/>
        <v>福岡市博多区金の隈３－１６－６６</v>
      </c>
      <c r="L2051" s="403" t="s">
        <v>11932</v>
      </c>
      <c r="M2051" s="403" t="s">
        <v>11933</v>
      </c>
      <c r="N2051" s="403" t="s">
        <v>5715</v>
      </c>
      <c r="O2051" s="403" t="s">
        <v>7084</v>
      </c>
      <c r="P2051" s="403" t="s">
        <v>6404</v>
      </c>
      <c r="Q2051" s="403" t="s">
        <v>11934</v>
      </c>
      <c r="R2051" s="403" t="s">
        <v>20784</v>
      </c>
      <c r="S2051" s="403" t="s">
        <v>20785</v>
      </c>
      <c r="T2051" s="403" t="s">
        <v>20786</v>
      </c>
      <c r="U2051" s="403"/>
      <c r="V2051" s="403" t="s">
        <v>7007</v>
      </c>
      <c r="W2051" s="403" t="s">
        <v>20787</v>
      </c>
      <c r="X2051" s="403" t="s">
        <v>13707</v>
      </c>
      <c r="Y2051" s="403" t="s">
        <v>20788</v>
      </c>
    </row>
    <row r="2052" spans="1:25">
      <c r="A2052" s="363">
        <f t="shared" si="263"/>
        <v>2051</v>
      </c>
      <c r="B2052" s="363" t="str">
        <f t="shared" si="256"/>
        <v>00</v>
      </c>
      <c r="C2052" s="405" t="str">
        <f t="shared" si="257"/>
        <v>第000270号</v>
      </c>
      <c r="D2052" s="405" t="str">
        <f t="shared" si="258"/>
        <v>日鉄パイプライン＆エンジニアリング（株）</v>
      </c>
      <c r="E2052" s="405" t="str">
        <f t="shared" si="259"/>
        <v/>
      </c>
      <c r="F2052" s="405" t="str">
        <f t="shared" si="260"/>
        <v>汐満　哲広</v>
      </c>
      <c r="G2052" s="405" t="str">
        <f t="shared" si="261"/>
        <v>九州支社</v>
      </c>
      <c r="H2052" s="405" t="str">
        <f t="shared" si="262"/>
        <v>福岡市博多区店屋町５－１８</v>
      </c>
      <c r="L2052" s="403" t="s">
        <v>11935</v>
      </c>
      <c r="M2052" s="403" t="s">
        <v>11936</v>
      </c>
      <c r="N2052" s="403" t="s">
        <v>5716</v>
      </c>
      <c r="O2052" s="403" t="s">
        <v>7084</v>
      </c>
      <c r="P2052" s="403" t="s">
        <v>6405</v>
      </c>
      <c r="Q2052" s="403" t="s">
        <v>11937</v>
      </c>
      <c r="R2052" s="403" t="s">
        <v>20789</v>
      </c>
      <c r="S2052" s="403" t="s">
        <v>20790</v>
      </c>
      <c r="T2052" s="403" t="s">
        <v>20791</v>
      </c>
      <c r="U2052" s="403"/>
      <c r="V2052" s="403" t="s">
        <v>7011</v>
      </c>
      <c r="W2052" s="403" t="s">
        <v>17521</v>
      </c>
      <c r="X2052" s="403" t="s">
        <v>17522</v>
      </c>
      <c r="Y2052" s="403" t="s">
        <v>20792</v>
      </c>
    </row>
    <row r="2053" spans="1:25">
      <c r="A2053" s="363">
        <f t="shared" si="263"/>
        <v>2052</v>
      </c>
      <c r="B2053" s="363" t="str">
        <f t="shared" si="256"/>
        <v>00</v>
      </c>
      <c r="C2053" s="405" t="str">
        <f t="shared" si="257"/>
        <v>第000295号</v>
      </c>
      <c r="D2053" s="405" t="str">
        <f t="shared" si="258"/>
        <v>（株）古瀬組</v>
      </c>
      <c r="E2053" s="405" t="str">
        <f t="shared" si="259"/>
        <v>代表取締役</v>
      </c>
      <c r="F2053" s="405" t="str">
        <f t="shared" si="260"/>
        <v>小田　真也</v>
      </c>
      <c r="G2053" s="405" t="str">
        <f t="shared" si="261"/>
        <v>主たる営業所</v>
      </c>
      <c r="H2053" s="405" t="str">
        <f t="shared" si="262"/>
        <v>京都市下京区西洞院通塩小路上る東塩小路町６０８－９</v>
      </c>
      <c r="L2053" s="403" t="s">
        <v>11938</v>
      </c>
      <c r="M2053" s="403" t="s">
        <v>11939</v>
      </c>
      <c r="N2053" s="403" t="s">
        <v>5717</v>
      </c>
      <c r="O2053" s="403" t="s">
        <v>7084</v>
      </c>
      <c r="P2053" s="403" t="s">
        <v>6406</v>
      </c>
      <c r="Q2053" s="403" t="s">
        <v>11940</v>
      </c>
      <c r="R2053" s="403" t="s">
        <v>20793</v>
      </c>
      <c r="S2053" s="403" t="s">
        <v>17523</v>
      </c>
      <c r="T2053" s="403" t="s">
        <v>17524</v>
      </c>
      <c r="U2053" s="403"/>
      <c r="V2053" s="403" t="s">
        <v>5334</v>
      </c>
      <c r="W2053" s="403" t="s">
        <v>5334</v>
      </c>
      <c r="X2053" s="403" t="s">
        <v>5334</v>
      </c>
      <c r="Y2053" s="403" t="s">
        <v>5334</v>
      </c>
    </row>
    <row r="2054" spans="1:25">
      <c r="A2054" s="363">
        <f t="shared" si="263"/>
        <v>2053</v>
      </c>
      <c r="B2054" s="363" t="str">
        <f t="shared" si="256"/>
        <v>00</v>
      </c>
      <c r="C2054" s="405" t="str">
        <f t="shared" si="257"/>
        <v>第000300号</v>
      </c>
      <c r="D2054" s="405" t="str">
        <f t="shared" si="258"/>
        <v>大成建設（株）</v>
      </c>
      <c r="E2054" s="405" t="str">
        <f t="shared" si="259"/>
        <v/>
      </c>
      <c r="F2054" s="405" t="str">
        <f t="shared" si="260"/>
        <v>西河　誠</v>
      </c>
      <c r="G2054" s="405" t="str">
        <f t="shared" si="261"/>
        <v>九州支店</v>
      </c>
      <c r="H2054" s="405" t="str">
        <f t="shared" si="262"/>
        <v>福岡市博多区住吉４－１－２７</v>
      </c>
      <c r="L2054" s="403" t="s">
        <v>11941</v>
      </c>
      <c r="M2054" s="403" t="s">
        <v>11942</v>
      </c>
      <c r="N2054" s="403" t="s">
        <v>5718</v>
      </c>
      <c r="O2054" s="403" t="s">
        <v>7083</v>
      </c>
      <c r="P2054" s="403" t="s">
        <v>6407</v>
      </c>
      <c r="Q2054" s="403" t="s">
        <v>11943</v>
      </c>
      <c r="R2054" s="403" t="s">
        <v>20794</v>
      </c>
      <c r="S2054" s="403" t="s">
        <v>20795</v>
      </c>
      <c r="T2054" s="403" t="s">
        <v>20796</v>
      </c>
      <c r="U2054" s="403"/>
      <c r="V2054" s="403" t="s">
        <v>7007</v>
      </c>
      <c r="W2054" s="403" t="s">
        <v>17525</v>
      </c>
      <c r="X2054" s="403" t="s">
        <v>17526</v>
      </c>
      <c r="Y2054" s="403" t="s">
        <v>20797</v>
      </c>
    </row>
    <row r="2055" spans="1:25">
      <c r="A2055" s="363">
        <f t="shared" si="263"/>
        <v>2054</v>
      </c>
      <c r="B2055" s="363" t="str">
        <f t="shared" si="256"/>
        <v>00</v>
      </c>
      <c r="C2055" s="405" t="str">
        <f t="shared" si="257"/>
        <v>第000316号</v>
      </c>
      <c r="D2055" s="405" t="str">
        <f t="shared" si="258"/>
        <v>日本オーチス・エレベータ（株）</v>
      </c>
      <c r="E2055" s="405" t="str">
        <f t="shared" si="259"/>
        <v/>
      </c>
      <c r="F2055" s="405" t="str">
        <f t="shared" si="260"/>
        <v>三澤　悟</v>
      </c>
      <c r="G2055" s="405" t="str">
        <f t="shared" si="261"/>
        <v>九州支店</v>
      </c>
      <c r="H2055" s="405" t="str">
        <f t="shared" si="262"/>
        <v>福岡市博多区博多駅南１－２－１３</v>
      </c>
      <c r="L2055" s="403" t="s">
        <v>11944</v>
      </c>
      <c r="M2055" s="403" t="s">
        <v>11945</v>
      </c>
      <c r="N2055" s="403" t="s">
        <v>5719</v>
      </c>
      <c r="O2055" s="403" t="s">
        <v>7084</v>
      </c>
      <c r="P2055" s="403" t="s">
        <v>6408</v>
      </c>
      <c r="Q2055" s="403" t="s">
        <v>11946</v>
      </c>
      <c r="R2055" s="403" t="s">
        <v>20798</v>
      </c>
      <c r="S2055" s="403" t="s">
        <v>20799</v>
      </c>
      <c r="T2055" s="403" t="s">
        <v>20800</v>
      </c>
      <c r="U2055" s="403"/>
      <c r="V2055" s="403" t="s">
        <v>7007</v>
      </c>
      <c r="W2055" s="403" t="s">
        <v>17527</v>
      </c>
      <c r="X2055" s="403" t="s">
        <v>11975</v>
      </c>
      <c r="Y2055" s="403" t="s">
        <v>20801</v>
      </c>
    </row>
    <row r="2056" spans="1:25">
      <c r="A2056" s="363">
        <f t="shared" si="263"/>
        <v>2055</v>
      </c>
      <c r="B2056" s="363" t="str">
        <f t="shared" si="256"/>
        <v>00</v>
      </c>
      <c r="C2056" s="405" t="str">
        <f t="shared" si="257"/>
        <v>第000345号</v>
      </c>
      <c r="D2056" s="405" t="str">
        <f t="shared" si="258"/>
        <v>エム・エムブリッジ（株）</v>
      </c>
      <c r="E2056" s="405" t="str">
        <f t="shared" si="259"/>
        <v/>
      </c>
      <c r="F2056" s="405" t="str">
        <f t="shared" si="260"/>
        <v>宮村　隆</v>
      </c>
      <c r="G2056" s="405" t="str">
        <f t="shared" si="261"/>
        <v>九州営業所</v>
      </c>
      <c r="H2056" s="405" t="str">
        <f t="shared" si="262"/>
        <v>福岡市博多区綱場町１－１</v>
      </c>
      <c r="L2056" s="403" t="s">
        <v>11947</v>
      </c>
      <c r="M2056" s="403" t="s">
        <v>11948</v>
      </c>
      <c r="N2056" s="403" t="s">
        <v>5720</v>
      </c>
      <c r="O2056" s="403" t="s">
        <v>7083</v>
      </c>
      <c r="P2056" s="403" t="s">
        <v>6409</v>
      </c>
      <c r="Q2056" s="403" t="s">
        <v>11949</v>
      </c>
      <c r="R2056" s="403" t="s">
        <v>20802</v>
      </c>
      <c r="S2056" s="403" t="s">
        <v>20803</v>
      </c>
      <c r="T2056" s="403" t="s">
        <v>20804</v>
      </c>
      <c r="U2056" s="403"/>
      <c r="V2056" s="403" t="s">
        <v>7012</v>
      </c>
      <c r="W2056" s="403" t="s">
        <v>17528</v>
      </c>
      <c r="X2056" s="403" t="s">
        <v>17529</v>
      </c>
      <c r="Y2056" s="403" t="s">
        <v>20805</v>
      </c>
    </row>
    <row r="2057" spans="1:25">
      <c r="A2057" s="363">
        <f t="shared" si="263"/>
        <v>2056</v>
      </c>
      <c r="B2057" s="363" t="str">
        <f t="shared" si="256"/>
        <v>00</v>
      </c>
      <c r="C2057" s="405" t="str">
        <f t="shared" si="257"/>
        <v>第000349号</v>
      </c>
      <c r="D2057" s="405" t="str">
        <f t="shared" si="258"/>
        <v>ＪＲ九州電気システム（株）</v>
      </c>
      <c r="E2057" s="405" t="str">
        <f t="shared" si="259"/>
        <v>代表取締役</v>
      </c>
      <c r="F2057" s="405" t="str">
        <f t="shared" si="260"/>
        <v>大石　和弘</v>
      </c>
      <c r="G2057" s="405" t="str">
        <f t="shared" si="261"/>
        <v>主たる営業所</v>
      </c>
      <c r="H2057" s="405" t="str">
        <f t="shared" si="262"/>
        <v>福岡市博多区竹下１－１８－１７</v>
      </c>
      <c r="L2057" s="403" t="s">
        <v>11950</v>
      </c>
      <c r="M2057" s="403" t="s">
        <v>11951</v>
      </c>
      <c r="N2057" s="403" t="s">
        <v>5721</v>
      </c>
      <c r="O2057" s="403" t="s">
        <v>7084</v>
      </c>
      <c r="P2057" s="403" t="s">
        <v>6410</v>
      </c>
      <c r="Q2057" s="403" t="s">
        <v>11952</v>
      </c>
      <c r="R2057" s="403" t="s">
        <v>20806</v>
      </c>
      <c r="S2057" s="403" t="s">
        <v>17530</v>
      </c>
      <c r="T2057" s="403" t="s">
        <v>17531</v>
      </c>
      <c r="U2057" s="403"/>
      <c r="V2057" s="403" t="s">
        <v>23024</v>
      </c>
      <c r="W2057" s="403" t="s">
        <v>23024</v>
      </c>
      <c r="X2057" s="403" t="s">
        <v>23024</v>
      </c>
      <c r="Y2057" s="403" t="s">
        <v>23024</v>
      </c>
    </row>
    <row r="2058" spans="1:25">
      <c r="A2058" s="363">
        <f t="shared" si="263"/>
        <v>2057</v>
      </c>
      <c r="B2058" s="363" t="str">
        <f t="shared" si="256"/>
        <v>00</v>
      </c>
      <c r="C2058" s="405" t="str">
        <f t="shared" si="257"/>
        <v>第000368号</v>
      </c>
      <c r="D2058" s="405" t="str">
        <f t="shared" si="258"/>
        <v>（株）九建</v>
      </c>
      <c r="E2058" s="405" t="str">
        <f t="shared" si="259"/>
        <v>代表取締役社長</v>
      </c>
      <c r="F2058" s="405" t="str">
        <f t="shared" si="260"/>
        <v>宮崎　修</v>
      </c>
      <c r="G2058" s="405" t="str">
        <f t="shared" si="261"/>
        <v>主たる営業所</v>
      </c>
      <c r="H2058" s="405" t="str">
        <f t="shared" si="262"/>
        <v>福岡市中央区清川２－１３－６</v>
      </c>
      <c r="L2058" s="403" t="s">
        <v>11953</v>
      </c>
      <c r="M2058" s="403" t="s">
        <v>10350</v>
      </c>
      <c r="N2058" s="403" t="s">
        <v>3731</v>
      </c>
      <c r="O2058" s="403" t="s">
        <v>7083</v>
      </c>
      <c r="P2058" s="403" t="s">
        <v>6411</v>
      </c>
      <c r="Q2058" s="403" t="s">
        <v>11954</v>
      </c>
      <c r="R2058" s="403" t="s">
        <v>20807</v>
      </c>
      <c r="S2058" s="403" t="s">
        <v>17532</v>
      </c>
      <c r="T2058" s="403" t="s">
        <v>17533</v>
      </c>
      <c r="U2058" s="403"/>
      <c r="V2058" s="403" t="s">
        <v>23024</v>
      </c>
      <c r="W2058" s="403" t="s">
        <v>23024</v>
      </c>
      <c r="X2058" s="403" t="s">
        <v>23024</v>
      </c>
      <c r="Y2058" s="403" t="s">
        <v>23024</v>
      </c>
    </row>
    <row r="2059" spans="1:25">
      <c r="A2059" s="363">
        <f t="shared" si="263"/>
        <v>2058</v>
      </c>
      <c r="B2059" s="363" t="str">
        <f t="shared" si="256"/>
        <v>00</v>
      </c>
      <c r="C2059" s="405" t="str">
        <f t="shared" si="257"/>
        <v>第000380号</v>
      </c>
      <c r="D2059" s="405" t="str">
        <f t="shared" si="258"/>
        <v>高田機工（株）</v>
      </c>
      <c r="E2059" s="405" t="str">
        <f t="shared" si="259"/>
        <v/>
      </c>
      <c r="F2059" s="405" t="str">
        <f t="shared" si="260"/>
        <v>遠矢　良一</v>
      </c>
      <c r="G2059" s="405" t="str">
        <f t="shared" si="261"/>
        <v>福岡営業所</v>
      </c>
      <c r="H2059" s="405" t="str">
        <f t="shared" si="262"/>
        <v>福岡市博多区博多駅前２－１９－２９</v>
      </c>
      <c r="L2059" s="403" t="s">
        <v>11955</v>
      </c>
      <c r="M2059" s="403" t="s">
        <v>11956</v>
      </c>
      <c r="N2059" s="403" t="s">
        <v>5722</v>
      </c>
      <c r="O2059" s="403" t="s">
        <v>7084</v>
      </c>
      <c r="P2059" s="403" t="s">
        <v>6412</v>
      </c>
      <c r="Q2059" s="403" t="s">
        <v>11957</v>
      </c>
      <c r="R2059" s="403" t="s">
        <v>20808</v>
      </c>
      <c r="S2059" s="403" t="s">
        <v>20809</v>
      </c>
      <c r="T2059" s="403" t="s">
        <v>20810</v>
      </c>
      <c r="U2059" s="403"/>
      <c r="V2059" s="403" t="s">
        <v>7010</v>
      </c>
      <c r="W2059" s="403" t="s">
        <v>17534</v>
      </c>
      <c r="X2059" s="403" t="s">
        <v>13015</v>
      </c>
      <c r="Y2059" s="403" t="s">
        <v>20811</v>
      </c>
    </row>
    <row r="2060" spans="1:25">
      <c r="A2060" s="363">
        <f t="shared" si="263"/>
        <v>2059</v>
      </c>
      <c r="B2060" s="363" t="str">
        <f t="shared" si="256"/>
        <v>00</v>
      </c>
      <c r="C2060" s="405" t="str">
        <f t="shared" si="257"/>
        <v>第000384号</v>
      </c>
      <c r="D2060" s="405" t="str">
        <f t="shared" si="258"/>
        <v>ヤマハサウンドシステム（株）</v>
      </c>
      <c r="E2060" s="405" t="str">
        <f t="shared" si="259"/>
        <v/>
      </c>
      <c r="F2060" s="405" t="str">
        <f t="shared" si="260"/>
        <v>山口　尚之</v>
      </c>
      <c r="G2060" s="405" t="str">
        <f t="shared" si="261"/>
        <v>福岡営業所</v>
      </c>
      <c r="H2060" s="405" t="str">
        <f t="shared" si="262"/>
        <v>福岡市博多区博多駅前３－２８－３</v>
      </c>
      <c r="L2060" s="403" t="s">
        <v>11958</v>
      </c>
      <c r="M2060" s="403" t="s">
        <v>11959</v>
      </c>
      <c r="N2060" s="403" t="s">
        <v>5723</v>
      </c>
      <c r="O2060" s="403" t="s">
        <v>7084</v>
      </c>
      <c r="P2060" s="403" t="s">
        <v>20812</v>
      </c>
      <c r="Q2060" s="403" t="s">
        <v>11960</v>
      </c>
      <c r="R2060" s="403" t="s">
        <v>20813</v>
      </c>
      <c r="S2060" s="403" t="s">
        <v>20814</v>
      </c>
      <c r="T2060" s="403" t="s">
        <v>20815</v>
      </c>
      <c r="U2060" s="403"/>
      <c r="V2060" s="403" t="s">
        <v>7010</v>
      </c>
      <c r="W2060" s="403" t="s">
        <v>17535</v>
      </c>
      <c r="X2060" s="403" t="s">
        <v>13015</v>
      </c>
      <c r="Y2060" s="403" t="s">
        <v>20816</v>
      </c>
    </row>
    <row r="2061" spans="1:25">
      <c r="A2061" s="363">
        <f t="shared" si="263"/>
        <v>2060</v>
      </c>
      <c r="B2061" s="363" t="str">
        <f t="shared" si="256"/>
        <v>00</v>
      </c>
      <c r="C2061" s="405" t="str">
        <f t="shared" si="257"/>
        <v>第000390号</v>
      </c>
      <c r="D2061" s="405" t="str">
        <f t="shared" si="258"/>
        <v>川崎地質（株）</v>
      </c>
      <c r="E2061" s="405" t="str">
        <f t="shared" si="259"/>
        <v/>
      </c>
      <c r="F2061" s="405" t="str">
        <f t="shared" si="260"/>
        <v>後藤　学</v>
      </c>
      <c r="G2061" s="405" t="str">
        <f t="shared" si="261"/>
        <v>九州支社</v>
      </c>
      <c r="H2061" s="405" t="str">
        <f t="shared" si="262"/>
        <v>福岡市博多区博多駅南２－９－１１</v>
      </c>
      <c r="L2061" s="403" t="s">
        <v>11961</v>
      </c>
      <c r="M2061" s="403" t="s">
        <v>11962</v>
      </c>
      <c r="N2061" s="403" t="s">
        <v>5724</v>
      </c>
      <c r="O2061" s="403" t="s">
        <v>7083</v>
      </c>
      <c r="P2061" s="403" t="s">
        <v>6413</v>
      </c>
      <c r="Q2061" s="403" t="s">
        <v>11963</v>
      </c>
      <c r="R2061" s="403" t="s">
        <v>20817</v>
      </c>
      <c r="S2061" s="403" t="s">
        <v>20818</v>
      </c>
      <c r="T2061" s="403" t="s">
        <v>20819</v>
      </c>
      <c r="U2061" s="403"/>
      <c r="V2061" s="403" t="s">
        <v>7011</v>
      </c>
      <c r="W2061" s="403" t="s">
        <v>20820</v>
      </c>
      <c r="X2061" s="403" t="s">
        <v>11975</v>
      </c>
      <c r="Y2061" s="403" t="s">
        <v>20821</v>
      </c>
    </row>
    <row r="2062" spans="1:25">
      <c r="A2062" s="363">
        <f t="shared" si="263"/>
        <v>2061</v>
      </c>
      <c r="B2062" s="363" t="str">
        <f t="shared" si="256"/>
        <v>00</v>
      </c>
      <c r="C2062" s="405" t="str">
        <f t="shared" si="257"/>
        <v>第000404号</v>
      </c>
      <c r="D2062" s="405" t="str">
        <f t="shared" si="258"/>
        <v>信号器材（株）</v>
      </c>
      <c r="E2062" s="405" t="str">
        <f t="shared" si="259"/>
        <v/>
      </c>
      <c r="F2062" s="405" t="str">
        <f t="shared" si="260"/>
        <v>湯浅　博嗣</v>
      </c>
      <c r="G2062" s="405" t="str">
        <f t="shared" si="261"/>
        <v>九州営業所</v>
      </c>
      <c r="H2062" s="405" t="str">
        <f t="shared" si="262"/>
        <v>福岡市東区松島１－１２－２８</v>
      </c>
      <c r="L2062" s="402" t="s">
        <v>11964</v>
      </c>
      <c r="M2062" s="402" t="s">
        <v>11965</v>
      </c>
      <c r="N2062" s="402" t="s">
        <v>5725</v>
      </c>
      <c r="O2062" s="402" t="s">
        <v>7083</v>
      </c>
      <c r="P2062" s="402" t="s">
        <v>6414</v>
      </c>
      <c r="Q2062" s="402" t="s">
        <v>11966</v>
      </c>
      <c r="R2062" s="402" t="s">
        <v>20822</v>
      </c>
      <c r="S2062" s="402" t="s">
        <v>20823</v>
      </c>
      <c r="T2062" s="402" t="s">
        <v>20824</v>
      </c>
      <c r="U2062" s="402"/>
      <c r="V2062" s="402" t="s">
        <v>7012</v>
      </c>
      <c r="W2062" s="402" t="s">
        <v>17536</v>
      </c>
      <c r="X2062" s="402" t="s">
        <v>17537</v>
      </c>
      <c r="Y2062" s="402" t="s">
        <v>20825</v>
      </c>
    </row>
    <row r="2063" spans="1:25">
      <c r="A2063" s="363">
        <f t="shared" si="263"/>
        <v>2062</v>
      </c>
      <c r="B2063" s="363" t="str">
        <f t="shared" si="256"/>
        <v>00</v>
      </c>
      <c r="C2063" s="405" t="str">
        <f t="shared" si="257"/>
        <v>第000410号</v>
      </c>
      <c r="D2063" s="405" t="str">
        <f t="shared" si="258"/>
        <v>佐藤工業（株）</v>
      </c>
      <c r="E2063" s="405" t="str">
        <f t="shared" si="259"/>
        <v/>
      </c>
      <c r="F2063" s="405" t="str">
        <f t="shared" si="260"/>
        <v>成瀬　賢二</v>
      </c>
      <c r="G2063" s="405" t="str">
        <f t="shared" si="261"/>
        <v>九州支店</v>
      </c>
      <c r="H2063" s="405" t="str">
        <f t="shared" si="262"/>
        <v>福岡市博多区千代１－１７－１</v>
      </c>
      <c r="L2063" s="403" t="s">
        <v>11967</v>
      </c>
      <c r="M2063" s="403" t="s">
        <v>11968</v>
      </c>
      <c r="N2063" s="403" t="s">
        <v>5726</v>
      </c>
      <c r="O2063" s="403" t="s">
        <v>7083</v>
      </c>
      <c r="P2063" s="403" t="s">
        <v>6415</v>
      </c>
      <c r="Q2063" s="403" t="s">
        <v>11969</v>
      </c>
      <c r="R2063" s="403" t="s">
        <v>20826</v>
      </c>
      <c r="S2063" s="403" t="s">
        <v>20827</v>
      </c>
      <c r="T2063" s="403" t="s">
        <v>20828</v>
      </c>
      <c r="U2063" s="403"/>
      <c r="V2063" s="403" t="s">
        <v>7007</v>
      </c>
      <c r="W2063" s="403" t="s">
        <v>20829</v>
      </c>
      <c r="X2063" s="403" t="s">
        <v>17538</v>
      </c>
      <c r="Y2063" s="403" t="s">
        <v>20830</v>
      </c>
    </row>
    <row r="2064" spans="1:25">
      <c r="A2064" s="363">
        <f t="shared" si="263"/>
        <v>2063</v>
      </c>
      <c r="B2064" s="363" t="str">
        <f t="shared" si="256"/>
        <v>00</v>
      </c>
      <c r="C2064" s="405" t="str">
        <f t="shared" si="257"/>
        <v>第000437号</v>
      </c>
      <c r="D2064" s="405" t="str">
        <f t="shared" si="258"/>
        <v>（株）菅原</v>
      </c>
      <c r="E2064" s="405" t="str">
        <f t="shared" si="259"/>
        <v/>
      </c>
      <c r="F2064" s="405" t="str">
        <f t="shared" si="260"/>
        <v>今林　忠久</v>
      </c>
      <c r="G2064" s="405" t="str">
        <f t="shared" si="261"/>
        <v>福岡営業所</v>
      </c>
      <c r="H2064" s="405" t="str">
        <f t="shared" si="262"/>
        <v>福岡市東区箱崎４－１５－３７</v>
      </c>
      <c r="L2064" s="403" t="s">
        <v>11970</v>
      </c>
      <c r="M2064" s="403" t="s">
        <v>11971</v>
      </c>
      <c r="N2064" s="403" t="s">
        <v>5727</v>
      </c>
      <c r="O2064" s="403" t="s">
        <v>7084</v>
      </c>
      <c r="P2064" s="403" t="s">
        <v>6416</v>
      </c>
      <c r="Q2064" s="403" t="s">
        <v>11972</v>
      </c>
      <c r="R2064" s="403" t="s">
        <v>20831</v>
      </c>
      <c r="S2064" s="403" t="s">
        <v>20832</v>
      </c>
      <c r="T2064" s="403" t="s">
        <v>20833</v>
      </c>
      <c r="U2064" s="403"/>
      <c r="V2064" s="403" t="s">
        <v>7010</v>
      </c>
      <c r="W2064" s="403" t="s">
        <v>17539</v>
      </c>
      <c r="X2064" s="403" t="s">
        <v>12112</v>
      </c>
      <c r="Y2064" s="403" t="s">
        <v>20834</v>
      </c>
    </row>
    <row r="2065" spans="1:25">
      <c r="A2065" s="363">
        <f t="shared" si="263"/>
        <v>2064</v>
      </c>
      <c r="B2065" s="363" t="str">
        <f t="shared" si="256"/>
        <v>00</v>
      </c>
      <c r="C2065" s="405" t="str">
        <f t="shared" si="257"/>
        <v>第000509号</v>
      </c>
      <c r="D2065" s="405" t="str">
        <f t="shared" si="258"/>
        <v>（株）九州日立システムズ</v>
      </c>
      <c r="E2065" s="405" t="str">
        <f t="shared" si="259"/>
        <v>代表取締役　取締役社長</v>
      </c>
      <c r="F2065" s="405" t="str">
        <f t="shared" si="260"/>
        <v>荒井　正純</v>
      </c>
      <c r="G2065" s="405" t="str">
        <f t="shared" si="261"/>
        <v>主たる営業所</v>
      </c>
      <c r="H2065" s="405" t="str">
        <f t="shared" si="262"/>
        <v>福岡市博多区博多駅南２－１２－２２</v>
      </c>
      <c r="L2065" s="403" t="s">
        <v>11973</v>
      </c>
      <c r="M2065" s="403" t="s">
        <v>11974</v>
      </c>
      <c r="N2065" s="403" t="s">
        <v>5728</v>
      </c>
      <c r="O2065" s="403" t="s">
        <v>7092</v>
      </c>
      <c r="P2065" s="403" t="s">
        <v>6417</v>
      </c>
      <c r="Q2065" s="403" t="s">
        <v>11975</v>
      </c>
      <c r="R2065" s="403" t="s">
        <v>20835</v>
      </c>
      <c r="S2065" s="403" t="s">
        <v>17540</v>
      </c>
      <c r="T2065" s="403" t="s">
        <v>17541</v>
      </c>
      <c r="U2065" s="403"/>
      <c r="V2065" s="403" t="s">
        <v>23024</v>
      </c>
      <c r="W2065" s="403" t="s">
        <v>23024</v>
      </c>
      <c r="X2065" s="403" t="s">
        <v>23024</v>
      </c>
      <c r="Y2065" s="403" t="s">
        <v>23024</v>
      </c>
    </row>
    <row r="2066" spans="1:25">
      <c r="A2066" s="363">
        <f t="shared" si="263"/>
        <v>2065</v>
      </c>
      <c r="B2066" s="363" t="str">
        <f t="shared" si="256"/>
        <v>00</v>
      </c>
      <c r="C2066" s="405" t="str">
        <f t="shared" si="257"/>
        <v>第000523号</v>
      </c>
      <c r="D2066" s="405" t="str">
        <f t="shared" si="258"/>
        <v>岡本土木（株）</v>
      </c>
      <c r="E2066" s="405" t="str">
        <f t="shared" si="259"/>
        <v/>
      </c>
      <c r="F2066" s="405" t="str">
        <f t="shared" si="260"/>
        <v>綿丸　勝之</v>
      </c>
      <c r="G2066" s="405" t="str">
        <f t="shared" si="261"/>
        <v>中津本店</v>
      </c>
      <c r="H2066" s="405" t="str">
        <f t="shared" si="262"/>
        <v>中津市大字永添２２６６－５</v>
      </c>
      <c r="L2066" s="403" t="s">
        <v>11976</v>
      </c>
      <c r="M2066" s="403" t="s">
        <v>11977</v>
      </c>
      <c r="N2066" s="403" t="s">
        <v>5729</v>
      </c>
      <c r="O2066" s="403" t="s">
        <v>7084</v>
      </c>
      <c r="P2066" s="403" t="s">
        <v>6418</v>
      </c>
      <c r="Q2066" s="403" t="s">
        <v>11978</v>
      </c>
      <c r="R2066" s="403" t="s">
        <v>20836</v>
      </c>
      <c r="S2066" s="403" t="s">
        <v>20837</v>
      </c>
      <c r="T2066" s="403" t="s">
        <v>20838</v>
      </c>
      <c r="U2066" s="403"/>
      <c r="V2066" s="403" t="s">
        <v>7014</v>
      </c>
      <c r="W2066" s="403" t="s">
        <v>17542</v>
      </c>
      <c r="X2066" s="403" t="s">
        <v>8111</v>
      </c>
      <c r="Y2066" s="403" t="s">
        <v>20839</v>
      </c>
    </row>
    <row r="2067" spans="1:25">
      <c r="A2067" s="363">
        <f t="shared" si="263"/>
        <v>2066</v>
      </c>
      <c r="B2067" s="363" t="str">
        <f t="shared" si="256"/>
        <v>00</v>
      </c>
      <c r="C2067" s="405" t="str">
        <f t="shared" si="257"/>
        <v>第000543号</v>
      </c>
      <c r="D2067" s="405" t="str">
        <f t="shared" si="258"/>
        <v>ドーピー建設工業（株）</v>
      </c>
      <c r="E2067" s="405" t="str">
        <f t="shared" si="259"/>
        <v/>
      </c>
      <c r="F2067" s="405" t="str">
        <f t="shared" si="260"/>
        <v>塘　和寿</v>
      </c>
      <c r="G2067" s="405" t="str">
        <f t="shared" si="261"/>
        <v>九州営業所</v>
      </c>
      <c r="H2067" s="405" t="str">
        <f t="shared" si="262"/>
        <v>福岡市博多区博多駅東３－１－２６</v>
      </c>
      <c r="L2067" s="403" t="s">
        <v>11979</v>
      </c>
      <c r="M2067" s="403" t="s">
        <v>11980</v>
      </c>
      <c r="N2067" s="403" t="s">
        <v>5730</v>
      </c>
      <c r="O2067" s="403" t="s">
        <v>7089</v>
      </c>
      <c r="P2067" s="403" t="s">
        <v>6419</v>
      </c>
      <c r="Q2067" s="403" t="s">
        <v>11981</v>
      </c>
      <c r="R2067" s="403" t="s">
        <v>20840</v>
      </c>
      <c r="S2067" s="403" t="s">
        <v>20841</v>
      </c>
      <c r="T2067" s="403" t="s">
        <v>20842</v>
      </c>
      <c r="U2067" s="403"/>
      <c r="V2067" s="403" t="s">
        <v>7012</v>
      </c>
      <c r="W2067" s="403" t="s">
        <v>20843</v>
      </c>
      <c r="X2067" s="403" t="s">
        <v>13524</v>
      </c>
      <c r="Y2067" s="403" t="s">
        <v>20844</v>
      </c>
    </row>
    <row r="2068" spans="1:25">
      <c r="A2068" s="363">
        <f t="shared" si="263"/>
        <v>2067</v>
      </c>
      <c r="B2068" s="363" t="str">
        <f t="shared" si="256"/>
        <v>00</v>
      </c>
      <c r="C2068" s="405" t="str">
        <f t="shared" si="257"/>
        <v>第000560号</v>
      </c>
      <c r="D2068" s="405" t="str">
        <f t="shared" si="258"/>
        <v>日本エレベーター製造（株）</v>
      </c>
      <c r="E2068" s="405" t="str">
        <f t="shared" si="259"/>
        <v/>
      </c>
      <c r="F2068" s="405" t="str">
        <f t="shared" si="260"/>
        <v>坂田　祥一</v>
      </c>
      <c r="G2068" s="405" t="str">
        <f t="shared" si="261"/>
        <v>福岡営業所</v>
      </c>
      <c r="H2068" s="405" t="str">
        <f t="shared" si="262"/>
        <v>福岡市博多区東光２－３－１８</v>
      </c>
      <c r="L2068" s="403" t="s">
        <v>11982</v>
      </c>
      <c r="M2068" s="403" t="s">
        <v>11983</v>
      </c>
      <c r="N2068" s="403" t="s">
        <v>5731</v>
      </c>
      <c r="O2068" s="403" t="s">
        <v>7083</v>
      </c>
      <c r="P2068" s="403" t="s">
        <v>6420</v>
      </c>
      <c r="Q2068" s="403" t="s">
        <v>11984</v>
      </c>
      <c r="R2068" s="403" t="s">
        <v>20845</v>
      </c>
      <c r="S2068" s="403" t="s">
        <v>20846</v>
      </c>
      <c r="T2068" s="403" t="s">
        <v>20847</v>
      </c>
      <c r="U2068" s="403"/>
      <c r="V2068" s="403" t="s">
        <v>7010</v>
      </c>
      <c r="W2068" s="403" t="s">
        <v>17543</v>
      </c>
      <c r="X2068" s="403" t="s">
        <v>13124</v>
      </c>
      <c r="Y2068" s="403" t="s">
        <v>20848</v>
      </c>
    </row>
    <row r="2069" spans="1:25">
      <c r="A2069" s="363">
        <f t="shared" si="263"/>
        <v>2068</v>
      </c>
      <c r="B2069" s="363" t="str">
        <f t="shared" si="256"/>
        <v>00</v>
      </c>
      <c r="C2069" s="405" t="str">
        <f t="shared" si="257"/>
        <v>第000635号</v>
      </c>
      <c r="D2069" s="405" t="str">
        <f t="shared" si="258"/>
        <v>日成ビルド工業（株）</v>
      </c>
      <c r="E2069" s="405" t="str">
        <f t="shared" si="259"/>
        <v/>
      </c>
      <c r="F2069" s="405" t="str">
        <f t="shared" si="260"/>
        <v>副島　基宏</v>
      </c>
      <c r="G2069" s="405" t="str">
        <f t="shared" si="261"/>
        <v>福岡支店</v>
      </c>
      <c r="H2069" s="405" t="str">
        <f t="shared" si="262"/>
        <v>福岡市博多区博多駅前３－２２－８　朝日生命博多駅前ビル５Ｆ</v>
      </c>
      <c r="L2069" s="403" t="s">
        <v>11985</v>
      </c>
      <c r="M2069" s="403" t="s">
        <v>11986</v>
      </c>
      <c r="N2069" s="403" t="s">
        <v>5732</v>
      </c>
      <c r="O2069" s="403" t="s">
        <v>7084</v>
      </c>
      <c r="P2069" s="403" t="s">
        <v>6421</v>
      </c>
      <c r="Q2069" s="403" t="s">
        <v>11987</v>
      </c>
      <c r="R2069" s="403" t="s">
        <v>20849</v>
      </c>
      <c r="S2069" s="403" t="s">
        <v>20850</v>
      </c>
      <c r="T2069" s="403" t="s">
        <v>20851</v>
      </c>
      <c r="U2069" s="403"/>
      <c r="V2069" s="403" t="s">
        <v>7018</v>
      </c>
      <c r="W2069" s="403" t="s">
        <v>20852</v>
      </c>
      <c r="X2069" s="403" t="s">
        <v>13015</v>
      </c>
      <c r="Y2069" s="403" t="s">
        <v>20853</v>
      </c>
    </row>
    <row r="2070" spans="1:25">
      <c r="A2070" s="363">
        <f t="shared" si="263"/>
        <v>2069</v>
      </c>
      <c r="B2070" s="363" t="str">
        <f t="shared" si="256"/>
        <v>00</v>
      </c>
      <c r="C2070" s="405" t="str">
        <f t="shared" si="257"/>
        <v>第000647号</v>
      </c>
      <c r="D2070" s="405" t="str">
        <f t="shared" si="258"/>
        <v>（株）酉島製作所</v>
      </c>
      <c r="E2070" s="405" t="str">
        <f t="shared" si="259"/>
        <v/>
      </c>
      <c r="F2070" s="405" t="str">
        <f t="shared" si="260"/>
        <v>牧野　博隆</v>
      </c>
      <c r="G2070" s="405" t="str">
        <f t="shared" si="261"/>
        <v>九州支店</v>
      </c>
      <c r="H2070" s="405" t="str">
        <f t="shared" si="262"/>
        <v>福岡市中央区渡辺通２－１－８２</v>
      </c>
      <c r="L2070" s="403" t="s">
        <v>11988</v>
      </c>
      <c r="M2070" s="403" t="s">
        <v>11989</v>
      </c>
      <c r="N2070" s="403" t="s">
        <v>5733</v>
      </c>
      <c r="O2070" s="403" t="s">
        <v>7083</v>
      </c>
      <c r="P2070" s="403" t="s">
        <v>6422</v>
      </c>
      <c r="Q2070" s="403" t="s">
        <v>11990</v>
      </c>
      <c r="R2070" s="403" t="s">
        <v>20854</v>
      </c>
      <c r="S2070" s="403" t="s">
        <v>20855</v>
      </c>
      <c r="T2070" s="403" t="s">
        <v>20856</v>
      </c>
      <c r="U2070" s="403"/>
      <c r="V2070" s="403" t="s">
        <v>7007</v>
      </c>
      <c r="W2070" s="403" t="s">
        <v>17545</v>
      </c>
      <c r="X2070" s="403" t="s">
        <v>13027</v>
      </c>
      <c r="Y2070" s="403" t="s">
        <v>20857</v>
      </c>
    </row>
    <row r="2071" spans="1:25">
      <c r="A2071" s="363">
        <f t="shared" si="263"/>
        <v>2070</v>
      </c>
      <c r="B2071" s="363" t="str">
        <f t="shared" si="256"/>
        <v>00</v>
      </c>
      <c r="C2071" s="405" t="str">
        <f t="shared" si="257"/>
        <v>第000659号</v>
      </c>
      <c r="D2071" s="405" t="str">
        <f t="shared" si="258"/>
        <v>三精テクノロジーズ（株）</v>
      </c>
      <c r="E2071" s="405" t="str">
        <f t="shared" si="259"/>
        <v/>
      </c>
      <c r="F2071" s="405" t="str">
        <f t="shared" si="260"/>
        <v>倉前　純一郎</v>
      </c>
      <c r="G2071" s="405" t="str">
        <f t="shared" si="261"/>
        <v>九州営業所</v>
      </c>
      <c r="H2071" s="405" t="str">
        <f t="shared" si="262"/>
        <v>福岡市中央区天神４－１－３７</v>
      </c>
      <c r="L2071" s="403" t="s">
        <v>11991</v>
      </c>
      <c r="M2071" s="403" t="s">
        <v>11992</v>
      </c>
      <c r="N2071" s="403" t="s">
        <v>5734</v>
      </c>
      <c r="O2071" s="403" t="s">
        <v>7084</v>
      </c>
      <c r="P2071" s="403" t="s">
        <v>20858</v>
      </c>
      <c r="Q2071" s="403" t="s">
        <v>11993</v>
      </c>
      <c r="R2071" s="403" t="s">
        <v>20859</v>
      </c>
      <c r="S2071" s="403" t="s">
        <v>20860</v>
      </c>
      <c r="T2071" s="403" t="s">
        <v>20861</v>
      </c>
      <c r="U2071" s="403"/>
      <c r="V2071" s="403" t="s">
        <v>7012</v>
      </c>
      <c r="W2071" s="403" t="s">
        <v>20862</v>
      </c>
      <c r="X2071" s="403" t="s">
        <v>17517</v>
      </c>
      <c r="Y2071" s="403" t="s">
        <v>20863</v>
      </c>
    </row>
    <row r="2072" spans="1:25">
      <c r="A2072" s="363">
        <f t="shared" si="263"/>
        <v>2071</v>
      </c>
      <c r="B2072" s="363" t="str">
        <f t="shared" si="256"/>
        <v>00</v>
      </c>
      <c r="C2072" s="405" t="str">
        <f t="shared" si="257"/>
        <v>第000691号</v>
      </c>
      <c r="D2072" s="405" t="str">
        <f t="shared" si="258"/>
        <v>東洋熱工業（株）</v>
      </c>
      <c r="E2072" s="405" t="str">
        <f t="shared" si="259"/>
        <v/>
      </c>
      <c r="F2072" s="405" t="str">
        <f t="shared" si="260"/>
        <v>土屋　幹</v>
      </c>
      <c r="G2072" s="405" t="str">
        <f t="shared" si="261"/>
        <v>九州支店</v>
      </c>
      <c r="H2072" s="405" t="str">
        <f t="shared" si="262"/>
        <v>福岡市博多区博多駅前４－１３－１１</v>
      </c>
      <c r="L2072" s="403" t="s">
        <v>11994</v>
      </c>
      <c r="M2072" s="403" t="s">
        <v>11995</v>
      </c>
      <c r="N2072" s="403" t="s">
        <v>5735</v>
      </c>
      <c r="O2072" s="403" t="s">
        <v>7084</v>
      </c>
      <c r="P2072" s="403" t="s">
        <v>6423</v>
      </c>
      <c r="Q2072" s="403" t="s">
        <v>11996</v>
      </c>
      <c r="R2072" s="403" t="s">
        <v>20864</v>
      </c>
      <c r="S2072" s="403" t="s">
        <v>20865</v>
      </c>
      <c r="T2072" s="403" t="s">
        <v>20866</v>
      </c>
      <c r="U2072" s="403"/>
      <c r="V2072" s="403" t="s">
        <v>7007</v>
      </c>
      <c r="W2072" s="403" t="s">
        <v>17546</v>
      </c>
      <c r="X2072" s="403" t="s">
        <v>13015</v>
      </c>
      <c r="Y2072" s="403" t="s">
        <v>20867</v>
      </c>
    </row>
    <row r="2073" spans="1:25">
      <c r="A2073" s="363">
        <f t="shared" si="263"/>
        <v>2072</v>
      </c>
      <c r="B2073" s="363" t="str">
        <f t="shared" si="256"/>
        <v>00</v>
      </c>
      <c r="C2073" s="405" t="str">
        <f t="shared" si="257"/>
        <v>第000718号</v>
      </c>
      <c r="D2073" s="405" t="str">
        <f t="shared" si="258"/>
        <v>（株）上組</v>
      </c>
      <c r="E2073" s="405" t="str">
        <f t="shared" si="259"/>
        <v/>
      </c>
      <c r="F2073" s="405" t="str">
        <f t="shared" si="260"/>
        <v>松尾　和彦</v>
      </c>
      <c r="G2073" s="405" t="str">
        <f t="shared" si="261"/>
        <v>大分支店</v>
      </c>
      <c r="H2073" s="405" t="str">
        <f t="shared" si="262"/>
        <v>大分市向原東１－６－２</v>
      </c>
      <c r="L2073" s="403" t="s">
        <v>11997</v>
      </c>
      <c r="M2073" s="403" t="s">
        <v>11998</v>
      </c>
      <c r="N2073" s="403" t="s">
        <v>5736</v>
      </c>
      <c r="O2073" s="403" t="s">
        <v>7083</v>
      </c>
      <c r="P2073" s="403" t="s">
        <v>6424</v>
      </c>
      <c r="Q2073" s="403" t="s">
        <v>11999</v>
      </c>
      <c r="R2073" s="403" t="s">
        <v>20868</v>
      </c>
      <c r="S2073" s="403" t="s">
        <v>20869</v>
      </c>
      <c r="T2073" s="403" t="s">
        <v>20870</v>
      </c>
      <c r="U2073" s="403"/>
      <c r="V2073" s="403" t="s">
        <v>7009</v>
      </c>
      <c r="W2073" s="403" t="s">
        <v>17547</v>
      </c>
      <c r="X2073" s="403" t="s">
        <v>7336</v>
      </c>
      <c r="Y2073" s="403" t="s">
        <v>20871</v>
      </c>
    </row>
    <row r="2074" spans="1:25">
      <c r="A2074" s="363">
        <f t="shared" si="263"/>
        <v>2073</v>
      </c>
      <c r="B2074" s="363" t="str">
        <f t="shared" si="256"/>
        <v>00</v>
      </c>
      <c r="C2074" s="405" t="str">
        <f t="shared" si="257"/>
        <v>第000733号</v>
      </c>
      <c r="D2074" s="405" t="str">
        <f t="shared" si="258"/>
        <v>（株）名村造船所</v>
      </c>
      <c r="E2074" s="405" t="str">
        <f t="shared" si="259"/>
        <v/>
      </c>
      <c r="F2074" s="405" t="str">
        <f t="shared" si="260"/>
        <v>草野　慶介</v>
      </c>
      <c r="G2074" s="405" t="str">
        <f t="shared" si="261"/>
        <v>佐賀営業所</v>
      </c>
      <c r="H2074" s="405" t="str">
        <f t="shared" si="262"/>
        <v>佐賀市鍋島町大字八戸３０５６－２</v>
      </c>
      <c r="L2074" s="403" t="s">
        <v>12000</v>
      </c>
      <c r="M2074" s="403" t="s">
        <v>12001</v>
      </c>
      <c r="N2074" s="403" t="s">
        <v>5737</v>
      </c>
      <c r="O2074" s="403" t="s">
        <v>7083</v>
      </c>
      <c r="P2074" s="403" t="s">
        <v>6425</v>
      </c>
      <c r="Q2074" s="403" t="s">
        <v>12002</v>
      </c>
      <c r="R2074" s="403" t="s">
        <v>20872</v>
      </c>
      <c r="S2074" s="403" t="s">
        <v>20873</v>
      </c>
      <c r="T2074" s="403" t="s">
        <v>20874</v>
      </c>
      <c r="U2074" s="403"/>
      <c r="V2074" s="403" t="s">
        <v>7015</v>
      </c>
      <c r="W2074" s="403" t="s">
        <v>17548</v>
      </c>
      <c r="X2074" s="403" t="s">
        <v>17549</v>
      </c>
      <c r="Y2074" s="403" t="s">
        <v>20875</v>
      </c>
    </row>
    <row r="2075" spans="1:25">
      <c r="A2075" s="363">
        <f t="shared" si="263"/>
        <v>2074</v>
      </c>
      <c r="B2075" s="363" t="str">
        <f t="shared" si="256"/>
        <v>00</v>
      </c>
      <c r="C2075" s="405" t="str">
        <f t="shared" si="257"/>
        <v>第000741号</v>
      </c>
      <c r="D2075" s="405" t="str">
        <f t="shared" si="258"/>
        <v>半田電設工業（株）</v>
      </c>
      <c r="E2075" s="405" t="str">
        <f t="shared" si="259"/>
        <v/>
      </c>
      <c r="F2075" s="405" t="str">
        <f t="shared" si="260"/>
        <v>梅木　一正</v>
      </c>
      <c r="G2075" s="405" t="str">
        <f t="shared" si="261"/>
        <v>中津支店</v>
      </c>
      <c r="H2075" s="405" t="str">
        <f t="shared" si="262"/>
        <v>中津市８６６</v>
      </c>
      <c r="L2075" s="403" t="s">
        <v>12003</v>
      </c>
      <c r="M2075" s="403" t="s">
        <v>12004</v>
      </c>
      <c r="N2075" s="403" t="s">
        <v>5738</v>
      </c>
      <c r="O2075" s="403" t="s">
        <v>7084</v>
      </c>
      <c r="P2075" s="403" t="s">
        <v>6426</v>
      </c>
      <c r="Q2075" s="403" t="s">
        <v>12005</v>
      </c>
      <c r="R2075" s="403" t="s">
        <v>20876</v>
      </c>
      <c r="S2075" s="403" t="s">
        <v>20877</v>
      </c>
      <c r="T2075" s="403" t="s">
        <v>15075</v>
      </c>
      <c r="U2075" s="403"/>
      <c r="V2075" s="403" t="s">
        <v>7016</v>
      </c>
      <c r="W2075" s="403" t="s">
        <v>17550</v>
      </c>
      <c r="X2075" s="403" t="s">
        <v>8890</v>
      </c>
      <c r="Y2075" s="403" t="s">
        <v>7074</v>
      </c>
    </row>
    <row r="2076" spans="1:25">
      <c r="A2076" s="363">
        <f t="shared" si="263"/>
        <v>2075</v>
      </c>
      <c r="B2076" s="363" t="str">
        <f t="shared" si="256"/>
        <v>00</v>
      </c>
      <c r="C2076" s="405" t="str">
        <f t="shared" si="257"/>
        <v>第000774号</v>
      </c>
      <c r="D2076" s="405" t="str">
        <f t="shared" si="258"/>
        <v>前澤工業（株）</v>
      </c>
      <c r="E2076" s="405" t="str">
        <f t="shared" si="259"/>
        <v/>
      </c>
      <c r="F2076" s="405" t="str">
        <f t="shared" si="260"/>
        <v>関根　崇晶</v>
      </c>
      <c r="G2076" s="405" t="str">
        <f t="shared" si="261"/>
        <v>九州支店</v>
      </c>
      <c r="H2076" s="405" t="str">
        <f t="shared" si="262"/>
        <v>福岡市中央区天神１－１５－６</v>
      </c>
      <c r="L2076" s="403" t="s">
        <v>12006</v>
      </c>
      <c r="M2076" s="403" t="s">
        <v>12007</v>
      </c>
      <c r="N2076" s="403" t="s">
        <v>5739</v>
      </c>
      <c r="O2076" s="403" t="s">
        <v>7084</v>
      </c>
      <c r="P2076" s="403" t="s">
        <v>6427</v>
      </c>
      <c r="Q2076" s="403" t="s">
        <v>12008</v>
      </c>
      <c r="R2076" s="403" t="s">
        <v>20878</v>
      </c>
      <c r="S2076" s="403" t="s">
        <v>20879</v>
      </c>
      <c r="T2076" s="403" t="s">
        <v>20880</v>
      </c>
      <c r="U2076" s="403"/>
      <c r="V2076" s="403" t="s">
        <v>7007</v>
      </c>
      <c r="W2076" s="403" t="s">
        <v>20881</v>
      </c>
      <c r="X2076" s="403" t="s">
        <v>17517</v>
      </c>
      <c r="Y2076" s="403" t="s">
        <v>20882</v>
      </c>
    </row>
    <row r="2077" spans="1:25">
      <c r="A2077" s="363">
        <f t="shared" si="263"/>
        <v>2076</v>
      </c>
      <c r="B2077" s="363" t="str">
        <f t="shared" si="256"/>
        <v>00</v>
      </c>
      <c r="C2077" s="405" t="str">
        <f t="shared" si="257"/>
        <v>第000819号</v>
      </c>
      <c r="D2077" s="405" t="str">
        <f t="shared" si="258"/>
        <v>池上通信機（株）</v>
      </c>
      <c r="E2077" s="405" t="str">
        <f t="shared" si="259"/>
        <v>代表取締役社長</v>
      </c>
      <c r="F2077" s="405" t="str">
        <f t="shared" si="260"/>
        <v>清森　洋祐</v>
      </c>
      <c r="G2077" s="405" t="str">
        <f t="shared" si="261"/>
        <v>主たる営業所</v>
      </c>
      <c r="H2077" s="405" t="str">
        <f t="shared" si="262"/>
        <v>大田区池上５－６－１６</v>
      </c>
      <c r="L2077" s="403" t="s">
        <v>12009</v>
      </c>
      <c r="M2077" s="403" t="s">
        <v>12010</v>
      </c>
      <c r="N2077" s="403" t="s">
        <v>5740</v>
      </c>
      <c r="O2077" s="403" t="s">
        <v>7083</v>
      </c>
      <c r="P2077" s="403" t="s">
        <v>6428</v>
      </c>
      <c r="Q2077" s="403" t="s">
        <v>12011</v>
      </c>
      <c r="R2077" s="403" t="s">
        <v>20883</v>
      </c>
      <c r="S2077" s="403" t="s">
        <v>17551</v>
      </c>
      <c r="T2077" s="403" t="s">
        <v>17552</v>
      </c>
      <c r="U2077" s="403"/>
      <c r="V2077" s="403" t="s">
        <v>23024</v>
      </c>
      <c r="W2077" s="403" t="s">
        <v>23024</v>
      </c>
      <c r="X2077" s="403" t="s">
        <v>23024</v>
      </c>
      <c r="Y2077" s="403" t="s">
        <v>23024</v>
      </c>
    </row>
    <row r="2078" spans="1:25">
      <c r="A2078" s="363">
        <f t="shared" si="263"/>
        <v>2077</v>
      </c>
      <c r="B2078" s="363" t="str">
        <f t="shared" si="256"/>
        <v>00</v>
      </c>
      <c r="C2078" s="405" t="str">
        <f t="shared" si="257"/>
        <v>第000820号</v>
      </c>
      <c r="D2078" s="405" t="str">
        <f t="shared" si="258"/>
        <v>新光産業（株）</v>
      </c>
      <c r="E2078" s="405" t="str">
        <f t="shared" si="259"/>
        <v>代表取締役社長</v>
      </c>
      <c r="F2078" s="405" t="str">
        <f t="shared" si="260"/>
        <v>沖　将介</v>
      </c>
      <c r="G2078" s="405" t="str">
        <f t="shared" si="261"/>
        <v>主たる営業所</v>
      </c>
      <c r="H2078" s="405" t="str">
        <f t="shared" si="262"/>
        <v>宇部市厚南中央２－１－１４</v>
      </c>
      <c r="L2078" s="403" t="s">
        <v>12012</v>
      </c>
      <c r="M2078" s="403" t="s">
        <v>12013</v>
      </c>
      <c r="N2078" s="403" t="s">
        <v>5741</v>
      </c>
      <c r="O2078" s="403" t="s">
        <v>7083</v>
      </c>
      <c r="P2078" s="403" t="s">
        <v>6429</v>
      </c>
      <c r="Q2078" s="403" t="s">
        <v>12014</v>
      </c>
      <c r="R2078" s="403" t="s">
        <v>20884</v>
      </c>
      <c r="S2078" s="403" t="s">
        <v>17553</v>
      </c>
      <c r="T2078" s="403" t="s">
        <v>17554</v>
      </c>
      <c r="U2078" s="403"/>
      <c r="V2078" s="403" t="s">
        <v>23024</v>
      </c>
      <c r="W2078" s="403" t="s">
        <v>23024</v>
      </c>
      <c r="X2078" s="403" t="s">
        <v>23024</v>
      </c>
      <c r="Y2078" s="403" t="s">
        <v>23024</v>
      </c>
    </row>
    <row r="2079" spans="1:25">
      <c r="A2079" s="363">
        <f t="shared" si="263"/>
        <v>2078</v>
      </c>
      <c r="B2079" s="363" t="str">
        <f t="shared" si="256"/>
        <v>00</v>
      </c>
      <c r="C2079" s="405" t="str">
        <f t="shared" si="257"/>
        <v>第000841号</v>
      </c>
      <c r="D2079" s="405" t="str">
        <f t="shared" si="258"/>
        <v>昭和コンクリート工業（株）</v>
      </c>
      <c r="E2079" s="405" t="str">
        <f t="shared" si="259"/>
        <v/>
      </c>
      <c r="F2079" s="405" t="str">
        <f t="shared" si="260"/>
        <v>藤内　敬士</v>
      </c>
      <c r="G2079" s="405" t="str">
        <f t="shared" si="261"/>
        <v>大分営業所</v>
      </c>
      <c r="H2079" s="405" t="str">
        <f t="shared" si="262"/>
        <v>大分市舞鶴町１－３－３０</v>
      </c>
      <c r="L2079" s="403" t="s">
        <v>12015</v>
      </c>
      <c r="M2079" s="403" t="s">
        <v>12016</v>
      </c>
      <c r="N2079" s="403" t="s">
        <v>5742</v>
      </c>
      <c r="O2079" s="403" t="s">
        <v>7084</v>
      </c>
      <c r="P2079" s="403" t="s">
        <v>6430</v>
      </c>
      <c r="Q2079" s="403" t="s">
        <v>12017</v>
      </c>
      <c r="R2079" s="403" t="s">
        <v>20885</v>
      </c>
      <c r="S2079" s="403" t="s">
        <v>20886</v>
      </c>
      <c r="T2079" s="403" t="s">
        <v>20887</v>
      </c>
      <c r="U2079" s="403"/>
      <c r="V2079" s="403" t="s">
        <v>7013</v>
      </c>
      <c r="W2079" s="403" t="s">
        <v>17555</v>
      </c>
      <c r="X2079" s="403" t="s">
        <v>7282</v>
      </c>
      <c r="Y2079" s="403" t="s">
        <v>20888</v>
      </c>
    </row>
    <row r="2080" spans="1:25">
      <c r="A2080" s="363">
        <f t="shared" si="263"/>
        <v>2079</v>
      </c>
      <c r="B2080" s="363" t="str">
        <f t="shared" si="256"/>
        <v>00</v>
      </c>
      <c r="C2080" s="405" t="str">
        <f t="shared" si="257"/>
        <v>第000851号</v>
      </c>
      <c r="D2080" s="405" t="str">
        <f t="shared" si="258"/>
        <v>大成設備（株）</v>
      </c>
      <c r="E2080" s="405" t="str">
        <f t="shared" si="259"/>
        <v/>
      </c>
      <c r="F2080" s="405" t="str">
        <f t="shared" si="260"/>
        <v>愛川　文久</v>
      </c>
      <c r="G2080" s="405" t="str">
        <f t="shared" si="261"/>
        <v>九州支店</v>
      </c>
      <c r="H2080" s="405" t="str">
        <f t="shared" si="262"/>
        <v>福岡市博多区住吉４－１－２７</v>
      </c>
      <c r="L2080" s="403" t="s">
        <v>12018</v>
      </c>
      <c r="M2080" s="403" t="s">
        <v>12019</v>
      </c>
      <c r="N2080" s="403" t="s">
        <v>5743</v>
      </c>
      <c r="O2080" s="403" t="s">
        <v>7083</v>
      </c>
      <c r="P2080" s="403" t="s">
        <v>6431</v>
      </c>
      <c r="Q2080" s="403" t="s">
        <v>12020</v>
      </c>
      <c r="R2080" s="403" t="s">
        <v>20889</v>
      </c>
      <c r="S2080" s="403" t="s">
        <v>20890</v>
      </c>
      <c r="T2080" s="403" t="s">
        <v>20891</v>
      </c>
      <c r="U2080" s="403"/>
      <c r="V2080" s="403" t="s">
        <v>7007</v>
      </c>
      <c r="W2080" s="403" t="s">
        <v>20892</v>
      </c>
      <c r="X2080" s="403" t="s">
        <v>17556</v>
      </c>
      <c r="Y2080" s="403" t="s">
        <v>20797</v>
      </c>
    </row>
    <row r="2081" spans="1:25">
      <c r="A2081" s="363">
        <f t="shared" si="263"/>
        <v>2080</v>
      </c>
      <c r="B2081" s="363" t="str">
        <f t="shared" si="256"/>
        <v>00</v>
      </c>
      <c r="C2081" s="405" t="str">
        <f t="shared" si="257"/>
        <v>第000858号</v>
      </c>
      <c r="D2081" s="405" t="str">
        <f t="shared" si="258"/>
        <v>寄神建設（株）</v>
      </c>
      <c r="E2081" s="405" t="str">
        <f t="shared" si="259"/>
        <v/>
      </c>
      <c r="F2081" s="405" t="str">
        <f t="shared" si="260"/>
        <v>樫原　毅</v>
      </c>
      <c r="G2081" s="405" t="str">
        <f t="shared" si="261"/>
        <v>九州支店</v>
      </c>
      <c r="H2081" s="405" t="str">
        <f t="shared" si="262"/>
        <v>福岡市南区井尻３－１５－１２</v>
      </c>
      <c r="L2081" s="403" t="s">
        <v>12021</v>
      </c>
      <c r="M2081" s="403" t="s">
        <v>12022</v>
      </c>
      <c r="N2081" s="403" t="s">
        <v>5744</v>
      </c>
      <c r="O2081" s="403" t="s">
        <v>7089</v>
      </c>
      <c r="P2081" s="403" t="s">
        <v>20893</v>
      </c>
      <c r="Q2081" s="403" t="s">
        <v>12023</v>
      </c>
      <c r="R2081" s="403" t="s">
        <v>20894</v>
      </c>
      <c r="S2081" s="403" t="s">
        <v>20895</v>
      </c>
      <c r="T2081" s="403" t="s">
        <v>20896</v>
      </c>
      <c r="U2081" s="403"/>
      <c r="V2081" s="403" t="s">
        <v>7007</v>
      </c>
      <c r="W2081" s="403" t="s">
        <v>17557</v>
      </c>
      <c r="X2081" s="403" t="s">
        <v>12837</v>
      </c>
      <c r="Y2081" s="403" t="s">
        <v>20897</v>
      </c>
    </row>
    <row r="2082" spans="1:25">
      <c r="A2082" s="363">
        <f t="shared" si="263"/>
        <v>2081</v>
      </c>
      <c r="B2082" s="363" t="str">
        <f t="shared" si="256"/>
        <v>00</v>
      </c>
      <c r="C2082" s="405" t="str">
        <f t="shared" si="257"/>
        <v>第000873号</v>
      </c>
      <c r="D2082" s="405" t="str">
        <f t="shared" si="258"/>
        <v>大橋エアシステム（株）</v>
      </c>
      <c r="E2082" s="405" t="str">
        <f t="shared" si="259"/>
        <v>代表取締役社長</v>
      </c>
      <c r="F2082" s="405" t="str">
        <f t="shared" si="260"/>
        <v>井上　久行</v>
      </c>
      <c r="G2082" s="405" t="str">
        <f t="shared" si="261"/>
        <v>主たる営業所</v>
      </c>
      <c r="H2082" s="405" t="str">
        <f t="shared" si="262"/>
        <v>福岡市中央区薬院２－３－４１</v>
      </c>
      <c r="L2082" s="403" t="s">
        <v>12024</v>
      </c>
      <c r="M2082" s="403" t="s">
        <v>12025</v>
      </c>
      <c r="N2082" s="403" t="s">
        <v>5745</v>
      </c>
      <c r="O2082" s="403" t="s">
        <v>7083</v>
      </c>
      <c r="P2082" s="403" t="s">
        <v>6432</v>
      </c>
      <c r="Q2082" s="403" t="s">
        <v>12026</v>
      </c>
      <c r="R2082" s="403" t="s">
        <v>20898</v>
      </c>
      <c r="S2082" s="403" t="s">
        <v>17558</v>
      </c>
      <c r="T2082" s="403" t="s">
        <v>17559</v>
      </c>
      <c r="U2082" s="403"/>
      <c r="V2082" s="403" t="s">
        <v>23024</v>
      </c>
      <c r="W2082" s="403" t="s">
        <v>23024</v>
      </c>
      <c r="X2082" s="403" t="s">
        <v>23024</v>
      </c>
      <c r="Y2082" s="403" t="s">
        <v>23024</v>
      </c>
    </row>
    <row r="2083" spans="1:25">
      <c r="A2083" s="363">
        <f t="shared" si="263"/>
        <v>2082</v>
      </c>
      <c r="B2083" s="363" t="str">
        <f t="shared" si="256"/>
        <v>00</v>
      </c>
      <c r="C2083" s="405" t="str">
        <f t="shared" si="257"/>
        <v>第000882号</v>
      </c>
      <c r="D2083" s="405" t="str">
        <f t="shared" si="258"/>
        <v>日新興業（株）</v>
      </c>
      <c r="E2083" s="405" t="str">
        <f t="shared" si="259"/>
        <v/>
      </c>
      <c r="F2083" s="405" t="str">
        <f t="shared" si="260"/>
        <v>福島　洋幸</v>
      </c>
      <c r="G2083" s="405" t="str">
        <f t="shared" si="261"/>
        <v>大分営業所</v>
      </c>
      <c r="H2083" s="405" t="str">
        <f t="shared" si="262"/>
        <v>大分市西新地１－５－３２</v>
      </c>
      <c r="L2083" s="403" t="s">
        <v>12027</v>
      </c>
      <c r="M2083" s="403" t="s">
        <v>12028</v>
      </c>
      <c r="N2083" s="403" t="s">
        <v>5746</v>
      </c>
      <c r="O2083" s="403" t="s">
        <v>7084</v>
      </c>
      <c r="P2083" s="403" t="s">
        <v>6433</v>
      </c>
      <c r="Q2083" s="403" t="s">
        <v>12029</v>
      </c>
      <c r="R2083" s="403" t="s">
        <v>20899</v>
      </c>
      <c r="S2083" s="403" t="s">
        <v>20900</v>
      </c>
      <c r="T2083" s="403" t="s">
        <v>20901</v>
      </c>
      <c r="U2083" s="403"/>
      <c r="V2083" s="403" t="s">
        <v>7013</v>
      </c>
      <c r="W2083" s="403" t="s">
        <v>17560</v>
      </c>
      <c r="X2083" s="403" t="s">
        <v>7339</v>
      </c>
      <c r="Y2083" s="403" t="s">
        <v>20902</v>
      </c>
    </row>
    <row r="2084" spans="1:25">
      <c r="A2084" s="363">
        <f t="shared" si="263"/>
        <v>2083</v>
      </c>
      <c r="B2084" s="363" t="str">
        <f t="shared" si="256"/>
        <v>00</v>
      </c>
      <c r="C2084" s="405" t="str">
        <f t="shared" si="257"/>
        <v>第000887号</v>
      </c>
      <c r="D2084" s="405" t="str">
        <f t="shared" si="258"/>
        <v>九築工業（株）</v>
      </c>
      <c r="E2084" s="405" t="str">
        <f t="shared" si="259"/>
        <v>代表取締役</v>
      </c>
      <c r="F2084" s="405" t="str">
        <f t="shared" si="260"/>
        <v>山田　泰郎</v>
      </c>
      <c r="G2084" s="405" t="str">
        <f t="shared" si="261"/>
        <v>主たる営業所</v>
      </c>
      <c r="H2084" s="405" t="str">
        <f t="shared" si="262"/>
        <v>北九州市八幡東区山王１－９－１０</v>
      </c>
      <c r="L2084" s="403" t="s">
        <v>12030</v>
      </c>
      <c r="M2084" s="403" t="s">
        <v>12031</v>
      </c>
      <c r="N2084" s="403" t="s">
        <v>5747</v>
      </c>
      <c r="O2084" s="403" t="s">
        <v>7084</v>
      </c>
      <c r="P2084" s="403" t="s">
        <v>6434</v>
      </c>
      <c r="Q2084" s="403" t="s">
        <v>12032</v>
      </c>
      <c r="R2084" s="403" t="s">
        <v>20903</v>
      </c>
      <c r="S2084" s="403" t="s">
        <v>17561</v>
      </c>
      <c r="T2084" s="403" t="s">
        <v>17562</v>
      </c>
      <c r="U2084" s="403"/>
      <c r="V2084" s="403" t="s">
        <v>23024</v>
      </c>
      <c r="W2084" s="403" t="s">
        <v>23024</v>
      </c>
      <c r="X2084" s="403" t="s">
        <v>23024</v>
      </c>
      <c r="Y2084" s="403" t="s">
        <v>23024</v>
      </c>
    </row>
    <row r="2085" spans="1:25">
      <c r="A2085" s="363">
        <f t="shared" si="263"/>
        <v>2084</v>
      </c>
      <c r="B2085" s="363" t="str">
        <f t="shared" si="256"/>
        <v>00</v>
      </c>
      <c r="C2085" s="405" t="str">
        <f t="shared" si="257"/>
        <v>第000909号</v>
      </c>
      <c r="D2085" s="405" t="str">
        <f t="shared" si="258"/>
        <v>清本鉄工（株）</v>
      </c>
      <c r="E2085" s="405" t="str">
        <f t="shared" si="259"/>
        <v>代表取締役社長</v>
      </c>
      <c r="F2085" s="405" t="str">
        <f t="shared" si="260"/>
        <v>清本　邦夫</v>
      </c>
      <c r="G2085" s="405" t="str">
        <f t="shared" si="261"/>
        <v>主たる営業所</v>
      </c>
      <c r="H2085" s="405" t="str">
        <f t="shared" si="262"/>
        <v>延岡市土々呂町６－１６３３</v>
      </c>
      <c r="L2085" s="403" t="s">
        <v>12033</v>
      </c>
      <c r="M2085" s="403" t="s">
        <v>12034</v>
      </c>
      <c r="N2085" s="403" t="s">
        <v>5748</v>
      </c>
      <c r="O2085" s="403" t="s">
        <v>7083</v>
      </c>
      <c r="P2085" s="403" t="s">
        <v>6435</v>
      </c>
      <c r="Q2085" s="403" t="s">
        <v>12035</v>
      </c>
      <c r="R2085" s="403" t="s">
        <v>20904</v>
      </c>
      <c r="S2085" s="403" t="s">
        <v>17563</v>
      </c>
      <c r="T2085" s="403" t="s">
        <v>17564</v>
      </c>
      <c r="U2085" s="403"/>
      <c r="V2085" s="403" t="s">
        <v>23024</v>
      </c>
      <c r="W2085" s="403" t="s">
        <v>23024</v>
      </c>
      <c r="X2085" s="403" t="s">
        <v>23024</v>
      </c>
      <c r="Y2085" s="403" t="s">
        <v>23024</v>
      </c>
    </row>
    <row r="2086" spans="1:25">
      <c r="A2086" s="363">
        <f t="shared" si="263"/>
        <v>2085</v>
      </c>
      <c r="B2086" s="363" t="str">
        <f t="shared" si="256"/>
        <v>00</v>
      </c>
      <c r="C2086" s="405" t="str">
        <f t="shared" si="257"/>
        <v>第000927号</v>
      </c>
      <c r="D2086" s="405" t="str">
        <f t="shared" si="258"/>
        <v>（株）太平エンジニアリング</v>
      </c>
      <c r="E2086" s="405" t="str">
        <f t="shared" si="259"/>
        <v/>
      </c>
      <c r="F2086" s="405" t="str">
        <f t="shared" si="260"/>
        <v>森山　哲也</v>
      </c>
      <c r="G2086" s="405" t="str">
        <f t="shared" si="261"/>
        <v>九州支店</v>
      </c>
      <c r="H2086" s="405" t="str">
        <f t="shared" si="262"/>
        <v>福岡市博多区東那珂１－１３－５３</v>
      </c>
      <c r="L2086" s="403" t="s">
        <v>12036</v>
      </c>
      <c r="M2086" s="403" t="s">
        <v>12037</v>
      </c>
      <c r="N2086" s="403" t="s">
        <v>5749</v>
      </c>
      <c r="O2086" s="403" t="s">
        <v>7083</v>
      </c>
      <c r="P2086" s="403" t="s">
        <v>6436</v>
      </c>
      <c r="Q2086" s="403" t="s">
        <v>12038</v>
      </c>
      <c r="R2086" s="403" t="s">
        <v>20905</v>
      </c>
      <c r="S2086" s="403" t="s">
        <v>20906</v>
      </c>
      <c r="T2086" s="403" t="s">
        <v>20907</v>
      </c>
      <c r="U2086" s="403"/>
      <c r="V2086" s="403" t="s">
        <v>7007</v>
      </c>
      <c r="W2086" s="403" t="s">
        <v>20908</v>
      </c>
      <c r="X2086" s="403" t="s">
        <v>13159</v>
      </c>
      <c r="Y2086" s="403" t="s">
        <v>20909</v>
      </c>
    </row>
    <row r="2087" spans="1:25">
      <c r="A2087" s="363">
        <f t="shared" si="263"/>
        <v>2086</v>
      </c>
      <c r="B2087" s="363" t="str">
        <f t="shared" si="256"/>
        <v>00</v>
      </c>
      <c r="C2087" s="405" t="str">
        <f t="shared" si="257"/>
        <v>第000931号</v>
      </c>
      <c r="D2087" s="405" t="str">
        <f t="shared" si="258"/>
        <v>丸茂電機（株）</v>
      </c>
      <c r="E2087" s="405" t="str">
        <f t="shared" si="259"/>
        <v/>
      </c>
      <c r="F2087" s="405" t="str">
        <f t="shared" si="260"/>
        <v>江森　清</v>
      </c>
      <c r="G2087" s="405" t="str">
        <f t="shared" si="261"/>
        <v>福岡営業所</v>
      </c>
      <c r="H2087" s="405" t="str">
        <f t="shared" si="262"/>
        <v>福岡市中央区大名１－１４－４５</v>
      </c>
      <c r="L2087" s="403" t="s">
        <v>12039</v>
      </c>
      <c r="M2087" s="403" t="s">
        <v>12040</v>
      </c>
      <c r="N2087" s="403" t="s">
        <v>5750</v>
      </c>
      <c r="O2087" s="403" t="s">
        <v>7084</v>
      </c>
      <c r="P2087" s="403" t="s">
        <v>6437</v>
      </c>
      <c r="Q2087" s="403" t="s">
        <v>12041</v>
      </c>
      <c r="R2087" s="403" t="s">
        <v>20910</v>
      </c>
      <c r="S2087" s="403" t="s">
        <v>20911</v>
      </c>
      <c r="T2087" s="403" t="s">
        <v>20912</v>
      </c>
      <c r="U2087" s="403"/>
      <c r="V2087" s="403" t="s">
        <v>7010</v>
      </c>
      <c r="W2087" s="403" t="s">
        <v>17565</v>
      </c>
      <c r="X2087" s="403" t="s">
        <v>13390</v>
      </c>
      <c r="Y2087" s="403" t="s">
        <v>20913</v>
      </c>
    </row>
    <row r="2088" spans="1:25">
      <c r="A2088" s="363">
        <f t="shared" si="263"/>
        <v>2087</v>
      </c>
      <c r="B2088" s="363" t="str">
        <f t="shared" si="256"/>
        <v>00</v>
      </c>
      <c r="C2088" s="405" t="str">
        <f t="shared" si="257"/>
        <v>第000959号</v>
      </c>
      <c r="D2088" s="405" t="str">
        <f t="shared" si="258"/>
        <v>（株）ＳＹＳＫＥＮ</v>
      </c>
      <c r="E2088" s="405" t="str">
        <f t="shared" si="259"/>
        <v/>
      </c>
      <c r="F2088" s="405" t="str">
        <f t="shared" si="260"/>
        <v>内藤　修一</v>
      </c>
      <c r="G2088" s="405" t="str">
        <f t="shared" si="261"/>
        <v>大分支店</v>
      </c>
      <c r="H2088" s="405" t="str">
        <f t="shared" si="262"/>
        <v>大分市西新地２－５－４</v>
      </c>
      <c r="L2088" s="403" t="s">
        <v>12042</v>
      </c>
      <c r="M2088" s="403" t="s">
        <v>12043</v>
      </c>
      <c r="N2088" s="403" t="s">
        <v>5751</v>
      </c>
      <c r="O2088" s="403" t="s">
        <v>7083</v>
      </c>
      <c r="P2088" s="403" t="s">
        <v>6438</v>
      </c>
      <c r="Q2088" s="403" t="s">
        <v>12044</v>
      </c>
      <c r="R2088" s="403" t="s">
        <v>20914</v>
      </c>
      <c r="S2088" s="403" t="s">
        <v>20915</v>
      </c>
      <c r="T2088" s="403" t="s">
        <v>20916</v>
      </c>
      <c r="U2088" s="403"/>
      <c r="V2088" s="403" t="s">
        <v>7009</v>
      </c>
      <c r="W2088" s="403" t="s">
        <v>20917</v>
      </c>
      <c r="X2088" s="403" t="s">
        <v>7339</v>
      </c>
      <c r="Y2088" s="403" t="s">
        <v>20918</v>
      </c>
    </row>
    <row r="2089" spans="1:25">
      <c r="A2089" s="363">
        <f t="shared" si="263"/>
        <v>2088</v>
      </c>
      <c r="B2089" s="363" t="str">
        <f t="shared" si="256"/>
        <v>00</v>
      </c>
      <c r="C2089" s="405" t="str">
        <f t="shared" si="257"/>
        <v>第001000号</v>
      </c>
      <c r="D2089" s="405" t="str">
        <f t="shared" si="258"/>
        <v>日本国土開発（株）</v>
      </c>
      <c r="E2089" s="405" t="str">
        <f t="shared" si="259"/>
        <v/>
      </c>
      <c r="F2089" s="405" t="str">
        <f t="shared" si="260"/>
        <v>草野　康成</v>
      </c>
      <c r="G2089" s="405" t="str">
        <f t="shared" si="261"/>
        <v>九州支店</v>
      </c>
      <c r="H2089" s="405" t="str">
        <f t="shared" si="262"/>
        <v>福岡市博多区上呉服町１０－１</v>
      </c>
      <c r="L2089" s="403" t="s">
        <v>12045</v>
      </c>
      <c r="M2089" s="403" t="s">
        <v>9455</v>
      </c>
      <c r="N2089" s="403" t="s">
        <v>5752</v>
      </c>
      <c r="O2089" s="403" t="s">
        <v>7083</v>
      </c>
      <c r="P2089" s="403" t="s">
        <v>6439</v>
      </c>
      <c r="Q2089" s="403" t="s">
        <v>12046</v>
      </c>
      <c r="R2089" s="403" t="s">
        <v>20919</v>
      </c>
      <c r="S2089" s="403" t="s">
        <v>20920</v>
      </c>
      <c r="T2089" s="403" t="s">
        <v>20921</v>
      </c>
      <c r="U2089" s="403"/>
      <c r="V2089" s="403" t="s">
        <v>7007</v>
      </c>
      <c r="W2089" s="403" t="s">
        <v>20922</v>
      </c>
      <c r="X2089" s="403" t="s">
        <v>12874</v>
      </c>
      <c r="Y2089" s="403" t="s">
        <v>20770</v>
      </c>
    </row>
    <row r="2090" spans="1:25">
      <c r="A2090" s="363">
        <f t="shared" si="263"/>
        <v>2089</v>
      </c>
      <c r="B2090" s="363" t="str">
        <f t="shared" si="256"/>
        <v>00</v>
      </c>
      <c r="C2090" s="405" t="str">
        <f t="shared" si="257"/>
        <v>第001059号</v>
      </c>
      <c r="D2090" s="405" t="str">
        <f t="shared" si="258"/>
        <v>（株）乃村工藝社</v>
      </c>
      <c r="E2090" s="405" t="str">
        <f t="shared" si="259"/>
        <v>代表取締役　社長執行役員</v>
      </c>
      <c r="F2090" s="405" t="str">
        <f t="shared" si="260"/>
        <v>奥本　清孝</v>
      </c>
      <c r="G2090" s="405" t="str">
        <f t="shared" si="261"/>
        <v>主たる営業所</v>
      </c>
      <c r="H2090" s="405" t="str">
        <f t="shared" si="262"/>
        <v>港区台場２－３－４</v>
      </c>
      <c r="L2090" s="403" t="s">
        <v>12047</v>
      </c>
      <c r="M2090" s="403" t="s">
        <v>12048</v>
      </c>
      <c r="N2090" s="403" t="s">
        <v>5753</v>
      </c>
      <c r="O2090" s="403" t="s">
        <v>7093</v>
      </c>
      <c r="P2090" s="403" t="s">
        <v>6440</v>
      </c>
      <c r="Q2090" s="403" t="s">
        <v>12049</v>
      </c>
      <c r="R2090" s="403" t="s">
        <v>20923</v>
      </c>
      <c r="S2090" s="403" t="s">
        <v>17566</v>
      </c>
      <c r="T2090" s="403" t="s">
        <v>17567</v>
      </c>
      <c r="U2090" s="403"/>
      <c r="V2090" s="403" t="s">
        <v>23024</v>
      </c>
      <c r="W2090" s="403" t="s">
        <v>23024</v>
      </c>
      <c r="X2090" s="403" t="s">
        <v>23024</v>
      </c>
      <c r="Y2090" s="403" t="s">
        <v>23024</v>
      </c>
    </row>
    <row r="2091" spans="1:25">
      <c r="A2091" s="363">
        <f t="shared" si="263"/>
        <v>2090</v>
      </c>
      <c r="B2091" s="363" t="str">
        <f t="shared" si="256"/>
        <v>00</v>
      </c>
      <c r="C2091" s="405" t="str">
        <f t="shared" si="257"/>
        <v>第001073号</v>
      </c>
      <c r="D2091" s="405" t="str">
        <f t="shared" si="258"/>
        <v>（株）佐電工</v>
      </c>
      <c r="E2091" s="405" t="str">
        <f t="shared" si="259"/>
        <v>代表取締役社長</v>
      </c>
      <c r="F2091" s="405" t="str">
        <f t="shared" si="260"/>
        <v>岩下　雅之</v>
      </c>
      <c r="G2091" s="405" t="str">
        <f t="shared" si="261"/>
        <v>主たる営業所</v>
      </c>
      <c r="H2091" s="405" t="str">
        <f t="shared" si="262"/>
        <v>佐賀市天神１－４－３</v>
      </c>
      <c r="L2091" s="403" t="s">
        <v>12050</v>
      </c>
      <c r="M2091" s="403" t="s">
        <v>12051</v>
      </c>
      <c r="N2091" s="403" t="s">
        <v>5754</v>
      </c>
      <c r="O2091" s="403" t="s">
        <v>7083</v>
      </c>
      <c r="P2091" s="403" t="s">
        <v>6441</v>
      </c>
      <c r="Q2091" s="403" t="s">
        <v>12052</v>
      </c>
      <c r="R2091" s="403" t="s">
        <v>20924</v>
      </c>
      <c r="S2091" s="403" t="s">
        <v>17568</v>
      </c>
      <c r="T2091" s="403" t="s">
        <v>17569</v>
      </c>
      <c r="U2091" s="403"/>
      <c r="V2091" s="403" t="s">
        <v>23024</v>
      </c>
      <c r="W2091" s="403" t="s">
        <v>23024</v>
      </c>
      <c r="X2091" s="403" t="s">
        <v>23024</v>
      </c>
      <c r="Y2091" s="403" t="s">
        <v>23024</v>
      </c>
    </row>
    <row r="2092" spans="1:25">
      <c r="A2092" s="363">
        <f t="shared" si="263"/>
        <v>2091</v>
      </c>
      <c r="B2092" s="363" t="str">
        <f t="shared" si="256"/>
        <v>00</v>
      </c>
      <c r="C2092" s="405" t="str">
        <f t="shared" si="257"/>
        <v>第001088号</v>
      </c>
      <c r="D2092" s="405" t="str">
        <f t="shared" si="258"/>
        <v>野里電気工業（株）</v>
      </c>
      <c r="E2092" s="405" t="str">
        <f t="shared" si="259"/>
        <v/>
      </c>
      <c r="F2092" s="405" t="str">
        <f t="shared" si="260"/>
        <v>宮崎　秀和</v>
      </c>
      <c r="G2092" s="405" t="str">
        <f t="shared" si="261"/>
        <v>九州支店</v>
      </c>
      <c r="H2092" s="405" t="str">
        <f t="shared" si="262"/>
        <v>北九州市八幡西区陣原３－２６－１０</v>
      </c>
      <c r="L2092" s="403" t="s">
        <v>12053</v>
      </c>
      <c r="M2092" s="403" t="s">
        <v>12054</v>
      </c>
      <c r="N2092" s="403" t="s">
        <v>5755</v>
      </c>
      <c r="O2092" s="403" t="s">
        <v>7084</v>
      </c>
      <c r="P2092" s="403" t="s">
        <v>6442</v>
      </c>
      <c r="Q2092" s="403" t="s">
        <v>12055</v>
      </c>
      <c r="R2092" s="403" t="s">
        <v>20925</v>
      </c>
      <c r="S2092" s="403" t="s">
        <v>20926</v>
      </c>
      <c r="T2092" s="403" t="s">
        <v>20927</v>
      </c>
      <c r="U2092" s="403"/>
      <c r="V2092" s="403" t="s">
        <v>7007</v>
      </c>
      <c r="W2092" s="403" t="s">
        <v>17570</v>
      </c>
      <c r="X2092" s="403" t="s">
        <v>17571</v>
      </c>
      <c r="Y2092" s="403" t="s">
        <v>20928</v>
      </c>
    </row>
    <row r="2093" spans="1:25">
      <c r="A2093" s="363">
        <f t="shared" si="263"/>
        <v>2092</v>
      </c>
      <c r="B2093" s="363" t="str">
        <f t="shared" si="256"/>
        <v>00</v>
      </c>
      <c r="C2093" s="405" t="str">
        <f t="shared" si="257"/>
        <v>第001100号</v>
      </c>
      <c r="D2093" s="405" t="str">
        <f t="shared" si="258"/>
        <v>西松建設（株）</v>
      </c>
      <c r="E2093" s="405" t="str">
        <f t="shared" si="259"/>
        <v/>
      </c>
      <c r="F2093" s="405" t="str">
        <f t="shared" si="260"/>
        <v>高橋　一太</v>
      </c>
      <c r="G2093" s="405" t="str">
        <f t="shared" si="261"/>
        <v>九州支社</v>
      </c>
      <c r="H2093" s="405" t="str">
        <f t="shared" si="262"/>
        <v>福岡市中央区薬院１－１４－５</v>
      </c>
      <c r="L2093" s="403" t="s">
        <v>12056</v>
      </c>
      <c r="M2093" s="403" t="s">
        <v>12057</v>
      </c>
      <c r="N2093" s="403" t="s">
        <v>5756</v>
      </c>
      <c r="O2093" s="403" t="s">
        <v>7083</v>
      </c>
      <c r="P2093" s="403" t="s">
        <v>6443</v>
      </c>
      <c r="Q2093" s="403" t="s">
        <v>12058</v>
      </c>
      <c r="R2093" s="403" t="s">
        <v>20929</v>
      </c>
      <c r="S2093" s="403" t="s">
        <v>20930</v>
      </c>
      <c r="T2093" s="403" t="s">
        <v>20931</v>
      </c>
      <c r="U2093" s="403"/>
      <c r="V2093" s="403" t="s">
        <v>7011</v>
      </c>
      <c r="W2093" s="403" t="s">
        <v>20932</v>
      </c>
      <c r="X2093" s="403" t="s">
        <v>12026</v>
      </c>
      <c r="Y2093" s="403" t="s">
        <v>20933</v>
      </c>
    </row>
    <row r="2094" spans="1:25">
      <c r="A2094" s="363">
        <f t="shared" si="263"/>
        <v>2093</v>
      </c>
      <c r="B2094" s="363" t="str">
        <f t="shared" si="256"/>
        <v>00</v>
      </c>
      <c r="C2094" s="405" t="str">
        <f t="shared" si="257"/>
        <v>第001107号</v>
      </c>
      <c r="D2094" s="405" t="str">
        <f t="shared" si="258"/>
        <v>シンフォニアエンジニアリング（株）</v>
      </c>
      <c r="E2094" s="405" t="str">
        <f t="shared" si="259"/>
        <v/>
      </c>
      <c r="F2094" s="405" t="str">
        <f t="shared" si="260"/>
        <v>坂本　健太郎</v>
      </c>
      <c r="G2094" s="405" t="str">
        <f t="shared" si="261"/>
        <v>九州支店</v>
      </c>
      <c r="H2094" s="405" t="str">
        <f t="shared" si="262"/>
        <v>福岡市博多区博多駅前４－１３－６</v>
      </c>
      <c r="L2094" s="403" t="s">
        <v>12059</v>
      </c>
      <c r="M2094" s="403" t="s">
        <v>12060</v>
      </c>
      <c r="N2094" s="403" t="s">
        <v>5757</v>
      </c>
      <c r="O2094" s="403" t="s">
        <v>7084</v>
      </c>
      <c r="P2094" s="403" t="s">
        <v>6444</v>
      </c>
      <c r="Q2094" s="403" t="s">
        <v>12061</v>
      </c>
      <c r="R2094" s="403" t="s">
        <v>20934</v>
      </c>
      <c r="S2094" s="403" t="s">
        <v>20935</v>
      </c>
      <c r="T2094" s="403" t="s">
        <v>20936</v>
      </c>
      <c r="U2094" s="403"/>
      <c r="V2094" s="403" t="s">
        <v>7007</v>
      </c>
      <c r="W2094" s="403" t="s">
        <v>20937</v>
      </c>
      <c r="X2094" s="403" t="s">
        <v>13015</v>
      </c>
      <c r="Y2094" s="403" t="s">
        <v>20938</v>
      </c>
    </row>
    <row r="2095" spans="1:25">
      <c r="A2095" s="363">
        <f t="shared" si="263"/>
        <v>2094</v>
      </c>
      <c r="B2095" s="363" t="str">
        <f t="shared" si="256"/>
        <v>00</v>
      </c>
      <c r="C2095" s="405" t="str">
        <f t="shared" si="257"/>
        <v>第001150号</v>
      </c>
      <c r="D2095" s="405" t="str">
        <f t="shared" si="258"/>
        <v>五洋建設（株）</v>
      </c>
      <c r="E2095" s="405" t="str">
        <f t="shared" si="259"/>
        <v/>
      </c>
      <c r="F2095" s="405" t="str">
        <f t="shared" si="260"/>
        <v>両羽　信哉</v>
      </c>
      <c r="G2095" s="405" t="str">
        <f t="shared" si="261"/>
        <v>大分営業所</v>
      </c>
      <c r="H2095" s="405" t="str">
        <f t="shared" si="262"/>
        <v>大分市中島西１－５－３　鈴木ビル</v>
      </c>
      <c r="L2095" s="403" t="s">
        <v>12062</v>
      </c>
      <c r="M2095" s="403" t="s">
        <v>12063</v>
      </c>
      <c r="N2095" s="403" t="s">
        <v>5758</v>
      </c>
      <c r="O2095" s="403" t="s">
        <v>7083</v>
      </c>
      <c r="P2095" s="403" t="s">
        <v>6445</v>
      </c>
      <c r="Q2095" s="403" t="s">
        <v>12064</v>
      </c>
      <c r="R2095" s="403" t="s">
        <v>20939</v>
      </c>
      <c r="S2095" s="403" t="s">
        <v>20940</v>
      </c>
      <c r="T2095" s="403" t="s">
        <v>20941</v>
      </c>
      <c r="U2095" s="403"/>
      <c r="V2095" s="403" t="s">
        <v>7013</v>
      </c>
      <c r="W2095" s="403" t="s">
        <v>17572</v>
      </c>
      <c r="X2095" s="403" t="s">
        <v>17544</v>
      </c>
      <c r="Y2095" s="403" t="s">
        <v>20942</v>
      </c>
    </row>
    <row r="2096" spans="1:25">
      <c r="A2096" s="363">
        <f t="shared" si="263"/>
        <v>2095</v>
      </c>
      <c r="B2096" s="363" t="str">
        <f t="shared" si="256"/>
        <v>00</v>
      </c>
      <c r="C2096" s="405" t="str">
        <f t="shared" si="257"/>
        <v>第001200号</v>
      </c>
      <c r="D2096" s="405" t="str">
        <f t="shared" si="258"/>
        <v>（株）熊谷組</v>
      </c>
      <c r="E2096" s="405" t="str">
        <f t="shared" si="259"/>
        <v/>
      </c>
      <c r="F2096" s="405" t="str">
        <f t="shared" si="260"/>
        <v>山下　正治</v>
      </c>
      <c r="G2096" s="405" t="str">
        <f t="shared" si="261"/>
        <v>九州支店</v>
      </c>
      <c r="H2096" s="405" t="str">
        <f t="shared" si="262"/>
        <v>福岡市中央区渡辺通４－１０－１０</v>
      </c>
      <c r="L2096" s="403" t="s">
        <v>12065</v>
      </c>
      <c r="M2096" s="403" t="s">
        <v>12066</v>
      </c>
      <c r="N2096" s="403" t="s">
        <v>5759</v>
      </c>
      <c r="O2096" s="403" t="s">
        <v>7089</v>
      </c>
      <c r="P2096" s="403" t="s">
        <v>6446</v>
      </c>
      <c r="Q2096" s="403" t="s">
        <v>12067</v>
      </c>
      <c r="R2096" s="403" t="s">
        <v>20943</v>
      </c>
      <c r="S2096" s="403" t="s">
        <v>20944</v>
      </c>
      <c r="T2096" s="403" t="s">
        <v>20945</v>
      </c>
      <c r="U2096" s="403"/>
      <c r="V2096" s="403" t="s">
        <v>7007</v>
      </c>
      <c r="W2096" s="403" t="s">
        <v>17573</v>
      </c>
      <c r="X2096" s="403" t="s">
        <v>13027</v>
      </c>
      <c r="Y2096" s="403" t="s">
        <v>20946</v>
      </c>
    </row>
    <row r="2097" spans="1:25">
      <c r="A2097" s="363">
        <f t="shared" si="263"/>
        <v>2096</v>
      </c>
      <c r="B2097" s="363" t="str">
        <f t="shared" si="256"/>
        <v>00</v>
      </c>
      <c r="C2097" s="405" t="str">
        <f t="shared" si="257"/>
        <v>第001217号</v>
      </c>
      <c r="D2097" s="405" t="str">
        <f t="shared" si="258"/>
        <v>広成建設（株）</v>
      </c>
      <c r="E2097" s="405" t="str">
        <f t="shared" si="259"/>
        <v/>
      </c>
      <c r="F2097" s="405" t="str">
        <f t="shared" si="260"/>
        <v>上岡　信彦</v>
      </c>
      <c r="G2097" s="405" t="str">
        <f t="shared" si="261"/>
        <v>九州支店</v>
      </c>
      <c r="H2097" s="405" t="str">
        <f t="shared" si="262"/>
        <v>福岡市博多区博多駅南１－１１－１７</v>
      </c>
      <c r="L2097" s="403" t="s">
        <v>12068</v>
      </c>
      <c r="M2097" s="403" t="s">
        <v>12069</v>
      </c>
      <c r="N2097" s="403" t="s">
        <v>5760</v>
      </c>
      <c r="O2097" s="403" t="s">
        <v>7083</v>
      </c>
      <c r="P2097" s="403" t="s">
        <v>20947</v>
      </c>
      <c r="Q2097" s="403" t="s">
        <v>12070</v>
      </c>
      <c r="R2097" s="403" t="s">
        <v>20948</v>
      </c>
      <c r="S2097" s="403" t="s">
        <v>20949</v>
      </c>
      <c r="T2097" s="403" t="s">
        <v>20950</v>
      </c>
      <c r="U2097" s="403"/>
      <c r="V2097" s="403" t="s">
        <v>7007</v>
      </c>
      <c r="W2097" s="403" t="s">
        <v>17574</v>
      </c>
      <c r="X2097" s="403" t="s">
        <v>11975</v>
      </c>
      <c r="Y2097" s="403" t="s">
        <v>20951</v>
      </c>
    </row>
    <row r="2098" spans="1:25">
      <c r="A2098" s="363">
        <f t="shared" si="263"/>
        <v>2097</v>
      </c>
      <c r="B2098" s="363" t="str">
        <f t="shared" si="256"/>
        <v>00</v>
      </c>
      <c r="C2098" s="405" t="str">
        <f t="shared" si="257"/>
        <v>第001220号</v>
      </c>
      <c r="D2098" s="405" t="str">
        <f t="shared" si="258"/>
        <v>鉄建建設（株）</v>
      </c>
      <c r="E2098" s="405" t="str">
        <f t="shared" si="259"/>
        <v/>
      </c>
      <c r="F2098" s="405" t="str">
        <f t="shared" si="260"/>
        <v>遠田　喜一</v>
      </c>
      <c r="G2098" s="405" t="str">
        <f t="shared" si="261"/>
        <v>九州支店</v>
      </c>
      <c r="H2098" s="405" t="str">
        <f t="shared" si="262"/>
        <v>福岡市中央区荒戸２－１－５</v>
      </c>
      <c r="L2098" s="403" t="s">
        <v>12071</v>
      </c>
      <c r="M2098" s="403" t="s">
        <v>12072</v>
      </c>
      <c r="N2098" s="403" t="s">
        <v>5761</v>
      </c>
      <c r="O2098" s="403" t="s">
        <v>7083</v>
      </c>
      <c r="P2098" s="403" t="s">
        <v>6447</v>
      </c>
      <c r="Q2098" s="403" t="s">
        <v>12073</v>
      </c>
      <c r="R2098" s="403" t="s">
        <v>20952</v>
      </c>
      <c r="S2098" s="403" t="s">
        <v>20953</v>
      </c>
      <c r="T2098" s="403" t="s">
        <v>20954</v>
      </c>
      <c r="U2098" s="403"/>
      <c r="V2098" s="403" t="s">
        <v>7007</v>
      </c>
      <c r="W2098" s="403" t="s">
        <v>20955</v>
      </c>
      <c r="X2098" s="403" t="s">
        <v>17575</v>
      </c>
      <c r="Y2098" s="403" t="s">
        <v>20956</v>
      </c>
    </row>
    <row r="2099" spans="1:25">
      <c r="A2099" s="363">
        <f t="shared" si="263"/>
        <v>2098</v>
      </c>
      <c r="B2099" s="363" t="str">
        <f t="shared" si="256"/>
        <v>00</v>
      </c>
      <c r="C2099" s="405" t="str">
        <f t="shared" si="257"/>
        <v>第001232号</v>
      </c>
      <c r="D2099" s="405" t="str">
        <f t="shared" si="258"/>
        <v>朝日工業（株）</v>
      </c>
      <c r="E2099" s="405" t="str">
        <f t="shared" si="259"/>
        <v/>
      </c>
      <c r="F2099" s="405" t="str">
        <f t="shared" si="260"/>
        <v>神薗　直樹</v>
      </c>
      <c r="G2099" s="405" t="str">
        <f t="shared" si="261"/>
        <v>大分事業所</v>
      </c>
      <c r="H2099" s="405" t="str">
        <f t="shared" si="262"/>
        <v>大分市大字家島字東中洲１２１９－１</v>
      </c>
      <c r="L2099" s="403" t="s">
        <v>12074</v>
      </c>
      <c r="M2099" s="403" t="s">
        <v>9590</v>
      </c>
      <c r="N2099" s="403" t="s">
        <v>5762</v>
      </c>
      <c r="O2099" s="403" t="s">
        <v>7083</v>
      </c>
      <c r="P2099" s="403" t="s">
        <v>6448</v>
      </c>
      <c r="Q2099" s="403" t="s">
        <v>12075</v>
      </c>
      <c r="R2099" s="403" t="s">
        <v>20957</v>
      </c>
      <c r="S2099" s="403" t="s">
        <v>20958</v>
      </c>
      <c r="T2099" s="403" t="s">
        <v>20959</v>
      </c>
      <c r="U2099" s="403"/>
      <c r="V2099" s="403" t="s">
        <v>7017</v>
      </c>
      <c r="W2099" s="403" t="s">
        <v>17576</v>
      </c>
      <c r="X2099" s="403" t="s">
        <v>8779</v>
      </c>
      <c r="Y2099" s="403" t="s">
        <v>20960</v>
      </c>
    </row>
    <row r="2100" spans="1:25">
      <c r="A2100" s="363">
        <f t="shared" si="263"/>
        <v>2099</v>
      </c>
      <c r="B2100" s="363" t="str">
        <f t="shared" si="256"/>
        <v>00</v>
      </c>
      <c r="C2100" s="405" t="str">
        <f t="shared" si="257"/>
        <v>第001271号</v>
      </c>
      <c r="D2100" s="405" t="str">
        <f t="shared" si="258"/>
        <v>ピーエス・コンストラクション（株）</v>
      </c>
      <c r="E2100" s="405" t="str">
        <f t="shared" si="259"/>
        <v/>
      </c>
      <c r="F2100" s="405" t="str">
        <f t="shared" si="260"/>
        <v>中村　誠治</v>
      </c>
      <c r="G2100" s="405" t="str">
        <f t="shared" si="261"/>
        <v>九州支店</v>
      </c>
      <c r="H2100" s="405" t="str">
        <f t="shared" si="262"/>
        <v>福岡市中央区長浜２－４－１（東芝福岡ビル）</v>
      </c>
      <c r="L2100" s="403" t="s">
        <v>12076</v>
      </c>
      <c r="M2100" s="403" t="s">
        <v>12077</v>
      </c>
      <c r="N2100" s="403" t="s">
        <v>5763</v>
      </c>
      <c r="O2100" s="403" t="s">
        <v>7094</v>
      </c>
      <c r="P2100" s="403" t="s">
        <v>6449</v>
      </c>
      <c r="Q2100" s="403" t="s">
        <v>12078</v>
      </c>
      <c r="R2100" s="403" t="s">
        <v>20961</v>
      </c>
      <c r="S2100" s="403" t="s">
        <v>20962</v>
      </c>
      <c r="T2100" s="403" t="s">
        <v>20963</v>
      </c>
      <c r="U2100" s="403"/>
      <c r="V2100" s="403" t="s">
        <v>7007</v>
      </c>
      <c r="W2100" s="403" t="s">
        <v>20964</v>
      </c>
      <c r="X2100" s="403" t="s">
        <v>13253</v>
      </c>
      <c r="Y2100" s="403" t="s">
        <v>20965</v>
      </c>
    </row>
    <row r="2101" spans="1:25">
      <c r="A2101" s="363">
        <f t="shared" si="263"/>
        <v>2100</v>
      </c>
      <c r="B2101" s="363" t="str">
        <f t="shared" si="256"/>
        <v>00</v>
      </c>
      <c r="C2101" s="405" t="str">
        <f t="shared" si="257"/>
        <v>第001334号</v>
      </c>
      <c r="D2101" s="405" t="str">
        <f t="shared" si="258"/>
        <v>（株）ウォーターエージェンシー</v>
      </c>
      <c r="E2101" s="405" t="str">
        <f t="shared" si="259"/>
        <v>代表取締役社長</v>
      </c>
      <c r="F2101" s="405" t="str">
        <f t="shared" si="260"/>
        <v>榊原　秀明</v>
      </c>
      <c r="G2101" s="405" t="str">
        <f t="shared" si="261"/>
        <v>主たる営業所</v>
      </c>
      <c r="H2101" s="405" t="str">
        <f t="shared" si="262"/>
        <v>新宿区東五軒町３－２５</v>
      </c>
      <c r="L2101" s="403" t="s">
        <v>12079</v>
      </c>
      <c r="M2101" s="403" t="s">
        <v>12080</v>
      </c>
      <c r="N2101" s="403" t="s">
        <v>5764</v>
      </c>
      <c r="O2101" s="403" t="s">
        <v>7083</v>
      </c>
      <c r="P2101" s="403" t="s">
        <v>6450</v>
      </c>
      <c r="Q2101" s="403" t="s">
        <v>12081</v>
      </c>
      <c r="R2101" s="403" t="s">
        <v>20966</v>
      </c>
      <c r="S2101" s="403" t="s">
        <v>17577</v>
      </c>
      <c r="T2101" s="403" t="s">
        <v>17578</v>
      </c>
      <c r="U2101" s="403"/>
      <c r="V2101" s="403" t="s">
        <v>23024</v>
      </c>
      <c r="W2101" s="403" t="s">
        <v>23024</v>
      </c>
      <c r="X2101" s="403" t="s">
        <v>23024</v>
      </c>
      <c r="Y2101" s="403" t="s">
        <v>23024</v>
      </c>
    </row>
    <row r="2102" spans="1:25">
      <c r="A2102" s="363">
        <f t="shared" si="263"/>
        <v>2101</v>
      </c>
      <c r="B2102" s="363" t="str">
        <f t="shared" si="256"/>
        <v>00</v>
      </c>
      <c r="C2102" s="405" t="str">
        <f t="shared" si="257"/>
        <v>第001345号</v>
      </c>
      <c r="D2102" s="405" t="str">
        <f t="shared" si="258"/>
        <v>ショーボンド建設（株）</v>
      </c>
      <c r="E2102" s="405" t="str">
        <f t="shared" si="259"/>
        <v/>
      </c>
      <c r="F2102" s="405" t="str">
        <f t="shared" si="260"/>
        <v>香川　靖弘</v>
      </c>
      <c r="G2102" s="405" t="str">
        <f t="shared" si="261"/>
        <v>福岡営業所</v>
      </c>
      <c r="H2102" s="405" t="str">
        <f t="shared" si="262"/>
        <v>福岡市博多区比恵町９－２６</v>
      </c>
      <c r="L2102" s="403" t="s">
        <v>12082</v>
      </c>
      <c r="M2102" s="403" t="s">
        <v>12083</v>
      </c>
      <c r="N2102" s="403" t="s">
        <v>5765</v>
      </c>
      <c r="O2102" s="403" t="s">
        <v>7084</v>
      </c>
      <c r="P2102" s="403" t="s">
        <v>6451</v>
      </c>
      <c r="Q2102" s="403" t="s">
        <v>12084</v>
      </c>
      <c r="R2102" s="403" t="s">
        <v>20967</v>
      </c>
      <c r="S2102" s="403" t="s">
        <v>20968</v>
      </c>
      <c r="T2102" s="403" t="s">
        <v>20969</v>
      </c>
      <c r="U2102" s="403"/>
      <c r="V2102" s="403" t="s">
        <v>7010</v>
      </c>
      <c r="W2102" s="403" t="s">
        <v>17579</v>
      </c>
      <c r="X2102" s="403" t="s">
        <v>13797</v>
      </c>
      <c r="Y2102" s="403" t="s">
        <v>20970</v>
      </c>
    </row>
    <row r="2103" spans="1:25">
      <c r="A2103" s="363">
        <f t="shared" si="263"/>
        <v>2102</v>
      </c>
      <c r="B2103" s="363" t="str">
        <f t="shared" si="256"/>
        <v>00</v>
      </c>
      <c r="C2103" s="405" t="str">
        <f t="shared" si="257"/>
        <v>第001373号</v>
      </c>
      <c r="D2103" s="405" t="str">
        <f t="shared" si="258"/>
        <v>豊国工業（株）</v>
      </c>
      <c r="E2103" s="405" t="str">
        <f t="shared" si="259"/>
        <v/>
      </c>
      <c r="F2103" s="405" t="str">
        <f t="shared" si="260"/>
        <v>垰　佑一郎</v>
      </c>
      <c r="G2103" s="405" t="str">
        <f t="shared" si="261"/>
        <v>九州支店</v>
      </c>
      <c r="H2103" s="405" t="str">
        <f t="shared" si="262"/>
        <v>久留米市東合川新町１１－２８</v>
      </c>
      <c r="L2103" s="403" t="s">
        <v>12085</v>
      </c>
      <c r="M2103" s="403" t="s">
        <v>12086</v>
      </c>
      <c r="N2103" s="403" t="s">
        <v>5766</v>
      </c>
      <c r="O2103" s="403" t="s">
        <v>7084</v>
      </c>
      <c r="P2103" s="403" t="s">
        <v>6452</v>
      </c>
      <c r="Q2103" s="403" t="s">
        <v>12087</v>
      </c>
      <c r="R2103" s="403" t="s">
        <v>20971</v>
      </c>
      <c r="S2103" s="403" t="s">
        <v>20972</v>
      </c>
      <c r="T2103" s="403" t="s">
        <v>20973</v>
      </c>
      <c r="U2103" s="403"/>
      <c r="V2103" s="403" t="s">
        <v>7007</v>
      </c>
      <c r="W2103" s="403" t="s">
        <v>17580</v>
      </c>
      <c r="X2103" s="403" t="s">
        <v>17581</v>
      </c>
      <c r="Y2103" s="403" t="s">
        <v>20974</v>
      </c>
    </row>
    <row r="2104" spans="1:25">
      <c r="A2104" s="363">
        <f t="shared" si="263"/>
        <v>2103</v>
      </c>
      <c r="B2104" s="363" t="str">
        <f t="shared" si="256"/>
        <v>00</v>
      </c>
      <c r="C2104" s="405" t="str">
        <f t="shared" si="257"/>
        <v>第001379号</v>
      </c>
      <c r="D2104" s="405" t="str">
        <f t="shared" si="258"/>
        <v>メルコビルエンジニアリング（株）</v>
      </c>
      <c r="E2104" s="405" t="str">
        <f t="shared" si="259"/>
        <v/>
      </c>
      <c r="F2104" s="405" t="str">
        <f t="shared" si="260"/>
        <v>本田　明男</v>
      </c>
      <c r="G2104" s="405" t="str">
        <f t="shared" si="261"/>
        <v>福岡支社</v>
      </c>
      <c r="H2104" s="405" t="str">
        <f t="shared" si="262"/>
        <v>福岡市博多区住吉１－２－２５</v>
      </c>
      <c r="L2104" s="403" t="s">
        <v>12088</v>
      </c>
      <c r="M2104" s="403" t="s">
        <v>20975</v>
      </c>
      <c r="N2104" s="403" t="s">
        <v>20976</v>
      </c>
      <c r="O2104" s="403" t="s">
        <v>7089</v>
      </c>
      <c r="P2104" s="403" t="s">
        <v>20977</v>
      </c>
      <c r="Q2104" s="403" t="s">
        <v>20978</v>
      </c>
      <c r="R2104" s="403" t="s">
        <v>20979</v>
      </c>
      <c r="S2104" s="403" t="s">
        <v>20980</v>
      </c>
      <c r="T2104" s="403" t="s">
        <v>20981</v>
      </c>
      <c r="U2104" s="403"/>
      <c r="V2104" s="403" t="s">
        <v>7050</v>
      </c>
      <c r="W2104" s="403" t="s">
        <v>17582</v>
      </c>
      <c r="X2104" s="403" t="s">
        <v>17556</v>
      </c>
      <c r="Y2104" s="403" t="s">
        <v>20982</v>
      </c>
    </row>
    <row r="2105" spans="1:25">
      <c r="A2105" s="363">
        <f t="shared" si="263"/>
        <v>2104</v>
      </c>
      <c r="B2105" s="363" t="str">
        <f t="shared" si="256"/>
        <v>00</v>
      </c>
      <c r="C2105" s="405" t="str">
        <f t="shared" si="257"/>
        <v>第001383号</v>
      </c>
      <c r="D2105" s="405" t="str">
        <f t="shared" si="258"/>
        <v>（株）ＩＨＩインフラシステム</v>
      </c>
      <c r="E2105" s="405" t="str">
        <f t="shared" si="259"/>
        <v/>
      </c>
      <c r="F2105" s="405" t="str">
        <f t="shared" si="260"/>
        <v>松永　勉</v>
      </c>
      <c r="G2105" s="405" t="str">
        <f t="shared" si="261"/>
        <v>九州支店</v>
      </c>
      <c r="H2105" s="405" t="str">
        <f t="shared" si="262"/>
        <v>福岡市中央区高砂１－１１－３</v>
      </c>
      <c r="L2105" s="403" t="s">
        <v>12089</v>
      </c>
      <c r="M2105" s="403" t="s">
        <v>12090</v>
      </c>
      <c r="N2105" s="403" t="s">
        <v>5767</v>
      </c>
      <c r="O2105" s="403" t="s">
        <v>7083</v>
      </c>
      <c r="P2105" s="403" t="s">
        <v>20983</v>
      </c>
      <c r="Q2105" s="403" t="s">
        <v>12091</v>
      </c>
      <c r="R2105" s="403" t="s">
        <v>20984</v>
      </c>
      <c r="S2105" s="403" t="s">
        <v>20985</v>
      </c>
      <c r="T2105" s="403" t="s">
        <v>20986</v>
      </c>
      <c r="U2105" s="403"/>
      <c r="V2105" s="403" t="s">
        <v>7007</v>
      </c>
      <c r="W2105" s="403" t="s">
        <v>20987</v>
      </c>
      <c r="X2105" s="403" t="s">
        <v>13466</v>
      </c>
      <c r="Y2105" s="403" t="s">
        <v>20988</v>
      </c>
    </row>
    <row r="2106" spans="1:25">
      <c r="A2106" s="363">
        <f t="shared" si="263"/>
        <v>2105</v>
      </c>
      <c r="B2106" s="363" t="str">
        <f t="shared" si="256"/>
        <v>00</v>
      </c>
      <c r="C2106" s="405" t="str">
        <f t="shared" si="257"/>
        <v>第001400号</v>
      </c>
      <c r="D2106" s="405" t="str">
        <f t="shared" si="258"/>
        <v>飛島建設（株）</v>
      </c>
      <c r="E2106" s="405" t="str">
        <f t="shared" si="259"/>
        <v/>
      </c>
      <c r="F2106" s="405" t="str">
        <f t="shared" si="260"/>
        <v>柳森　豊</v>
      </c>
      <c r="G2106" s="405" t="str">
        <f t="shared" si="261"/>
        <v>九州支店</v>
      </c>
      <c r="H2106" s="405" t="str">
        <f t="shared" si="262"/>
        <v>福岡市中央区渡辺通５－１４－１２</v>
      </c>
      <c r="L2106" s="403" t="s">
        <v>12092</v>
      </c>
      <c r="M2106" s="403" t="s">
        <v>12093</v>
      </c>
      <c r="N2106" s="403" t="s">
        <v>5768</v>
      </c>
      <c r="O2106" s="403" t="s">
        <v>7083</v>
      </c>
      <c r="P2106" s="403" t="s">
        <v>20989</v>
      </c>
      <c r="Q2106" s="403" t="s">
        <v>12094</v>
      </c>
      <c r="R2106" s="403" t="s">
        <v>20990</v>
      </c>
      <c r="S2106" s="403" t="s">
        <v>20991</v>
      </c>
      <c r="T2106" s="403" t="s">
        <v>20992</v>
      </c>
      <c r="U2106" s="403"/>
      <c r="V2106" s="403" t="s">
        <v>7007</v>
      </c>
      <c r="W2106" s="403" t="s">
        <v>17583</v>
      </c>
      <c r="X2106" s="403" t="s">
        <v>13027</v>
      </c>
      <c r="Y2106" s="403" t="s">
        <v>20993</v>
      </c>
    </row>
    <row r="2107" spans="1:25">
      <c r="A2107" s="363">
        <f t="shared" si="263"/>
        <v>2106</v>
      </c>
      <c r="B2107" s="363" t="str">
        <f t="shared" si="256"/>
        <v>00</v>
      </c>
      <c r="C2107" s="405" t="str">
        <f t="shared" si="257"/>
        <v>第001453号</v>
      </c>
      <c r="D2107" s="405" t="str">
        <f t="shared" si="258"/>
        <v>岩田地崎建設（株）</v>
      </c>
      <c r="E2107" s="405" t="str">
        <f t="shared" si="259"/>
        <v/>
      </c>
      <c r="F2107" s="405" t="str">
        <f t="shared" si="260"/>
        <v>佐々木　政章</v>
      </c>
      <c r="G2107" s="405" t="str">
        <f t="shared" si="261"/>
        <v>九州支店</v>
      </c>
      <c r="H2107" s="405" t="str">
        <f t="shared" si="262"/>
        <v>福岡市博多区博多駅前３－２７－２４</v>
      </c>
      <c r="L2107" s="403" t="s">
        <v>12095</v>
      </c>
      <c r="M2107" s="403" t="s">
        <v>12096</v>
      </c>
      <c r="N2107" s="403" t="s">
        <v>5769</v>
      </c>
      <c r="O2107" s="403" t="s">
        <v>7083</v>
      </c>
      <c r="P2107" s="403" t="s">
        <v>6453</v>
      </c>
      <c r="Q2107" s="403" t="s">
        <v>12097</v>
      </c>
      <c r="R2107" s="403" t="s">
        <v>20994</v>
      </c>
      <c r="S2107" s="403" t="s">
        <v>20995</v>
      </c>
      <c r="T2107" s="403" t="s">
        <v>20996</v>
      </c>
      <c r="U2107" s="403"/>
      <c r="V2107" s="403" t="s">
        <v>7007</v>
      </c>
      <c r="W2107" s="403" t="s">
        <v>20997</v>
      </c>
      <c r="X2107" s="403" t="s">
        <v>13015</v>
      </c>
      <c r="Y2107" s="403" t="s">
        <v>20998</v>
      </c>
    </row>
    <row r="2108" spans="1:25">
      <c r="A2108" s="363">
        <f t="shared" si="263"/>
        <v>2107</v>
      </c>
      <c r="B2108" s="363" t="str">
        <f t="shared" si="256"/>
        <v>00</v>
      </c>
      <c r="C2108" s="405" t="str">
        <f t="shared" si="257"/>
        <v>第001468号</v>
      </c>
      <c r="D2108" s="405" t="str">
        <f t="shared" si="258"/>
        <v>（株）かんでんエンジニアリング</v>
      </c>
      <c r="E2108" s="405" t="str">
        <f t="shared" si="259"/>
        <v/>
      </c>
      <c r="F2108" s="405" t="str">
        <f t="shared" si="260"/>
        <v>小田原　健司</v>
      </c>
      <c r="G2108" s="405" t="str">
        <f t="shared" si="261"/>
        <v>九州支店</v>
      </c>
      <c r="H2108" s="405" t="str">
        <f t="shared" si="262"/>
        <v>北九州市戸畑区中原先ノ浜４６－２０８</v>
      </c>
      <c r="L2108" s="403" t="s">
        <v>12098</v>
      </c>
      <c r="M2108" s="403" t="s">
        <v>12099</v>
      </c>
      <c r="N2108" s="403" t="s">
        <v>5770</v>
      </c>
      <c r="O2108" s="403" t="s">
        <v>7083</v>
      </c>
      <c r="P2108" s="403" t="s">
        <v>6454</v>
      </c>
      <c r="Q2108" s="403" t="s">
        <v>12100</v>
      </c>
      <c r="R2108" s="403" t="s">
        <v>20999</v>
      </c>
      <c r="S2108" s="403" t="s">
        <v>21000</v>
      </c>
      <c r="T2108" s="403" t="s">
        <v>21001</v>
      </c>
      <c r="U2108" s="403"/>
      <c r="V2108" s="403" t="s">
        <v>7007</v>
      </c>
      <c r="W2108" s="403" t="s">
        <v>17584</v>
      </c>
      <c r="X2108" s="403" t="s">
        <v>13433</v>
      </c>
      <c r="Y2108" s="403" t="s">
        <v>21002</v>
      </c>
    </row>
    <row r="2109" spans="1:25">
      <c r="A2109" s="363">
        <f t="shared" si="263"/>
        <v>2108</v>
      </c>
      <c r="B2109" s="363" t="str">
        <f t="shared" si="256"/>
        <v>00</v>
      </c>
      <c r="C2109" s="405" t="str">
        <f t="shared" si="257"/>
        <v>第001483号</v>
      </c>
      <c r="D2109" s="405" t="str">
        <f t="shared" si="258"/>
        <v>サンワコムシスエンジニアリング（株）</v>
      </c>
      <c r="E2109" s="405" t="str">
        <f t="shared" si="259"/>
        <v/>
      </c>
      <c r="F2109" s="405" t="str">
        <f t="shared" si="260"/>
        <v>安樂　貴志</v>
      </c>
      <c r="G2109" s="405" t="str">
        <f t="shared" si="261"/>
        <v>九州支店</v>
      </c>
      <c r="H2109" s="405" t="str">
        <f t="shared" si="262"/>
        <v>福岡市博多区千代２－１５－１２</v>
      </c>
      <c r="L2109" s="403" t="s">
        <v>12101</v>
      </c>
      <c r="M2109" s="403" t="s">
        <v>12102</v>
      </c>
      <c r="N2109" s="403" t="s">
        <v>5771</v>
      </c>
      <c r="O2109" s="403" t="s">
        <v>7083</v>
      </c>
      <c r="P2109" s="403" t="s">
        <v>6455</v>
      </c>
      <c r="Q2109" s="403" t="s">
        <v>12103</v>
      </c>
      <c r="R2109" s="403" t="s">
        <v>21003</v>
      </c>
      <c r="S2109" s="403" t="s">
        <v>21004</v>
      </c>
      <c r="T2109" s="403" t="s">
        <v>21005</v>
      </c>
      <c r="U2109" s="403"/>
      <c r="V2109" s="403" t="s">
        <v>7007</v>
      </c>
      <c r="W2109" s="403" t="s">
        <v>21006</v>
      </c>
      <c r="X2109" s="403" t="s">
        <v>17538</v>
      </c>
      <c r="Y2109" s="403" t="s">
        <v>21007</v>
      </c>
    </row>
    <row r="2110" spans="1:25">
      <c r="A2110" s="363">
        <f t="shared" si="263"/>
        <v>2109</v>
      </c>
      <c r="B2110" s="363" t="str">
        <f t="shared" si="256"/>
        <v>00</v>
      </c>
      <c r="C2110" s="405" t="str">
        <f t="shared" si="257"/>
        <v>第001506号</v>
      </c>
      <c r="D2110" s="405" t="str">
        <f t="shared" si="258"/>
        <v>川崎重工業（株）</v>
      </c>
      <c r="E2110" s="405" t="str">
        <f t="shared" si="259"/>
        <v/>
      </c>
      <c r="F2110" s="405" t="str">
        <f t="shared" si="260"/>
        <v>長谷川　知行</v>
      </c>
      <c r="G2110" s="405" t="str">
        <f t="shared" si="261"/>
        <v>九州支社</v>
      </c>
      <c r="H2110" s="405" t="str">
        <f t="shared" si="262"/>
        <v>福岡市博多区博多駅前１－４－１</v>
      </c>
      <c r="L2110" s="403" t="s">
        <v>12104</v>
      </c>
      <c r="M2110" s="403" t="s">
        <v>12105</v>
      </c>
      <c r="N2110" s="403" t="s">
        <v>5772</v>
      </c>
      <c r="O2110" s="403" t="s">
        <v>7084</v>
      </c>
      <c r="P2110" s="403" t="s">
        <v>6456</v>
      </c>
      <c r="Q2110" s="403" t="s">
        <v>12106</v>
      </c>
      <c r="R2110" s="403" t="s">
        <v>21008</v>
      </c>
      <c r="S2110" s="403" t="s">
        <v>21009</v>
      </c>
      <c r="T2110" s="403" t="s">
        <v>21010</v>
      </c>
      <c r="U2110" s="403"/>
      <c r="V2110" s="403" t="s">
        <v>7011</v>
      </c>
      <c r="W2110" s="403" t="s">
        <v>17585</v>
      </c>
      <c r="X2110" s="403" t="s">
        <v>13015</v>
      </c>
      <c r="Y2110" s="403" t="s">
        <v>21011</v>
      </c>
    </row>
    <row r="2111" spans="1:25">
      <c r="A2111" s="363">
        <f t="shared" si="263"/>
        <v>2110</v>
      </c>
      <c r="B2111" s="363" t="str">
        <f t="shared" si="256"/>
        <v>00</v>
      </c>
      <c r="C2111" s="405" t="str">
        <f t="shared" si="257"/>
        <v>第001512号</v>
      </c>
      <c r="D2111" s="405" t="str">
        <f t="shared" si="258"/>
        <v>日本車輌製造（株）</v>
      </c>
      <c r="E2111" s="405" t="str">
        <f t="shared" si="259"/>
        <v/>
      </c>
      <c r="F2111" s="405" t="str">
        <f t="shared" si="260"/>
        <v>池野　隆雄</v>
      </c>
      <c r="G2111" s="405" t="str">
        <f t="shared" si="261"/>
        <v>インフラ営業部　福岡営業所</v>
      </c>
      <c r="H2111" s="405" t="str">
        <f t="shared" si="262"/>
        <v>福岡市博多区銀天町２－２－２８</v>
      </c>
      <c r="L2111" s="403" t="s">
        <v>12107</v>
      </c>
      <c r="M2111" s="403" t="s">
        <v>12108</v>
      </c>
      <c r="N2111" s="403" t="s">
        <v>5773</v>
      </c>
      <c r="O2111" s="403" t="s">
        <v>7083</v>
      </c>
      <c r="P2111" s="403" t="s">
        <v>6457</v>
      </c>
      <c r="Q2111" s="403" t="s">
        <v>12109</v>
      </c>
      <c r="R2111" s="403" t="s">
        <v>21012</v>
      </c>
      <c r="S2111" s="403" t="s">
        <v>21013</v>
      </c>
      <c r="T2111" s="403" t="s">
        <v>21014</v>
      </c>
      <c r="U2111" s="403"/>
      <c r="V2111" s="403" t="s">
        <v>7019</v>
      </c>
      <c r="W2111" s="403" t="s">
        <v>17586</v>
      </c>
      <c r="X2111" s="403" t="s">
        <v>17587</v>
      </c>
      <c r="Y2111" s="403" t="s">
        <v>21015</v>
      </c>
    </row>
    <row r="2112" spans="1:25">
      <c r="A2112" s="363">
        <f t="shared" si="263"/>
        <v>2111</v>
      </c>
      <c r="B2112" s="363" t="str">
        <f t="shared" si="256"/>
        <v>00</v>
      </c>
      <c r="C2112" s="405" t="str">
        <f t="shared" si="257"/>
        <v>第001545号</v>
      </c>
      <c r="D2112" s="405" t="str">
        <f t="shared" si="258"/>
        <v>九州総合建設（株）</v>
      </c>
      <c r="E2112" s="405" t="str">
        <f t="shared" si="259"/>
        <v>代表取締役社長</v>
      </c>
      <c r="F2112" s="405" t="str">
        <f t="shared" si="260"/>
        <v>河本　裕一</v>
      </c>
      <c r="G2112" s="405" t="str">
        <f t="shared" si="261"/>
        <v>主たる営業所</v>
      </c>
      <c r="H2112" s="405" t="str">
        <f t="shared" si="262"/>
        <v>福岡市東区箱崎２－５４－２１</v>
      </c>
      <c r="L2112" s="403" t="s">
        <v>12110</v>
      </c>
      <c r="M2112" s="403" t="s">
        <v>12111</v>
      </c>
      <c r="N2112" s="403" t="s">
        <v>5774</v>
      </c>
      <c r="O2112" s="403" t="s">
        <v>7083</v>
      </c>
      <c r="P2112" s="403" t="s">
        <v>6458</v>
      </c>
      <c r="Q2112" s="403" t="s">
        <v>12112</v>
      </c>
      <c r="R2112" s="403" t="s">
        <v>21016</v>
      </c>
      <c r="S2112" s="403" t="s">
        <v>17588</v>
      </c>
      <c r="T2112" s="403" t="s">
        <v>17589</v>
      </c>
      <c r="U2112" s="403"/>
      <c r="V2112" s="403" t="s">
        <v>23024</v>
      </c>
      <c r="W2112" s="403" t="s">
        <v>23024</v>
      </c>
      <c r="X2112" s="403" t="s">
        <v>23024</v>
      </c>
      <c r="Y2112" s="403" t="s">
        <v>23024</v>
      </c>
    </row>
    <row r="2113" spans="1:25">
      <c r="A2113" s="363">
        <f t="shared" si="263"/>
        <v>2112</v>
      </c>
      <c r="B2113" s="363" t="str">
        <f t="shared" si="256"/>
        <v>00</v>
      </c>
      <c r="C2113" s="405" t="str">
        <f t="shared" si="257"/>
        <v>第001574号</v>
      </c>
      <c r="D2113" s="405" t="str">
        <f t="shared" si="258"/>
        <v>（株）トーエネック</v>
      </c>
      <c r="E2113" s="405" t="str">
        <f t="shared" si="259"/>
        <v/>
      </c>
      <c r="F2113" s="405" t="str">
        <f t="shared" si="260"/>
        <v>尼子　照高</v>
      </c>
      <c r="G2113" s="405" t="str">
        <f t="shared" si="261"/>
        <v>九州支社</v>
      </c>
      <c r="H2113" s="405" t="str">
        <f t="shared" si="262"/>
        <v>福岡市博多区博多駅南２－１－９</v>
      </c>
      <c r="L2113" s="403" t="s">
        <v>12113</v>
      </c>
      <c r="M2113" s="403" t="s">
        <v>12114</v>
      </c>
      <c r="N2113" s="403" t="s">
        <v>5775</v>
      </c>
      <c r="O2113" s="403" t="s">
        <v>7083</v>
      </c>
      <c r="P2113" s="403" t="s">
        <v>21017</v>
      </c>
      <c r="Q2113" s="403" t="s">
        <v>12115</v>
      </c>
      <c r="R2113" s="403" t="s">
        <v>21018</v>
      </c>
      <c r="S2113" s="403" t="s">
        <v>21019</v>
      </c>
      <c r="T2113" s="403" t="s">
        <v>21020</v>
      </c>
      <c r="U2113" s="403"/>
      <c r="V2113" s="403" t="s">
        <v>7011</v>
      </c>
      <c r="W2113" s="403" t="s">
        <v>21021</v>
      </c>
      <c r="X2113" s="403" t="s">
        <v>11975</v>
      </c>
      <c r="Y2113" s="403" t="s">
        <v>21022</v>
      </c>
    </row>
    <row r="2114" spans="1:25">
      <c r="A2114" s="363">
        <f t="shared" si="263"/>
        <v>2113</v>
      </c>
      <c r="B2114" s="363" t="str">
        <f t="shared" ref="B2114:B2177" si="264">LEFT(L2114,2)</f>
        <v>00</v>
      </c>
      <c r="C2114" s="405" t="str">
        <f t="shared" ref="C2114:C2177" si="265">IF(B2114="","","第"&amp;RIGHT(L2114,6)&amp;"号")</f>
        <v>第001599号</v>
      </c>
      <c r="D2114" s="405" t="str">
        <f t="shared" ref="D2114:D2177" si="266">N2114</f>
        <v>ニシム電子工業（株）</v>
      </c>
      <c r="E2114" s="405" t="str">
        <f t="shared" ref="E2114:E2177" si="267">IF(V2114="　",O2114,"")</f>
        <v/>
      </c>
      <c r="F2114" s="405" t="str">
        <f t="shared" ref="F2114:F2177" si="268">IF(V2114="　",P2114,W2114)</f>
        <v>山本　和弘</v>
      </c>
      <c r="G2114" s="405" t="str">
        <f t="shared" ref="G2114:G2177" si="269">IF(V2114="　","主たる営業所",V2114)</f>
        <v>大分支店</v>
      </c>
      <c r="H2114" s="405" t="str">
        <f t="shared" ref="H2114:H2177" si="270">IF(V2114="　",R2114,Y2114)</f>
        <v>大分市金池町２－４－６　九州電力（株）大分支社別館２階</v>
      </c>
      <c r="L2114" s="403" t="s">
        <v>12116</v>
      </c>
      <c r="M2114" s="403" t="s">
        <v>12117</v>
      </c>
      <c r="N2114" s="403" t="s">
        <v>5776</v>
      </c>
      <c r="O2114" s="403" t="s">
        <v>7083</v>
      </c>
      <c r="P2114" s="403" t="s">
        <v>6459</v>
      </c>
      <c r="Q2114" s="403" t="s">
        <v>12118</v>
      </c>
      <c r="R2114" s="403" t="s">
        <v>21023</v>
      </c>
      <c r="S2114" s="403" t="s">
        <v>21024</v>
      </c>
      <c r="T2114" s="403" t="s">
        <v>21025</v>
      </c>
      <c r="U2114" s="403"/>
      <c r="V2114" s="403" t="s">
        <v>7009</v>
      </c>
      <c r="W2114" s="403" t="s">
        <v>17590</v>
      </c>
      <c r="X2114" s="403" t="s">
        <v>9903</v>
      </c>
      <c r="Y2114" s="403" t="s">
        <v>21026</v>
      </c>
    </row>
    <row r="2115" spans="1:25">
      <c r="A2115" s="363">
        <f t="shared" ref="A2115:A2178" si="271">IF(B2115="","",A2114+1)</f>
        <v>2114</v>
      </c>
      <c r="B2115" s="363" t="str">
        <f t="shared" si="264"/>
        <v>00</v>
      </c>
      <c r="C2115" s="405" t="str">
        <f t="shared" si="265"/>
        <v>第001615号</v>
      </c>
      <c r="D2115" s="405" t="str">
        <f t="shared" si="266"/>
        <v>九州林産（株）</v>
      </c>
      <c r="E2115" s="405" t="str">
        <f t="shared" si="267"/>
        <v>代表取締役社長</v>
      </c>
      <c r="F2115" s="405" t="str">
        <f t="shared" si="268"/>
        <v>小塩　正己</v>
      </c>
      <c r="G2115" s="405" t="str">
        <f t="shared" si="269"/>
        <v>主たる営業所</v>
      </c>
      <c r="H2115" s="405" t="str">
        <f t="shared" si="270"/>
        <v>福岡市南区野間３－７－２０</v>
      </c>
      <c r="L2115" s="403" t="s">
        <v>12119</v>
      </c>
      <c r="M2115" s="403" t="s">
        <v>12120</v>
      </c>
      <c r="N2115" s="403" t="s">
        <v>5777</v>
      </c>
      <c r="O2115" s="403" t="s">
        <v>7083</v>
      </c>
      <c r="P2115" s="403" t="s">
        <v>6460</v>
      </c>
      <c r="Q2115" s="403" t="s">
        <v>12121</v>
      </c>
      <c r="R2115" s="403" t="s">
        <v>21027</v>
      </c>
      <c r="S2115" s="403" t="s">
        <v>17591</v>
      </c>
      <c r="T2115" s="403" t="s">
        <v>17592</v>
      </c>
      <c r="U2115" s="403"/>
      <c r="V2115" s="403" t="s">
        <v>23024</v>
      </c>
      <c r="W2115" s="403" t="s">
        <v>23024</v>
      </c>
      <c r="X2115" s="403" t="s">
        <v>23024</v>
      </c>
      <c r="Y2115" s="403" t="s">
        <v>23024</v>
      </c>
    </row>
    <row r="2116" spans="1:25">
      <c r="A2116" s="363">
        <f t="shared" si="271"/>
        <v>2115</v>
      </c>
      <c r="B2116" s="363" t="str">
        <f t="shared" si="264"/>
        <v>00</v>
      </c>
      <c r="C2116" s="405" t="str">
        <f t="shared" si="265"/>
        <v>第001659号</v>
      </c>
      <c r="D2116" s="405" t="str">
        <f t="shared" si="266"/>
        <v>（株）クラフティア</v>
      </c>
      <c r="E2116" s="405" t="str">
        <f t="shared" si="267"/>
        <v/>
      </c>
      <c r="F2116" s="405" t="str">
        <f t="shared" si="268"/>
        <v>新井　考明</v>
      </c>
      <c r="G2116" s="405" t="str">
        <f t="shared" si="269"/>
        <v>大分支店</v>
      </c>
      <c r="H2116" s="405" t="str">
        <f t="shared" si="270"/>
        <v>大分市花津留２－２５－１６</v>
      </c>
      <c r="L2116" s="403" t="s">
        <v>12122</v>
      </c>
      <c r="M2116" s="403" t="s">
        <v>21028</v>
      </c>
      <c r="N2116" s="403" t="s">
        <v>21029</v>
      </c>
      <c r="O2116" s="403" t="s">
        <v>7094</v>
      </c>
      <c r="P2116" s="403" t="s">
        <v>6461</v>
      </c>
      <c r="Q2116" s="403" t="s">
        <v>17517</v>
      </c>
      <c r="R2116" s="403" t="s">
        <v>21030</v>
      </c>
      <c r="S2116" s="403" t="s">
        <v>21031</v>
      </c>
      <c r="T2116" s="403" t="s">
        <v>21032</v>
      </c>
      <c r="U2116" s="403"/>
      <c r="V2116" s="403" t="s">
        <v>7009</v>
      </c>
      <c r="W2116" s="403" t="s">
        <v>17593</v>
      </c>
      <c r="X2116" s="403" t="s">
        <v>7383</v>
      </c>
      <c r="Y2116" s="403" t="s">
        <v>21033</v>
      </c>
    </row>
    <row r="2117" spans="1:25">
      <c r="A2117" s="363">
        <f t="shared" si="271"/>
        <v>2116</v>
      </c>
      <c r="B2117" s="363" t="str">
        <f t="shared" si="264"/>
        <v>00</v>
      </c>
      <c r="C2117" s="405" t="str">
        <f t="shared" si="265"/>
        <v>第001700号</v>
      </c>
      <c r="D2117" s="405" t="str">
        <f t="shared" si="266"/>
        <v>大日本土木（株）</v>
      </c>
      <c r="E2117" s="405" t="str">
        <f t="shared" si="267"/>
        <v/>
      </c>
      <c r="F2117" s="405" t="str">
        <f t="shared" si="268"/>
        <v>福武　伸吾</v>
      </c>
      <c r="G2117" s="405" t="str">
        <f t="shared" si="269"/>
        <v>九州支店</v>
      </c>
      <c r="H2117" s="405" t="str">
        <f t="shared" si="270"/>
        <v>福岡市中央区大手門２－１－３４</v>
      </c>
      <c r="L2117" s="403" t="s">
        <v>12123</v>
      </c>
      <c r="M2117" s="403" t="s">
        <v>12124</v>
      </c>
      <c r="N2117" s="403" t="s">
        <v>5778</v>
      </c>
      <c r="O2117" s="403" t="s">
        <v>7083</v>
      </c>
      <c r="P2117" s="403" t="s">
        <v>6462</v>
      </c>
      <c r="Q2117" s="403" t="s">
        <v>12125</v>
      </c>
      <c r="R2117" s="403" t="s">
        <v>21034</v>
      </c>
      <c r="S2117" s="403" t="s">
        <v>21035</v>
      </c>
      <c r="T2117" s="403" t="s">
        <v>21036</v>
      </c>
      <c r="U2117" s="403"/>
      <c r="V2117" s="403" t="s">
        <v>7007</v>
      </c>
      <c r="W2117" s="403" t="s">
        <v>17594</v>
      </c>
      <c r="X2117" s="403" t="s">
        <v>17595</v>
      </c>
      <c r="Y2117" s="403" t="s">
        <v>21037</v>
      </c>
    </row>
    <row r="2118" spans="1:25">
      <c r="A2118" s="363">
        <f t="shared" si="271"/>
        <v>2117</v>
      </c>
      <c r="B2118" s="363" t="str">
        <f t="shared" si="264"/>
        <v>00</v>
      </c>
      <c r="C2118" s="405" t="str">
        <f t="shared" si="265"/>
        <v>第001729号</v>
      </c>
      <c r="D2118" s="405" t="str">
        <f t="shared" si="266"/>
        <v>（株）サンテック</v>
      </c>
      <c r="E2118" s="405" t="str">
        <f t="shared" si="267"/>
        <v/>
      </c>
      <c r="F2118" s="405" t="str">
        <f t="shared" si="268"/>
        <v>鈴木　吉保</v>
      </c>
      <c r="G2118" s="405" t="str">
        <f t="shared" si="269"/>
        <v>九州支社</v>
      </c>
      <c r="H2118" s="405" t="str">
        <f t="shared" si="270"/>
        <v>福岡市中央区平尾１－８－２４</v>
      </c>
      <c r="L2118" s="403" t="s">
        <v>12126</v>
      </c>
      <c r="M2118" s="403" t="s">
        <v>12127</v>
      </c>
      <c r="N2118" s="403" t="s">
        <v>3650</v>
      </c>
      <c r="O2118" s="403" t="s">
        <v>7083</v>
      </c>
      <c r="P2118" s="403" t="s">
        <v>6463</v>
      </c>
      <c r="Q2118" s="403" t="s">
        <v>12128</v>
      </c>
      <c r="R2118" s="403" t="s">
        <v>21038</v>
      </c>
      <c r="S2118" s="403" t="s">
        <v>21039</v>
      </c>
      <c r="T2118" s="403" t="s">
        <v>21040</v>
      </c>
      <c r="U2118" s="403"/>
      <c r="V2118" s="403" t="s">
        <v>7011</v>
      </c>
      <c r="W2118" s="403" t="s">
        <v>17596</v>
      </c>
      <c r="X2118" s="403" t="s">
        <v>17597</v>
      </c>
      <c r="Y2118" s="403" t="s">
        <v>21041</v>
      </c>
    </row>
    <row r="2119" spans="1:25">
      <c r="A2119" s="363">
        <f t="shared" si="271"/>
        <v>2118</v>
      </c>
      <c r="B2119" s="363" t="str">
        <f t="shared" si="264"/>
        <v>00</v>
      </c>
      <c r="C2119" s="405" t="str">
        <f t="shared" si="265"/>
        <v>第001770号</v>
      </c>
      <c r="D2119" s="405" t="str">
        <f t="shared" si="266"/>
        <v>（株）ガイアート</v>
      </c>
      <c r="E2119" s="405" t="str">
        <f t="shared" si="267"/>
        <v/>
      </c>
      <c r="F2119" s="405" t="str">
        <f t="shared" si="268"/>
        <v>早川　雅隆</v>
      </c>
      <c r="G2119" s="405" t="str">
        <f t="shared" si="269"/>
        <v>九州支店</v>
      </c>
      <c r="H2119" s="405" t="str">
        <f t="shared" si="270"/>
        <v>福岡市中央区渡辺通３－６－１５</v>
      </c>
      <c r="L2119" s="403" t="s">
        <v>12129</v>
      </c>
      <c r="M2119" s="403" t="s">
        <v>12130</v>
      </c>
      <c r="N2119" s="403" t="s">
        <v>5779</v>
      </c>
      <c r="O2119" s="403" t="s">
        <v>7084</v>
      </c>
      <c r="P2119" s="403" t="s">
        <v>6464</v>
      </c>
      <c r="Q2119" s="403" t="s">
        <v>12131</v>
      </c>
      <c r="R2119" s="403" t="s">
        <v>21042</v>
      </c>
      <c r="S2119" s="403" t="s">
        <v>21043</v>
      </c>
      <c r="T2119" s="403" t="s">
        <v>21044</v>
      </c>
      <c r="U2119" s="403"/>
      <c r="V2119" s="403" t="s">
        <v>7007</v>
      </c>
      <c r="W2119" s="403" t="s">
        <v>21045</v>
      </c>
      <c r="X2119" s="403" t="s">
        <v>13027</v>
      </c>
      <c r="Y2119" s="403" t="s">
        <v>21046</v>
      </c>
    </row>
    <row r="2120" spans="1:25">
      <c r="A2120" s="363">
        <f t="shared" si="271"/>
        <v>2119</v>
      </c>
      <c r="B2120" s="363" t="str">
        <f t="shared" si="264"/>
        <v>00</v>
      </c>
      <c r="C2120" s="405" t="str">
        <f t="shared" si="265"/>
        <v>第001773号</v>
      </c>
      <c r="D2120" s="405" t="str">
        <f t="shared" si="266"/>
        <v>呉共同機工（株）</v>
      </c>
      <c r="E2120" s="405" t="str">
        <f t="shared" si="267"/>
        <v>代表取締役社長</v>
      </c>
      <c r="F2120" s="405" t="str">
        <f t="shared" si="268"/>
        <v>入交　太郎</v>
      </c>
      <c r="G2120" s="405" t="str">
        <f t="shared" si="269"/>
        <v>主たる営業所</v>
      </c>
      <c r="H2120" s="405" t="str">
        <f t="shared" si="270"/>
        <v>田川市大字糒８２４</v>
      </c>
      <c r="L2120" s="403" t="s">
        <v>12132</v>
      </c>
      <c r="M2120" s="403" t="s">
        <v>12133</v>
      </c>
      <c r="N2120" s="403" t="s">
        <v>5780</v>
      </c>
      <c r="O2120" s="403" t="s">
        <v>7083</v>
      </c>
      <c r="P2120" s="403" t="s">
        <v>6465</v>
      </c>
      <c r="Q2120" s="403" t="s">
        <v>12134</v>
      </c>
      <c r="R2120" s="403" t="s">
        <v>21047</v>
      </c>
      <c r="S2120" s="403" t="s">
        <v>17598</v>
      </c>
      <c r="T2120" s="403" t="s">
        <v>17599</v>
      </c>
      <c r="U2120" s="403"/>
      <c r="V2120" s="403" t="s">
        <v>23024</v>
      </c>
      <c r="W2120" s="403" t="s">
        <v>23024</v>
      </c>
      <c r="X2120" s="403" t="s">
        <v>23024</v>
      </c>
      <c r="Y2120" s="403" t="s">
        <v>23024</v>
      </c>
    </row>
    <row r="2121" spans="1:25">
      <c r="A2121" s="363">
        <f t="shared" si="271"/>
        <v>2120</v>
      </c>
      <c r="B2121" s="363" t="str">
        <f t="shared" si="264"/>
        <v>00</v>
      </c>
      <c r="C2121" s="405" t="str">
        <f t="shared" si="265"/>
        <v>第001809号</v>
      </c>
      <c r="D2121" s="405" t="str">
        <f t="shared" si="266"/>
        <v>（株）ニチボー</v>
      </c>
      <c r="E2121" s="405" t="str">
        <f t="shared" si="267"/>
        <v/>
      </c>
      <c r="F2121" s="405" t="str">
        <f t="shared" si="268"/>
        <v>松本　幹雄</v>
      </c>
      <c r="G2121" s="405" t="str">
        <f t="shared" si="269"/>
        <v>大分営業所</v>
      </c>
      <c r="H2121" s="405" t="str">
        <f t="shared" si="270"/>
        <v>大分市青崎２－４－３９</v>
      </c>
      <c r="L2121" s="403" t="s">
        <v>12135</v>
      </c>
      <c r="M2121" s="403" t="s">
        <v>12136</v>
      </c>
      <c r="N2121" s="403" t="s">
        <v>5781</v>
      </c>
      <c r="O2121" s="403" t="s">
        <v>7084</v>
      </c>
      <c r="P2121" s="403" t="s">
        <v>21048</v>
      </c>
      <c r="Q2121" s="403" t="s">
        <v>12137</v>
      </c>
      <c r="R2121" s="403" t="s">
        <v>21049</v>
      </c>
      <c r="S2121" s="403" t="s">
        <v>21050</v>
      </c>
      <c r="T2121" s="403" t="s">
        <v>21051</v>
      </c>
      <c r="U2121" s="403"/>
      <c r="V2121" s="403" t="s">
        <v>7013</v>
      </c>
      <c r="W2121" s="403" t="s">
        <v>17600</v>
      </c>
      <c r="X2121" s="403" t="s">
        <v>7528</v>
      </c>
      <c r="Y2121" s="403" t="s">
        <v>21052</v>
      </c>
    </row>
    <row r="2122" spans="1:25">
      <c r="A2122" s="363">
        <f t="shared" si="271"/>
        <v>2121</v>
      </c>
      <c r="B2122" s="363" t="str">
        <f t="shared" si="264"/>
        <v>00</v>
      </c>
      <c r="C2122" s="405" t="str">
        <f t="shared" si="265"/>
        <v>第001821号</v>
      </c>
      <c r="D2122" s="405" t="str">
        <f t="shared" si="266"/>
        <v>コーアツ工業（株）</v>
      </c>
      <c r="E2122" s="405" t="str">
        <f t="shared" si="267"/>
        <v/>
      </c>
      <c r="F2122" s="405" t="str">
        <f t="shared" si="268"/>
        <v>西　勝治</v>
      </c>
      <c r="G2122" s="405" t="str">
        <f t="shared" si="269"/>
        <v>福岡支店</v>
      </c>
      <c r="H2122" s="405" t="str">
        <f t="shared" si="270"/>
        <v>福岡市中央区赤坂１－１３－１０　赤坂有楽ビル３Ｆ</v>
      </c>
      <c r="L2122" s="403" t="s">
        <v>12138</v>
      </c>
      <c r="M2122" s="403" t="s">
        <v>12139</v>
      </c>
      <c r="N2122" s="403" t="s">
        <v>5782</v>
      </c>
      <c r="O2122" s="403" t="s">
        <v>7084</v>
      </c>
      <c r="P2122" s="403" t="s">
        <v>6466</v>
      </c>
      <c r="Q2122" s="403" t="s">
        <v>12140</v>
      </c>
      <c r="R2122" s="403" t="s">
        <v>21053</v>
      </c>
      <c r="S2122" s="403" t="s">
        <v>21054</v>
      </c>
      <c r="T2122" s="403" t="s">
        <v>21055</v>
      </c>
      <c r="U2122" s="403"/>
      <c r="V2122" s="403" t="s">
        <v>7018</v>
      </c>
      <c r="W2122" s="403" t="s">
        <v>17601</v>
      </c>
      <c r="X2122" s="403" t="s">
        <v>13003</v>
      </c>
      <c r="Y2122" s="403" t="s">
        <v>21056</v>
      </c>
    </row>
    <row r="2123" spans="1:25">
      <c r="A2123" s="363">
        <f t="shared" si="271"/>
        <v>2122</v>
      </c>
      <c r="B2123" s="363" t="str">
        <f t="shared" si="264"/>
        <v>00</v>
      </c>
      <c r="C2123" s="405" t="str">
        <f t="shared" si="265"/>
        <v>第001868号</v>
      </c>
      <c r="D2123" s="405" t="str">
        <f t="shared" si="266"/>
        <v>（株）不動テトラ</v>
      </c>
      <c r="E2123" s="405" t="str">
        <f t="shared" si="267"/>
        <v/>
      </c>
      <c r="F2123" s="405" t="str">
        <f t="shared" si="268"/>
        <v>小澤　慎一</v>
      </c>
      <c r="G2123" s="405" t="str">
        <f t="shared" si="269"/>
        <v>九州支店</v>
      </c>
      <c r="H2123" s="405" t="str">
        <f t="shared" si="270"/>
        <v>福岡市博多区博多駅前４－１－１</v>
      </c>
      <c r="L2123" s="403" t="s">
        <v>12141</v>
      </c>
      <c r="M2123" s="403" t="s">
        <v>12142</v>
      </c>
      <c r="N2123" s="403" t="s">
        <v>5783</v>
      </c>
      <c r="O2123" s="403" t="s">
        <v>7083</v>
      </c>
      <c r="P2123" s="403" t="s">
        <v>6467</v>
      </c>
      <c r="Q2123" s="403" t="s">
        <v>12143</v>
      </c>
      <c r="R2123" s="403" t="s">
        <v>21057</v>
      </c>
      <c r="S2123" s="403" t="s">
        <v>21058</v>
      </c>
      <c r="T2123" s="403" t="s">
        <v>21059</v>
      </c>
      <c r="U2123" s="403"/>
      <c r="V2123" s="403" t="s">
        <v>7007</v>
      </c>
      <c r="W2123" s="403" t="s">
        <v>21060</v>
      </c>
      <c r="X2123" s="403" t="s">
        <v>13015</v>
      </c>
      <c r="Y2123" s="403" t="s">
        <v>21061</v>
      </c>
    </row>
    <row r="2124" spans="1:25">
      <c r="A2124" s="363">
        <f t="shared" si="271"/>
        <v>2123</v>
      </c>
      <c r="B2124" s="363" t="str">
        <f t="shared" si="264"/>
        <v>00</v>
      </c>
      <c r="C2124" s="405" t="str">
        <f t="shared" si="265"/>
        <v>第001871号</v>
      </c>
      <c r="D2124" s="405" t="str">
        <f t="shared" si="266"/>
        <v>西川計測（株）</v>
      </c>
      <c r="E2124" s="405" t="str">
        <f t="shared" si="267"/>
        <v/>
      </c>
      <c r="F2124" s="405" t="str">
        <f t="shared" si="268"/>
        <v>福羅　憲二</v>
      </c>
      <c r="G2124" s="405" t="str">
        <f t="shared" si="269"/>
        <v>九州支社</v>
      </c>
      <c r="H2124" s="405" t="str">
        <f t="shared" si="270"/>
        <v>大分市高城本町５－３</v>
      </c>
      <c r="L2124" s="404" t="s">
        <v>12144</v>
      </c>
      <c r="M2124" s="404" t="s">
        <v>12145</v>
      </c>
      <c r="N2124" s="404" t="s">
        <v>5784</v>
      </c>
      <c r="O2124" s="404" t="s">
        <v>7083</v>
      </c>
      <c r="P2124" s="404" t="s">
        <v>6468</v>
      </c>
      <c r="Q2124" s="404" t="s">
        <v>12146</v>
      </c>
      <c r="R2124" s="404" t="s">
        <v>21062</v>
      </c>
      <c r="S2124" s="404" t="s">
        <v>21063</v>
      </c>
      <c r="T2124" s="404" t="s">
        <v>21064</v>
      </c>
      <c r="U2124" s="404"/>
      <c r="V2124" s="404" t="s">
        <v>7011</v>
      </c>
      <c r="W2124" s="404" t="s">
        <v>17602</v>
      </c>
      <c r="X2124" s="404" t="s">
        <v>8278</v>
      </c>
      <c r="Y2124" s="404" t="s">
        <v>21065</v>
      </c>
    </row>
    <row r="2125" spans="1:25">
      <c r="A2125" s="363">
        <f t="shared" si="271"/>
        <v>2124</v>
      </c>
      <c r="B2125" s="363" t="str">
        <f t="shared" si="264"/>
        <v>00</v>
      </c>
      <c r="C2125" s="405" t="str">
        <f t="shared" si="265"/>
        <v>第001879号</v>
      </c>
      <c r="D2125" s="405" t="str">
        <f t="shared" si="266"/>
        <v>三建設備工業（株）</v>
      </c>
      <c r="E2125" s="405" t="str">
        <f t="shared" si="267"/>
        <v/>
      </c>
      <c r="F2125" s="405" t="str">
        <f t="shared" si="268"/>
        <v>柴田　稔</v>
      </c>
      <c r="G2125" s="405" t="str">
        <f t="shared" si="269"/>
        <v>九州支店</v>
      </c>
      <c r="H2125" s="405" t="str">
        <f t="shared" si="270"/>
        <v>福岡市博多区店屋町１－３５</v>
      </c>
      <c r="L2125" s="402" t="s">
        <v>12147</v>
      </c>
      <c r="M2125" s="402" t="s">
        <v>12148</v>
      </c>
      <c r="N2125" s="402" t="s">
        <v>5785</v>
      </c>
      <c r="O2125" s="402" t="s">
        <v>7084</v>
      </c>
      <c r="P2125" s="402" t="s">
        <v>6469</v>
      </c>
      <c r="Q2125" s="402" t="s">
        <v>12084</v>
      </c>
      <c r="R2125" s="402" t="s">
        <v>21066</v>
      </c>
      <c r="S2125" s="402" t="s">
        <v>21067</v>
      </c>
      <c r="T2125" s="402" t="s">
        <v>21068</v>
      </c>
      <c r="U2125" s="402"/>
      <c r="V2125" s="402" t="s">
        <v>7007</v>
      </c>
      <c r="W2125" s="402" t="s">
        <v>17603</v>
      </c>
      <c r="X2125" s="402" t="s">
        <v>17522</v>
      </c>
      <c r="Y2125" s="402" t="s">
        <v>21069</v>
      </c>
    </row>
    <row r="2126" spans="1:25">
      <c r="A2126" s="363">
        <f t="shared" si="271"/>
        <v>2125</v>
      </c>
      <c r="B2126" s="363" t="str">
        <f t="shared" si="264"/>
        <v>00</v>
      </c>
      <c r="C2126" s="405" t="str">
        <f t="shared" si="265"/>
        <v>第001882号</v>
      </c>
      <c r="D2126" s="405" t="str">
        <f t="shared" si="266"/>
        <v>日新電機（株）</v>
      </c>
      <c r="E2126" s="405" t="str">
        <f t="shared" si="267"/>
        <v/>
      </c>
      <c r="F2126" s="405" t="str">
        <f t="shared" si="268"/>
        <v>松本　雅至</v>
      </c>
      <c r="G2126" s="405" t="str">
        <f t="shared" si="269"/>
        <v>九州支店</v>
      </c>
      <c r="H2126" s="405" t="str">
        <f t="shared" si="270"/>
        <v>福岡市博多区博多駅前３－３０－２３</v>
      </c>
      <c r="L2126" s="403" t="s">
        <v>12149</v>
      </c>
      <c r="M2126" s="403" t="s">
        <v>12150</v>
      </c>
      <c r="N2126" s="403" t="s">
        <v>5786</v>
      </c>
      <c r="O2126" s="403" t="s">
        <v>7083</v>
      </c>
      <c r="P2126" s="403" t="s">
        <v>21070</v>
      </c>
      <c r="Q2126" s="403" t="s">
        <v>12151</v>
      </c>
      <c r="R2126" s="403" t="s">
        <v>21071</v>
      </c>
      <c r="S2126" s="403" t="s">
        <v>21072</v>
      </c>
      <c r="T2126" s="403" t="s">
        <v>21073</v>
      </c>
      <c r="U2126" s="403"/>
      <c r="V2126" s="403" t="s">
        <v>7007</v>
      </c>
      <c r="W2126" s="403" t="s">
        <v>17604</v>
      </c>
      <c r="X2126" s="403" t="s">
        <v>13015</v>
      </c>
      <c r="Y2126" s="403" t="s">
        <v>21074</v>
      </c>
    </row>
    <row r="2127" spans="1:25">
      <c r="A2127" s="363">
        <f t="shared" si="271"/>
        <v>2126</v>
      </c>
      <c r="B2127" s="363" t="str">
        <f t="shared" si="264"/>
        <v>00</v>
      </c>
      <c r="C2127" s="405" t="str">
        <f t="shared" si="265"/>
        <v>第001934号</v>
      </c>
      <c r="D2127" s="405" t="str">
        <f t="shared" si="266"/>
        <v>（株）弘電社</v>
      </c>
      <c r="E2127" s="405" t="str">
        <f t="shared" si="267"/>
        <v/>
      </c>
      <c r="F2127" s="405" t="str">
        <f t="shared" si="268"/>
        <v>岸　広明</v>
      </c>
      <c r="G2127" s="405" t="str">
        <f t="shared" si="269"/>
        <v>九州支店</v>
      </c>
      <c r="H2127" s="405" t="str">
        <f t="shared" si="270"/>
        <v>福岡市博多区東比恵３－１２－１６</v>
      </c>
      <c r="L2127" s="403" t="s">
        <v>12152</v>
      </c>
      <c r="M2127" s="403" t="s">
        <v>11532</v>
      </c>
      <c r="N2127" s="403" t="s">
        <v>5787</v>
      </c>
      <c r="O2127" s="403" t="s">
        <v>7084</v>
      </c>
      <c r="P2127" s="403" t="s">
        <v>6470</v>
      </c>
      <c r="Q2127" s="403" t="s">
        <v>12153</v>
      </c>
      <c r="R2127" s="403" t="s">
        <v>21075</v>
      </c>
      <c r="S2127" s="403" t="s">
        <v>21076</v>
      </c>
      <c r="T2127" s="403" t="s">
        <v>21077</v>
      </c>
      <c r="U2127" s="403"/>
      <c r="V2127" s="403" t="s">
        <v>7007</v>
      </c>
      <c r="W2127" s="403" t="s">
        <v>17605</v>
      </c>
      <c r="X2127" s="403" t="s">
        <v>13787</v>
      </c>
      <c r="Y2127" s="403" t="s">
        <v>21078</v>
      </c>
    </row>
    <row r="2128" spans="1:25">
      <c r="A2128" s="363">
        <f t="shared" si="271"/>
        <v>2127</v>
      </c>
      <c r="B2128" s="363" t="str">
        <f t="shared" si="264"/>
        <v>00</v>
      </c>
      <c r="C2128" s="405" t="str">
        <f t="shared" si="265"/>
        <v>第001954号</v>
      </c>
      <c r="D2128" s="405" t="str">
        <f t="shared" si="266"/>
        <v>九州建設（株）</v>
      </c>
      <c r="E2128" s="405" t="str">
        <f t="shared" si="267"/>
        <v>代表取締役社長</v>
      </c>
      <c r="F2128" s="405" t="str">
        <f t="shared" si="268"/>
        <v>井山　裕</v>
      </c>
      <c r="G2128" s="405" t="str">
        <f t="shared" si="269"/>
        <v>主たる営業所</v>
      </c>
      <c r="H2128" s="405" t="str">
        <f t="shared" si="270"/>
        <v>福岡市博多区博多駅南１－８－３１</v>
      </c>
      <c r="L2128" s="403" t="s">
        <v>12154</v>
      </c>
      <c r="M2128" s="403" t="s">
        <v>12155</v>
      </c>
      <c r="N2128" s="403" t="s">
        <v>5788</v>
      </c>
      <c r="O2128" s="403" t="s">
        <v>7083</v>
      </c>
      <c r="P2128" s="403" t="s">
        <v>6471</v>
      </c>
      <c r="Q2128" s="403" t="s">
        <v>11975</v>
      </c>
      <c r="R2128" s="403" t="s">
        <v>21079</v>
      </c>
      <c r="S2128" s="403" t="s">
        <v>17606</v>
      </c>
      <c r="T2128" s="403" t="s">
        <v>17607</v>
      </c>
      <c r="U2128" s="403"/>
      <c r="V2128" s="403" t="s">
        <v>23024</v>
      </c>
      <c r="W2128" s="403" t="s">
        <v>23024</v>
      </c>
      <c r="X2128" s="403" t="s">
        <v>23024</v>
      </c>
      <c r="Y2128" s="403" t="s">
        <v>23024</v>
      </c>
    </row>
    <row r="2129" spans="1:25">
      <c r="A2129" s="363">
        <f t="shared" si="271"/>
        <v>2128</v>
      </c>
      <c r="B2129" s="363" t="str">
        <f t="shared" si="264"/>
        <v>00</v>
      </c>
      <c r="C2129" s="405" t="str">
        <f t="shared" si="265"/>
        <v>第001955号</v>
      </c>
      <c r="D2129" s="405" t="str">
        <f t="shared" si="266"/>
        <v>西部電機（株）</v>
      </c>
      <c r="E2129" s="405" t="str">
        <f t="shared" si="267"/>
        <v>代表取締役</v>
      </c>
      <c r="F2129" s="405" t="str">
        <f t="shared" si="268"/>
        <v>税所　幸一</v>
      </c>
      <c r="G2129" s="405" t="str">
        <f t="shared" si="269"/>
        <v>主たる営業所</v>
      </c>
      <c r="H2129" s="405" t="str">
        <f t="shared" si="270"/>
        <v>古賀市駅東３－３－１</v>
      </c>
      <c r="L2129" s="403" t="s">
        <v>12156</v>
      </c>
      <c r="M2129" s="403" t="s">
        <v>12157</v>
      </c>
      <c r="N2129" s="403" t="s">
        <v>5789</v>
      </c>
      <c r="O2129" s="403" t="s">
        <v>7084</v>
      </c>
      <c r="P2129" s="403" t="s">
        <v>6472</v>
      </c>
      <c r="Q2129" s="403" t="s">
        <v>12158</v>
      </c>
      <c r="R2129" s="403" t="s">
        <v>21080</v>
      </c>
      <c r="S2129" s="403" t="s">
        <v>17608</v>
      </c>
      <c r="T2129" s="403" t="s">
        <v>17609</v>
      </c>
      <c r="U2129" s="403"/>
      <c r="V2129" s="403" t="s">
        <v>23024</v>
      </c>
      <c r="W2129" s="403" t="s">
        <v>23024</v>
      </c>
      <c r="X2129" s="403" t="s">
        <v>23024</v>
      </c>
      <c r="Y2129" s="403" t="s">
        <v>23024</v>
      </c>
    </row>
    <row r="2130" spans="1:25">
      <c r="A2130" s="363">
        <f t="shared" si="271"/>
        <v>2129</v>
      </c>
      <c r="B2130" s="363" t="str">
        <f t="shared" si="264"/>
        <v>00</v>
      </c>
      <c r="C2130" s="405" t="str">
        <f t="shared" si="265"/>
        <v>第001959号</v>
      </c>
      <c r="D2130" s="405" t="str">
        <f t="shared" si="266"/>
        <v>東洋シヤッター（株）</v>
      </c>
      <c r="E2130" s="405" t="str">
        <f t="shared" si="267"/>
        <v/>
      </c>
      <c r="F2130" s="405" t="str">
        <f t="shared" si="268"/>
        <v>松村　博樹</v>
      </c>
      <c r="G2130" s="405" t="str">
        <f t="shared" si="269"/>
        <v>大分営業所</v>
      </c>
      <c r="H2130" s="405" t="str">
        <f t="shared" si="270"/>
        <v>大分市豊海３－５－７</v>
      </c>
      <c r="L2130" s="403" t="s">
        <v>12159</v>
      </c>
      <c r="M2130" s="403" t="s">
        <v>12160</v>
      </c>
      <c r="N2130" s="403" t="s">
        <v>5790</v>
      </c>
      <c r="O2130" s="403" t="s">
        <v>7084</v>
      </c>
      <c r="P2130" s="403" t="s">
        <v>6473</v>
      </c>
      <c r="Q2130" s="403" t="s">
        <v>12161</v>
      </c>
      <c r="R2130" s="403" t="s">
        <v>21081</v>
      </c>
      <c r="S2130" s="403" t="s">
        <v>21082</v>
      </c>
      <c r="T2130" s="403" t="s">
        <v>21083</v>
      </c>
      <c r="U2130" s="403"/>
      <c r="V2130" s="403" t="s">
        <v>7013</v>
      </c>
      <c r="W2130" s="403" t="s">
        <v>17610</v>
      </c>
      <c r="X2130" s="403" t="s">
        <v>7285</v>
      </c>
      <c r="Y2130" s="403" t="s">
        <v>21084</v>
      </c>
    </row>
    <row r="2131" spans="1:25">
      <c r="A2131" s="363">
        <f t="shared" si="271"/>
        <v>2130</v>
      </c>
      <c r="B2131" s="363" t="str">
        <f t="shared" si="264"/>
        <v>00</v>
      </c>
      <c r="C2131" s="405" t="str">
        <f t="shared" si="265"/>
        <v>第001962号</v>
      </c>
      <c r="D2131" s="405" t="str">
        <f t="shared" si="266"/>
        <v>世紀東急工業（株）</v>
      </c>
      <c r="E2131" s="405" t="str">
        <f t="shared" si="267"/>
        <v/>
      </c>
      <c r="F2131" s="405" t="str">
        <f t="shared" si="268"/>
        <v>塚本　和也</v>
      </c>
      <c r="G2131" s="405" t="str">
        <f t="shared" si="269"/>
        <v>福岡営業所</v>
      </c>
      <c r="H2131" s="405" t="str">
        <f t="shared" si="270"/>
        <v>大野城市仲畑２－８－３９</v>
      </c>
      <c r="L2131" s="403" t="s">
        <v>12162</v>
      </c>
      <c r="M2131" s="403" t="s">
        <v>12163</v>
      </c>
      <c r="N2131" s="403" t="s">
        <v>5791</v>
      </c>
      <c r="O2131" s="403" t="s">
        <v>7089</v>
      </c>
      <c r="P2131" s="403" t="s">
        <v>6474</v>
      </c>
      <c r="Q2131" s="403" t="s">
        <v>12164</v>
      </c>
      <c r="R2131" s="403" t="s">
        <v>21085</v>
      </c>
      <c r="S2131" s="403" t="s">
        <v>21086</v>
      </c>
      <c r="T2131" s="403" t="s">
        <v>21087</v>
      </c>
      <c r="U2131" s="403"/>
      <c r="V2131" s="403" t="s">
        <v>7010</v>
      </c>
      <c r="W2131" s="403" t="s">
        <v>17611</v>
      </c>
      <c r="X2131" s="403" t="s">
        <v>17612</v>
      </c>
      <c r="Y2131" s="403" t="s">
        <v>21088</v>
      </c>
    </row>
    <row r="2132" spans="1:25">
      <c r="A2132" s="363">
        <f t="shared" si="271"/>
        <v>2131</v>
      </c>
      <c r="B2132" s="363" t="str">
        <f t="shared" si="264"/>
        <v>00</v>
      </c>
      <c r="C2132" s="405" t="str">
        <f t="shared" si="265"/>
        <v>第001990号</v>
      </c>
      <c r="D2132" s="405" t="str">
        <f t="shared" si="266"/>
        <v>ＯＫＩクロステック（株）</v>
      </c>
      <c r="E2132" s="405" t="str">
        <f t="shared" si="267"/>
        <v/>
      </c>
      <c r="F2132" s="405" t="str">
        <f t="shared" si="268"/>
        <v>田宮　英司</v>
      </c>
      <c r="G2132" s="405" t="str">
        <f t="shared" si="269"/>
        <v>九州支社</v>
      </c>
      <c r="H2132" s="405" t="str">
        <f t="shared" si="270"/>
        <v>福岡市南区向野２－９－２６</v>
      </c>
      <c r="L2132" s="403" t="s">
        <v>12165</v>
      </c>
      <c r="M2132" s="403" t="s">
        <v>12166</v>
      </c>
      <c r="N2132" s="403" t="s">
        <v>5792</v>
      </c>
      <c r="O2132" s="403" t="s">
        <v>7084</v>
      </c>
      <c r="P2132" s="403" t="s">
        <v>6475</v>
      </c>
      <c r="Q2132" s="403" t="s">
        <v>12167</v>
      </c>
      <c r="R2132" s="403" t="s">
        <v>21089</v>
      </c>
      <c r="S2132" s="403" t="s">
        <v>21090</v>
      </c>
      <c r="T2132" s="403" t="s">
        <v>21091</v>
      </c>
      <c r="U2132" s="403"/>
      <c r="V2132" s="403" t="s">
        <v>7011</v>
      </c>
      <c r="W2132" s="403" t="s">
        <v>21092</v>
      </c>
      <c r="X2132" s="403" t="s">
        <v>13490</v>
      </c>
      <c r="Y2132" s="403" t="s">
        <v>21093</v>
      </c>
    </row>
    <row r="2133" spans="1:25">
      <c r="A2133" s="363">
        <f t="shared" si="271"/>
        <v>2132</v>
      </c>
      <c r="B2133" s="363" t="str">
        <f t="shared" si="264"/>
        <v>00</v>
      </c>
      <c r="C2133" s="405" t="str">
        <f t="shared" si="265"/>
        <v>第001993号</v>
      </c>
      <c r="D2133" s="405" t="str">
        <f t="shared" si="266"/>
        <v>須賀工業（株）</v>
      </c>
      <c r="E2133" s="405" t="str">
        <f t="shared" si="267"/>
        <v/>
      </c>
      <c r="F2133" s="405" t="str">
        <f t="shared" si="268"/>
        <v>大石　昌巳</v>
      </c>
      <c r="G2133" s="405" t="str">
        <f t="shared" si="269"/>
        <v>九州支店</v>
      </c>
      <c r="H2133" s="405" t="str">
        <f t="shared" si="270"/>
        <v>福岡市博多区千代２－８－３２</v>
      </c>
      <c r="L2133" s="403" t="s">
        <v>12168</v>
      </c>
      <c r="M2133" s="403" t="s">
        <v>12169</v>
      </c>
      <c r="N2133" s="403" t="s">
        <v>5793</v>
      </c>
      <c r="O2133" s="403" t="s">
        <v>7084</v>
      </c>
      <c r="P2133" s="403" t="s">
        <v>6476</v>
      </c>
      <c r="Q2133" s="403" t="s">
        <v>12170</v>
      </c>
      <c r="R2133" s="403" t="s">
        <v>21094</v>
      </c>
      <c r="S2133" s="403" t="s">
        <v>21095</v>
      </c>
      <c r="T2133" s="403" t="s">
        <v>21096</v>
      </c>
      <c r="U2133" s="403"/>
      <c r="V2133" s="403" t="s">
        <v>7007</v>
      </c>
      <c r="W2133" s="403" t="s">
        <v>17613</v>
      </c>
      <c r="X2133" s="403" t="s">
        <v>17538</v>
      </c>
      <c r="Y2133" s="403" t="s">
        <v>21097</v>
      </c>
    </row>
    <row r="2134" spans="1:25">
      <c r="A2134" s="363">
        <f t="shared" si="271"/>
        <v>2133</v>
      </c>
      <c r="B2134" s="363" t="str">
        <f t="shared" si="264"/>
        <v>00</v>
      </c>
      <c r="C2134" s="405" t="str">
        <f t="shared" si="265"/>
        <v>第002097号</v>
      </c>
      <c r="D2134" s="405" t="str">
        <f t="shared" si="266"/>
        <v>（株）中電工</v>
      </c>
      <c r="E2134" s="405" t="str">
        <f t="shared" si="267"/>
        <v/>
      </c>
      <c r="F2134" s="405" t="str">
        <f t="shared" si="268"/>
        <v>藤井　純一</v>
      </c>
      <c r="G2134" s="405" t="str">
        <f t="shared" si="269"/>
        <v>九州支社</v>
      </c>
      <c r="H2134" s="405" t="str">
        <f t="shared" si="270"/>
        <v>福岡市中央区薬院３－６－２０</v>
      </c>
      <c r="L2134" s="403" t="s">
        <v>12171</v>
      </c>
      <c r="M2134" s="403" t="s">
        <v>12172</v>
      </c>
      <c r="N2134" s="403" t="s">
        <v>5794</v>
      </c>
      <c r="O2134" s="403" t="s">
        <v>7089</v>
      </c>
      <c r="P2134" s="403" t="s">
        <v>6477</v>
      </c>
      <c r="Q2134" s="403" t="s">
        <v>12173</v>
      </c>
      <c r="R2134" s="403" t="s">
        <v>21098</v>
      </c>
      <c r="S2134" s="403" t="s">
        <v>21099</v>
      </c>
      <c r="T2134" s="403" t="s">
        <v>21100</v>
      </c>
      <c r="U2134" s="403"/>
      <c r="V2134" s="403" t="s">
        <v>7011</v>
      </c>
      <c r="W2134" s="403" t="s">
        <v>17614</v>
      </c>
      <c r="X2134" s="403" t="s">
        <v>12026</v>
      </c>
      <c r="Y2134" s="403" t="s">
        <v>21101</v>
      </c>
    </row>
    <row r="2135" spans="1:25">
      <c r="A2135" s="363">
        <f t="shared" si="271"/>
        <v>2134</v>
      </c>
      <c r="B2135" s="363" t="str">
        <f t="shared" si="264"/>
        <v>00</v>
      </c>
      <c r="C2135" s="405" t="str">
        <f t="shared" si="265"/>
        <v>第002100号</v>
      </c>
      <c r="D2135" s="405" t="str">
        <f t="shared" si="266"/>
        <v>鹿島建設（株）</v>
      </c>
      <c r="E2135" s="405" t="str">
        <f t="shared" si="267"/>
        <v/>
      </c>
      <c r="F2135" s="405" t="str">
        <f t="shared" si="268"/>
        <v>小森　浩之</v>
      </c>
      <c r="G2135" s="405" t="str">
        <f t="shared" si="269"/>
        <v>九州支店</v>
      </c>
      <c r="H2135" s="405" t="str">
        <f t="shared" si="270"/>
        <v>福岡市博多区博多駅前３－１２－１０</v>
      </c>
      <c r="L2135" s="403" t="s">
        <v>12174</v>
      </c>
      <c r="M2135" s="403" t="s">
        <v>12175</v>
      </c>
      <c r="N2135" s="403" t="s">
        <v>5795</v>
      </c>
      <c r="O2135" s="403" t="s">
        <v>21102</v>
      </c>
      <c r="P2135" s="403" t="s">
        <v>21103</v>
      </c>
      <c r="Q2135" s="403" t="s">
        <v>12176</v>
      </c>
      <c r="R2135" s="403" t="s">
        <v>21104</v>
      </c>
      <c r="S2135" s="403" t="s">
        <v>21105</v>
      </c>
      <c r="T2135" s="403" t="s">
        <v>21106</v>
      </c>
      <c r="U2135" s="403"/>
      <c r="V2135" s="403" t="s">
        <v>7007</v>
      </c>
      <c r="W2135" s="403" t="s">
        <v>17615</v>
      </c>
      <c r="X2135" s="403" t="s">
        <v>17616</v>
      </c>
      <c r="Y2135" s="403" t="s">
        <v>21107</v>
      </c>
    </row>
    <row r="2136" spans="1:25">
      <c r="A2136" s="363">
        <f t="shared" si="271"/>
        <v>2135</v>
      </c>
      <c r="B2136" s="363" t="str">
        <f t="shared" si="264"/>
        <v>00</v>
      </c>
      <c r="C2136" s="405" t="str">
        <f t="shared" si="265"/>
        <v>第002144号</v>
      </c>
      <c r="D2136" s="405" t="str">
        <f t="shared" si="266"/>
        <v>西日本プラント工業（株）</v>
      </c>
      <c r="E2136" s="405" t="str">
        <f t="shared" si="267"/>
        <v/>
      </c>
      <c r="F2136" s="405" t="str">
        <f t="shared" si="268"/>
        <v>津口　陽一</v>
      </c>
      <c r="G2136" s="405" t="str">
        <f t="shared" si="269"/>
        <v>新大分事業所</v>
      </c>
      <c r="H2136" s="405" t="str">
        <f t="shared" si="270"/>
        <v>大分市大字青崎３－２</v>
      </c>
      <c r="L2136" s="403" t="s">
        <v>12177</v>
      </c>
      <c r="M2136" s="403" t="s">
        <v>12178</v>
      </c>
      <c r="N2136" s="403" t="s">
        <v>5796</v>
      </c>
      <c r="O2136" s="403" t="s">
        <v>7083</v>
      </c>
      <c r="P2136" s="403" t="s">
        <v>6478</v>
      </c>
      <c r="Q2136" s="403" t="s">
        <v>12179</v>
      </c>
      <c r="R2136" s="403" t="s">
        <v>21108</v>
      </c>
      <c r="S2136" s="403" t="s">
        <v>21109</v>
      </c>
      <c r="T2136" s="403" t="s">
        <v>21110</v>
      </c>
      <c r="U2136" s="403"/>
      <c r="V2136" s="403" t="s">
        <v>7020</v>
      </c>
      <c r="W2136" s="403" t="s">
        <v>21111</v>
      </c>
      <c r="X2136" s="403" t="s">
        <v>7528</v>
      </c>
      <c r="Y2136" s="403" t="s">
        <v>21112</v>
      </c>
    </row>
    <row r="2137" spans="1:25">
      <c r="A2137" s="363">
        <f t="shared" si="271"/>
        <v>2136</v>
      </c>
      <c r="B2137" s="363" t="str">
        <f t="shared" si="264"/>
        <v>00</v>
      </c>
      <c r="C2137" s="405" t="str">
        <f t="shared" si="265"/>
        <v>第002147号</v>
      </c>
      <c r="D2137" s="405" t="str">
        <f t="shared" si="266"/>
        <v>東興ジオテック（株）</v>
      </c>
      <c r="E2137" s="405" t="str">
        <f t="shared" si="267"/>
        <v/>
      </c>
      <c r="F2137" s="405" t="str">
        <f t="shared" si="268"/>
        <v>笠浪　裕</v>
      </c>
      <c r="G2137" s="405" t="str">
        <f t="shared" si="269"/>
        <v>大分営業所</v>
      </c>
      <c r="H2137" s="405" t="str">
        <f t="shared" si="270"/>
        <v>大分市政所１－１２－３２</v>
      </c>
      <c r="L2137" s="403" t="s">
        <v>12180</v>
      </c>
      <c r="M2137" s="403" t="s">
        <v>12181</v>
      </c>
      <c r="N2137" s="403" t="s">
        <v>5797</v>
      </c>
      <c r="O2137" s="403" t="s">
        <v>7084</v>
      </c>
      <c r="P2137" s="403" t="s">
        <v>6479</v>
      </c>
      <c r="Q2137" s="403" t="s">
        <v>12153</v>
      </c>
      <c r="R2137" s="403" t="s">
        <v>21113</v>
      </c>
      <c r="S2137" s="403" t="s">
        <v>21114</v>
      </c>
      <c r="T2137" s="403" t="s">
        <v>21115</v>
      </c>
      <c r="U2137" s="403"/>
      <c r="V2137" s="403" t="s">
        <v>7013</v>
      </c>
      <c r="W2137" s="403" t="s">
        <v>17617</v>
      </c>
      <c r="X2137" s="403" t="s">
        <v>8324</v>
      </c>
      <c r="Y2137" s="403" t="s">
        <v>21116</v>
      </c>
    </row>
    <row r="2138" spans="1:25">
      <c r="A2138" s="363">
        <f t="shared" si="271"/>
        <v>2137</v>
      </c>
      <c r="B2138" s="363" t="str">
        <f t="shared" si="264"/>
        <v>00</v>
      </c>
      <c r="C2138" s="405" t="str">
        <f t="shared" si="265"/>
        <v>第002189号</v>
      </c>
      <c r="D2138" s="405" t="str">
        <f t="shared" si="266"/>
        <v>日本原料（株）</v>
      </c>
      <c r="E2138" s="405" t="str">
        <f t="shared" si="267"/>
        <v/>
      </c>
      <c r="F2138" s="405" t="str">
        <f t="shared" si="268"/>
        <v>瀬田　和俊</v>
      </c>
      <c r="G2138" s="405" t="str">
        <f t="shared" si="269"/>
        <v>関西支店</v>
      </c>
      <c r="H2138" s="405" t="str">
        <f t="shared" si="270"/>
        <v>大阪市中央区内本町１－３－５</v>
      </c>
      <c r="L2138" s="403" t="s">
        <v>12182</v>
      </c>
      <c r="M2138" s="403" t="s">
        <v>12183</v>
      </c>
      <c r="N2138" s="403" t="s">
        <v>5798</v>
      </c>
      <c r="O2138" s="403" t="s">
        <v>7084</v>
      </c>
      <c r="P2138" s="403" t="s">
        <v>6480</v>
      </c>
      <c r="Q2138" s="403" t="s">
        <v>12184</v>
      </c>
      <c r="R2138" s="403" t="s">
        <v>21117</v>
      </c>
      <c r="S2138" s="403" t="s">
        <v>21118</v>
      </c>
      <c r="T2138" s="403" t="s">
        <v>21119</v>
      </c>
      <c r="U2138" s="403"/>
      <c r="V2138" s="403" t="s">
        <v>7021</v>
      </c>
      <c r="W2138" s="403" t="s">
        <v>17618</v>
      </c>
      <c r="X2138" s="403" t="s">
        <v>17619</v>
      </c>
      <c r="Y2138" s="403" t="s">
        <v>21120</v>
      </c>
    </row>
    <row r="2139" spans="1:25">
      <c r="A2139" s="363">
        <f t="shared" si="271"/>
        <v>2138</v>
      </c>
      <c r="B2139" s="363" t="str">
        <f t="shared" si="264"/>
        <v>00</v>
      </c>
      <c r="C2139" s="405" t="str">
        <f t="shared" si="265"/>
        <v>第002200号</v>
      </c>
      <c r="D2139" s="405" t="str">
        <f t="shared" si="266"/>
        <v>（株）奥村組</v>
      </c>
      <c r="E2139" s="405" t="str">
        <f t="shared" si="267"/>
        <v/>
      </c>
      <c r="F2139" s="405" t="str">
        <f t="shared" si="268"/>
        <v>町田　義文</v>
      </c>
      <c r="G2139" s="405" t="str">
        <f t="shared" si="269"/>
        <v>九州支店</v>
      </c>
      <c r="H2139" s="405" t="str">
        <f t="shared" si="270"/>
        <v>北九州市八幡東区山王２－１９－１</v>
      </c>
      <c r="L2139" s="403" t="s">
        <v>12185</v>
      </c>
      <c r="M2139" s="403" t="s">
        <v>12186</v>
      </c>
      <c r="N2139" s="403" t="s">
        <v>5799</v>
      </c>
      <c r="O2139" s="403" t="s">
        <v>7083</v>
      </c>
      <c r="P2139" s="403" t="s">
        <v>6481</v>
      </c>
      <c r="Q2139" s="403" t="s">
        <v>12187</v>
      </c>
      <c r="R2139" s="403" t="s">
        <v>21121</v>
      </c>
      <c r="S2139" s="403" t="s">
        <v>21122</v>
      </c>
      <c r="T2139" s="403" t="s">
        <v>21123</v>
      </c>
      <c r="U2139" s="403"/>
      <c r="V2139" s="403" t="s">
        <v>7007</v>
      </c>
      <c r="W2139" s="403" t="s">
        <v>17620</v>
      </c>
      <c r="X2139" s="403" t="s">
        <v>17621</v>
      </c>
      <c r="Y2139" s="403" t="s">
        <v>21124</v>
      </c>
    </row>
    <row r="2140" spans="1:25">
      <c r="A2140" s="363">
        <f t="shared" si="271"/>
        <v>2139</v>
      </c>
      <c r="B2140" s="363" t="str">
        <f t="shared" si="264"/>
        <v>00</v>
      </c>
      <c r="C2140" s="405" t="str">
        <f t="shared" si="265"/>
        <v>第002211号</v>
      </c>
      <c r="D2140" s="405" t="str">
        <f t="shared" si="266"/>
        <v>隔測計装（株）</v>
      </c>
      <c r="E2140" s="405" t="str">
        <f t="shared" si="267"/>
        <v>代表取締役</v>
      </c>
      <c r="F2140" s="405" t="str">
        <f t="shared" si="268"/>
        <v>西野　和彦</v>
      </c>
      <c r="G2140" s="405" t="str">
        <f t="shared" si="269"/>
        <v>主たる営業所</v>
      </c>
      <c r="H2140" s="405" t="str">
        <f t="shared" si="270"/>
        <v>福岡市南区寺塚１－２８－５</v>
      </c>
      <c r="L2140" s="403" t="s">
        <v>12188</v>
      </c>
      <c r="M2140" s="403" t="s">
        <v>12189</v>
      </c>
      <c r="N2140" s="403" t="s">
        <v>5800</v>
      </c>
      <c r="O2140" s="403" t="s">
        <v>7084</v>
      </c>
      <c r="P2140" s="403" t="s">
        <v>6482</v>
      </c>
      <c r="Q2140" s="403" t="s">
        <v>12190</v>
      </c>
      <c r="R2140" s="403" t="s">
        <v>21125</v>
      </c>
      <c r="S2140" s="403" t="s">
        <v>17622</v>
      </c>
      <c r="T2140" s="403" t="s">
        <v>17623</v>
      </c>
      <c r="U2140" s="403"/>
      <c r="V2140" s="403" t="s">
        <v>23024</v>
      </c>
      <c r="W2140" s="403" t="s">
        <v>23024</v>
      </c>
      <c r="X2140" s="403" t="s">
        <v>23024</v>
      </c>
      <c r="Y2140" s="403" t="s">
        <v>23024</v>
      </c>
    </row>
    <row r="2141" spans="1:25">
      <c r="A2141" s="363">
        <f t="shared" si="271"/>
        <v>2140</v>
      </c>
      <c r="B2141" s="363" t="str">
        <f t="shared" si="264"/>
        <v>00</v>
      </c>
      <c r="C2141" s="405" t="str">
        <f t="shared" si="265"/>
        <v>第002224号</v>
      </c>
      <c r="D2141" s="405" t="str">
        <f t="shared" si="266"/>
        <v>長谷川体育施設（株）</v>
      </c>
      <c r="E2141" s="405" t="str">
        <f t="shared" si="267"/>
        <v/>
      </c>
      <c r="F2141" s="405" t="str">
        <f t="shared" si="268"/>
        <v>伊藤　佳典</v>
      </c>
      <c r="G2141" s="405" t="str">
        <f t="shared" si="269"/>
        <v>九州支店</v>
      </c>
      <c r="H2141" s="405" t="str">
        <f t="shared" si="270"/>
        <v>福岡市中央区大手門２－１－３４</v>
      </c>
      <c r="L2141" s="403" t="s">
        <v>12191</v>
      </c>
      <c r="M2141" s="403" t="s">
        <v>12192</v>
      </c>
      <c r="N2141" s="403" t="s">
        <v>5801</v>
      </c>
      <c r="O2141" s="403" t="s">
        <v>7083</v>
      </c>
      <c r="P2141" s="403" t="s">
        <v>6483</v>
      </c>
      <c r="Q2141" s="403" t="s">
        <v>12193</v>
      </c>
      <c r="R2141" s="403" t="s">
        <v>21126</v>
      </c>
      <c r="S2141" s="403" t="s">
        <v>21127</v>
      </c>
      <c r="T2141" s="403" t="s">
        <v>21128</v>
      </c>
      <c r="U2141" s="403"/>
      <c r="V2141" s="403" t="s">
        <v>7007</v>
      </c>
      <c r="W2141" s="403" t="s">
        <v>17624</v>
      </c>
      <c r="X2141" s="403" t="s">
        <v>17595</v>
      </c>
      <c r="Y2141" s="403" t="s">
        <v>21037</v>
      </c>
    </row>
    <row r="2142" spans="1:25">
      <c r="A2142" s="363">
        <f t="shared" si="271"/>
        <v>2141</v>
      </c>
      <c r="B2142" s="363" t="str">
        <f t="shared" si="264"/>
        <v>00</v>
      </c>
      <c r="C2142" s="405" t="str">
        <f t="shared" si="265"/>
        <v>第002227号</v>
      </c>
      <c r="D2142" s="405" t="str">
        <f t="shared" si="266"/>
        <v>（株）宮本工業所</v>
      </c>
      <c r="E2142" s="405" t="str">
        <f t="shared" si="267"/>
        <v>代表取締役</v>
      </c>
      <c r="F2142" s="405" t="str">
        <f t="shared" si="268"/>
        <v>宮本　芳樹</v>
      </c>
      <c r="G2142" s="405" t="str">
        <f t="shared" si="269"/>
        <v>主たる営業所</v>
      </c>
      <c r="H2142" s="405" t="str">
        <f t="shared" si="270"/>
        <v>富山市奥田新町１２－３</v>
      </c>
      <c r="L2142" s="403" t="s">
        <v>12194</v>
      </c>
      <c r="M2142" s="403" t="s">
        <v>12195</v>
      </c>
      <c r="N2142" s="403" t="s">
        <v>5802</v>
      </c>
      <c r="O2142" s="403" t="s">
        <v>7084</v>
      </c>
      <c r="P2142" s="403" t="s">
        <v>6484</v>
      </c>
      <c r="Q2142" s="403" t="s">
        <v>12196</v>
      </c>
      <c r="R2142" s="403" t="s">
        <v>21129</v>
      </c>
      <c r="S2142" s="403" t="s">
        <v>17625</v>
      </c>
      <c r="T2142" s="403" t="s">
        <v>17626</v>
      </c>
      <c r="U2142" s="403"/>
      <c r="V2142" s="403" t="s">
        <v>23024</v>
      </c>
      <c r="W2142" s="403" t="s">
        <v>23024</v>
      </c>
      <c r="X2142" s="403" t="s">
        <v>23024</v>
      </c>
      <c r="Y2142" s="403" t="s">
        <v>23024</v>
      </c>
    </row>
    <row r="2143" spans="1:25">
      <c r="A2143" s="363">
        <f t="shared" si="271"/>
        <v>2142</v>
      </c>
      <c r="B2143" s="363" t="str">
        <f t="shared" si="264"/>
        <v>00</v>
      </c>
      <c r="C2143" s="405" t="str">
        <f t="shared" si="265"/>
        <v>第002245号</v>
      </c>
      <c r="D2143" s="405" t="str">
        <f t="shared" si="266"/>
        <v>あおみ建設（株）</v>
      </c>
      <c r="E2143" s="405" t="str">
        <f t="shared" si="267"/>
        <v/>
      </c>
      <c r="F2143" s="405" t="str">
        <f t="shared" si="268"/>
        <v>河村　文雄</v>
      </c>
      <c r="G2143" s="405" t="str">
        <f t="shared" si="269"/>
        <v>九州支店</v>
      </c>
      <c r="H2143" s="405" t="str">
        <f t="shared" si="270"/>
        <v>福岡市博多区博多駅前１－４－４</v>
      </c>
      <c r="L2143" s="403" t="s">
        <v>12197</v>
      </c>
      <c r="M2143" s="403" t="s">
        <v>12198</v>
      </c>
      <c r="N2143" s="403" t="s">
        <v>5803</v>
      </c>
      <c r="O2143" s="403" t="s">
        <v>7083</v>
      </c>
      <c r="P2143" s="403" t="s">
        <v>6485</v>
      </c>
      <c r="Q2143" s="403" t="s">
        <v>12199</v>
      </c>
      <c r="R2143" s="403" t="s">
        <v>21130</v>
      </c>
      <c r="S2143" s="403" t="s">
        <v>21131</v>
      </c>
      <c r="T2143" s="403" t="s">
        <v>21132</v>
      </c>
      <c r="U2143" s="403"/>
      <c r="V2143" s="403" t="s">
        <v>7007</v>
      </c>
      <c r="W2143" s="403" t="s">
        <v>21133</v>
      </c>
      <c r="X2143" s="403" t="s">
        <v>13015</v>
      </c>
      <c r="Y2143" s="403" t="s">
        <v>21134</v>
      </c>
    </row>
    <row r="2144" spans="1:25">
      <c r="A2144" s="363">
        <f t="shared" si="271"/>
        <v>2143</v>
      </c>
      <c r="B2144" s="363" t="str">
        <f t="shared" si="264"/>
        <v>00</v>
      </c>
      <c r="C2144" s="405" t="str">
        <f t="shared" si="265"/>
        <v>第002275号</v>
      </c>
      <c r="D2144" s="405" t="str">
        <f t="shared" si="266"/>
        <v>（株）クボタ</v>
      </c>
      <c r="E2144" s="405" t="str">
        <f t="shared" si="267"/>
        <v/>
      </c>
      <c r="F2144" s="405" t="str">
        <f t="shared" si="268"/>
        <v>森田　毅矢</v>
      </c>
      <c r="G2144" s="405" t="str">
        <f t="shared" si="269"/>
        <v>九州支社</v>
      </c>
      <c r="H2144" s="405" t="str">
        <f t="shared" si="270"/>
        <v>福岡市博多区博多駅前３－２－８</v>
      </c>
      <c r="L2144" s="403" t="s">
        <v>12200</v>
      </c>
      <c r="M2144" s="403" t="s">
        <v>12201</v>
      </c>
      <c r="N2144" s="403" t="s">
        <v>5804</v>
      </c>
      <c r="O2144" s="403" t="s">
        <v>7084</v>
      </c>
      <c r="P2144" s="403" t="s">
        <v>21135</v>
      </c>
      <c r="Q2144" s="403" t="s">
        <v>12202</v>
      </c>
      <c r="R2144" s="403" t="s">
        <v>21136</v>
      </c>
      <c r="S2144" s="403" t="s">
        <v>21137</v>
      </c>
      <c r="T2144" s="403" t="s">
        <v>21138</v>
      </c>
      <c r="U2144" s="403"/>
      <c r="V2144" s="403" t="s">
        <v>7011</v>
      </c>
      <c r="W2144" s="403" t="s">
        <v>17627</v>
      </c>
      <c r="X2144" s="403" t="s">
        <v>13015</v>
      </c>
      <c r="Y2144" s="403" t="s">
        <v>21139</v>
      </c>
    </row>
    <row r="2145" spans="1:25">
      <c r="A2145" s="363">
        <f t="shared" si="271"/>
        <v>2144</v>
      </c>
      <c r="B2145" s="363" t="str">
        <f t="shared" si="264"/>
        <v>00</v>
      </c>
      <c r="C2145" s="405" t="str">
        <f t="shared" si="265"/>
        <v>第002301号</v>
      </c>
      <c r="D2145" s="405" t="str">
        <f t="shared" si="266"/>
        <v>（株）富士ピー・エス</v>
      </c>
      <c r="E2145" s="405" t="str">
        <f t="shared" si="267"/>
        <v/>
      </c>
      <c r="F2145" s="405" t="str">
        <f t="shared" si="268"/>
        <v>吉用　和史</v>
      </c>
      <c r="G2145" s="405" t="str">
        <f t="shared" si="269"/>
        <v>大分営業所</v>
      </c>
      <c r="H2145" s="405" t="str">
        <f t="shared" si="270"/>
        <v>大分市松が丘２－１６－２</v>
      </c>
      <c r="L2145" s="403" t="s">
        <v>12203</v>
      </c>
      <c r="M2145" s="403" t="s">
        <v>12204</v>
      </c>
      <c r="N2145" s="403" t="s">
        <v>5805</v>
      </c>
      <c r="O2145" s="403" t="s">
        <v>7084</v>
      </c>
      <c r="P2145" s="403" t="s">
        <v>6486</v>
      </c>
      <c r="Q2145" s="403" t="s">
        <v>12026</v>
      </c>
      <c r="R2145" s="403" t="s">
        <v>21140</v>
      </c>
      <c r="S2145" s="403" t="s">
        <v>21141</v>
      </c>
      <c r="T2145" s="403" t="s">
        <v>21142</v>
      </c>
      <c r="U2145" s="403"/>
      <c r="V2145" s="403" t="s">
        <v>7013</v>
      </c>
      <c r="W2145" s="403" t="s">
        <v>17628</v>
      </c>
      <c r="X2145" s="403" t="s">
        <v>17629</v>
      </c>
      <c r="Y2145" s="403" t="s">
        <v>21143</v>
      </c>
    </row>
    <row r="2146" spans="1:25">
      <c r="A2146" s="363">
        <f t="shared" si="271"/>
        <v>2145</v>
      </c>
      <c r="B2146" s="363" t="str">
        <f t="shared" si="264"/>
        <v>00</v>
      </c>
      <c r="C2146" s="405" t="str">
        <f t="shared" si="265"/>
        <v>第002313号</v>
      </c>
      <c r="D2146" s="405" t="str">
        <f t="shared" si="266"/>
        <v>前田道路（株）</v>
      </c>
      <c r="E2146" s="405" t="str">
        <f t="shared" si="267"/>
        <v/>
      </c>
      <c r="F2146" s="405" t="str">
        <f t="shared" si="268"/>
        <v>布野　幹雄</v>
      </c>
      <c r="G2146" s="405" t="str">
        <f t="shared" si="269"/>
        <v>大分営業所</v>
      </c>
      <c r="H2146" s="405" t="str">
        <f t="shared" si="270"/>
        <v>大分市大字中戸次字中津留上４８２２</v>
      </c>
      <c r="L2146" s="403" t="s">
        <v>12205</v>
      </c>
      <c r="M2146" s="403" t="s">
        <v>12206</v>
      </c>
      <c r="N2146" s="403" t="s">
        <v>5806</v>
      </c>
      <c r="O2146" s="403" t="s">
        <v>7083</v>
      </c>
      <c r="P2146" s="403" t="s">
        <v>6487</v>
      </c>
      <c r="Q2146" s="403" t="s">
        <v>12207</v>
      </c>
      <c r="R2146" s="403" t="s">
        <v>21144</v>
      </c>
      <c r="S2146" s="403" t="s">
        <v>21145</v>
      </c>
      <c r="T2146" s="403" t="s">
        <v>21146</v>
      </c>
      <c r="U2146" s="403"/>
      <c r="V2146" s="403" t="s">
        <v>7013</v>
      </c>
      <c r="W2146" s="403" t="s">
        <v>17630</v>
      </c>
      <c r="X2146" s="403" t="s">
        <v>7531</v>
      </c>
      <c r="Y2146" s="403" t="s">
        <v>7075</v>
      </c>
    </row>
    <row r="2147" spans="1:25">
      <c r="A2147" s="363">
        <f t="shared" si="271"/>
        <v>2146</v>
      </c>
      <c r="B2147" s="363" t="str">
        <f t="shared" si="264"/>
        <v>00</v>
      </c>
      <c r="C2147" s="405" t="str">
        <f t="shared" si="265"/>
        <v>第002315号</v>
      </c>
      <c r="D2147" s="405" t="str">
        <f t="shared" si="266"/>
        <v>りんかい日産建設（株）</v>
      </c>
      <c r="E2147" s="405" t="str">
        <f t="shared" si="267"/>
        <v/>
      </c>
      <c r="F2147" s="405" t="str">
        <f t="shared" si="268"/>
        <v>大下　英治</v>
      </c>
      <c r="G2147" s="405" t="str">
        <f t="shared" si="269"/>
        <v>九州支店</v>
      </c>
      <c r="H2147" s="405" t="str">
        <f t="shared" si="270"/>
        <v>福岡市中央区赤坂１－１３－１０</v>
      </c>
      <c r="L2147" s="403" t="s">
        <v>12208</v>
      </c>
      <c r="M2147" s="403" t="s">
        <v>12209</v>
      </c>
      <c r="N2147" s="403" t="s">
        <v>5807</v>
      </c>
      <c r="O2147" s="403" t="s">
        <v>7083</v>
      </c>
      <c r="P2147" s="403" t="s">
        <v>6488</v>
      </c>
      <c r="Q2147" s="403" t="s">
        <v>12210</v>
      </c>
      <c r="R2147" s="403" t="s">
        <v>21147</v>
      </c>
      <c r="S2147" s="403" t="s">
        <v>21148</v>
      </c>
      <c r="T2147" s="403" t="s">
        <v>21149</v>
      </c>
      <c r="U2147" s="403"/>
      <c r="V2147" s="403" t="s">
        <v>7007</v>
      </c>
      <c r="W2147" s="403" t="s">
        <v>21150</v>
      </c>
      <c r="X2147" s="403" t="s">
        <v>13003</v>
      </c>
      <c r="Y2147" s="403" t="s">
        <v>21151</v>
      </c>
    </row>
    <row r="2148" spans="1:25">
      <c r="A2148" s="363">
        <f t="shared" si="271"/>
        <v>2147</v>
      </c>
      <c r="B2148" s="363" t="str">
        <f t="shared" si="264"/>
        <v>00</v>
      </c>
      <c r="C2148" s="405" t="str">
        <f t="shared" si="265"/>
        <v>第002316号</v>
      </c>
      <c r="D2148" s="405" t="str">
        <f t="shared" si="266"/>
        <v>（株）栗本鐵工所</v>
      </c>
      <c r="E2148" s="405" t="str">
        <f t="shared" si="267"/>
        <v/>
      </c>
      <c r="F2148" s="405" t="str">
        <f t="shared" si="268"/>
        <v>埴田　明伸</v>
      </c>
      <c r="G2148" s="405" t="str">
        <f t="shared" si="269"/>
        <v>九州支店</v>
      </c>
      <c r="H2148" s="405" t="str">
        <f t="shared" si="270"/>
        <v>福岡市博多区博多駅南１－３－１１</v>
      </c>
      <c r="L2148" s="403" t="s">
        <v>12211</v>
      </c>
      <c r="M2148" s="403" t="s">
        <v>12212</v>
      </c>
      <c r="N2148" s="403" t="s">
        <v>5808</v>
      </c>
      <c r="O2148" s="403" t="s">
        <v>7084</v>
      </c>
      <c r="P2148" s="403" t="s">
        <v>6489</v>
      </c>
      <c r="Q2148" s="403" t="s">
        <v>12213</v>
      </c>
      <c r="R2148" s="403" t="s">
        <v>21152</v>
      </c>
      <c r="S2148" s="403" t="s">
        <v>21153</v>
      </c>
      <c r="T2148" s="403" t="s">
        <v>21154</v>
      </c>
      <c r="U2148" s="403"/>
      <c r="V2148" s="403" t="s">
        <v>7007</v>
      </c>
      <c r="W2148" s="403" t="s">
        <v>17631</v>
      </c>
      <c r="X2148" s="403" t="s">
        <v>11975</v>
      </c>
      <c r="Y2148" s="403" t="s">
        <v>21155</v>
      </c>
    </row>
    <row r="2149" spans="1:25">
      <c r="A2149" s="363">
        <f t="shared" si="271"/>
        <v>2148</v>
      </c>
      <c r="B2149" s="363" t="str">
        <f t="shared" si="264"/>
        <v>00</v>
      </c>
      <c r="C2149" s="405" t="str">
        <f t="shared" si="265"/>
        <v>第002340号</v>
      </c>
      <c r="D2149" s="405" t="str">
        <f t="shared" si="266"/>
        <v>（株）荏原製作所</v>
      </c>
      <c r="E2149" s="405" t="str">
        <f t="shared" si="267"/>
        <v/>
      </c>
      <c r="F2149" s="405" t="str">
        <f t="shared" si="268"/>
        <v>平井　美智子</v>
      </c>
      <c r="G2149" s="405" t="str">
        <f t="shared" si="269"/>
        <v>九州支社</v>
      </c>
      <c r="H2149" s="405" t="str">
        <f t="shared" si="270"/>
        <v>福岡市博多区美野島１－２－８　ＮＴビル</v>
      </c>
      <c r="L2149" s="403" t="s">
        <v>12214</v>
      </c>
      <c r="M2149" s="403" t="s">
        <v>12215</v>
      </c>
      <c r="N2149" s="403" t="s">
        <v>5809</v>
      </c>
      <c r="O2149" s="403" t="s">
        <v>7095</v>
      </c>
      <c r="P2149" s="403" t="s">
        <v>21156</v>
      </c>
      <c r="Q2149" s="403" t="s">
        <v>12216</v>
      </c>
      <c r="R2149" s="403" t="s">
        <v>21157</v>
      </c>
      <c r="S2149" s="403" t="s">
        <v>21158</v>
      </c>
      <c r="T2149" s="403" t="s">
        <v>21159</v>
      </c>
      <c r="U2149" s="403"/>
      <c r="V2149" s="403" t="s">
        <v>7011</v>
      </c>
      <c r="W2149" s="403" t="s">
        <v>17632</v>
      </c>
      <c r="X2149" s="403" t="s">
        <v>17633</v>
      </c>
      <c r="Y2149" s="403" t="s">
        <v>21160</v>
      </c>
    </row>
    <row r="2150" spans="1:25">
      <c r="A2150" s="363">
        <f t="shared" si="271"/>
        <v>2149</v>
      </c>
      <c r="B2150" s="363" t="str">
        <f t="shared" si="264"/>
        <v>00</v>
      </c>
      <c r="C2150" s="405" t="str">
        <f t="shared" si="265"/>
        <v>第002389号</v>
      </c>
      <c r="D2150" s="405" t="str">
        <f t="shared" si="266"/>
        <v>西武建設（株）</v>
      </c>
      <c r="E2150" s="405" t="str">
        <f t="shared" si="267"/>
        <v/>
      </c>
      <c r="F2150" s="405" t="str">
        <f t="shared" si="268"/>
        <v>井料　光栄</v>
      </c>
      <c r="G2150" s="405" t="str">
        <f t="shared" si="269"/>
        <v>九州支店</v>
      </c>
      <c r="H2150" s="405" t="str">
        <f t="shared" si="270"/>
        <v>福岡市博多区博多駅東２－５－２８</v>
      </c>
      <c r="L2150" s="403" t="s">
        <v>12217</v>
      </c>
      <c r="M2150" s="403" t="s">
        <v>8222</v>
      </c>
      <c r="N2150" s="403" t="s">
        <v>5810</v>
      </c>
      <c r="O2150" s="403" t="s">
        <v>7084</v>
      </c>
      <c r="P2150" s="403" t="s">
        <v>3081</v>
      </c>
      <c r="Q2150" s="403" t="s">
        <v>12218</v>
      </c>
      <c r="R2150" s="403" t="s">
        <v>21161</v>
      </c>
      <c r="S2150" s="403" t="s">
        <v>21162</v>
      </c>
      <c r="T2150" s="403" t="s">
        <v>21163</v>
      </c>
      <c r="U2150" s="403"/>
      <c r="V2150" s="403" t="s">
        <v>7007</v>
      </c>
      <c r="W2150" s="403" t="s">
        <v>17634</v>
      </c>
      <c r="X2150" s="403" t="s">
        <v>13524</v>
      </c>
      <c r="Y2150" s="403" t="s">
        <v>21164</v>
      </c>
    </row>
    <row r="2151" spans="1:25">
      <c r="A2151" s="363">
        <f t="shared" si="271"/>
        <v>2150</v>
      </c>
      <c r="B2151" s="363" t="str">
        <f t="shared" si="264"/>
        <v>00</v>
      </c>
      <c r="C2151" s="405" t="str">
        <f t="shared" si="265"/>
        <v>第002399号</v>
      </c>
      <c r="D2151" s="405" t="str">
        <f t="shared" si="266"/>
        <v>（株）鴻池組</v>
      </c>
      <c r="E2151" s="405" t="str">
        <f t="shared" si="267"/>
        <v/>
      </c>
      <c r="F2151" s="405" t="str">
        <f t="shared" si="268"/>
        <v>北西　隆司</v>
      </c>
      <c r="G2151" s="405" t="str">
        <f t="shared" si="269"/>
        <v>九州支店</v>
      </c>
      <c r="H2151" s="405" t="str">
        <f t="shared" si="270"/>
        <v>福岡市中央区長浜１－１－３５</v>
      </c>
      <c r="L2151" s="403" t="s">
        <v>12219</v>
      </c>
      <c r="M2151" s="403" t="s">
        <v>12220</v>
      </c>
      <c r="N2151" s="403" t="s">
        <v>5811</v>
      </c>
      <c r="O2151" s="403" t="s">
        <v>7083</v>
      </c>
      <c r="P2151" s="403" t="s">
        <v>6490</v>
      </c>
      <c r="Q2151" s="403" t="s">
        <v>12221</v>
      </c>
      <c r="R2151" s="403" t="s">
        <v>21165</v>
      </c>
      <c r="S2151" s="403" t="s">
        <v>21166</v>
      </c>
      <c r="T2151" s="403" t="s">
        <v>21167</v>
      </c>
      <c r="U2151" s="403"/>
      <c r="V2151" s="403" t="s">
        <v>7007</v>
      </c>
      <c r="W2151" s="403" t="s">
        <v>17635</v>
      </c>
      <c r="X2151" s="403" t="s">
        <v>13253</v>
      </c>
      <c r="Y2151" s="403" t="s">
        <v>21168</v>
      </c>
    </row>
    <row r="2152" spans="1:25">
      <c r="A2152" s="363">
        <f t="shared" si="271"/>
        <v>2151</v>
      </c>
      <c r="B2152" s="363" t="str">
        <f t="shared" si="264"/>
        <v>00</v>
      </c>
      <c r="C2152" s="405" t="str">
        <f t="shared" si="265"/>
        <v>第002404号</v>
      </c>
      <c r="D2152" s="405" t="str">
        <f t="shared" si="266"/>
        <v>（株）森組</v>
      </c>
      <c r="E2152" s="405" t="str">
        <f t="shared" si="267"/>
        <v/>
      </c>
      <c r="F2152" s="405" t="str">
        <f t="shared" si="268"/>
        <v>市川　康司</v>
      </c>
      <c r="G2152" s="405" t="str">
        <f t="shared" si="269"/>
        <v>福岡営業所</v>
      </c>
      <c r="H2152" s="405" t="str">
        <f t="shared" si="270"/>
        <v>福岡市博多区博多駅南１－１０－１９</v>
      </c>
      <c r="L2152" s="403" t="s">
        <v>12222</v>
      </c>
      <c r="M2152" s="403" t="s">
        <v>7956</v>
      </c>
      <c r="N2152" s="403" t="s">
        <v>1865</v>
      </c>
      <c r="O2152" s="403" t="s">
        <v>7083</v>
      </c>
      <c r="P2152" s="403" t="s">
        <v>6491</v>
      </c>
      <c r="Q2152" s="403" t="s">
        <v>12223</v>
      </c>
      <c r="R2152" s="403" t="s">
        <v>21169</v>
      </c>
      <c r="S2152" s="403" t="s">
        <v>21170</v>
      </c>
      <c r="T2152" s="403" t="s">
        <v>21171</v>
      </c>
      <c r="U2152" s="403"/>
      <c r="V2152" s="403" t="s">
        <v>7010</v>
      </c>
      <c r="W2152" s="403" t="s">
        <v>17636</v>
      </c>
      <c r="X2152" s="403" t="s">
        <v>11975</v>
      </c>
      <c r="Y2152" s="403" t="s">
        <v>21172</v>
      </c>
    </row>
    <row r="2153" spans="1:25">
      <c r="A2153" s="363">
        <f t="shared" si="271"/>
        <v>2152</v>
      </c>
      <c r="B2153" s="363" t="str">
        <f t="shared" si="264"/>
        <v>00</v>
      </c>
      <c r="C2153" s="405" t="str">
        <f t="shared" si="265"/>
        <v>第002405号</v>
      </c>
      <c r="D2153" s="405" t="str">
        <f t="shared" si="266"/>
        <v>東洋建設（株）</v>
      </c>
      <c r="E2153" s="405" t="str">
        <f t="shared" si="267"/>
        <v/>
      </c>
      <c r="F2153" s="405" t="str">
        <f t="shared" si="268"/>
        <v>松本　典人</v>
      </c>
      <c r="G2153" s="405" t="str">
        <f t="shared" si="269"/>
        <v>九州支店</v>
      </c>
      <c r="H2153" s="405" t="str">
        <f t="shared" si="270"/>
        <v>福岡市博多区上川端町１３－１５　安田第７ビル８階</v>
      </c>
      <c r="L2153" s="403" t="s">
        <v>12224</v>
      </c>
      <c r="M2153" s="403" t="s">
        <v>12225</v>
      </c>
      <c r="N2153" s="403" t="s">
        <v>5812</v>
      </c>
      <c r="O2153" s="403" t="s">
        <v>7083</v>
      </c>
      <c r="P2153" s="403" t="s">
        <v>6492</v>
      </c>
      <c r="Q2153" s="403" t="s">
        <v>12226</v>
      </c>
      <c r="R2153" s="403" t="s">
        <v>21173</v>
      </c>
      <c r="S2153" s="403" t="s">
        <v>21174</v>
      </c>
      <c r="T2153" s="403" t="s">
        <v>21175</v>
      </c>
      <c r="U2153" s="403"/>
      <c r="V2153" s="403" t="s">
        <v>7007</v>
      </c>
      <c r="W2153" s="403" t="s">
        <v>21176</v>
      </c>
      <c r="X2153" s="403" t="s">
        <v>17637</v>
      </c>
      <c r="Y2153" s="403" t="s">
        <v>21177</v>
      </c>
    </row>
    <row r="2154" spans="1:25">
      <c r="A2154" s="363">
        <f t="shared" si="271"/>
        <v>2153</v>
      </c>
      <c r="B2154" s="363" t="str">
        <f t="shared" si="264"/>
        <v>00</v>
      </c>
      <c r="C2154" s="405" t="str">
        <f t="shared" si="265"/>
        <v>第002429号</v>
      </c>
      <c r="D2154" s="405" t="str">
        <f t="shared" si="266"/>
        <v>東亜建設工業（株）</v>
      </c>
      <c r="E2154" s="405" t="str">
        <f t="shared" si="267"/>
        <v/>
      </c>
      <c r="F2154" s="405" t="str">
        <f t="shared" si="268"/>
        <v>岡　禎之</v>
      </c>
      <c r="G2154" s="405" t="str">
        <f t="shared" si="269"/>
        <v>九州支店</v>
      </c>
      <c r="H2154" s="405" t="str">
        <f t="shared" si="270"/>
        <v>福岡市博多区博多駅前１－６－１６</v>
      </c>
      <c r="L2154" s="403" t="s">
        <v>12227</v>
      </c>
      <c r="M2154" s="403" t="s">
        <v>12228</v>
      </c>
      <c r="N2154" s="403" t="s">
        <v>5813</v>
      </c>
      <c r="O2154" s="403" t="s">
        <v>7083</v>
      </c>
      <c r="P2154" s="403" t="s">
        <v>6493</v>
      </c>
      <c r="Q2154" s="403" t="s">
        <v>12229</v>
      </c>
      <c r="R2154" s="403" t="s">
        <v>21178</v>
      </c>
      <c r="S2154" s="403" t="s">
        <v>21179</v>
      </c>
      <c r="T2154" s="403" t="s">
        <v>21180</v>
      </c>
      <c r="U2154" s="403"/>
      <c r="V2154" s="403" t="s">
        <v>7007</v>
      </c>
      <c r="W2154" s="403" t="s">
        <v>21181</v>
      </c>
      <c r="X2154" s="403" t="s">
        <v>13015</v>
      </c>
      <c r="Y2154" s="403" t="s">
        <v>21182</v>
      </c>
    </row>
    <row r="2155" spans="1:25">
      <c r="A2155" s="363">
        <f t="shared" si="271"/>
        <v>2154</v>
      </c>
      <c r="B2155" s="363" t="str">
        <f t="shared" si="264"/>
        <v>00</v>
      </c>
      <c r="C2155" s="405" t="str">
        <f t="shared" si="265"/>
        <v>第002438号</v>
      </c>
      <c r="D2155" s="405" t="str">
        <f t="shared" si="266"/>
        <v>（株）淺沼組</v>
      </c>
      <c r="E2155" s="405" t="str">
        <f t="shared" si="267"/>
        <v/>
      </c>
      <c r="F2155" s="405" t="str">
        <f t="shared" si="268"/>
        <v>福入　信広</v>
      </c>
      <c r="G2155" s="405" t="str">
        <f t="shared" si="269"/>
        <v>九州支店</v>
      </c>
      <c r="H2155" s="405" t="str">
        <f t="shared" si="270"/>
        <v>福岡市博多区博多駅東３－１４－１　Ｔ－ＢｕｉｌｄｉｎｇＨＡＫＡＴＡＥＡＳＴ</v>
      </c>
      <c r="L2155" s="403" t="s">
        <v>12230</v>
      </c>
      <c r="M2155" s="403" t="s">
        <v>12231</v>
      </c>
      <c r="N2155" s="403" t="s">
        <v>5814</v>
      </c>
      <c r="O2155" s="403" t="s">
        <v>7083</v>
      </c>
      <c r="P2155" s="403" t="s">
        <v>6494</v>
      </c>
      <c r="Q2155" s="403" t="s">
        <v>12232</v>
      </c>
      <c r="R2155" s="403" t="s">
        <v>21183</v>
      </c>
      <c r="S2155" s="403" t="s">
        <v>21184</v>
      </c>
      <c r="T2155" s="403" t="s">
        <v>21185</v>
      </c>
      <c r="U2155" s="403"/>
      <c r="V2155" s="403" t="s">
        <v>7007</v>
      </c>
      <c r="W2155" s="403" t="s">
        <v>21186</v>
      </c>
      <c r="X2155" s="403" t="s">
        <v>13524</v>
      </c>
      <c r="Y2155" s="403" t="s">
        <v>21187</v>
      </c>
    </row>
    <row r="2156" spans="1:25">
      <c r="A2156" s="363">
        <f t="shared" si="271"/>
        <v>2155</v>
      </c>
      <c r="B2156" s="363" t="str">
        <f t="shared" si="264"/>
        <v>00</v>
      </c>
      <c r="C2156" s="405" t="str">
        <f t="shared" si="265"/>
        <v>第002454号</v>
      </c>
      <c r="D2156" s="405" t="str">
        <f t="shared" si="266"/>
        <v>（株）岡部</v>
      </c>
      <c r="E2156" s="405" t="str">
        <f t="shared" si="267"/>
        <v>代表取締役社長</v>
      </c>
      <c r="F2156" s="405" t="str">
        <f t="shared" si="268"/>
        <v>岡部　竜一</v>
      </c>
      <c r="G2156" s="405" t="str">
        <f t="shared" si="269"/>
        <v>主たる営業所</v>
      </c>
      <c r="H2156" s="405" t="str">
        <f t="shared" si="270"/>
        <v>南砺市祖山３９</v>
      </c>
      <c r="L2156" s="403" t="s">
        <v>12233</v>
      </c>
      <c r="M2156" s="403" t="s">
        <v>12234</v>
      </c>
      <c r="N2156" s="403" t="s">
        <v>5815</v>
      </c>
      <c r="O2156" s="403" t="s">
        <v>7083</v>
      </c>
      <c r="P2156" s="403" t="s">
        <v>6495</v>
      </c>
      <c r="Q2156" s="403" t="s">
        <v>12235</v>
      </c>
      <c r="R2156" s="403" t="s">
        <v>21188</v>
      </c>
      <c r="S2156" s="403" t="s">
        <v>17638</v>
      </c>
      <c r="T2156" s="403" t="s">
        <v>17639</v>
      </c>
      <c r="U2156" s="403"/>
      <c r="V2156" s="403" t="s">
        <v>23024</v>
      </c>
      <c r="W2156" s="403" t="s">
        <v>23024</v>
      </c>
      <c r="X2156" s="403" t="s">
        <v>23024</v>
      </c>
      <c r="Y2156" s="403" t="s">
        <v>23024</v>
      </c>
    </row>
    <row r="2157" spans="1:25">
      <c r="A2157" s="363">
        <f t="shared" si="271"/>
        <v>2156</v>
      </c>
      <c r="B2157" s="363" t="str">
        <f t="shared" si="264"/>
        <v>00</v>
      </c>
      <c r="C2157" s="405" t="str">
        <f t="shared" si="265"/>
        <v>第002455号</v>
      </c>
      <c r="D2157" s="405" t="str">
        <f t="shared" si="266"/>
        <v>千代田興産（株）</v>
      </c>
      <c r="E2157" s="405" t="str">
        <f t="shared" si="267"/>
        <v/>
      </c>
      <c r="F2157" s="405" t="str">
        <f t="shared" si="268"/>
        <v>佐藤　俊夫</v>
      </c>
      <c r="G2157" s="405" t="str">
        <f t="shared" si="269"/>
        <v>大分営業所</v>
      </c>
      <c r="H2157" s="405" t="str">
        <f t="shared" si="270"/>
        <v>大分市東春日町６－１　つつみビル４０５</v>
      </c>
      <c r="L2157" s="403" t="s">
        <v>12236</v>
      </c>
      <c r="M2157" s="403" t="s">
        <v>12237</v>
      </c>
      <c r="N2157" s="403" t="s">
        <v>5816</v>
      </c>
      <c r="O2157" s="403" t="s">
        <v>7084</v>
      </c>
      <c r="P2157" s="403" t="s">
        <v>21189</v>
      </c>
      <c r="Q2157" s="403" t="s">
        <v>12238</v>
      </c>
      <c r="R2157" s="403" t="s">
        <v>21190</v>
      </c>
      <c r="S2157" s="403" t="s">
        <v>21191</v>
      </c>
      <c r="T2157" s="403" t="s">
        <v>21192</v>
      </c>
      <c r="U2157" s="403"/>
      <c r="V2157" s="403" t="s">
        <v>7013</v>
      </c>
      <c r="W2157" s="403" t="s">
        <v>17640</v>
      </c>
      <c r="X2157" s="403" t="s">
        <v>17641</v>
      </c>
      <c r="Y2157" s="403" t="s">
        <v>21193</v>
      </c>
    </row>
    <row r="2158" spans="1:25">
      <c r="A2158" s="363">
        <f t="shared" si="271"/>
        <v>2157</v>
      </c>
      <c r="B2158" s="363" t="str">
        <f t="shared" si="264"/>
        <v>00</v>
      </c>
      <c r="C2158" s="405" t="str">
        <f t="shared" si="265"/>
        <v>第002459号</v>
      </c>
      <c r="D2158" s="405" t="str">
        <f t="shared" si="266"/>
        <v>（株）九南</v>
      </c>
      <c r="E2158" s="405" t="str">
        <f t="shared" si="267"/>
        <v>代表取締役</v>
      </c>
      <c r="F2158" s="405" t="str">
        <f t="shared" si="268"/>
        <v>黒川　浩之</v>
      </c>
      <c r="G2158" s="405" t="str">
        <f t="shared" si="269"/>
        <v>主たる営業所</v>
      </c>
      <c r="H2158" s="405" t="str">
        <f t="shared" si="270"/>
        <v>宮崎市大字赤江２</v>
      </c>
      <c r="L2158" s="403" t="s">
        <v>12239</v>
      </c>
      <c r="M2158" s="403" t="s">
        <v>12240</v>
      </c>
      <c r="N2158" s="403" t="s">
        <v>5817</v>
      </c>
      <c r="O2158" s="403" t="s">
        <v>7084</v>
      </c>
      <c r="P2158" s="403" t="s">
        <v>6496</v>
      </c>
      <c r="Q2158" s="403" t="s">
        <v>12241</v>
      </c>
      <c r="R2158" s="403" t="s">
        <v>21194</v>
      </c>
      <c r="S2158" s="403" t="s">
        <v>17642</v>
      </c>
      <c r="T2158" s="403" t="s">
        <v>17643</v>
      </c>
      <c r="U2158" s="403"/>
      <c r="V2158" s="403" t="s">
        <v>23024</v>
      </c>
      <c r="W2158" s="403" t="s">
        <v>23024</v>
      </c>
      <c r="X2158" s="403" t="s">
        <v>23024</v>
      </c>
      <c r="Y2158" s="403" t="s">
        <v>23024</v>
      </c>
    </row>
    <row r="2159" spans="1:25">
      <c r="A2159" s="363">
        <f t="shared" si="271"/>
        <v>2158</v>
      </c>
      <c r="B2159" s="363" t="str">
        <f t="shared" si="264"/>
        <v>00</v>
      </c>
      <c r="C2159" s="405" t="str">
        <f t="shared" si="265"/>
        <v>第002467号</v>
      </c>
      <c r="D2159" s="405" t="str">
        <f t="shared" si="266"/>
        <v>（株）電業社機械製作所</v>
      </c>
      <c r="E2159" s="405" t="str">
        <f t="shared" si="267"/>
        <v/>
      </c>
      <c r="F2159" s="405" t="str">
        <f t="shared" si="268"/>
        <v>堤　雅嗣</v>
      </c>
      <c r="G2159" s="405" t="str">
        <f t="shared" si="269"/>
        <v>九州支店</v>
      </c>
      <c r="H2159" s="405" t="str">
        <f t="shared" si="270"/>
        <v>福岡市博多区博多駅東２－１０－３５</v>
      </c>
      <c r="L2159" s="403" t="s">
        <v>12242</v>
      </c>
      <c r="M2159" s="403" t="s">
        <v>12243</v>
      </c>
      <c r="N2159" s="403" t="s">
        <v>5818</v>
      </c>
      <c r="O2159" s="403" t="s">
        <v>7084</v>
      </c>
      <c r="P2159" s="403" t="s">
        <v>6497</v>
      </c>
      <c r="Q2159" s="403" t="s">
        <v>12244</v>
      </c>
      <c r="R2159" s="403" t="s">
        <v>21195</v>
      </c>
      <c r="S2159" s="403" t="s">
        <v>21196</v>
      </c>
      <c r="T2159" s="403" t="s">
        <v>21197</v>
      </c>
      <c r="U2159" s="403"/>
      <c r="V2159" s="403" t="s">
        <v>7007</v>
      </c>
      <c r="W2159" s="403" t="s">
        <v>17644</v>
      </c>
      <c r="X2159" s="403" t="s">
        <v>13524</v>
      </c>
      <c r="Y2159" s="403" t="s">
        <v>21198</v>
      </c>
    </row>
    <row r="2160" spans="1:25">
      <c r="A2160" s="363">
        <f t="shared" si="271"/>
        <v>2159</v>
      </c>
      <c r="B2160" s="363" t="str">
        <f t="shared" si="264"/>
        <v>00</v>
      </c>
      <c r="C2160" s="405" t="str">
        <f t="shared" si="265"/>
        <v>第002475号</v>
      </c>
      <c r="D2160" s="405" t="str">
        <f t="shared" si="266"/>
        <v>（株）本間組</v>
      </c>
      <c r="E2160" s="405" t="str">
        <f t="shared" si="267"/>
        <v/>
      </c>
      <c r="F2160" s="405" t="str">
        <f t="shared" si="268"/>
        <v>高塚　慶</v>
      </c>
      <c r="G2160" s="405" t="str">
        <f t="shared" si="269"/>
        <v>九州支店</v>
      </c>
      <c r="H2160" s="405" t="str">
        <f t="shared" si="270"/>
        <v>福岡市博多区博多駅東２－８－３</v>
      </c>
      <c r="L2160" s="403" t="s">
        <v>12245</v>
      </c>
      <c r="M2160" s="403" t="s">
        <v>12246</v>
      </c>
      <c r="N2160" s="403" t="s">
        <v>5819</v>
      </c>
      <c r="O2160" s="403" t="s">
        <v>7089</v>
      </c>
      <c r="P2160" s="403" t="s">
        <v>21199</v>
      </c>
      <c r="Q2160" s="403" t="s">
        <v>12247</v>
      </c>
      <c r="R2160" s="403" t="s">
        <v>21200</v>
      </c>
      <c r="S2160" s="403" t="s">
        <v>21201</v>
      </c>
      <c r="T2160" s="403" t="s">
        <v>21202</v>
      </c>
      <c r="U2160" s="403"/>
      <c r="V2160" s="403" t="s">
        <v>7007</v>
      </c>
      <c r="W2160" s="403" t="s">
        <v>17645</v>
      </c>
      <c r="X2160" s="403" t="s">
        <v>13524</v>
      </c>
      <c r="Y2160" s="403" t="s">
        <v>21203</v>
      </c>
    </row>
    <row r="2161" spans="1:25">
      <c r="A2161" s="363">
        <f t="shared" si="271"/>
        <v>2160</v>
      </c>
      <c r="B2161" s="363" t="str">
        <f t="shared" si="264"/>
        <v>00</v>
      </c>
      <c r="C2161" s="405" t="str">
        <f t="shared" si="265"/>
        <v>第002494号</v>
      </c>
      <c r="D2161" s="405" t="str">
        <f t="shared" si="266"/>
        <v>ダイダン（株）</v>
      </c>
      <c r="E2161" s="405" t="str">
        <f t="shared" si="267"/>
        <v/>
      </c>
      <c r="F2161" s="405" t="str">
        <f t="shared" si="268"/>
        <v>大田尾　祐士</v>
      </c>
      <c r="G2161" s="405" t="str">
        <f t="shared" si="269"/>
        <v>大分営業所</v>
      </c>
      <c r="H2161" s="405" t="str">
        <f t="shared" si="270"/>
        <v>大分市千代町１－３－２２松本ビル４０２</v>
      </c>
      <c r="L2161" s="403" t="s">
        <v>12248</v>
      </c>
      <c r="M2161" s="403" t="s">
        <v>12249</v>
      </c>
      <c r="N2161" s="403" t="s">
        <v>5820</v>
      </c>
      <c r="O2161" s="403" t="s">
        <v>7089</v>
      </c>
      <c r="P2161" s="403" t="s">
        <v>6498</v>
      </c>
      <c r="Q2161" s="403" t="s">
        <v>21204</v>
      </c>
      <c r="R2161" s="403" t="s">
        <v>21205</v>
      </c>
      <c r="S2161" s="403" t="s">
        <v>21206</v>
      </c>
      <c r="T2161" s="403" t="s">
        <v>21207</v>
      </c>
      <c r="U2161" s="403"/>
      <c r="V2161" s="403" t="s">
        <v>7013</v>
      </c>
      <c r="W2161" s="403" t="s">
        <v>21208</v>
      </c>
      <c r="X2161" s="403" t="s">
        <v>17646</v>
      </c>
      <c r="Y2161" s="403" t="s">
        <v>21209</v>
      </c>
    </row>
    <row r="2162" spans="1:25">
      <c r="A2162" s="363">
        <f t="shared" si="271"/>
        <v>2161</v>
      </c>
      <c r="B2162" s="363" t="str">
        <f t="shared" si="264"/>
        <v>00</v>
      </c>
      <c r="C2162" s="405" t="str">
        <f t="shared" si="265"/>
        <v>第002504号</v>
      </c>
      <c r="D2162" s="405" t="str">
        <f t="shared" si="266"/>
        <v>西部電気工業（株）</v>
      </c>
      <c r="E2162" s="405" t="str">
        <f t="shared" si="267"/>
        <v/>
      </c>
      <c r="F2162" s="405" t="str">
        <f t="shared" si="268"/>
        <v>水村　祐二</v>
      </c>
      <c r="G2162" s="405" t="str">
        <f t="shared" si="269"/>
        <v>大分支店</v>
      </c>
      <c r="H2162" s="405" t="str">
        <f t="shared" si="270"/>
        <v>大分市日吉町１７－５</v>
      </c>
      <c r="L2162" s="403" t="s">
        <v>12250</v>
      </c>
      <c r="M2162" s="403" t="s">
        <v>12251</v>
      </c>
      <c r="N2162" s="403" t="s">
        <v>5821</v>
      </c>
      <c r="O2162" s="403" t="s">
        <v>7083</v>
      </c>
      <c r="P2162" s="403" t="s">
        <v>6499</v>
      </c>
      <c r="Q2162" s="403" t="s">
        <v>12252</v>
      </c>
      <c r="R2162" s="403" t="s">
        <v>21210</v>
      </c>
      <c r="S2162" s="403" t="s">
        <v>21211</v>
      </c>
      <c r="T2162" s="403" t="s">
        <v>21212</v>
      </c>
      <c r="U2162" s="403"/>
      <c r="V2162" s="403" t="s">
        <v>7009</v>
      </c>
      <c r="W2162" s="403" t="s">
        <v>17647</v>
      </c>
      <c r="X2162" s="403" t="s">
        <v>8776</v>
      </c>
      <c r="Y2162" s="403" t="s">
        <v>21213</v>
      </c>
    </row>
    <row r="2163" spans="1:25">
      <c r="A2163" s="363">
        <f t="shared" si="271"/>
        <v>2162</v>
      </c>
      <c r="B2163" s="363" t="str">
        <f t="shared" si="264"/>
        <v>00</v>
      </c>
      <c r="C2163" s="405" t="str">
        <f t="shared" si="265"/>
        <v>第002520号</v>
      </c>
      <c r="D2163" s="405" t="str">
        <f t="shared" si="266"/>
        <v>大豊建設（株）</v>
      </c>
      <c r="E2163" s="405" t="str">
        <f t="shared" si="267"/>
        <v/>
      </c>
      <c r="F2163" s="405" t="str">
        <f t="shared" si="268"/>
        <v>帷子　幸一</v>
      </c>
      <c r="G2163" s="405" t="str">
        <f t="shared" si="269"/>
        <v>九州支店</v>
      </c>
      <c r="H2163" s="405" t="str">
        <f t="shared" si="270"/>
        <v>福岡市博多区博多駅南５－２４－１６</v>
      </c>
      <c r="L2163" s="403" t="s">
        <v>12253</v>
      </c>
      <c r="M2163" s="403" t="s">
        <v>12254</v>
      </c>
      <c r="N2163" s="403" t="s">
        <v>1721</v>
      </c>
      <c r="O2163" s="403" t="s">
        <v>7084</v>
      </c>
      <c r="P2163" s="403" t="s">
        <v>6500</v>
      </c>
      <c r="Q2163" s="403" t="s">
        <v>12255</v>
      </c>
      <c r="R2163" s="403" t="s">
        <v>21214</v>
      </c>
      <c r="S2163" s="403" t="s">
        <v>21215</v>
      </c>
      <c r="T2163" s="403" t="s">
        <v>21216</v>
      </c>
      <c r="U2163" s="403"/>
      <c r="V2163" s="403" t="s">
        <v>7007</v>
      </c>
      <c r="W2163" s="403" t="s">
        <v>17648</v>
      </c>
      <c r="X2163" s="403" t="s">
        <v>11975</v>
      </c>
      <c r="Y2163" s="403" t="s">
        <v>21217</v>
      </c>
    </row>
    <row r="2164" spans="1:25">
      <c r="A2164" s="363">
        <f t="shared" si="271"/>
        <v>2163</v>
      </c>
      <c r="B2164" s="363" t="str">
        <f t="shared" si="264"/>
        <v>00</v>
      </c>
      <c r="C2164" s="405" t="str">
        <f t="shared" si="265"/>
        <v>第002521号</v>
      </c>
      <c r="D2164" s="405" t="str">
        <f t="shared" si="266"/>
        <v>（株）東京久栄</v>
      </c>
      <c r="E2164" s="405" t="str">
        <f t="shared" si="267"/>
        <v>代表取締役社長</v>
      </c>
      <c r="F2164" s="405" t="str">
        <f t="shared" si="268"/>
        <v>高月　邦夫</v>
      </c>
      <c r="G2164" s="405" t="str">
        <f t="shared" si="269"/>
        <v>主たる営業所</v>
      </c>
      <c r="H2164" s="405" t="str">
        <f t="shared" si="270"/>
        <v>千代田区岩本町２－４－２</v>
      </c>
      <c r="L2164" s="403" t="s">
        <v>12256</v>
      </c>
      <c r="M2164" s="403" t="s">
        <v>12257</v>
      </c>
      <c r="N2164" s="403" t="s">
        <v>5822</v>
      </c>
      <c r="O2164" s="403" t="s">
        <v>7083</v>
      </c>
      <c r="P2164" s="403" t="s">
        <v>6501</v>
      </c>
      <c r="Q2164" s="403" t="s">
        <v>11984</v>
      </c>
      <c r="R2164" s="403" t="s">
        <v>21218</v>
      </c>
      <c r="S2164" s="403" t="s">
        <v>17649</v>
      </c>
      <c r="T2164" s="403" t="s">
        <v>17650</v>
      </c>
      <c r="U2164" s="403"/>
      <c r="V2164" s="403" t="s">
        <v>23024</v>
      </c>
      <c r="W2164" s="403" t="s">
        <v>23024</v>
      </c>
      <c r="X2164" s="403" t="s">
        <v>23024</v>
      </c>
      <c r="Y2164" s="403" t="s">
        <v>23024</v>
      </c>
    </row>
    <row r="2165" spans="1:25">
      <c r="A2165" s="363">
        <f t="shared" si="271"/>
        <v>2164</v>
      </c>
      <c r="B2165" s="363" t="str">
        <f t="shared" si="264"/>
        <v>00</v>
      </c>
      <c r="C2165" s="405" t="str">
        <f t="shared" si="265"/>
        <v>第002527号</v>
      </c>
      <c r="D2165" s="405" t="str">
        <f t="shared" si="266"/>
        <v>佐藤鉄工（株）</v>
      </c>
      <c r="E2165" s="405" t="str">
        <f t="shared" si="267"/>
        <v/>
      </c>
      <c r="F2165" s="405" t="str">
        <f t="shared" si="268"/>
        <v>善積　博章</v>
      </c>
      <c r="G2165" s="405" t="str">
        <f t="shared" si="269"/>
        <v>大阪営業所</v>
      </c>
      <c r="H2165" s="405" t="str">
        <f t="shared" si="270"/>
        <v>大阪市西区靭本町１－９－１５</v>
      </c>
      <c r="L2165" s="403" t="s">
        <v>12258</v>
      </c>
      <c r="M2165" s="403" t="s">
        <v>10257</v>
      </c>
      <c r="N2165" s="403" t="s">
        <v>5823</v>
      </c>
      <c r="O2165" s="403" t="s">
        <v>7083</v>
      </c>
      <c r="P2165" s="403" t="s">
        <v>6502</v>
      </c>
      <c r="Q2165" s="403" t="s">
        <v>12259</v>
      </c>
      <c r="R2165" s="403" t="s">
        <v>21219</v>
      </c>
      <c r="S2165" s="403" t="s">
        <v>21220</v>
      </c>
      <c r="T2165" s="403" t="s">
        <v>21221</v>
      </c>
      <c r="U2165" s="403"/>
      <c r="V2165" s="403" t="s">
        <v>7022</v>
      </c>
      <c r="W2165" s="403" t="s">
        <v>17651</v>
      </c>
      <c r="X2165" s="403" t="s">
        <v>17652</v>
      </c>
      <c r="Y2165" s="403" t="s">
        <v>21222</v>
      </c>
    </row>
    <row r="2166" spans="1:25">
      <c r="A2166" s="363">
        <f t="shared" si="271"/>
        <v>2165</v>
      </c>
      <c r="B2166" s="363" t="str">
        <f t="shared" si="264"/>
        <v>00</v>
      </c>
      <c r="C2166" s="405" t="str">
        <f t="shared" si="265"/>
        <v>第002531号</v>
      </c>
      <c r="D2166" s="405" t="str">
        <f t="shared" si="266"/>
        <v>第一設備工業（株）</v>
      </c>
      <c r="E2166" s="405" t="str">
        <f t="shared" si="267"/>
        <v/>
      </c>
      <c r="F2166" s="405" t="str">
        <f t="shared" si="268"/>
        <v>大久保　貴司</v>
      </c>
      <c r="G2166" s="405" t="str">
        <f t="shared" si="269"/>
        <v>九州支店</v>
      </c>
      <c r="H2166" s="405" t="str">
        <f t="shared" si="270"/>
        <v>福岡市博多区博多駅前１－４－１</v>
      </c>
      <c r="L2166" s="403" t="s">
        <v>12260</v>
      </c>
      <c r="M2166" s="403" t="s">
        <v>12261</v>
      </c>
      <c r="N2166" s="403" t="s">
        <v>5824</v>
      </c>
      <c r="O2166" s="403" t="s">
        <v>7083</v>
      </c>
      <c r="P2166" s="403" t="s">
        <v>6503</v>
      </c>
      <c r="Q2166" s="403" t="s">
        <v>12262</v>
      </c>
      <c r="R2166" s="403" t="s">
        <v>21223</v>
      </c>
      <c r="S2166" s="403" t="s">
        <v>21224</v>
      </c>
      <c r="T2166" s="403" t="s">
        <v>21225</v>
      </c>
      <c r="U2166" s="403"/>
      <c r="V2166" s="403" t="s">
        <v>7007</v>
      </c>
      <c r="W2166" s="403" t="s">
        <v>17653</v>
      </c>
      <c r="X2166" s="403" t="s">
        <v>13015</v>
      </c>
      <c r="Y2166" s="403" t="s">
        <v>21011</v>
      </c>
    </row>
    <row r="2167" spans="1:25">
      <c r="A2167" s="363">
        <f t="shared" si="271"/>
        <v>2166</v>
      </c>
      <c r="B2167" s="363" t="str">
        <f t="shared" si="264"/>
        <v>00</v>
      </c>
      <c r="C2167" s="405" t="str">
        <f t="shared" si="265"/>
        <v>第002532号</v>
      </c>
      <c r="D2167" s="405" t="str">
        <f t="shared" si="266"/>
        <v>大同電設（株）</v>
      </c>
      <c r="E2167" s="405" t="str">
        <f t="shared" si="267"/>
        <v/>
      </c>
      <c r="F2167" s="405" t="str">
        <f t="shared" si="268"/>
        <v>佐伯　秀雅</v>
      </c>
      <c r="G2167" s="405" t="str">
        <f t="shared" si="269"/>
        <v>大分支店</v>
      </c>
      <c r="H2167" s="405" t="str">
        <f t="shared" si="270"/>
        <v>大分市大字西ノ洲１</v>
      </c>
      <c r="L2167" s="403" t="s">
        <v>12263</v>
      </c>
      <c r="M2167" s="403" t="s">
        <v>12264</v>
      </c>
      <c r="N2167" s="403" t="s">
        <v>5825</v>
      </c>
      <c r="O2167" s="403" t="s">
        <v>7084</v>
      </c>
      <c r="P2167" s="403" t="s">
        <v>6504</v>
      </c>
      <c r="Q2167" s="403" t="s">
        <v>12265</v>
      </c>
      <c r="R2167" s="403" t="s">
        <v>21226</v>
      </c>
      <c r="S2167" s="403" t="s">
        <v>21227</v>
      </c>
      <c r="T2167" s="403" t="s">
        <v>21228</v>
      </c>
      <c r="U2167" s="403"/>
      <c r="V2167" s="403" t="s">
        <v>7009</v>
      </c>
      <c r="W2167" s="403" t="s">
        <v>17654</v>
      </c>
      <c r="X2167" s="403" t="s">
        <v>17655</v>
      </c>
      <c r="Y2167" s="403" t="s">
        <v>7076</v>
      </c>
    </row>
    <row r="2168" spans="1:25">
      <c r="A2168" s="363">
        <f t="shared" si="271"/>
        <v>2167</v>
      </c>
      <c r="B2168" s="363" t="str">
        <f t="shared" si="264"/>
        <v>00</v>
      </c>
      <c r="C2168" s="405" t="str">
        <f t="shared" si="265"/>
        <v>第002545号</v>
      </c>
      <c r="D2168" s="405" t="str">
        <f t="shared" si="266"/>
        <v>奥アンツーカ（株）</v>
      </c>
      <c r="E2168" s="405" t="str">
        <f t="shared" si="267"/>
        <v/>
      </c>
      <c r="F2168" s="405" t="str">
        <f t="shared" si="268"/>
        <v>三好　一弘</v>
      </c>
      <c r="G2168" s="405" t="str">
        <f t="shared" si="269"/>
        <v>西日本支店</v>
      </c>
      <c r="H2168" s="405" t="str">
        <f t="shared" si="270"/>
        <v>福岡市博多区板付６－３－２４</v>
      </c>
      <c r="L2168" s="403" t="s">
        <v>12266</v>
      </c>
      <c r="M2168" s="403" t="s">
        <v>12267</v>
      </c>
      <c r="N2168" s="403" t="s">
        <v>5826</v>
      </c>
      <c r="O2168" s="403" t="s">
        <v>7083</v>
      </c>
      <c r="P2168" s="403" t="s">
        <v>6505</v>
      </c>
      <c r="Q2168" s="403" t="s">
        <v>12268</v>
      </c>
      <c r="R2168" s="403" t="s">
        <v>21229</v>
      </c>
      <c r="S2168" s="403" t="s">
        <v>21230</v>
      </c>
      <c r="T2168" s="403" t="s">
        <v>21231</v>
      </c>
      <c r="U2168" s="403"/>
      <c r="V2168" s="403" t="s">
        <v>7023</v>
      </c>
      <c r="W2168" s="403" t="s">
        <v>17656</v>
      </c>
      <c r="X2168" s="403" t="s">
        <v>13121</v>
      </c>
      <c r="Y2168" s="403" t="s">
        <v>21232</v>
      </c>
    </row>
    <row r="2169" spans="1:25">
      <c r="A2169" s="363">
        <f t="shared" si="271"/>
        <v>2168</v>
      </c>
      <c r="B2169" s="363" t="str">
        <f t="shared" si="264"/>
        <v>00</v>
      </c>
      <c r="C2169" s="405" t="str">
        <f t="shared" si="265"/>
        <v>第002567号</v>
      </c>
      <c r="D2169" s="405" t="str">
        <f t="shared" si="266"/>
        <v>（株）石垣</v>
      </c>
      <c r="E2169" s="405" t="str">
        <f t="shared" si="267"/>
        <v/>
      </c>
      <c r="F2169" s="405" t="str">
        <f t="shared" si="268"/>
        <v>吉武　隆浩</v>
      </c>
      <c r="G2169" s="405" t="str">
        <f t="shared" si="269"/>
        <v>九州支店</v>
      </c>
      <c r="H2169" s="405" t="str">
        <f t="shared" si="270"/>
        <v>福岡市博多区博多駅前１－９－３</v>
      </c>
      <c r="L2169" s="403" t="s">
        <v>12269</v>
      </c>
      <c r="M2169" s="403" t="s">
        <v>12270</v>
      </c>
      <c r="N2169" s="403" t="s">
        <v>5827</v>
      </c>
      <c r="O2169" s="403" t="s">
        <v>7083</v>
      </c>
      <c r="P2169" s="403" t="s">
        <v>6506</v>
      </c>
      <c r="Q2169" s="403" t="s">
        <v>12271</v>
      </c>
      <c r="R2169" s="403" t="s">
        <v>21233</v>
      </c>
      <c r="S2169" s="403" t="s">
        <v>21234</v>
      </c>
      <c r="T2169" s="403" t="s">
        <v>21235</v>
      </c>
      <c r="U2169" s="403"/>
      <c r="V2169" s="403" t="s">
        <v>7007</v>
      </c>
      <c r="W2169" s="403" t="s">
        <v>17657</v>
      </c>
      <c r="X2169" s="403" t="s">
        <v>13015</v>
      </c>
      <c r="Y2169" s="403" t="s">
        <v>21236</v>
      </c>
    </row>
    <row r="2170" spans="1:25">
      <c r="A2170" s="363">
        <f t="shared" si="271"/>
        <v>2169</v>
      </c>
      <c r="B2170" s="363" t="str">
        <f t="shared" si="264"/>
        <v>00</v>
      </c>
      <c r="C2170" s="405" t="str">
        <f t="shared" si="265"/>
        <v>第002611号</v>
      </c>
      <c r="D2170" s="405" t="str">
        <f t="shared" si="266"/>
        <v>明星電気（株）</v>
      </c>
      <c r="E2170" s="405" t="str">
        <f t="shared" si="267"/>
        <v/>
      </c>
      <c r="F2170" s="405" t="str">
        <f t="shared" si="268"/>
        <v>新野　力寿</v>
      </c>
      <c r="G2170" s="405" t="str">
        <f t="shared" si="269"/>
        <v>西日本支店</v>
      </c>
      <c r="H2170" s="405" t="str">
        <f t="shared" si="270"/>
        <v>大阪市北区中之島３－２－４</v>
      </c>
      <c r="L2170" s="403" t="s">
        <v>12272</v>
      </c>
      <c r="M2170" s="403" t="s">
        <v>12273</v>
      </c>
      <c r="N2170" s="403" t="s">
        <v>5828</v>
      </c>
      <c r="O2170" s="403" t="s">
        <v>7083</v>
      </c>
      <c r="P2170" s="403" t="s">
        <v>6507</v>
      </c>
      <c r="Q2170" s="403" t="s">
        <v>12274</v>
      </c>
      <c r="R2170" s="403" t="s">
        <v>21237</v>
      </c>
      <c r="S2170" s="403" t="s">
        <v>21238</v>
      </c>
      <c r="T2170" s="403" t="s">
        <v>21239</v>
      </c>
      <c r="U2170" s="403"/>
      <c r="V2170" s="403" t="s">
        <v>7023</v>
      </c>
      <c r="W2170" s="403" t="s">
        <v>21240</v>
      </c>
      <c r="X2170" s="403" t="s">
        <v>17658</v>
      </c>
      <c r="Y2170" s="403" t="s">
        <v>21241</v>
      </c>
    </row>
    <row r="2171" spans="1:25">
      <c r="A2171" s="363">
        <f t="shared" si="271"/>
        <v>2170</v>
      </c>
      <c r="B2171" s="363" t="str">
        <f t="shared" si="264"/>
        <v>00</v>
      </c>
      <c r="C2171" s="405" t="str">
        <f t="shared" si="265"/>
        <v>第002632号</v>
      </c>
      <c r="D2171" s="405" t="str">
        <f t="shared" si="266"/>
        <v>（株）安部日鋼工業</v>
      </c>
      <c r="E2171" s="405" t="str">
        <f t="shared" si="267"/>
        <v/>
      </c>
      <c r="F2171" s="405" t="str">
        <f t="shared" si="268"/>
        <v>大村　一馬</v>
      </c>
      <c r="G2171" s="405" t="str">
        <f t="shared" si="269"/>
        <v>九州支店</v>
      </c>
      <c r="H2171" s="405" t="str">
        <f t="shared" si="270"/>
        <v>福岡市博多区博多駅東１－１２－６</v>
      </c>
      <c r="L2171" s="403" t="s">
        <v>12275</v>
      </c>
      <c r="M2171" s="403" t="s">
        <v>12276</v>
      </c>
      <c r="N2171" s="403" t="s">
        <v>5829</v>
      </c>
      <c r="O2171" s="403" t="s">
        <v>7084</v>
      </c>
      <c r="P2171" s="403" t="s">
        <v>6508</v>
      </c>
      <c r="Q2171" s="403" t="s">
        <v>12277</v>
      </c>
      <c r="R2171" s="403" t="s">
        <v>21242</v>
      </c>
      <c r="S2171" s="403" t="s">
        <v>21243</v>
      </c>
      <c r="T2171" s="403" t="s">
        <v>21244</v>
      </c>
      <c r="U2171" s="403"/>
      <c r="V2171" s="403" t="s">
        <v>7007</v>
      </c>
      <c r="W2171" s="403" t="s">
        <v>17659</v>
      </c>
      <c r="X2171" s="403" t="s">
        <v>13524</v>
      </c>
      <c r="Y2171" s="403" t="s">
        <v>21245</v>
      </c>
    </row>
    <row r="2172" spans="1:25">
      <c r="A2172" s="363">
        <f t="shared" si="271"/>
        <v>2171</v>
      </c>
      <c r="B2172" s="363" t="str">
        <f t="shared" si="264"/>
        <v>00</v>
      </c>
      <c r="C2172" s="405" t="str">
        <f t="shared" si="265"/>
        <v>第002636号</v>
      </c>
      <c r="D2172" s="405" t="str">
        <f t="shared" si="266"/>
        <v>川本工業（株）</v>
      </c>
      <c r="E2172" s="405" t="str">
        <f t="shared" si="267"/>
        <v/>
      </c>
      <c r="F2172" s="405" t="str">
        <f t="shared" si="268"/>
        <v>粟木原　宏</v>
      </c>
      <c r="G2172" s="405" t="str">
        <f t="shared" si="269"/>
        <v>九州支店</v>
      </c>
      <c r="H2172" s="405" t="str">
        <f t="shared" si="270"/>
        <v>福岡市博多区博多駅南１－３－６</v>
      </c>
      <c r="L2172" s="403" t="s">
        <v>12278</v>
      </c>
      <c r="M2172" s="403" t="s">
        <v>12279</v>
      </c>
      <c r="N2172" s="403" t="s">
        <v>5830</v>
      </c>
      <c r="O2172" s="403" t="s">
        <v>7084</v>
      </c>
      <c r="P2172" s="403" t="s">
        <v>6509</v>
      </c>
      <c r="Q2172" s="403" t="s">
        <v>12280</v>
      </c>
      <c r="R2172" s="403" t="s">
        <v>21246</v>
      </c>
      <c r="S2172" s="403" t="s">
        <v>21247</v>
      </c>
      <c r="T2172" s="403" t="s">
        <v>21248</v>
      </c>
      <c r="U2172" s="403"/>
      <c r="V2172" s="403" t="s">
        <v>7007</v>
      </c>
      <c r="W2172" s="403" t="s">
        <v>17660</v>
      </c>
      <c r="X2172" s="403" t="s">
        <v>11975</v>
      </c>
      <c r="Y2172" s="403" t="s">
        <v>21249</v>
      </c>
    </row>
    <row r="2173" spans="1:25">
      <c r="A2173" s="363">
        <f t="shared" si="271"/>
        <v>2172</v>
      </c>
      <c r="B2173" s="363" t="str">
        <f t="shared" si="264"/>
        <v>00</v>
      </c>
      <c r="C2173" s="405" t="str">
        <f t="shared" si="265"/>
        <v>第002646号</v>
      </c>
      <c r="D2173" s="405" t="str">
        <f t="shared" si="266"/>
        <v>（株）大本組</v>
      </c>
      <c r="E2173" s="405" t="str">
        <f t="shared" si="267"/>
        <v/>
      </c>
      <c r="F2173" s="405" t="str">
        <f t="shared" si="268"/>
        <v>三好　紀彰</v>
      </c>
      <c r="G2173" s="405" t="str">
        <f t="shared" si="269"/>
        <v>九州支店</v>
      </c>
      <c r="H2173" s="405" t="str">
        <f t="shared" si="270"/>
        <v>福岡市中央区大名２－２－７　大名センタービル７Ｆ</v>
      </c>
      <c r="L2173" s="403" t="s">
        <v>12281</v>
      </c>
      <c r="M2173" s="403" t="s">
        <v>12282</v>
      </c>
      <c r="N2173" s="403" t="s">
        <v>5831</v>
      </c>
      <c r="O2173" s="403" t="s">
        <v>7083</v>
      </c>
      <c r="P2173" s="403" t="s">
        <v>6510</v>
      </c>
      <c r="Q2173" s="403" t="s">
        <v>12283</v>
      </c>
      <c r="R2173" s="403" t="s">
        <v>21250</v>
      </c>
      <c r="S2173" s="403" t="s">
        <v>21251</v>
      </c>
      <c r="T2173" s="403" t="s">
        <v>21252</v>
      </c>
      <c r="U2173" s="403"/>
      <c r="V2173" s="403" t="s">
        <v>7007</v>
      </c>
      <c r="W2173" s="403" t="s">
        <v>17661</v>
      </c>
      <c r="X2173" s="403" t="s">
        <v>13390</v>
      </c>
      <c r="Y2173" s="403" t="s">
        <v>21253</v>
      </c>
    </row>
    <row r="2174" spans="1:25">
      <c r="A2174" s="363">
        <f t="shared" si="271"/>
        <v>2173</v>
      </c>
      <c r="B2174" s="363" t="str">
        <f t="shared" si="264"/>
        <v>00</v>
      </c>
      <c r="C2174" s="405" t="str">
        <f t="shared" si="265"/>
        <v>第002655号</v>
      </c>
      <c r="D2174" s="405" t="str">
        <f t="shared" si="266"/>
        <v>前田建設工業（株）</v>
      </c>
      <c r="E2174" s="405" t="str">
        <f t="shared" si="267"/>
        <v/>
      </c>
      <c r="F2174" s="405" t="str">
        <f t="shared" si="268"/>
        <v>塚本　修史</v>
      </c>
      <c r="G2174" s="405" t="str">
        <f t="shared" si="269"/>
        <v>九州支店</v>
      </c>
      <c r="H2174" s="405" t="str">
        <f t="shared" si="270"/>
        <v>福岡市博多区博多駅東２－１４－１</v>
      </c>
      <c r="L2174" s="403" t="s">
        <v>12284</v>
      </c>
      <c r="M2174" s="403" t="s">
        <v>12285</v>
      </c>
      <c r="N2174" s="403" t="s">
        <v>5832</v>
      </c>
      <c r="O2174" s="403" t="s">
        <v>7083</v>
      </c>
      <c r="P2174" s="403" t="s">
        <v>6511</v>
      </c>
      <c r="Q2174" s="403" t="s">
        <v>12286</v>
      </c>
      <c r="R2174" s="403" t="s">
        <v>21254</v>
      </c>
      <c r="S2174" s="403" t="s">
        <v>21255</v>
      </c>
      <c r="T2174" s="403" t="s">
        <v>21256</v>
      </c>
      <c r="U2174" s="403"/>
      <c r="V2174" s="403" t="s">
        <v>7007</v>
      </c>
      <c r="W2174" s="403" t="s">
        <v>21257</v>
      </c>
      <c r="X2174" s="403" t="s">
        <v>13524</v>
      </c>
      <c r="Y2174" s="403" t="s">
        <v>21258</v>
      </c>
    </row>
    <row r="2175" spans="1:25">
      <c r="A2175" s="363">
        <f t="shared" si="271"/>
        <v>2174</v>
      </c>
      <c r="B2175" s="363" t="str">
        <f t="shared" si="264"/>
        <v>00</v>
      </c>
      <c r="C2175" s="405" t="str">
        <f t="shared" si="265"/>
        <v>第002657号</v>
      </c>
      <c r="D2175" s="405" t="str">
        <f t="shared" si="266"/>
        <v>東光電気工事（株）</v>
      </c>
      <c r="E2175" s="405" t="str">
        <f t="shared" si="267"/>
        <v/>
      </c>
      <c r="F2175" s="405" t="str">
        <f t="shared" si="268"/>
        <v>小島　和彦</v>
      </c>
      <c r="G2175" s="405" t="str">
        <f t="shared" si="269"/>
        <v>九州支社</v>
      </c>
      <c r="H2175" s="405" t="str">
        <f t="shared" si="270"/>
        <v>福岡市中央区薬院３－１５－６</v>
      </c>
      <c r="L2175" s="403" t="s">
        <v>12287</v>
      </c>
      <c r="M2175" s="403" t="s">
        <v>12288</v>
      </c>
      <c r="N2175" s="403" t="s">
        <v>5833</v>
      </c>
      <c r="O2175" s="403" t="s">
        <v>7089</v>
      </c>
      <c r="P2175" s="403" t="s">
        <v>6512</v>
      </c>
      <c r="Q2175" s="403" t="s">
        <v>12289</v>
      </c>
      <c r="R2175" s="403" t="s">
        <v>21259</v>
      </c>
      <c r="S2175" s="403" t="s">
        <v>21260</v>
      </c>
      <c r="T2175" s="403" t="s">
        <v>21261</v>
      </c>
      <c r="U2175" s="403"/>
      <c r="V2175" s="403" t="s">
        <v>7011</v>
      </c>
      <c r="W2175" s="403" t="s">
        <v>17662</v>
      </c>
      <c r="X2175" s="403" t="s">
        <v>12026</v>
      </c>
      <c r="Y2175" s="403" t="s">
        <v>21262</v>
      </c>
    </row>
    <row r="2176" spans="1:25">
      <c r="A2176" s="363">
        <f t="shared" si="271"/>
        <v>2175</v>
      </c>
      <c r="B2176" s="363" t="str">
        <f t="shared" si="264"/>
        <v>00</v>
      </c>
      <c r="C2176" s="405" t="str">
        <f t="shared" si="265"/>
        <v>第002667号</v>
      </c>
      <c r="D2176" s="405" t="str">
        <f t="shared" si="266"/>
        <v>セイコー化工機（株）</v>
      </c>
      <c r="E2176" s="405" t="str">
        <f t="shared" si="267"/>
        <v/>
      </c>
      <c r="F2176" s="405" t="str">
        <f t="shared" si="268"/>
        <v>渡邉　隆裕</v>
      </c>
      <c r="G2176" s="405" t="str">
        <f t="shared" si="269"/>
        <v>福岡営業所</v>
      </c>
      <c r="H2176" s="405" t="str">
        <f t="shared" si="270"/>
        <v>北九州市小倉北区米町１－１－２１</v>
      </c>
      <c r="L2176" s="403" t="s">
        <v>12290</v>
      </c>
      <c r="M2176" s="403" t="s">
        <v>12291</v>
      </c>
      <c r="N2176" s="403" t="s">
        <v>5834</v>
      </c>
      <c r="O2176" s="403" t="s">
        <v>7084</v>
      </c>
      <c r="P2176" s="403" t="s">
        <v>21263</v>
      </c>
      <c r="Q2176" s="403" t="s">
        <v>12292</v>
      </c>
      <c r="R2176" s="403" t="s">
        <v>21264</v>
      </c>
      <c r="S2176" s="403" t="s">
        <v>21265</v>
      </c>
      <c r="T2176" s="403" t="s">
        <v>21266</v>
      </c>
      <c r="U2176" s="403"/>
      <c r="V2176" s="403" t="s">
        <v>7010</v>
      </c>
      <c r="W2176" s="403" t="s">
        <v>17663</v>
      </c>
      <c r="X2176" s="403" t="s">
        <v>17664</v>
      </c>
      <c r="Y2176" s="403" t="s">
        <v>21267</v>
      </c>
    </row>
    <row r="2177" spans="1:25">
      <c r="A2177" s="363">
        <f t="shared" si="271"/>
        <v>2176</v>
      </c>
      <c r="B2177" s="363" t="str">
        <f t="shared" si="264"/>
        <v>00</v>
      </c>
      <c r="C2177" s="405" t="str">
        <f t="shared" si="265"/>
        <v>第002698号</v>
      </c>
      <c r="D2177" s="405" t="str">
        <f t="shared" si="266"/>
        <v>宇野重工（株）</v>
      </c>
      <c r="E2177" s="405" t="str">
        <f t="shared" si="267"/>
        <v/>
      </c>
      <c r="F2177" s="405" t="str">
        <f t="shared" si="268"/>
        <v>奥田　慎一</v>
      </c>
      <c r="G2177" s="405" t="str">
        <f t="shared" si="269"/>
        <v>九州営業所</v>
      </c>
      <c r="H2177" s="405" t="str">
        <f t="shared" si="270"/>
        <v>福岡市中央区大宮２－６－１１　第１４泰平ビル</v>
      </c>
      <c r="L2177" s="403" t="s">
        <v>12293</v>
      </c>
      <c r="M2177" s="403" t="s">
        <v>12294</v>
      </c>
      <c r="N2177" s="403" t="s">
        <v>5835</v>
      </c>
      <c r="O2177" s="403" t="s">
        <v>7084</v>
      </c>
      <c r="P2177" s="403" t="s">
        <v>6513</v>
      </c>
      <c r="Q2177" s="403" t="s">
        <v>12295</v>
      </c>
      <c r="R2177" s="403" t="s">
        <v>21268</v>
      </c>
      <c r="S2177" s="403" t="s">
        <v>21269</v>
      </c>
      <c r="T2177" s="403" t="s">
        <v>21270</v>
      </c>
      <c r="U2177" s="403"/>
      <c r="V2177" s="403" t="s">
        <v>7012</v>
      </c>
      <c r="W2177" s="403" t="s">
        <v>17665</v>
      </c>
      <c r="X2177" s="403" t="s">
        <v>13054</v>
      </c>
      <c r="Y2177" s="403" t="s">
        <v>21271</v>
      </c>
    </row>
    <row r="2178" spans="1:25">
      <c r="A2178" s="363">
        <f t="shared" si="271"/>
        <v>2177</v>
      </c>
      <c r="B2178" s="363" t="str">
        <f t="shared" ref="B2178:B2241" si="272">LEFT(L2178,2)</f>
        <v>00</v>
      </c>
      <c r="C2178" s="405" t="str">
        <f t="shared" ref="C2178:C2241" si="273">IF(B2178="","","第"&amp;RIGHT(L2178,6)&amp;"号")</f>
        <v>第002714号</v>
      </c>
      <c r="D2178" s="405" t="str">
        <f t="shared" ref="D2178:D2241" si="274">N2178</f>
        <v>矢田工業（株）</v>
      </c>
      <c r="E2178" s="405" t="str">
        <f t="shared" ref="E2178:E2241" si="275">IF(V2178="　",O2178,"")</f>
        <v/>
      </c>
      <c r="F2178" s="405" t="str">
        <f t="shared" ref="F2178:F2241" si="276">IF(V2178="　",P2178,W2178)</f>
        <v>青木　肇</v>
      </c>
      <c r="G2178" s="405" t="str">
        <f t="shared" ref="G2178:G2241" si="277">IF(V2178="　","主たる営業所",V2178)</f>
        <v>九州営業所</v>
      </c>
      <c r="H2178" s="405" t="str">
        <f t="shared" ref="H2178:H2241" si="278">IF(V2178="　",R2178,Y2178)</f>
        <v>福岡市博多区比恵町１－３０－２０６</v>
      </c>
      <c r="L2178" s="403" t="s">
        <v>12296</v>
      </c>
      <c r="M2178" s="403" t="s">
        <v>12297</v>
      </c>
      <c r="N2178" s="403" t="s">
        <v>5836</v>
      </c>
      <c r="O2178" s="403" t="s">
        <v>7084</v>
      </c>
      <c r="P2178" s="403" t="s">
        <v>6514</v>
      </c>
      <c r="Q2178" s="403" t="s">
        <v>12298</v>
      </c>
      <c r="R2178" s="403" t="s">
        <v>21272</v>
      </c>
      <c r="S2178" s="403" t="s">
        <v>21273</v>
      </c>
      <c r="T2178" s="403" t="s">
        <v>21274</v>
      </c>
      <c r="U2178" s="403"/>
      <c r="V2178" s="403" t="s">
        <v>7012</v>
      </c>
      <c r="W2178" s="403" t="s">
        <v>17666</v>
      </c>
      <c r="X2178" s="403" t="s">
        <v>13797</v>
      </c>
      <c r="Y2178" s="403" t="s">
        <v>21275</v>
      </c>
    </row>
    <row r="2179" spans="1:25">
      <c r="A2179" s="363">
        <f t="shared" ref="A2179:A2242" si="279">IF(B2179="","",A2178+1)</f>
        <v>2178</v>
      </c>
      <c r="B2179" s="363" t="str">
        <f t="shared" si="272"/>
        <v>00</v>
      </c>
      <c r="C2179" s="405" t="str">
        <f t="shared" si="273"/>
        <v>第002744号</v>
      </c>
      <c r="D2179" s="405" t="str">
        <f t="shared" si="274"/>
        <v>（株）竹中工務店</v>
      </c>
      <c r="E2179" s="405" t="str">
        <f t="shared" si="275"/>
        <v/>
      </c>
      <c r="F2179" s="405" t="str">
        <f t="shared" si="276"/>
        <v>藤本　博志</v>
      </c>
      <c r="G2179" s="405" t="str">
        <f t="shared" si="277"/>
        <v>九州支店</v>
      </c>
      <c r="H2179" s="405" t="str">
        <f t="shared" si="278"/>
        <v>福岡市中央区天神４－２－２０</v>
      </c>
      <c r="L2179" s="403" t="s">
        <v>12299</v>
      </c>
      <c r="M2179" s="403" t="s">
        <v>12300</v>
      </c>
      <c r="N2179" s="403" t="s">
        <v>5837</v>
      </c>
      <c r="O2179" s="403" t="s">
        <v>7089</v>
      </c>
      <c r="P2179" s="403" t="s">
        <v>6515</v>
      </c>
      <c r="Q2179" s="403" t="s">
        <v>12301</v>
      </c>
      <c r="R2179" s="403" t="s">
        <v>21276</v>
      </c>
      <c r="S2179" s="403" t="s">
        <v>21277</v>
      </c>
      <c r="T2179" s="403" t="s">
        <v>21278</v>
      </c>
      <c r="U2179" s="403"/>
      <c r="V2179" s="403" t="s">
        <v>7007</v>
      </c>
      <c r="W2179" s="403" t="s">
        <v>17667</v>
      </c>
      <c r="X2179" s="403" t="s">
        <v>17517</v>
      </c>
      <c r="Y2179" s="403" t="s">
        <v>21279</v>
      </c>
    </row>
    <row r="2180" spans="1:25">
      <c r="A2180" s="363">
        <f t="shared" si="279"/>
        <v>2179</v>
      </c>
      <c r="B2180" s="363" t="str">
        <f t="shared" si="272"/>
        <v>00</v>
      </c>
      <c r="C2180" s="405" t="str">
        <f t="shared" si="273"/>
        <v>第002765号</v>
      </c>
      <c r="D2180" s="405" t="str">
        <f t="shared" si="274"/>
        <v>山九（株）</v>
      </c>
      <c r="E2180" s="405" t="str">
        <f t="shared" si="275"/>
        <v/>
      </c>
      <c r="F2180" s="405" t="str">
        <f t="shared" si="276"/>
        <v>江崎　建</v>
      </c>
      <c r="G2180" s="405" t="str">
        <f t="shared" si="277"/>
        <v>インフラ事業推進部　西日本事業所</v>
      </c>
      <c r="H2180" s="405" t="str">
        <f t="shared" si="278"/>
        <v>北九州市八幡西区築地町１０</v>
      </c>
      <c r="L2180" s="403" t="s">
        <v>12302</v>
      </c>
      <c r="M2180" s="403" t="s">
        <v>12303</v>
      </c>
      <c r="N2180" s="403" t="s">
        <v>5838</v>
      </c>
      <c r="O2180" s="403" t="s">
        <v>7083</v>
      </c>
      <c r="P2180" s="403" t="s">
        <v>6516</v>
      </c>
      <c r="Q2180" s="403" t="s">
        <v>12304</v>
      </c>
      <c r="R2180" s="403" t="s">
        <v>21280</v>
      </c>
      <c r="S2180" s="403" t="s">
        <v>21281</v>
      </c>
      <c r="T2180" s="403" t="s">
        <v>21282</v>
      </c>
      <c r="U2180" s="403"/>
      <c r="V2180" s="403" t="s">
        <v>7024</v>
      </c>
      <c r="W2180" s="403" t="s">
        <v>17668</v>
      </c>
      <c r="X2180" s="403" t="s">
        <v>17669</v>
      </c>
      <c r="Y2180" s="403" t="s">
        <v>21283</v>
      </c>
    </row>
    <row r="2181" spans="1:25">
      <c r="A2181" s="363">
        <f t="shared" si="279"/>
        <v>2180</v>
      </c>
      <c r="B2181" s="363" t="str">
        <f t="shared" si="272"/>
        <v>00</v>
      </c>
      <c r="C2181" s="405" t="str">
        <f t="shared" si="273"/>
        <v>第002770号</v>
      </c>
      <c r="D2181" s="405" t="str">
        <f t="shared" si="274"/>
        <v>日本道路（株）</v>
      </c>
      <c r="E2181" s="405" t="str">
        <f t="shared" si="275"/>
        <v/>
      </c>
      <c r="F2181" s="405" t="str">
        <f t="shared" si="276"/>
        <v>松長　慶志郎</v>
      </c>
      <c r="G2181" s="405" t="str">
        <f t="shared" si="277"/>
        <v>大分営業所</v>
      </c>
      <c r="H2181" s="405" t="str">
        <f t="shared" si="278"/>
        <v>大分市大字三芳字庄ノ原１２９０－１４</v>
      </c>
      <c r="L2181" s="403" t="s">
        <v>12305</v>
      </c>
      <c r="M2181" s="403" t="s">
        <v>12306</v>
      </c>
      <c r="N2181" s="403" t="s">
        <v>5839</v>
      </c>
      <c r="O2181" s="403" t="s">
        <v>7089</v>
      </c>
      <c r="P2181" s="403" t="s">
        <v>6517</v>
      </c>
      <c r="Q2181" s="403" t="s">
        <v>12307</v>
      </c>
      <c r="R2181" s="403" t="s">
        <v>21284</v>
      </c>
      <c r="S2181" s="403" t="s">
        <v>21285</v>
      </c>
      <c r="T2181" s="403" t="s">
        <v>21286</v>
      </c>
      <c r="U2181" s="403"/>
      <c r="V2181" s="403" t="s">
        <v>7013</v>
      </c>
      <c r="W2181" s="403" t="s">
        <v>17670</v>
      </c>
      <c r="X2181" s="403" t="s">
        <v>11741</v>
      </c>
      <c r="Y2181" s="403" t="s">
        <v>21287</v>
      </c>
    </row>
    <row r="2182" spans="1:25">
      <c r="A2182" s="363">
        <f t="shared" si="279"/>
        <v>2181</v>
      </c>
      <c r="B2182" s="363" t="str">
        <f t="shared" si="272"/>
        <v>00</v>
      </c>
      <c r="C2182" s="405" t="str">
        <f t="shared" si="273"/>
        <v>第002791号</v>
      </c>
      <c r="D2182" s="405" t="str">
        <f t="shared" si="274"/>
        <v>（株）吉田組</v>
      </c>
      <c r="E2182" s="405" t="str">
        <f t="shared" si="275"/>
        <v/>
      </c>
      <c r="F2182" s="405" t="str">
        <f t="shared" si="276"/>
        <v>豊茂　広隆</v>
      </c>
      <c r="G2182" s="405" t="str">
        <f t="shared" si="277"/>
        <v>九州支店</v>
      </c>
      <c r="H2182" s="405" t="str">
        <f t="shared" si="278"/>
        <v>福岡市博多区博多駅東２－２－２</v>
      </c>
      <c r="L2182" s="403" t="s">
        <v>12308</v>
      </c>
      <c r="M2182" s="403" t="s">
        <v>12309</v>
      </c>
      <c r="N2182" s="403" t="s">
        <v>5840</v>
      </c>
      <c r="O2182" s="403" t="s">
        <v>7083</v>
      </c>
      <c r="P2182" s="403" t="s">
        <v>6518</v>
      </c>
      <c r="Q2182" s="403" t="s">
        <v>12310</v>
      </c>
      <c r="R2182" s="403" t="s">
        <v>21288</v>
      </c>
      <c r="S2182" s="403" t="s">
        <v>21289</v>
      </c>
      <c r="T2182" s="403" t="s">
        <v>21290</v>
      </c>
      <c r="U2182" s="403"/>
      <c r="V2182" s="403" t="s">
        <v>7007</v>
      </c>
      <c r="W2182" s="403" t="s">
        <v>17671</v>
      </c>
      <c r="X2182" s="403" t="s">
        <v>13524</v>
      </c>
      <c r="Y2182" s="403" t="s">
        <v>21291</v>
      </c>
    </row>
    <row r="2183" spans="1:25">
      <c r="A2183" s="363">
        <f t="shared" si="279"/>
        <v>2182</v>
      </c>
      <c r="B2183" s="363" t="str">
        <f t="shared" si="272"/>
        <v>00</v>
      </c>
      <c r="C2183" s="405" t="str">
        <f t="shared" si="273"/>
        <v>第002812号</v>
      </c>
      <c r="D2183" s="405" t="str">
        <f t="shared" si="274"/>
        <v>ＡＬＳＯＫ（株）</v>
      </c>
      <c r="E2183" s="405" t="str">
        <f t="shared" si="275"/>
        <v/>
      </c>
      <c r="F2183" s="405" t="str">
        <f t="shared" si="276"/>
        <v>村上　慎太郎</v>
      </c>
      <c r="G2183" s="405" t="str">
        <f t="shared" si="277"/>
        <v>大分支社</v>
      </c>
      <c r="H2183" s="405" t="str">
        <f t="shared" si="278"/>
        <v>大分市末広町２－３－２２　オーシー第２ビル３階</v>
      </c>
      <c r="L2183" s="403" t="s">
        <v>12311</v>
      </c>
      <c r="M2183" s="403" t="s">
        <v>21292</v>
      </c>
      <c r="N2183" s="403" t="s">
        <v>21293</v>
      </c>
      <c r="O2183" s="403" t="s">
        <v>7084</v>
      </c>
      <c r="P2183" s="403" t="s">
        <v>6519</v>
      </c>
      <c r="Q2183" s="403" t="s">
        <v>12312</v>
      </c>
      <c r="R2183" s="403" t="s">
        <v>21294</v>
      </c>
      <c r="S2183" s="403" t="s">
        <v>21295</v>
      </c>
      <c r="T2183" s="403" t="s">
        <v>21296</v>
      </c>
      <c r="U2183" s="403"/>
      <c r="V2183" s="403" t="s">
        <v>7025</v>
      </c>
      <c r="W2183" s="403" t="s">
        <v>21297</v>
      </c>
      <c r="X2183" s="403" t="s">
        <v>10833</v>
      </c>
      <c r="Y2183" s="403" t="s">
        <v>21298</v>
      </c>
    </row>
    <row r="2184" spans="1:25">
      <c r="A2184" s="363">
        <f t="shared" si="279"/>
        <v>2183</v>
      </c>
      <c r="B2184" s="363" t="str">
        <f t="shared" si="272"/>
        <v>00</v>
      </c>
      <c r="C2184" s="405" t="str">
        <f t="shared" si="273"/>
        <v>第002816号</v>
      </c>
      <c r="D2184" s="405" t="str">
        <f t="shared" si="274"/>
        <v>（株）藤木工務店</v>
      </c>
      <c r="E2184" s="405" t="str">
        <f t="shared" si="275"/>
        <v/>
      </c>
      <c r="F2184" s="405" t="str">
        <f t="shared" si="276"/>
        <v>児玉　美喜雄</v>
      </c>
      <c r="G2184" s="405" t="str">
        <f t="shared" si="277"/>
        <v>福岡営業所</v>
      </c>
      <c r="H2184" s="405" t="str">
        <f t="shared" si="278"/>
        <v>福岡市博多区住吉２－１１－２７</v>
      </c>
      <c r="L2184" s="403" t="s">
        <v>12313</v>
      </c>
      <c r="M2184" s="403" t="s">
        <v>12314</v>
      </c>
      <c r="N2184" s="403" t="s">
        <v>5841</v>
      </c>
      <c r="O2184" s="403" t="s">
        <v>7084</v>
      </c>
      <c r="P2184" s="403" t="s">
        <v>6520</v>
      </c>
      <c r="Q2184" s="403" t="s">
        <v>12315</v>
      </c>
      <c r="R2184" s="403" t="s">
        <v>21299</v>
      </c>
      <c r="S2184" s="403" t="s">
        <v>21300</v>
      </c>
      <c r="T2184" s="403" t="s">
        <v>21301</v>
      </c>
      <c r="U2184" s="403"/>
      <c r="V2184" s="403" t="s">
        <v>7010</v>
      </c>
      <c r="W2184" s="403" t="s">
        <v>17672</v>
      </c>
      <c r="X2184" s="403" t="s">
        <v>17556</v>
      </c>
      <c r="Y2184" s="403" t="s">
        <v>21302</v>
      </c>
    </row>
    <row r="2185" spans="1:25">
      <c r="A2185" s="363">
        <f t="shared" si="279"/>
        <v>2184</v>
      </c>
      <c r="B2185" s="363" t="str">
        <f t="shared" si="272"/>
        <v>00</v>
      </c>
      <c r="C2185" s="405" t="str">
        <f t="shared" si="273"/>
        <v>第002822号</v>
      </c>
      <c r="D2185" s="405" t="str">
        <f t="shared" si="274"/>
        <v>（株）朝日工業社</v>
      </c>
      <c r="E2185" s="405" t="str">
        <f t="shared" si="275"/>
        <v/>
      </c>
      <c r="F2185" s="405" t="str">
        <f t="shared" si="276"/>
        <v>青地　徹</v>
      </c>
      <c r="G2185" s="405" t="str">
        <f t="shared" si="277"/>
        <v>九州支店</v>
      </c>
      <c r="H2185" s="405" t="str">
        <f t="shared" si="278"/>
        <v>福岡市中央区警固２－１７－６</v>
      </c>
      <c r="L2185" s="403" t="s">
        <v>12316</v>
      </c>
      <c r="M2185" s="403" t="s">
        <v>12317</v>
      </c>
      <c r="N2185" s="403" t="s">
        <v>5842</v>
      </c>
      <c r="O2185" s="403" t="s">
        <v>7084</v>
      </c>
      <c r="P2185" s="403" t="s">
        <v>6521</v>
      </c>
      <c r="Q2185" s="403" t="s">
        <v>12318</v>
      </c>
      <c r="R2185" s="403" t="s">
        <v>21303</v>
      </c>
      <c r="S2185" s="403" t="s">
        <v>21304</v>
      </c>
      <c r="T2185" s="403" t="s">
        <v>21305</v>
      </c>
      <c r="U2185" s="403"/>
      <c r="V2185" s="403" t="s">
        <v>7007</v>
      </c>
      <c r="W2185" s="403" t="s">
        <v>17673</v>
      </c>
      <c r="X2185" s="403" t="s">
        <v>17674</v>
      </c>
      <c r="Y2185" s="403" t="s">
        <v>21306</v>
      </c>
    </row>
    <row r="2186" spans="1:25">
      <c r="A2186" s="363">
        <f t="shared" si="279"/>
        <v>2185</v>
      </c>
      <c r="B2186" s="363" t="str">
        <f t="shared" si="272"/>
        <v>00</v>
      </c>
      <c r="C2186" s="405" t="str">
        <f t="shared" si="273"/>
        <v>第002826号</v>
      </c>
      <c r="D2186" s="405" t="str">
        <f t="shared" si="274"/>
        <v>大成温調（株）</v>
      </c>
      <c r="E2186" s="405" t="str">
        <f t="shared" si="275"/>
        <v/>
      </c>
      <c r="F2186" s="405" t="str">
        <f t="shared" si="276"/>
        <v>高野　浩一</v>
      </c>
      <c r="G2186" s="405" t="str">
        <f t="shared" si="277"/>
        <v>九州支店</v>
      </c>
      <c r="H2186" s="405" t="str">
        <f t="shared" si="278"/>
        <v>福岡市博多区博多駅東３－１３－２８</v>
      </c>
      <c r="L2186" s="403" t="s">
        <v>12319</v>
      </c>
      <c r="M2186" s="403" t="s">
        <v>12320</v>
      </c>
      <c r="N2186" s="403" t="s">
        <v>5843</v>
      </c>
      <c r="O2186" s="403" t="s">
        <v>7094</v>
      </c>
      <c r="P2186" s="403" t="s">
        <v>6522</v>
      </c>
      <c r="Q2186" s="403" t="s">
        <v>12321</v>
      </c>
      <c r="R2186" s="403" t="s">
        <v>21307</v>
      </c>
      <c r="S2186" s="403" t="s">
        <v>21308</v>
      </c>
      <c r="T2186" s="403" t="s">
        <v>21309</v>
      </c>
      <c r="U2186" s="403"/>
      <c r="V2186" s="403" t="s">
        <v>7007</v>
      </c>
      <c r="W2186" s="403" t="s">
        <v>17675</v>
      </c>
      <c r="X2186" s="403" t="s">
        <v>13524</v>
      </c>
      <c r="Y2186" s="403" t="s">
        <v>21310</v>
      </c>
    </row>
    <row r="2187" spans="1:25">
      <c r="A2187" s="363">
        <f t="shared" si="279"/>
        <v>2186</v>
      </c>
      <c r="B2187" s="363" t="str">
        <f t="shared" si="272"/>
        <v>00</v>
      </c>
      <c r="C2187" s="405" t="str">
        <f t="shared" si="273"/>
        <v>第002840号</v>
      </c>
      <c r="D2187" s="405" t="str">
        <f t="shared" si="274"/>
        <v>極東興和（株）</v>
      </c>
      <c r="E2187" s="405" t="str">
        <f t="shared" si="275"/>
        <v/>
      </c>
      <c r="F2187" s="405" t="str">
        <f t="shared" si="276"/>
        <v>大迫　修</v>
      </c>
      <c r="G2187" s="405" t="str">
        <f t="shared" si="277"/>
        <v>大分営業所</v>
      </c>
      <c r="H2187" s="405" t="str">
        <f t="shared" si="278"/>
        <v>大分市大字上戸次字長川原３６０６－１</v>
      </c>
      <c r="L2187" s="404" t="s">
        <v>12322</v>
      </c>
      <c r="M2187" s="404" t="s">
        <v>12323</v>
      </c>
      <c r="N2187" s="404" t="s">
        <v>5844</v>
      </c>
      <c r="O2187" s="404" t="s">
        <v>7083</v>
      </c>
      <c r="P2187" s="404" t="s">
        <v>6523</v>
      </c>
      <c r="Q2187" s="404" t="s">
        <v>12324</v>
      </c>
      <c r="R2187" s="404" t="s">
        <v>21311</v>
      </c>
      <c r="S2187" s="404" t="s">
        <v>21312</v>
      </c>
      <c r="T2187" s="404" t="s">
        <v>21313</v>
      </c>
      <c r="U2187" s="404"/>
      <c r="V2187" s="404" t="s">
        <v>7013</v>
      </c>
      <c r="W2187" s="404" t="s">
        <v>17676</v>
      </c>
      <c r="X2187" s="404" t="s">
        <v>7422</v>
      </c>
      <c r="Y2187" s="404" t="s">
        <v>21314</v>
      </c>
    </row>
    <row r="2188" spans="1:25">
      <c r="A2188" s="363">
        <f t="shared" si="279"/>
        <v>2187</v>
      </c>
      <c r="B2188" s="363" t="str">
        <f t="shared" si="272"/>
        <v>00</v>
      </c>
      <c r="C2188" s="405" t="str">
        <f t="shared" si="273"/>
        <v>第002842号</v>
      </c>
      <c r="D2188" s="405" t="str">
        <f t="shared" si="274"/>
        <v>（株）京三製作所</v>
      </c>
      <c r="E2188" s="405" t="str">
        <f t="shared" si="275"/>
        <v/>
      </c>
      <c r="F2188" s="405" t="str">
        <f t="shared" si="276"/>
        <v>濱崎　顕三</v>
      </c>
      <c r="G2188" s="405" t="str">
        <f t="shared" si="277"/>
        <v>九州支店</v>
      </c>
      <c r="H2188" s="405" t="str">
        <f t="shared" si="278"/>
        <v>福岡市博多区博多駅南１－３－１　日本生命博多南ビル８階</v>
      </c>
      <c r="L2188" s="402" t="s">
        <v>12325</v>
      </c>
      <c r="M2188" s="402" t="s">
        <v>12326</v>
      </c>
      <c r="N2188" s="402" t="s">
        <v>5845</v>
      </c>
      <c r="O2188" s="402" t="s">
        <v>7084</v>
      </c>
      <c r="P2188" s="402" t="s">
        <v>6524</v>
      </c>
      <c r="Q2188" s="402" t="s">
        <v>12327</v>
      </c>
      <c r="R2188" s="402" t="s">
        <v>21315</v>
      </c>
      <c r="S2188" s="402" t="s">
        <v>21316</v>
      </c>
      <c r="T2188" s="402" t="s">
        <v>21317</v>
      </c>
      <c r="U2188" s="402"/>
      <c r="V2188" s="402" t="s">
        <v>7007</v>
      </c>
      <c r="W2188" s="402" t="s">
        <v>21318</v>
      </c>
      <c r="X2188" s="402" t="s">
        <v>11975</v>
      </c>
      <c r="Y2188" s="402" t="s">
        <v>21319</v>
      </c>
    </row>
    <row r="2189" spans="1:25">
      <c r="A2189" s="363">
        <f t="shared" si="279"/>
        <v>2188</v>
      </c>
      <c r="B2189" s="363" t="str">
        <f t="shared" si="272"/>
        <v>00</v>
      </c>
      <c r="C2189" s="405" t="str">
        <f t="shared" si="273"/>
        <v>第002843号</v>
      </c>
      <c r="D2189" s="405" t="str">
        <f t="shared" si="274"/>
        <v>青木あすなろ建設（株）</v>
      </c>
      <c r="E2189" s="405" t="str">
        <f t="shared" si="275"/>
        <v/>
      </c>
      <c r="F2189" s="405" t="str">
        <f t="shared" si="276"/>
        <v>大石　雅俊</v>
      </c>
      <c r="G2189" s="405" t="str">
        <f t="shared" si="277"/>
        <v>九州支店</v>
      </c>
      <c r="H2189" s="405" t="str">
        <f t="shared" si="278"/>
        <v>福岡市博多区博多駅前１－１９－３</v>
      </c>
      <c r="L2189" s="403" t="s">
        <v>12328</v>
      </c>
      <c r="M2189" s="403" t="s">
        <v>12329</v>
      </c>
      <c r="N2189" s="403" t="s">
        <v>5846</v>
      </c>
      <c r="O2189" s="403" t="s">
        <v>7083</v>
      </c>
      <c r="P2189" s="403" t="s">
        <v>21320</v>
      </c>
      <c r="Q2189" s="403" t="s">
        <v>12330</v>
      </c>
      <c r="R2189" s="403" t="s">
        <v>21321</v>
      </c>
      <c r="S2189" s="403" t="s">
        <v>21322</v>
      </c>
      <c r="T2189" s="403" t="s">
        <v>21323</v>
      </c>
      <c r="U2189" s="403"/>
      <c r="V2189" s="403" t="s">
        <v>7007</v>
      </c>
      <c r="W2189" s="403" t="s">
        <v>17677</v>
      </c>
      <c r="X2189" s="403" t="s">
        <v>13015</v>
      </c>
      <c r="Y2189" s="403" t="s">
        <v>21324</v>
      </c>
    </row>
    <row r="2190" spans="1:25">
      <c r="A2190" s="363">
        <f t="shared" si="279"/>
        <v>2189</v>
      </c>
      <c r="B2190" s="363" t="str">
        <f t="shared" si="272"/>
        <v>00</v>
      </c>
      <c r="C2190" s="405" t="str">
        <f t="shared" si="273"/>
        <v>第002864号</v>
      </c>
      <c r="D2190" s="405" t="str">
        <f t="shared" si="274"/>
        <v>サノヤス・エンテック（株）</v>
      </c>
      <c r="E2190" s="405" t="str">
        <f t="shared" si="275"/>
        <v/>
      </c>
      <c r="F2190" s="405" t="str">
        <f t="shared" si="276"/>
        <v>徳永　末徳</v>
      </c>
      <c r="G2190" s="405" t="str">
        <f t="shared" si="277"/>
        <v>福岡支店</v>
      </c>
      <c r="H2190" s="405" t="str">
        <f t="shared" si="278"/>
        <v>福岡市博多区東光２－２２－３５</v>
      </c>
      <c r="L2190" s="403" t="s">
        <v>12331</v>
      </c>
      <c r="M2190" s="403" t="s">
        <v>12332</v>
      </c>
      <c r="N2190" s="403" t="s">
        <v>5847</v>
      </c>
      <c r="O2190" s="403" t="s">
        <v>7083</v>
      </c>
      <c r="P2190" s="403" t="s">
        <v>6525</v>
      </c>
      <c r="Q2190" s="403" t="s">
        <v>12333</v>
      </c>
      <c r="R2190" s="403" t="s">
        <v>21325</v>
      </c>
      <c r="S2190" s="403" t="s">
        <v>21326</v>
      </c>
      <c r="T2190" s="403" t="s">
        <v>21327</v>
      </c>
      <c r="U2190" s="403"/>
      <c r="V2190" s="403" t="s">
        <v>7018</v>
      </c>
      <c r="W2190" s="403" t="s">
        <v>17678</v>
      </c>
      <c r="X2190" s="403" t="s">
        <v>13124</v>
      </c>
      <c r="Y2190" s="403" t="s">
        <v>21328</v>
      </c>
    </row>
    <row r="2191" spans="1:25">
      <c r="A2191" s="363">
        <f t="shared" si="279"/>
        <v>2190</v>
      </c>
      <c r="B2191" s="363" t="str">
        <f t="shared" si="272"/>
        <v>00</v>
      </c>
      <c r="C2191" s="405" t="str">
        <f t="shared" si="273"/>
        <v>第002915号</v>
      </c>
      <c r="D2191" s="405" t="str">
        <f t="shared" si="274"/>
        <v>川田工業（株）</v>
      </c>
      <c r="E2191" s="405" t="str">
        <f t="shared" si="275"/>
        <v/>
      </c>
      <c r="F2191" s="405" t="str">
        <f t="shared" si="276"/>
        <v>林　克宣</v>
      </c>
      <c r="G2191" s="405" t="str">
        <f t="shared" si="277"/>
        <v>九州営業所</v>
      </c>
      <c r="H2191" s="405" t="str">
        <f t="shared" si="278"/>
        <v>福岡市博多区博多駅東２－７－２７</v>
      </c>
      <c r="L2191" s="403" t="s">
        <v>12334</v>
      </c>
      <c r="M2191" s="403" t="s">
        <v>12335</v>
      </c>
      <c r="N2191" s="403" t="s">
        <v>5848</v>
      </c>
      <c r="O2191" s="403" t="s">
        <v>7083</v>
      </c>
      <c r="P2191" s="403" t="s">
        <v>6526</v>
      </c>
      <c r="Q2191" s="403" t="s">
        <v>12336</v>
      </c>
      <c r="R2191" s="403" t="s">
        <v>21329</v>
      </c>
      <c r="S2191" s="403" t="s">
        <v>21330</v>
      </c>
      <c r="T2191" s="403" t="s">
        <v>21331</v>
      </c>
      <c r="U2191" s="403"/>
      <c r="V2191" s="403" t="s">
        <v>7012</v>
      </c>
      <c r="W2191" s="403" t="s">
        <v>21332</v>
      </c>
      <c r="X2191" s="403" t="s">
        <v>13524</v>
      </c>
      <c r="Y2191" s="403" t="s">
        <v>21333</v>
      </c>
    </row>
    <row r="2192" spans="1:25">
      <c r="A2192" s="363">
        <f t="shared" si="279"/>
        <v>2191</v>
      </c>
      <c r="B2192" s="363" t="str">
        <f t="shared" si="272"/>
        <v>00</v>
      </c>
      <c r="C2192" s="405" t="str">
        <f t="shared" si="273"/>
        <v>第002942号</v>
      </c>
      <c r="D2192" s="405" t="str">
        <f t="shared" si="274"/>
        <v>ニッタン（株）</v>
      </c>
      <c r="E2192" s="405" t="str">
        <f t="shared" si="275"/>
        <v/>
      </c>
      <c r="F2192" s="405" t="str">
        <f t="shared" si="276"/>
        <v>山口　耕二</v>
      </c>
      <c r="G2192" s="405" t="str">
        <f t="shared" si="277"/>
        <v>九州支社</v>
      </c>
      <c r="H2192" s="405" t="str">
        <f t="shared" si="278"/>
        <v>福岡市中央区六本松３－１１－２９</v>
      </c>
      <c r="L2192" s="403" t="s">
        <v>12337</v>
      </c>
      <c r="M2192" s="403" t="s">
        <v>12338</v>
      </c>
      <c r="N2192" s="403" t="s">
        <v>5849</v>
      </c>
      <c r="O2192" s="403" t="s">
        <v>7083</v>
      </c>
      <c r="P2192" s="403" t="s">
        <v>6527</v>
      </c>
      <c r="Q2192" s="403" t="s">
        <v>12339</v>
      </c>
      <c r="R2192" s="403" t="s">
        <v>21334</v>
      </c>
      <c r="S2192" s="403" t="s">
        <v>21335</v>
      </c>
      <c r="T2192" s="403" t="s">
        <v>21336</v>
      </c>
      <c r="U2192" s="403"/>
      <c r="V2192" s="403" t="s">
        <v>7011</v>
      </c>
      <c r="W2192" s="403" t="s">
        <v>17679</v>
      </c>
      <c r="X2192" s="403" t="s">
        <v>17680</v>
      </c>
      <c r="Y2192" s="403" t="s">
        <v>21337</v>
      </c>
    </row>
    <row r="2193" spans="1:25">
      <c r="A2193" s="363">
        <f t="shared" si="279"/>
        <v>2192</v>
      </c>
      <c r="B2193" s="363" t="str">
        <f t="shared" si="272"/>
        <v>00</v>
      </c>
      <c r="C2193" s="405" t="str">
        <f t="shared" si="273"/>
        <v>第002949号</v>
      </c>
      <c r="D2193" s="405" t="str">
        <f t="shared" si="274"/>
        <v>（株）新井組</v>
      </c>
      <c r="E2193" s="405" t="str">
        <f t="shared" si="275"/>
        <v/>
      </c>
      <c r="F2193" s="405" t="str">
        <f t="shared" si="276"/>
        <v>下入佐　茂樹</v>
      </c>
      <c r="G2193" s="405" t="str">
        <f t="shared" si="277"/>
        <v>九州支店</v>
      </c>
      <c r="H2193" s="405" t="str">
        <f t="shared" si="278"/>
        <v>福岡市博多区博多駅前３－１９－５</v>
      </c>
      <c r="L2193" s="403" t="s">
        <v>12340</v>
      </c>
      <c r="M2193" s="403" t="s">
        <v>12341</v>
      </c>
      <c r="N2193" s="403" t="s">
        <v>5850</v>
      </c>
      <c r="O2193" s="403" t="s">
        <v>7084</v>
      </c>
      <c r="P2193" s="403" t="s">
        <v>6528</v>
      </c>
      <c r="Q2193" s="403" t="s">
        <v>12342</v>
      </c>
      <c r="R2193" s="403" t="s">
        <v>21338</v>
      </c>
      <c r="S2193" s="403" t="s">
        <v>21339</v>
      </c>
      <c r="T2193" s="403" t="s">
        <v>21340</v>
      </c>
      <c r="U2193" s="403"/>
      <c r="V2193" s="403" t="s">
        <v>7007</v>
      </c>
      <c r="W2193" s="403" t="s">
        <v>21341</v>
      </c>
      <c r="X2193" s="403" t="s">
        <v>13015</v>
      </c>
      <c r="Y2193" s="403" t="s">
        <v>21342</v>
      </c>
    </row>
    <row r="2194" spans="1:25">
      <c r="A2194" s="363">
        <f t="shared" si="279"/>
        <v>2193</v>
      </c>
      <c r="B2194" s="363" t="str">
        <f t="shared" si="272"/>
        <v>00</v>
      </c>
      <c r="C2194" s="405" t="str">
        <f t="shared" si="273"/>
        <v>第002979号</v>
      </c>
      <c r="D2194" s="405" t="str">
        <f t="shared" si="274"/>
        <v>（株）日さく</v>
      </c>
      <c r="E2194" s="405" t="str">
        <f t="shared" si="275"/>
        <v/>
      </c>
      <c r="F2194" s="405" t="str">
        <f t="shared" si="276"/>
        <v>永安　裕次郎</v>
      </c>
      <c r="G2194" s="405" t="str">
        <f t="shared" si="277"/>
        <v>九州営業所</v>
      </c>
      <c r="H2194" s="405" t="str">
        <f t="shared" si="278"/>
        <v>福岡市博多区那珂３－２１－２９</v>
      </c>
      <c r="L2194" s="403" t="s">
        <v>12343</v>
      </c>
      <c r="M2194" s="403" t="s">
        <v>12344</v>
      </c>
      <c r="N2194" s="403" t="s">
        <v>5851</v>
      </c>
      <c r="O2194" s="403" t="s">
        <v>7083</v>
      </c>
      <c r="P2194" s="403" t="s">
        <v>6529</v>
      </c>
      <c r="Q2194" s="403" t="s">
        <v>12345</v>
      </c>
      <c r="R2194" s="403" t="s">
        <v>21343</v>
      </c>
      <c r="S2194" s="403" t="s">
        <v>21344</v>
      </c>
      <c r="T2194" s="403" t="s">
        <v>21345</v>
      </c>
      <c r="U2194" s="403"/>
      <c r="V2194" s="403" t="s">
        <v>7012</v>
      </c>
      <c r="W2194" s="403" t="s">
        <v>17681</v>
      </c>
      <c r="X2194" s="403" t="s">
        <v>17682</v>
      </c>
      <c r="Y2194" s="403" t="s">
        <v>21346</v>
      </c>
    </row>
    <row r="2195" spans="1:25">
      <c r="A2195" s="363">
        <f t="shared" si="279"/>
        <v>2194</v>
      </c>
      <c r="B2195" s="363" t="str">
        <f t="shared" si="272"/>
        <v>00</v>
      </c>
      <c r="C2195" s="405" t="str">
        <f t="shared" si="273"/>
        <v>第002990号</v>
      </c>
      <c r="D2195" s="405" t="str">
        <f t="shared" si="274"/>
        <v>（株）楢崎製作所</v>
      </c>
      <c r="E2195" s="405" t="str">
        <f t="shared" si="275"/>
        <v>代表取締役</v>
      </c>
      <c r="F2195" s="405" t="str">
        <f t="shared" si="276"/>
        <v>梶　宏人</v>
      </c>
      <c r="G2195" s="405" t="str">
        <f t="shared" si="277"/>
        <v>主たる営業所</v>
      </c>
      <c r="H2195" s="405" t="str">
        <f t="shared" si="278"/>
        <v>室蘭市崎守町３８５</v>
      </c>
      <c r="L2195" s="403" t="s">
        <v>12346</v>
      </c>
      <c r="M2195" s="403" t="s">
        <v>12347</v>
      </c>
      <c r="N2195" s="403" t="s">
        <v>5852</v>
      </c>
      <c r="O2195" s="403" t="s">
        <v>7084</v>
      </c>
      <c r="P2195" s="403" t="s">
        <v>6530</v>
      </c>
      <c r="Q2195" s="403" t="s">
        <v>12348</v>
      </c>
      <c r="R2195" s="403" t="s">
        <v>21347</v>
      </c>
      <c r="S2195" s="403" t="s">
        <v>17683</v>
      </c>
      <c r="T2195" s="403" t="s">
        <v>17684</v>
      </c>
      <c r="U2195" s="403"/>
      <c r="V2195" s="403" t="s">
        <v>23024</v>
      </c>
      <c r="W2195" s="403" t="s">
        <v>23024</v>
      </c>
      <c r="X2195" s="403" t="s">
        <v>23024</v>
      </c>
      <c r="Y2195" s="403" t="s">
        <v>23024</v>
      </c>
    </row>
    <row r="2196" spans="1:25">
      <c r="A2196" s="363">
        <f t="shared" si="279"/>
        <v>2195</v>
      </c>
      <c r="B2196" s="363" t="str">
        <f t="shared" si="272"/>
        <v>00</v>
      </c>
      <c r="C2196" s="405" t="str">
        <f t="shared" si="273"/>
        <v>第002992号</v>
      </c>
      <c r="D2196" s="405" t="str">
        <f t="shared" si="274"/>
        <v>松尾建設（株）</v>
      </c>
      <c r="E2196" s="405" t="str">
        <f t="shared" si="275"/>
        <v/>
      </c>
      <c r="F2196" s="405" t="str">
        <f t="shared" si="276"/>
        <v>前田　勝三</v>
      </c>
      <c r="G2196" s="405" t="str">
        <f t="shared" si="277"/>
        <v>大分支店</v>
      </c>
      <c r="H2196" s="405" t="str">
        <f t="shared" si="278"/>
        <v>大分市新貝３－２０</v>
      </c>
      <c r="L2196" s="403" t="s">
        <v>12349</v>
      </c>
      <c r="M2196" s="403" t="s">
        <v>8349</v>
      </c>
      <c r="N2196" s="403" t="s">
        <v>5853</v>
      </c>
      <c r="O2196" s="403" t="s">
        <v>7083</v>
      </c>
      <c r="P2196" s="403" t="s">
        <v>6531</v>
      </c>
      <c r="Q2196" s="403" t="s">
        <v>12350</v>
      </c>
      <c r="R2196" s="403" t="s">
        <v>21348</v>
      </c>
      <c r="S2196" s="403" t="s">
        <v>21349</v>
      </c>
      <c r="T2196" s="403" t="s">
        <v>21350</v>
      </c>
      <c r="U2196" s="403"/>
      <c r="V2196" s="403" t="s">
        <v>7009</v>
      </c>
      <c r="W2196" s="403" t="s">
        <v>17685</v>
      </c>
      <c r="X2196" s="403" t="s">
        <v>7325</v>
      </c>
      <c r="Y2196" s="403" t="s">
        <v>21351</v>
      </c>
    </row>
    <row r="2197" spans="1:25">
      <c r="A2197" s="363">
        <f t="shared" si="279"/>
        <v>2196</v>
      </c>
      <c r="B2197" s="363" t="str">
        <f t="shared" si="272"/>
        <v>00</v>
      </c>
      <c r="C2197" s="405" t="str">
        <f t="shared" si="273"/>
        <v>第002995号</v>
      </c>
      <c r="D2197" s="405" t="str">
        <f t="shared" si="274"/>
        <v>日本電設工業（株）</v>
      </c>
      <c r="E2197" s="405" t="str">
        <f t="shared" si="275"/>
        <v/>
      </c>
      <c r="F2197" s="405" t="str">
        <f t="shared" si="276"/>
        <v>横部　義人</v>
      </c>
      <c r="G2197" s="405" t="str">
        <f t="shared" si="277"/>
        <v>中九州営業所</v>
      </c>
      <c r="H2197" s="405" t="str">
        <f t="shared" si="278"/>
        <v>熊本市中央区細工町４－１２－１２</v>
      </c>
      <c r="L2197" s="403" t="s">
        <v>12351</v>
      </c>
      <c r="M2197" s="403" t="s">
        <v>12352</v>
      </c>
      <c r="N2197" s="403" t="s">
        <v>5854</v>
      </c>
      <c r="O2197" s="403" t="s">
        <v>7083</v>
      </c>
      <c r="P2197" s="403" t="s">
        <v>6532</v>
      </c>
      <c r="Q2197" s="403" t="s">
        <v>12353</v>
      </c>
      <c r="R2197" s="403" t="s">
        <v>21352</v>
      </c>
      <c r="S2197" s="403" t="s">
        <v>21353</v>
      </c>
      <c r="T2197" s="403" t="s">
        <v>21354</v>
      </c>
      <c r="U2197" s="403"/>
      <c r="V2197" s="403" t="s">
        <v>7026</v>
      </c>
      <c r="W2197" s="403" t="s">
        <v>17686</v>
      </c>
      <c r="X2197" s="403" t="s">
        <v>17687</v>
      </c>
      <c r="Y2197" s="403" t="s">
        <v>21355</v>
      </c>
    </row>
    <row r="2198" spans="1:25">
      <c r="A2198" s="363">
        <f t="shared" si="279"/>
        <v>2197</v>
      </c>
      <c r="B2198" s="363" t="str">
        <f t="shared" si="272"/>
        <v>00</v>
      </c>
      <c r="C2198" s="405" t="str">
        <f t="shared" si="273"/>
        <v>第003000号</v>
      </c>
      <c r="D2198" s="405" t="str">
        <f t="shared" si="274"/>
        <v>（株）大林組</v>
      </c>
      <c r="E2198" s="405" t="str">
        <f t="shared" si="275"/>
        <v/>
      </c>
      <c r="F2198" s="405" t="str">
        <f t="shared" si="276"/>
        <v>上田　哲夫</v>
      </c>
      <c r="G2198" s="405" t="str">
        <f t="shared" si="277"/>
        <v>九州支店</v>
      </c>
      <c r="H2198" s="405" t="str">
        <f t="shared" si="278"/>
        <v>福岡市中央区天神１－１４－１８</v>
      </c>
      <c r="L2198" s="403" t="s">
        <v>12354</v>
      </c>
      <c r="M2198" s="403" t="s">
        <v>12355</v>
      </c>
      <c r="N2198" s="403" t="s">
        <v>5855</v>
      </c>
      <c r="O2198" s="403" t="s">
        <v>7089</v>
      </c>
      <c r="P2198" s="403" t="s">
        <v>21356</v>
      </c>
      <c r="Q2198" s="403" t="s">
        <v>12356</v>
      </c>
      <c r="R2198" s="403" t="s">
        <v>21357</v>
      </c>
      <c r="S2198" s="403" t="s">
        <v>21358</v>
      </c>
      <c r="T2198" s="403" t="s">
        <v>21359</v>
      </c>
      <c r="U2198" s="403"/>
      <c r="V2198" s="403" t="s">
        <v>7007</v>
      </c>
      <c r="W2198" s="403" t="s">
        <v>17688</v>
      </c>
      <c r="X2198" s="403" t="s">
        <v>17517</v>
      </c>
      <c r="Y2198" s="403" t="s">
        <v>21360</v>
      </c>
    </row>
    <row r="2199" spans="1:25">
      <c r="A2199" s="363">
        <f t="shared" si="279"/>
        <v>2198</v>
      </c>
      <c r="B2199" s="363" t="str">
        <f t="shared" si="272"/>
        <v>00</v>
      </c>
      <c r="C2199" s="405" t="str">
        <f t="shared" si="273"/>
        <v>第003001号</v>
      </c>
      <c r="D2199" s="405" t="str">
        <f t="shared" si="274"/>
        <v>矢作建設工業（株）</v>
      </c>
      <c r="E2199" s="405" t="str">
        <f t="shared" si="275"/>
        <v>代表取締役</v>
      </c>
      <c r="F2199" s="405" t="str">
        <f t="shared" si="276"/>
        <v>高柳　充広</v>
      </c>
      <c r="G2199" s="405" t="str">
        <f t="shared" si="277"/>
        <v>主たる営業所</v>
      </c>
      <c r="H2199" s="405" t="str">
        <f t="shared" si="278"/>
        <v>名古屋市東区葵３－１９－７</v>
      </c>
      <c r="L2199" s="403" t="s">
        <v>12357</v>
      </c>
      <c r="M2199" s="403" t="s">
        <v>12358</v>
      </c>
      <c r="N2199" s="403" t="s">
        <v>5856</v>
      </c>
      <c r="O2199" s="403" t="s">
        <v>7084</v>
      </c>
      <c r="P2199" s="403" t="s">
        <v>6533</v>
      </c>
      <c r="Q2199" s="403" t="s">
        <v>12359</v>
      </c>
      <c r="R2199" s="403" t="s">
        <v>21361</v>
      </c>
      <c r="S2199" s="403" t="s">
        <v>17689</v>
      </c>
      <c r="T2199" s="403" t="s">
        <v>17690</v>
      </c>
      <c r="U2199" s="403"/>
      <c r="V2199" s="403" t="s">
        <v>23024</v>
      </c>
      <c r="W2199" s="403" t="s">
        <v>23024</v>
      </c>
      <c r="X2199" s="403" t="s">
        <v>23024</v>
      </c>
      <c r="Y2199" s="403" t="s">
        <v>23024</v>
      </c>
    </row>
    <row r="2200" spans="1:25">
      <c r="A2200" s="363">
        <f t="shared" si="279"/>
        <v>2199</v>
      </c>
      <c r="B2200" s="363" t="str">
        <f t="shared" si="272"/>
        <v>00</v>
      </c>
      <c r="C2200" s="405" t="str">
        <f t="shared" si="273"/>
        <v>第003026号</v>
      </c>
      <c r="D2200" s="405" t="str">
        <f t="shared" si="274"/>
        <v>阿比野建設（株）</v>
      </c>
      <c r="E2200" s="405" t="str">
        <f t="shared" si="275"/>
        <v/>
      </c>
      <c r="F2200" s="405" t="str">
        <f t="shared" si="276"/>
        <v>児玉　親生</v>
      </c>
      <c r="G2200" s="405" t="str">
        <f t="shared" si="277"/>
        <v>大分事業所</v>
      </c>
      <c r="H2200" s="405" t="str">
        <f t="shared" si="278"/>
        <v>大分市萩原４－７－３</v>
      </c>
      <c r="L2200" s="403" t="s">
        <v>12360</v>
      </c>
      <c r="M2200" s="403" t="s">
        <v>12361</v>
      </c>
      <c r="N2200" s="403" t="s">
        <v>5857</v>
      </c>
      <c r="O2200" s="403" t="s">
        <v>7084</v>
      </c>
      <c r="P2200" s="403" t="s">
        <v>6534</v>
      </c>
      <c r="Q2200" s="403" t="s">
        <v>12310</v>
      </c>
      <c r="R2200" s="403" t="s">
        <v>21362</v>
      </c>
      <c r="S2200" s="403" t="s">
        <v>21363</v>
      </c>
      <c r="T2200" s="403" t="s">
        <v>21364</v>
      </c>
      <c r="U2200" s="403"/>
      <c r="V2200" s="403" t="s">
        <v>7017</v>
      </c>
      <c r="W2200" s="403" t="s">
        <v>21365</v>
      </c>
      <c r="X2200" s="403" t="s">
        <v>7394</v>
      </c>
      <c r="Y2200" s="403" t="s">
        <v>21366</v>
      </c>
    </row>
    <row r="2201" spans="1:25">
      <c r="A2201" s="363">
        <f t="shared" si="279"/>
        <v>2200</v>
      </c>
      <c r="B2201" s="363" t="str">
        <f t="shared" si="272"/>
        <v>00</v>
      </c>
      <c r="C2201" s="405" t="str">
        <f t="shared" si="273"/>
        <v>第003057号</v>
      </c>
      <c r="D2201" s="405" t="str">
        <f t="shared" si="274"/>
        <v>（株）福田組</v>
      </c>
      <c r="E2201" s="405" t="str">
        <f t="shared" si="275"/>
        <v/>
      </c>
      <c r="F2201" s="405" t="str">
        <f t="shared" si="276"/>
        <v>古屋　真</v>
      </c>
      <c r="G2201" s="405" t="str">
        <f t="shared" si="277"/>
        <v>九州支店</v>
      </c>
      <c r="H2201" s="405" t="str">
        <f t="shared" si="278"/>
        <v>福岡市博多区博多駅南３－７－３５</v>
      </c>
      <c r="L2201" s="403" t="s">
        <v>12362</v>
      </c>
      <c r="M2201" s="403" t="s">
        <v>12363</v>
      </c>
      <c r="N2201" s="403" t="s">
        <v>5858</v>
      </c>
      <c r="O2201" s="403" t="s">
        <v>7083</v>
      </c>
      <c r="P2201" s="403" t="s">
        <v>6535</v>
      </c>
      <c r="Q2201" s="403" t="s">
        <v>12364</v>
      </c>
      <c r="R2201" s="403" t="s">
        <v>21367</v>
      </c>
      <c r="S2201" s="403" t="s">
        <v>21368</v>
      </c>
      <c r="T2201" s="403" t="s">
        <v>21369</v>
      </c>
      <c r="U2201" s="403"/>
      <c r="V2201" s="403" t="s">
        <v>7007</v>
      </c>
      <c r="W2201" s="403" t="s">
        <v>17691</v>
      </c>
      <c r="X2201" s="403" t="s">
        <v>11975</v>
      </c>
      <c r="Y2201" s="403" t="s">
        <v>21370</v>
      </c>
    </row>
    <row r="2202" spans="1:25">
      <c r="A2202" s="363">
        <f t="shared" si="279"/>
        <v>2201</v>
      </c>
      <c r="B2202" s="363" t="str">
        <f t="shared" si="272"/>
        <v>00</v>
      </c>
      <c r="C2202" s="405" t="str">
        <f t="shared" si="273"/>
        <v>第003101号</v>
      </c>
      <c r="D2202" s="405" t="str">
        <f t="shared" si="274"/>
        <v>（株）テクノ菱和</v>
      </c>
      <c r="E2202" s="405" t="str">
        <f t="shared" si="275"/>
        <v/>
      </c>
      <c r="F2202" s="405" t="str">
        <f t="shared" si="276"/>
        <v>大塚　弘之</v>
      </c>
      <c r="G2202" s="405" t="str">
        <f t="shared" si="277"/>
        <v>九州支店</v>
      </c>
      <c r="H2202" s="405" t="str">
        <f t="shared" si="278"/>
        <v>福岡市中央区舞鶴２－１－１０</v>
      </c>
      <c r="L2202" s="403" t="s">
        <v>12365</v>
      </c>
      <c r="M2202" s="403" t="s">
        <v>12366</v>
      </c>
      <c r="N2202" s="403" t="s">
        <v>5859</v>
      </c>
      <c r="O2202" s="403" t="s">
        <v>7084</v>
      </c>
      <c r="P2202" s="403" t="s">
        <v>6536</v>
      </c>
      <c r="Q2202" s="403" t="s">
        <v>12367</v>
      </c>
      <c r="R2202" s="403" t="s">
        <v>21371</v>
      </c>
      <c r="S2202" s="403" t="s">
        <v>21372</v>
      </c>
      <c r="T2202" s="403" t="s">
        <v>21373</v>
      </c>
      <c r="U2202" s="403"/>
      <c r="V2202" s="403" t="s">
        <v>7007</v>
      </c>
      <c r="W2202" s="403" t="s">
        <v>21374</v>
      </c>
      <c r="X2202" s="403" t="s">
        <v>13037</v>
      </c>
      <c r="Y2202" s="403" t="s">
        <v>21375</v>
      </c>
    </row>
    <row r="2203" spans="1:25">
      <c r="A2203" s="363">
        <f t="shared" si="279"/>
        <v>2202</v>
      </c>
      <c r="B2203" s="363" t="str">
        <f t="shared" si="272"/>
        <v>00</v>
      </c>
      <c r="C2203" s="405" t="str">
        <f t="shared" si="273"/>
        <v>第003132号</v>
      </c>
      <c r="D2203" s="405" t="str">
        <f t="shared" si="274"/>
        <v>愛知時計電機（株）</v>
      </c>
      <c r="E2203" s="405" t="str">
        <f t="shared" si="275"/>
        <v/>
      </c>
      <c r="F2203" s="405" t="str">
        <f t="shared" si="276"/>
        <v>紀平　敏行</v>
      </c>
      <c r="G2203" s="405" t="str">
        <f t="shared" si="277"/>
        <v>福岡支店</v>
      </c>
      <c r="H2203" s="405" t="str">
        <f t="shared" si="278"/>
        <v>福岡市南区高宮５－３－１２　ニシコーリビング高宮５階</v>
      </c>
      <c r="L2203" s="403" t="s">
        <v>12368</v>
      </c>
      <c r="M2203" s="403" t="s">
        <v>12369</v>
      </c>
      <c r="N2203" s="403" t="s">
        <v>5860</v>
      </c>
      <c r="O2203" s="403" t="s">
        <v>7096</v>
      </c>
      <c r="P2203" s="403" t="s">
        <v>6537</v>
      </c>
      <c r="Q2203" s="403" t="s">
        <v>12109</v>
      </c>
      <c r="R2203" s="403" t="s">
        <v>21376</v>
      </c>
      <c r="S2203" s="403" t="s">
        <v>21377</v>
      </c>
      <c r="T2203" s="403" t="s">
        <v>21378</v>
      </c>
      <c r="U2203" s="403"/>
      <c r="V2203" s="403" t="s">
        <v>7018</v>
      </c>
      <c r="W2203" s="403" t="s">
        <v>17692</v>
      </c>
      <c r="X2203" s="403" t="s">
        <v>17693</v>
      </c>
      <c r="Y2203" s="403" t="s">
        <v>21379</v>
      </c>
    </row>
    <row r="2204" spans="1:25">
      <c r="A2204" s="363">
        <f t="shared" si="279"/>
        <v>2203</v>
      </c>
      <c r="B2204" s="363" t="str">
        <f t="shared" si="272"/>
        <v>00</v>
      </c>
      <c r="C2204" s="405" t="str">
        <f t="shared" si="273"/>
        <v>第003134号</v>
      </c>
      <c r="D2204" s="405" t="str">
        <f t="shared" si="274"/>
        <v>日本空調サービス（株）</v>
      </c>
      <c r="E2204" s="405" t="str">
        <f t="shared" si="275"/>
        <v/>
      </c>
      <c r="F2204" s="405" t="str">
        <f t="shared" si="276"/>
        <v>田村　充</v>
      </c>
      <c r="G2204" s="405" t="str">
        <f t="shared" si="277"/>
        <v>九州支店</v>
      </c>
      <c r="H2204" s="405" t="str">
        <f t="shared" si="278"/>
        <v>福岡市博多区堅粕３－１６－４１</v>
      </c>
      <c r="L2204" s="403" t="s">
        <v>12370</v>
      </c>
      <c r="M2204" s="403" t="s">
        <v>12371</v>
      </c>
      <c r="N2204" s="403" t="s">
        <v>5861</v>
      </c>
      <c r="O2204" s="403" t="s">
        <v>7084</v>
      </c>
      <c r="P2204" s="403" t="s">
        <v>6538</v>
      </c>
      <c r="Q2204" s="403" t="s">
        <v>12372</v>
      </c>
      <c r="R2204" s="403" t="s">
        <v>21380</v>
      </c>
      <c r="S2204" s="403" t="s">
        <v>21381</v>
      </c>
      <c r="T2204" s="403" t="s">
        <v>21382</v>
      </c>
      <c r="U2204" s="403"/>
      <c r="V2204" s="403" t="s">
        <v>7007</v>
      </c>
      <c r="W2204" s="403" t="s">
        <v>17694</v>
      </c>
      <c r="X2204" s="403" t="s">
        <v>13148</v>
      </c>
      <c r="Y2204" s="403" t="s">
        <v>21383</v>
      </c>
    </row>
    <row r="2205" spans="1:25">
      <c r="A2205" s="363">
        <f t="shared" si="279"/>
        <v>2204</v>
      </c>
      <c r="B2205" s="363" t="str">
        <f t="shared" si="272"/>
        <v>00</v>
      </c>
      <c r="C2205" s="405" t="str">
        <f t="shared" si="273"/>
        <v>第003150号</v>
      </c>
      <c r="D2205" s="405" t="str">
        <f t="shared" si="274"/>
        <v>東亜グラウト工業（株）</v>
      </c>
      <c r="E2205" s="405" t="str">
        <f t="shared" si="275"/>
        <v/>
      </c>
      <c r="F2205" s="405" t="str">
        <f t="shared" si="276"/>
        <v>西原　正剛</v>
      </c>
      <c r="G2205" s="405" t="str">
        <f t="shared" si="277"/>
        <v>九州支店</v>
      </c>
      <c r="H2205" s="405" t="str">
        <f t="shared" si="278"/>
        <v>福岡市博多区山王１－１－２９</v>
      </c>
      <c r="L2205" s="403" t="s">
        <v>12373</v>
      </c>
      <c r="M2205" s="403" t="s">
        <v>12374</v>
      </c>
      <c r="N2205" s="403" t="s">
        <v>5862</v>
      </c>
      <c r="O2205" s="403" t="s">
        <v>7084</v>
      </c>
      <c r="P2205" s="403" t="s">
        <v>6539</v>
      </c>
      <c r="Q2205" s="403" t="s">
        <v>12375</v>
      </c>
      <c r="R2205" s="403" t="s">
        <v>21384</v>
      </c>
      <c r="S2205" s="403" t="s">
        <v>21385</v>
      </c>
      <c r="T2205" s="403" t="s">
        <v>21386</v>
      </c>
      <c r="U2205" s="403"/>
      <c r="V2205" s="403" t="s">
        <v>7007</v>
      </c>
      <c r="W2205" s="403" t="s">
        <v>17695</v>
      </c>
      <c r="X2205" s="403" t="s">
        <v>12846</v>
      </c>
      <c r="Y2205" s="403" t="s">
        <v>21387</v>
      </c>
    </row>
    <row r="2206" spans="1:25">
      <c r="A2206" s="363">
        <f t="shared" si="279"/>
        <v>2205</v>
      </c>
      <c r="B2206" s="363" t="str">
        <f t="shared" si="272"/>
        <v>00</v>
      </c>
      <c r="C2206" s="405" t="str">
        <f t="shared" si="273"/>
        <v>第003152号</v>
      </c>
      <c r="D2206" s="405" t="str">
        <f t="shared" si="274"/>
        <v>日本ドライケミカル（株）</v>
      </c>
      <c r="E2206" s="405" t="str">
        <f t="shared" si="275"/>
        <v>代表取締役</v>
      </c>
      <c r="F2206" s="405" t="str">
        <f t="shared" si="276"/>
        <v>亀井　正文</v>
      </c>
      <c r="G2206" s="405" t="str">
        <f t="shared" si="277"/>
        <v>主たる営業所</v>
      </c>
      <c r="H2206" s="405" t="str">
        <f t="shared" si="278"/>
        <v>北区田端６－１－１</v>
      </c>
      <c r="L2206" s="403" t="s">
        <v>12376</v>
      </c>
      <c r="M2206" s="403" t="s">
        <v>12377</v>
      </c>
      <c r="N2206" s="403" t="s">
        <v>5863</v>
      </c>
      <c r="O2206" s="403" t="s">
        <v>7084</v>
      </c>
      <c r="P2206" s="403" t="s">
        <v>6540</v>
      </c>
      <c r="Q2206" s="403" t="s">
        <v>12378</v>
      </c>
      <c r="R2206" s="403" t="s">
        <v>21388</v>
      </c>
      <c r="S2206" s="403" t="s">
        <v>17696</v>
      </c>
      <c r="T2206" s="403" t="s">
        <v>17697</v>
      </c>
      <c r="U2206" s="403"/>
      <c r="V2206" s="403" t="s">
        <v>23024</v>
      </c>
      <c r="W2206" s="403" t="s">
        <v>23024</v>
      </c>
      <c r="X2206" s="403" t="s">
        <v>23024</v>
      </c>
      <c r="Y2206" s="403" t="s">
        <v>23024</v>
      </c>
    </row>
    <row r="2207" spans="1:25">
      <c r="A2207" s="363">
        <f t="shared" si="279"/>
        <v>2206</v>
      </c>
      <c r="B2207" s="363" t="str">
        <f t="shared" si="272"/>
        <v>00</v>
      </c>
      <c r="C2207" s="405" t="str">
        <f t="shared" si="273"/>
        <v>第003180号</v>
      </c>
      <c r="D2207" s="405" t="str">
        <f t="shared" si="274"/>
        <v>三菱電機（株）</v>
      </c>
      <c r="E2207" s="405" t="str">
        <f t="shared" si="275"/>
        <v/>
      </c>
      <c r="F2207" s="405" t="str">
        <f t="shared" si="276"/>
        <v>後藤　公久</v>
      </c>
      <c r="G2207" s="405" t="str">
        <f t="shared" si="277"/>
        <v>九州支社</v>
      </c>
      <c r="H2207" s="405" t="str">
        <f t="shared" si="278"/>
        <v>福岡市中央区天神２－１２－１（天神ビル）</v>
      </c>
      <c r="L2207" s="403" t="s">
        <v>12379</v>
      </c>
      <c r="M2207" s="403" t="s">
        <v>12380</v>
      </c>
      <c r="N2207" s="403" t="s">
        <v>5864</v>
      </c>
      <c r="O2207" s="403" t="s">
        <v>7097</v>
      </c>
      <c r="P2207" s="403" t="s">
        <v>6541</v>
      </c>
      <c r="Q2207" s="403" t="s">
        <v>12381</v>
      </c>
      <c r="R2207" s="403" t="s">
        <v>21389</v>
      </c>
      <c r="S2207" s="403" t="s">
        <v>21390</v>
      </c>
      <c r="T2207" s="403" t="s">
        <v>21391</v>
      </c>
      <c r="U2207" s="403"/>
      <c r="V2207" s="403" t="s">
        <v>7011</v>
      </c>
      <c r="W2207" s="403" t="s">
        <v>21392</v>
      </c>
      <c r="X2207" s="403" t="s">
        <v>17698</v>
      </c>
      <c r="Y2207" s="403" t="s">
        <v>21393</v>
      </c>
    </row>
    <row r="2208" spans="1:25">
      <c r="A2208" s="363">
        <f t="shared" si="279"/>
        <v>2207</v>
      </c>
      <c r="B2208" s="363" t="str">
        <f t="shared" si="272"/>
        <v>00</v>
      </c>
      <c r="C2208" s="405" t="str">
        <f t="shared" si="273"/>
        <v>第003186号</v>
      </c>
      <c r="D2208" s="405" t="str">
        <f t="shared" si="274"/>
        <v>新生テクノス（株）</v>
      </c>
      <c r="E2208" s="405" t="str">
        <f t="shared" si="275"/>
        <v/>
      </c>
      <c r="F2208" s="405" t="str">
        <f t="shared" si="276"/>
        <v>中谷　圭児</v>
      </c>
      <c r="G2208" s="405" t="str">
        <f t="shared" si="277"/>
        <v>九州支店</v>
      </c>
      <c r="H2208" s="405" t="str">
        <f t="shared" si="278"/>
        <v>福岡市博多区博多駅東２－９－１</v>
      </c>
      <c r="L2208" s="403" t="s">
        <v>12382</v>
      </c>
      <c r="M2208" s="403" t="s">
        <v>12383</v>
      </c>
      <c r="N2208" s="403" t="s">
        <v>5865</v>
      </c>
      <c r="O2208" s="403" t="s">
        <v>7084</v>
      </c>
      <c r="P2208" s="403" t="s">
        <v>6542</v>
      </c>
      <c r="Q2208" s="403" t="s">
        <v>12330</v>
      </c>
      <c r="R2208" s="403" t="s">
        <v>21394</v>
      </c>
      <c r="S2208" s="403" t="s">
        <v>21395</v>
      </c>
      <c r="T2208" s="403" t="s">
        <v>21396</v>
      </c>
      <c r="U2208" s="403"/>
      <c r="V2208" s="403" t="s">
        <v>7007</v>
      </c>
      <c r="W2208" s="403" t="s">
        <v>17699</v>
      </c>
      <c r="X2208" s="403" t="s">
        <v>13524</v>
      </c>
      <c r="Y2208" s="403" t="s">
        <v>21397</v>
      </c>
    </row>
    <row r="2209" spans="1:25">
      <c r="A2209" s="363">
        <f t="shared" si="279"/>
        <v>2208</v>
      </c>
      <c r="B2209" s="363" t="str">
        <f t="shared" si="272"/>
        <v>00</v>
      </c>
      <c r="C2209" s="405" t="str">
        <f t="shared" si="273"/>
        <v>第003200号</v>
      </c>
      <c r="D2209" s="405" t="str">
        <f t="shared" si="274"/>
        <v>清水建設（株）</v>
      </c>
      <c r="E2209" s="405" t="str">
        <f t="shared" si="275"/>
        <v/>
      </c>
      <c r="F2209" s="405" t="str">
        <f t="shared" si="276"/>
        <v>湯原　克佳</v>
      </c>
      <c r="G2209" s="405" t="str">
        <f t="shared" si="277"/>
        <v>九州支店</v>
      </c>
      <c r="H2209" s="405" t="str">
        <f t="shared" si="278"/>
        <v>福岡市中央区渡辺通３－６－１１</v>
      </c>
      <c r="L2209" s="403" t="s">
        <v>12384</v>
      </c>
      <c r="M2209" s="403" t="s">
        <v>12385</v>
      </c>
      <c r="N2209" s="403" t="s">
        <v>5866</v>
      </c>
      <c r="O2209" s="403" t="s">
        <v>7089</v>
      </c>
      <c r="P2209" s="403" t="s">
        <v>21398</v>
      </c>
      <c r="Q2209" s="403" t="s">
        <v>12386</v>
      </c>
      <c r="R2209" s="403" t="s">
        <v>21399</v>
      </c>
      <c r="S2209" s="403" t="s">
        <v>21400</v>
      </c>
      <c r="T2209" s="403" t="s">
        <v>21401</v>
      </c>
      <c r="U2209" s="403"/>
      <c r="V2209" s="403" t="s">
        <v>7007</v>
      </c>
      <c r="W2209" s="403" t="s">
        <v>17700</v>
      </c>
      <c r="X2209" s="403" t="s">
        <v>17701</v>
      </c>
      <c r="Y2209" s="403" t="s">
        <v>21402</v>
      </c>
    </row>
    <row r="2210" spans="1:25">
      <c r="A2210" s="363">
        <f t="shared" si="279"/>
        <v>2209</v>
      </c>
      <c r="B2210" s="363" t="str">
        <f t="shared" si="272"/>
        <v>00</v>
      </c>
      <c r="C2210" s="405" t="str">
        <f t="shared" si="273"/>
        <v>第003214号</v>
      </c>
      <c r="D2210" s="405" t="str">
        <f t="shared" si="274"/>
        <v>栗原工業（株）</v>
      </c>
      <c r="E2210" s="405" t="str">
        <f t="shared" si="275"/>
        <v/>
      </c>
      <c r="F2210" s="405" t="str">
        <f t="shared" si="276"/>
        <v>吉田　一広</v>
      </c>
      <c r="G2210" s="405" t="str">
        <f t="shared" si="277"/>
        <v>九州支店</v>
      </c>
      <c r="H2210" s="405" t="str">
        <f t="shared" si="278"/>
        <v>福岡市博多区下呉服町２－２９</v>
      </c>
      <c r="L2210" s="403" t="s">
        <v>12387</v>
      </c>
      <c r="M2210" s="403" t="s">
        <v>12388</v>
      </c>
      <c r="N2210" s="403" t="s">
        <v>5867</v>
      </c>
      <c r="O2210" s="403" t="s">
        <v>7083</v>
      </c>
      <c r="P2210" s="403" t="s">
        <v>21403</v>
      </c>
      <c r="Q2210" s="403" t="s">
        <v>12389</v>
      </c>
      <c r="R2210" s="403" t="s">
        <v>21404</v>
      </c>
      <c r="S2210" s="403" t="s">
        <v>21405</v>
      </c>
      <c r="T2210" s="403" t="s">
        <v>21406</v>
      </c>
      <c r="U2210" s="403"/>
      <c r="V2210" s="403" t="s">
        <v>7007</v>
      </c>
      <c r="W2210" s="403" t="s">
        <v>17702</v>
      </c>
      <c r="X2210" s="403" t="s">
        <v>17703</v>
      </c>
      <c r="Y2210" s="403" t="s">
        <v>21407</v>
      </c>
    </row>
    <row r="2211" spans="1:25">
      <c r="A2211" s="363">
        <f t="shared" si="279"/>
        <v>2210</v>
      </c>
      <c r="B2211" s="363" t="str">
        <f t="shared" si="272"/>
        <v>00</v>
      </c>
      <c r="C2211" s="405" t="str">
        <f t="shared" si="273"/>
        <v>第003218号</v>
      </c>
      <c r="D2211" s="405" t="str">
        <f t="shared" si="274"/>
        <v>フジタ道路（株）</v>
      </c>
      <c r="E2211" s="405" t="str">
        <f t="shared" si="275"/>
        <v/>
      </c>
      <c r="F2211" s="405" t="str">
        <f t="shared" si="276"/>
        <v>田中　宏治</v>
      </c>
      <c r="G2211" s="405" t="str">
        <f t="shared" si="277"/>
        <v>九州支店</v>
      </c>
      <c r="H2211" s="405" t="str">
        <f t="shared" si="278"/>
        <v>福岡市博多区店屋町１－３１</v>
      </c>
      <c r="L2211" s="403" t="s">
        <v>12390</v>
      </c>
      <c r="M2211" s="403" t="s">
        <v>12391</v>
      </c>
      <c r="N2211" s="403" t="s">
        <v>5868</v>
      </c>
      <c r="O2211" s="403" t="s">
        <v>7083</v>
      </c>
      <c r="P2211" s="403" t="s">
        <v>6543</v>
      </c>
      <c r="Q2211" s="403" t="s">
        <v>12392</v>
      </c>
      <c r="R2211" s="403" t="s">
        <v>21408</v>
      </c>
      <c r="S2211" s="403" t="s">
        <v>21409</v>
      </c>
      <c r="T2211" s="403" t="s">
        <v>21410</v>
      </c>
      <c r="U2211" s="403"/>
      <c r="V2211" s="403" t="s">
        <v>7007</v>
      </c>
      <c r="W2211" s="403" t="s">
        <v>17704</v>
      </c>
      <c r="X2211" s="403" t="s">
        <v>17522</v>
      </c>
      <c r="Y2211" s="403" t="s">
        <v>21411</v>
      </c>
    </row>
    <row r="2212" spans="1:25">
      <c r="A2212" s="363">
        <f t="shared" si="279"/>
        <v>2211</v>
      </c>
      <c r="B2212" s="363" t="str">
        <f t="shared" si="272"/>
        <v>00</v>
      </c>
      <c r="C2212" s="405" t="str">
        <f t="shared" si="273"/>
        <v>第003222号</v>
      </c>
      <c r="D2212" s="405" t="str">
        <f t="shared" si="274"/>
        <v>シンフォニアテクノロジー（株）</v>
      </c>
      <c r="E2212" s="405" t="str">
        <f t="shared" si="275"/>
        <v/>
      </c>
      <c r="F2212" s="405" t="str">
        <f t="shared" si="276"/>
        <v>石黒　友二</v>
      </c>
      <c r="G2212" s="405" t="str">
        <f t="shared" si="277"/>
        <v>九州支店</v>
      </c>
      <c r="H2212" s="405" t="str">
        <f t="shared" si="278"/>
        <v>福岡市博多区博多駅前２－１－１</v>
      </c>
      <c r="L2212" s="403" t="s">
        <v>12393</v>
      </c>
      <c r="M2212" s="403" t="s">
        <v>12394</v>
      </c>
      <c r="N2212" s="403" t="s">
        <v>5869</v>
      </c>
      <c r="O2212" s="403" t="s">
        <v>7084</v>
      </c>
      <c r="P2212" s="403" t="s">
        <v>6544</v>
      </c>
      <c r="Q2212" s="403" t="s">
        <v>12395</v>
      </c>
      <c r="R2212" s="403" t="s">
        <v>21412</v>
      </c>
      <c r="S2212" s="403" t="s">
        <v>21413</v>
      </c>
      <c r="T2212" s="403" t="s">
        <v>21414</v>
      </c>
      <c r="U2212" s="403"/>
      <c r="V2212" s="403" t="s">
        <v>7007</v>
      </c>
      <c r="W2212" s="403" t="s">
        <v>21415</v>
      </c>
      <c r="X2212" s="403" t="s">
        <v>13015</v>
      </c>
      <c r="Y2212" s="403" t="s">
        <v>21416</v>
      </c>
    </row>
    <row r="2213" spans="1:25">
      <c r="A2213" s="363">
        <f t="shared" si="279"/>
        <v>2212</v>
      </c>
      <c r="B2213" s="363" t="str">
        <f t="shared" si="272"/>
        <v>00</v>
      </c>
      <c r="C2213" s="405" t="str">
        <f t="shared" si="273"/>
        <v>第003226号</v>
      </c>
      <c r="D2213" s="405" t="str">
        <f t="shared" si="274"/>
        <v>東亜道路工業（株）</v>
      </c>
      <c r="E2213" s="405" t="str">
        <f t="shared" si="275"/>
        <v/>
      </c>
      <c r="F2213" s="405" t="str">
        <f t="shared" si="276"/>
        <v>永井　健護</v>
      </c>
      <c r="G2213" s="405" t="str">
        <f t="shared" si="277"/>
        <v>大分営業所</v>
      </c>
      <c r="H2213" s="405" t="str">
        <f t="shared" si="278"/>
        <v>豊後大野市犬飼町田原１２４４－１</v>
      </c>
      <c r="L2213" s="403" t="s">
        <v>12396</v>
      </c>
      <c r="M2213" s="403" t="s">
        <v>12397</v>
      </c>
      <c r="N2213" s="403" t="s">
        <v>5870</v>
      </c>
      <c r="O2213" s="403" t="s">
        <v>7084</v>
      </c>
      <c r="P2213" s="403" t="s">
        <v>6545</v>
      </c>
      <c r="Q2213" s="403" t="s">
        <v>12398</v>
      </c>
      <c r="R2213" s="403" t="s">
        <v>21417</v>
      </c>
      <c r="S2213" s="403" t="s">
        <v>21418</v>
      </c>
      <c r="T2213" s="403" t="s">
        <v>21419</v>
      </c>
      <c r="U2213" s="403"/>
      <c r="V2213" s="403" t="s">
        <v>7013</v>
      </c>
      <c r="W2213" s="403" t="s">
        <v>17705</v>
      </c>
      <c r="X2213" s="403" t="s">
        <v>7915</v>
      </c>
      <c r="Y2213" s="403" t="s">
        <v>21420</v>
      </c>
    </row>
    <row r="2214" spans="1:25">
      <c r="A2214" s="363">
        <f t="shared" si="279"/>
        <v>2213</v>
      </c>
      <c r="B2214" s="363" t="str">
        <f t="shared" si="272"/>
        <v>00</v>
      </c>
      <c r="C2214" s="405" t="str">
        <f t="shared" si="273"/>
        <v>第003250号</v>
      </c>
      <c r="D2214" s="405" t="str">
        <f t="shared" si="274"/>
        <v>（株）錢高組</v>
      </c>
      <c r="E2214" s="405" t="str">
        <f t="shared" si="275"/>
        <v/>
      </c>
      <c r="F2214" s="405" t="str">
        <f t="shared" si="276"/>
        <v>清水　隆司</v>
      </c>
      <c r="G2214" s="405" t="str">
        <f t="shared" si="277"/>
        <v>九州支店</v>
      </c>
      <c r="H2214" s="405" t="str">
        <f t="shared" si="278"/>
        <v>福岡市博多区祇園町２－１</v>
      </c>
      <c r="L2214" s="403" t="s">
        <v>12399</v>
      </c>
      <c r="M2214" s="403" t="s">
        <v>12400</v>
      </c>
      <c r="N2214" s="403" t="s">
        <v>5871</v>
      </c>
      <c r="O2214" s="403" t="s">
        <v>7089</v>
      </c>
      <c r="P2214" s="403" t="s">
        <v>6546</v>
      </c>
      <c r="Q2214" s="403" t="s">
        <v>12401</v>
      </c>
      <c r="R2214" s="403" t="s">
        <v>21421</v>
      </c>
      <c r="S2214" s="403" t="s">
        <v>21422</v>
      </c>
      <c r="T2214" s="403" t="s">
        <v>21423</v>
      </c>
      <c r="U2214" s="403"/>
      <c r="V2214" s="403" t="s">
        <v>7007</v>
      </c>
      <c r="W2214" s="403" t="s">
        <v>17706</v>
      </c>
      <c r="X2214" s="403" t="s">
        <v>17514</v>
      </c>
      <c r="Y2214" s="403" t="s">
        <v>21424</v>
      </c>
    </row>
    <row r="2215" spans="1:25">
      <c r="A2215" s="363">
        <f t="shared" si="279"/>
        <v>2214</v>
      </c>
      <c r="B2215" s="363" t="str">
        <f t="shared" si="272"/>
        <v>00</v>
      </c>
      <c r="C2215" s="405" t="str">
        <f t="shared" si="273"/>
        <v>第003269号</v>
      </c>
      <c r="D2215" s="405" t="str">
        <f t="shared" si="274"/>
        <v>壽化工機（株）</v>
      </c>
      <c r="E2215" s="405" t="str">
        <f t="shared" si="275"/>
        <v>代表取締役</v>
      </c>
      <c r="F2215" s="405" t="str">
        <f t="shared" si="276"/>
        <v>佐藤　淳平</v>
      </c>
      <c r="G2215" s="405" t="str">
        <f t="shared" si="277"/>
        <v>主たる営業所</v>
      </c>
      <c r="H2215" s="405" t="str">
        <f t="shared" si="278"/>
        <v>名古屋市瑞穂区豊岡通１－１４</v>
      </c>
      <c r="L2215" s="403" t="s">
        <v>12402</v>
      </c>
      <c r="M2215" s="403" t="s">
        <v>12403</v>
      </c>
      <c r="N2215" s="403" t="s">
        <v>5872</v>
      </c>
      <c r="O2215" s="403" t="s">
        <v>7084</v>
      </c>
      <c r="P2215" s="403" t="s">
        <v>6547</v>
      </c>
      <c r="Q2215" s="403" t="s">
        <v>12404</v>
      </c>
      <c r="R2215" s="403" t="s">
        <v>21425</v>
      </c>
      <c r="S2215" s="403" t="s">
        <v>17707</v>
      </c>
      <c r="T2215" s="403" t="s">
        <v>17708</v>
      </c>
      <c r="U2215" s="403"/>
      <c r="V2215" s="403" t="s">
        <v>23024</v>
      </c>
      <c r="W2215" s="403" t="s">
        <v>23024</v>
      </c>
      <c r="X2215" s="403" t="s">
        <v>23024</v>
      </c>
      <c r="Y2215" s="403" t="s">
        <v>23024</v>
      </c>
    </row>
    <row r="2216" spans="1:25">
      <c r="A2216" s="363">
        <f t="shared" si="279"/>
        <v>2215</v>
      </c>
      <c r="B2216" s="363" t="str">
        <f t="shared" si="272"/>
        <v>00</v>
      </c>
      <c r="C2216" s="405" t="str">
        <f t="shared" si="273"/>
        <v>第003304号</v>
      </c>
      <c r="D2216" s="405" t="str">
        <f t="shared" si="274"/>
        <v>西田鉄工（株）</v>
      </c>
      <c r="E2216" s="405" t="str">
        <f t="shared" si="275"/>
        <v>代表取締役</v>
      </c>
      <c r="F2216" s="405" t="str">
        <f t="shared" si="276"/>
        <v>米野　洋一</v>
      </c>
      <c r="G2216" s="405" t="str">
        <f t="shared" si="277"/>
        <v>主たる営業所</v>
      </c>
      <c r="H2216" s="405" t="str">
        <f t="shared" si="278"/>
        <v>宇土市松山町４５４１</v>
      </c>
      <c r="L2216" s="403" t="s">
        <v>12405</v>
      </c>
      <c r="M2216" s="403" t="s">
        <v>12406</v>
      </c>
      <c r="N2216" s="403" t="s">
        <v>5873</v>
      </c>
      <c r="O2216" s="403" t="s">
        <v>7084</v>
      </c>
      <c r="P2216" s="403" t="s">
        <v>21426</v>
      </c>
      <c r="Q2216" s="403" t="s">
        <v>12407</v>
      </c>
      <c r="R2216" s="403" t="s">
        <v>21427</v>
      </c>
      <c r="S2216" s="403" t="s">
        <v>17709</v>
      </c>
      <c r="T2216" s="403" t="s">
        <v>17710</v>
      </c>
      <c r="U2216" s="403"/>
      <c r="V2216" s="403" t="s">
        <v>23024</v>
      </c>
      <c r="W2216" s="403" t="s">
        <v>23024</v>
      </c>
      <c r="X2216" s="403" t="s">
        <v>23024</v>
      </c>
      <c r="Y2216" s="403" t="s">
        <v>23024</v>
      </c>
    </row>
    <row r="2217" spans="1:25">
      <c r="A2217" s="363">
        <f t="shared" si="279"/>
        <v>2216</v>
      </c>
      <c r="B2217" s="363" t="str">
        <f t="shared" si="272"/>
        <v>00</v>
      </c>
      <c r="C2217" s="405" t="str">
        <f t="shared" si="273"/>
        <v>第003354号</v>
      </c>
      <c r="D2217" s="405" t="str">
        <f t="shared" si="274"/>
        <v>松井建設（株）</v>
      </c>
      <c r="E2217" s="405" t="str">
        <f t="shared" si="275"/>
        <v/>
      </c>
      <c r="F2217" s="405" t="str">
        <f t="shared" si="276"/>
        <v>北原　勝彦</v>
      </c>
      <c r="G2217" s="405" t="str">
        <f t="shared" si="277"/>
        <v>九州支店</v>
      </c>
      <c r="H2217" s="405" t="str">
        <f t="shared" si="278"/>
        <v>福岡市博多区博多駅前３－１９－５</v>
      </c>
      <c r="L2217" s="403" t="s">
        <v>12408</v>
      </c>
      <c r="M2217" s="403" t="s">
        <v>12409</v>
      </c>
      <c r="N2217" s="403" t="s">
        <v>5874</v>
      </c>
      <c r="O2217" s="403" t="s">
        <v>7084</v>
      </c>
      <c r="P2217" s="403" t="s">
        <v>6548</v>
      </c>
      <c r="Q2217" s="403" t="s">
        <v>12410</v>
      </c>
      <c r="R2217" s="403" t="s">
        <v>21428</v>
      </c>
      <c r="S2217" s="403" t="s">
        <v>21429</v>
      </c>
      <c r="T2217" s="403" t="s">
        <v>21430</v>
      </c>
      <c r="U2217" s="403"/>
      <c r="V2217" s="403" t="s">
        <v>7007</v>
      </c>
      <c r="W2217" s="403" t="s">
        <v>17711</v>
      </c>
      <c r="X2217" s="403" t="s">
        <v>13015</v>
      </c>
      <c r="Y2217" s="403" t="s">
        <v>21342</v>
      </c>
    </row>
    <row r="2218" spans="1:25">
      <c r="A2218" s="363">
        <f t="shared" si="279"/>
        <v>2217</v>
      </c>
      <c r="B2218" s="363" t="str">
        <f t="shared" si="272"/>
        <v>00</v>
      </c>
      <c r="C2218" s="405" t="str">
        <f t="shared" si="273"/>
        <v>第003357号</v>
      </c>
      <c r="D2218" s="405" t="str">
        <f t="shared" si="274"/>
        <v>東芝エレベータ（株）</v>
      </c>
      <c r="E2218" s="405" t="str">
        <f t="shared" si="275"/>
        <v/>
      </c>
      <c r="F2218" s="405" t="str">
        <f t="shared" si="276"/>
        <v>河口　健士</v>
      </c>
      <c r="G2218" s="405" t="str">
        <f t="shared" si="277"/>
        <v>九州支社</v>
      </c>
      <c r="H2218" s="405" t="str">
        <f t="shared" si="278"/>
        <v>福岡市中央区長浜２－４－１</v>
      </c>
      <c r="L2218" s="403" t="s">
        <v>12411</v>
      </c>
      <c r="M2218" s="403" t="s">
        <v>12412</v>
      </c>
      <c r="N2218" s="403" t="s">
        <v>5875</v>
      </c>
      <c r="O2218" s="403" t="s">
        <v>7084</v>
      </c>
      <c r="P2218" s="403" t="s">
        <v>6549</v>
      </c>
      <c r="Q2218" s="403" t="s">
        <v>12413</v>
      </c>
      <c r="R2218" s="403" t="s">
        <v>21431</v>
      </c>
      <c r="S2218" s="403" t="s">
        <v>21432</v>
      </c>
      <c r="T2218" s="403" t="s">
        <v>21433</v>
      </c>
      <c r="U2218" s="403"/>
      <c r="V2218" s="403" t="s">
        <v>7011</v>
      </c>
      <c r="W2218" s="403" t="s">
        <v>17712</v>
      </c>
      <c r="X2218" s="403" t="s">
        <v>13253</v>
      </c>
      <c r="Y2218" s="403" t="s">
        <v>21434</v>
      </c>
    </row>
    <row r="2219" spans="1:25">
      <c r="A2219" s="363">
        <f t="shared" si="279"/>
        <v>2218</v>
      </c>
      <c r="B2219" s="363" t="str">
        <f t="shared" si="272"/>
        <v>00</v>
      </c>
      <c r="C2219" s="405" t="str">
        <f t="shared" si="273"/>
        <v>第003392号</v>
      </c>
      <c r="D2219" s="405" t="str">
        <f t="shared" si="274"/>
        <v>おべ工業（株）</v>
      </c>
      <c r="E2219" s="405" t="str">
        <f t="shared" si="275"/>
        <v>代表取締役</v>
      </c>
      <c r="F2219" s="405" t="str">
        <f t="shared" si="276"/>
        <v>尾部　光太郎</v>
      </c>
      <c r="G2219" s="405" t="str">
        <f t="shared" si="277"/>
        <v>主たる営業所</v>
      </c>
      <c r="H2219" s="405" t="str">
        <f t="shared" si="278"/>
        <v>新居浜市菊本町２－１４－１</v>
      </c>
      <c r="L2219" s="403" t="s">
        <v>12414</v>
      </c>
      <c r="M2219" s="403" t="s">
        <v>12415</v>
      </c>
      <c r="N2219" s="403" t="s">
        <v>5876</v>
      </c>
      <c r="O2219" s="403" t="s">
        <v>7084</v>
      </c>
      <c r="P2219" s="403" t="s">
        <v>6550</v>
      </c>
      <c r="Q2219" s="403" t="s">
        <v>12416</v>
      </c>
      <c r="R2219" s="403" t="s">
        <v>21435</v>
      </c>
      <c r="S2219" s="403" t="s">
        <v>17713</v>
      </c>
      <c r="T2219" s="403" t="s">
        <v>17714</v>
      </c>
      <c r="U2219" s="403"/>
      <c r="V2219" s="403" t="s">
        <v>23024</v>
      </c>
      <c r="W2219" s="403" t="s">
        <v>23024</v>
      </c>
      <c r="X2219" s="403" t="s">
        <v>23024</v>
      </c>
      <c r="Y2219" s="403" t="s">
        <v>23024</v>
      </c>
    </row>
    <row r="2220" spans="1:25">
      <c r="A2220" s="363">
        <f t="shared" si="279"/>
        <v>2219</v>
      </c>
      <c r="B2220" s="363" t="str">
        <f t="shared" si="272"/>
        <v>00</v>
      </c>
      <c r="C2220" s="405" t="str">
        <f t="shared" si="273"/>
        <v>第003395号</v>
      </c>
      <c r="D2220" s="405" t="str">
        <f t="shared" si="274"/>
        <v>カナデビア（株）</v>
      </c>
      <c r="E2220" s="405" t="str">
        <f t="shared" si="275"/>
        <v/>
      </c>
      <c r="F2220" s="405" t="str">
        <f t="shared" si="276"/>
        <v>戸田　憲治</v>
      </c>
      <c r="G2220" s="405" t="str">
        <f t="shared" si="277"/>
        <v>九州支社</v>
      </c>
      <c r="H2220" s="405" t="str">
        <f t="shared" si="278"/>
        <v>福岡市博多区博多駅中央街７－２１</v>
      </c>
      <c r="L2220" s="403" t="s">
        <v>12417</v>
      </c>
      <c r="M2220" s="403" t="s">
        <v>12418</v>
      </c>
      <c r="N2220" s="403" t="s">
        <v>5877</v>
      </c>
      <c r="O2220" s="403" t="s">
        <v>7089</v>
      </c>
      <c r="P2220" s="403" t="s">
        <v>6551</v>
      </c>
      <c r="Q2220" s="403" t="s">
        <v>12419</v>
      </c>
      <c r="R2220" s="403" t="s">
        <v>21436</v>
      </c>
      <c r="S2220" s="403" t="s">
        <v>21437</v>
      </c>
      <c r="T2220" s="403" t="s">
        <v>21438</v>
      </c>
      <c r="U2220" s="403"/>
      <c r="V2220" s="403" t="s">
        <v>7011</v>
      </c>
      <c r="W2220" s="403" t="s">
        <v>21439</v>
      </c>
      <c r="X2220" s="403" t="s">
        <v>17715</v>
      </c>
      <c r="Y2220" s="403" t="s">
        <v>21440</v>
      </c>
    </row>
    <row r="2221" spans="1:25">
      <c r="A2221" s="363">
        <f t="shared" si="279"/>
        <v>2220</v>
      </c>
      <c r="B2221" s="363" t="str">
        <f t="shared" si="272"/>
        <v>00</v>
      </c>
      <c r="C2221" s="405" t="str">
        <f t="shared" si="273"/>
        <v>第003407号</v>
      </c>
      <c r="D2221" s="405" t="str">
        <f t="shared" si="274"/>
        <v>富士電機Ｅ＆Ｃ（株）</v>
      </c>
      <c r="E2221" s="405" t="str">
        <f t="shared" si="275"/>
        <v/>
      </c>
      <c r="F2221" s="405" t="str">
        <f t="shared" si="276"/>
        <v>西田　聡</v>
      </c>
      <c r="G2221" s="405" t="str">
        <f t="shared" si="277"/>
        <v>九州支店</v>
      </c>
      <c r="H2221" s="405" t="str">
        <f t="shared" si="278"/>
        <v>福岡市博多区店屋町５－１８</v>
      </c>
      <c r="L2221" s="403" t="s">
        <v>12420</v>
      </c>
      <c r="M2221" s="403" t="s">
        <v>12421</v>
      </c>
      <c r="N2221" s="403" t="s">
        <v>5878</v>
      </c>
      <c r="O2221" s="403" t="s">
        <v>7083</v>
      </c>
      <c r="P2221" s="403" t="s">
        <v>6552</v>
      </c>
      <c r="Q2221" s="403" t="s">
        <v>12422</v>
      </c>
      <c r="R2221" s="403" t="s">
        <v>21441</v>
      </c>
      <c r="S2221" s="403" t="s">
        <v>21442</v>
      </c>
      <c r="T2221" s="403" t="s">
        <v>21443</v>
      </c>
      <c r="U2221" s="403"/>
      <c r="V2221" s="403" t="s">
        <v>7007</v>
      </c>
      <c r="W2221" s="403" t="s">
        <v>21444</v>
      </c>
      <c r="X2221" s="403" t="s">
        <v>17522</v>
      </c>
      <c r="Y2221" s="403" t="s">
        <v>20792</v>
      </c>
    </row>
    <row r="2222" spans="1:25">
      <c r="A2222" s="363">
        <f t="shared" si="279"/>
        <v>2221</v>
      </c>
      <c r="B2222" s="363" t="str">
        <f t="shared" si="272"/>
        <v>00</v>
      </c>
      <c r="C2222" s="405" t="str">
        <f t="shared" si="273"/>
        <v>第003441号</v>
      </c>
      <c r="D2222" s="405" t="str">
        <f t="shared" si="274"/>
        <v>（株）大氣社</v>
      </c>
      <c r="E2222" s="405" t="str">
        <f t="shared" si="275"/>
        <v/>
      </c>
      <c r="F2222" s="405" t="str">
        <f t="shared" si="276"/>
        <v>入交　護</v>
      </c>
      <c r="G2222" s="405" t="str">
        <f t="shared" si="277"/>
        <v>九州支店</v>
      </c>
      <c r="H2222" s="405" t="str">
        <f t="shared" si="278"/>
        <v>福岡市博多区博多駅南１－４－１８</v>
      </c>
      <c r="L2222" s="403" t="s">
        <v>12423</v>
      </c>
      <c r="M2222" s="403" t="s">
        <v>12424</v>
      </c>
      <c r="N2222" s="403" t="s">
        <v>5879</v>
      </c>
      <c r="O2222" s="403" t="s">
        <v>7084</v>
      </c>
      <c r="P2222" s="403" t="s">
        <v>6553</v>
      </c>
      <c r="Q2222" s="403" t="s">
        <v>12425</v>
      </c>
      <c r="R2222" s="403" t="s">
        <v>21445</v>
      </c>
      <c r="S2222" s="403" t="s">
        <v>21446</v>
      </c>
      <c r="T2222" s="403" t="s">
        <v>21447</v>
      </c>
      <c r="U2222" s="403"/>
      <c r="V2222" s="403" t="s">
        <v>7007</v>
      </c>
      <c r="W2222" s="403" t="s">
        <v>21448</v>
      </c>
      <c r="X2222" s="403" t="s">
        <v>11975</v>
      </c>
      <c r="Y2222" s="403" t="s">
        <v>21449</v>
      </c>
    </row>
    <row r="2223" spans="1:25">
      <c r="A2223" s="363">
        <f t="shared" si="279"/>
        <v>2222</v>
      </c>
      <c r="B2223" s="363" t="str">
        <f t="shared" si="272"/>
        <v>00</v>
      </c>
      <c r="C2223" s="405" t="str">
        <f t="shared" si="273"/>
        <v>第003444号</v>
      </c>
      <c r="D2223" s="405" t="str">
        <f t="shared" si="274"/>
        <v>瀧上工業（株）</v>
      </c>
      <c r="E2223" s="405" t="str">
        <f t="shared" si="275"/>
        <v/>
      </c>
      <c r="F2223" s="405" t="str">
        <f t="shared" si="276"/>
        <v>手塚　信一</v>
      </c>
      <c r="G2223" s="405" t="str">
        <f t="shared" si="277"/>
        <v>福岡営業所</v>
      </c>
      <c r="H2223" s="405" t="str">
        <f t="shared" si="278"/>
        <v>福岡市中央区天神３－１０－１</v>
      </c>
      <c r="L2223" s="403" t="s">
        <v>12426</v>
      </c>
      <c r="M2223" s="403" t="s">
        <v>12427</v>
      </c>
      <c r="N2223" s="403" t="s">
        <v>5880</v>
      </c>
      <c r="O2223" s="403" t="s">
        <v>7084</v>
      </c>
      <c r="P2223" s="403" t="s">
        <v>6554</v>
      </c>
      <c r="Q2223" s="403" t="s">
        <v>12428</v>
      </c>
      <c r="R2223" s="403" t="s">
        <v>21450</v>
      </c>
      <c r="S2223" s="403" t="s">
        <v>21451</v>
      </c>
      <c r="T2223" s="403" t="s">
        <v>21452</v>
      </c>
      <c r="U2223" s="403"/>
      <c r="V2223" s="403" t="s">
        <v>7010</v>
      </c>
      <c r="W2223" s="403" t="s">
        <v>17716</v>
      </c>
      <c r="X2223" s="403" t="s">
        <v>17517</v>
      </c>
      <c r="Y2223" s="403" t="s">
        <v>21453</v>
      </c>
    </row>
    <row r="2224" spans="1:25">
      <c r="A2224" s="363">
        <f t="shared" si="279"/>
        <v>2223</v>
      </c>
      <c r="B2224" s="363" t="str">
        <f t="shared" si="272"/>
        <v>00</v>
      </c>
      <c r="C2224" s="405" t="str">
        <f t="shared" si="273"/>
        <v>第003447号</v>
      </c>
      <c r="D2224" s="405" t="str">
        <f t="shared" si="274"/>
        <v>新菱冷熱工業（株）</v>
      </c>
      <c r="E2224" s="405" t="str">
        <f t="shared" si="275"/>
        <v/>
      </c>
      <c r="F2224" s="405" t="str">
        <f t="shared" si="276"/>
        <v>寺尾　俊哉</v>
      </c>
      <c r="G2224" s="405" t="str">
        <f t="shared" si="277"/>
        <v>西部支店</v>
      </c>
      <c r="H2224" s="405" t="str">
        <f t="shared" si="278"/>
        <v>福岡市博多区綱場町３－３</v>
      </c>
      <c r="L2224" s="403" t="s">
        <v>12429</v>
      </c>
      <c r="M2224" s="403" t="s">
        <v>12430</v>
      </c>
      <c r="N2224" s="403" t="s">
        <v>5881</v>
      </c>
      <c r="O2224" s="403" t="s">
        <v>7084</v>
      </c>
      <c r="P2224" s="403" t="s">
        <v>6555</v>
      </c>
      <c r="Q2224" s="403" t="s">
        <v>12431</v>
      </c>
      <c r="R2224" s="403" t="s">
        <v>21454</v>
      </c>
      <c r="S2224" s="403" t="s">
        <v>21455</v>
      </c>
      <c r="T2224" s="403" t="s">
        <v>21456</v>
      </c>
      <c r="U2224" s="403"/>
      <c r="V2224" s="403" t="s">
        <v>7008</v>
      </c>
      <c r="W2224" s="403" t="s">
        <v>17717</v>
      </c>
      <c r="X2224" s="403" t="s">
        <v>17529</v>
      </c>
      <c r="Y2224" s="403" t="s">
        <v>21457</v>
      </c>
    </row>
    <row r="2225" spans="1:25">
      <c r="A2225" s="363">
        <f t="shared" si="279"/>
        <v>2224</v>
      </c>
      <c r="B2225" s="363" t="str">
        <f t="shared" si="272"/>
        <v>00</v>
      </c>
      <c r="C2225" s="405" t="str">
        <f t="shared" si="273"/>
        <v>第003460号</v>
      </c>
      <c r="D2225" s="405" t="str">
        <f t="shared" si="274"/>
        <v>宇部工業（株）</v>
      </c>
      <c r="E2225" s="405" t="str">
        <f t="shared" si="275"/>
        <v/>
      </c>
      <c r="F2225" s="405" t="str">
        <f t="shared" si="276"/>
        <v>浜辺　安裕</v>
      </c>
      <c r="G2225" s="405" t="str">
        <f t="shared" si="277"/>
        <v>九州営業所</v>
      </c>
      <c r="H2225" s="405" t="str">
        <f t="shared" si="278"/>
        <v>北九州市八幡西区浅川日の峯２－１５－１０</v>
      </c>
      <c r="L2225" s="403" t="s">
        <v>12432</v>
      </c>
      <c r="M2225" s="403" t="s">
        <v>12433</v>
      </c>
      <c r="N2225" s="403" t="s">
        <v>5882</v>
      </c>
      <c r="O2225" s="403" t="s">
        <v>7083</v>
      </c>
      <c r="P2225" s="403" t="s">
        <v>6556</v>
      </c>
      <c r="Q2225" s="403" t="s">
        <v>12434</v>
      </c>
      <c r="R2225" s="403" t="s">
        <v>21458</v>
      </c>
      <c r="S2225" s="403" t="s">
        <v>21459</v>
      </c>
      <c r="T2225" s="403" t="s">
        <v>21460</v>
      </c>
      <c r="U2225" s="403"/>
      <c r="V2225" s="403" t="s">
        <v>7012</v>
      </c>
      <c r="W2225" s="403" t="s">
        <v>17718</v>
      </c>
      <c r="X2225" s="403" t="s">
        <v>17719</v>
      </c>
      <c r="Y2225" s="403" t="s">
        <v>21461</v>
      </c>
    </row>
    <row r="2226" spans="1:25">
      <c r="A2226" s="363">
        <f t="shared" si="279"/>
        <v>2225</v>
      </c>
      <c r="B2226" s="363" t="str">
        <f t="shared" si="272"/>
        <v>00</v>
      </c>
      <c r="C2226" s="405" t="str">
        <f t="shared" si="273"/>
        <v>第003464号</v>
      </c>
      <c r="D2226" s="405" t="str">
        <f t="shared" si="274"/>
        <v>三球電機（株）</v>
      </c>
      <c r="E2226" s="405" t="str">
        <f t="shared" si="275"/>
        <v/>
      </c>
      <c r="F2226" s="405" t="str">
        <f t="shared" si="276"/>
        <v>永山　志郎</v>
      </c>
      <c r="G2226" s="405" t="str">
        <f t="shared" si="277"/>
        <v>福岡支店</v>
      </c>
      <c r="H2226" s="405" t="str">
        <f t="shared" si="278"/>
        <v>福岡市博多区麦野６－２７－２５</v>
      </c>
      <c r="L2226" s="403" t="s">
        <v>12435</v>
      </c>
      <c r="M2226" s="403" t="s">
        <v>12436</v>
      </c>
      <c r="N2226" s="403" t="s">
        <v>5883</v>
      </c>
      <c r="O2226" s="403" t="s">
        <v>7083</v>
      </c>
      <c r="P2226" s="403" t="s">
        <v>6557</v>
      </c>
      <c r="Q2226" s="403" t="s">
        <v>12437</v>
      </c>
      <c r="R2226" s="403" t="s">
        <v>21462</v>
      </c>
      <c r="S2226" s="403" t="s">
        <v>21463</v>
      </c>
      <c r="T2226" s="403" t="s">
        <v>21464</v>
      </c>
      <c r="U2226" s="403"/>
      <c r="V2226" s="403" t="s">
        <v>7018</v>
      </c>
      <c r="W2226" s="403" t="s">
        <v>17720</v>
      </c>
      <c r="X2226" s="403" t="s">
        <v>13080</v>
      </c>
      <c r="Y2226" s="403" t="s">
        <v>21465</v>
      </c>
    </row>
    <row r="2227" spans="1:25">
      <c r="A2227" s="363">
        <f t="shared" si="279"/>
        <v>2226</v>
      </c>
      <c r="B2227" s="363" t="str">
        <f t="shared" si="272"/>
        <v>00</v>
      </c>
      <c r="C2227" s="405" t="str">
        <f t="shared" si="273"/>
        <v>第003476号</v>
      </c>
      <c r="D2227" s="405" t="str">
        <f t="shared" si="274"/>
        <v>宮地エンジニアリング（株）</v>
      </c>
      <c r="E2227" s="405" t="str">
        <f t="shared" si="275"/>
        <v/>
      </c>
      <c r="F2227" s="405" t="str">
        <f t="shared" si="276"/>
        <v>牧野　広敏</v>
      </c>
      <c r="G2227" s="405" t="str">
        <f t="shared" si="277"/>
        <v>福岡営業所</v>
      </c>
      <c r="H2227" s="405" t="str">
        <f t="shared" si="278"/>
        <v>福岡市中央区長浜２－４－１</v>
      </c>
      <c r="L2227" s="403" t="s">
        <v>12438</v>
      </c>
      <c r="M2227" s="403" t="s">
        <v>12439</v>
      </c>
      <c r="N2227" s="403" t="s">
        <v>5884</v>
      </c>
      <c r="O2227" s="403" t="s">
        <v>7084</v>
      </c>
      <c r="P2227" s="403" t="s">
        <v>21466</v>
      </c>
      <c r="Q2227" s="403" t="s">
        <v>12440</v>
      </c>
      <c r="R2227" s="403" t="s">
        <v>21467</v>
      </c>
      <c r="S2227" s="403" t="s">
        <v>21468</v>
      </c>
      <c r="T2227" s="403" t="s">
        <v>21469</v>
      </c>
      <c r="U2227" s="403"/>
      <c r="V2227" s="403" t="s">
        <v>7010</v>
      </c>
      <c r="W2227" s="403" t="s">
        <v>21470</v>
      </c>
      <c r="X2227" s="403" t="s">
        <v>13253</v>
      </c>
      <c r="Y2227" s="403" t="s">
        <v>21434</v>
      </c>
    </row>
    <row r="2228" spans="1:25">
      <c r="A2228" s="363">
        <f t="shared" si="279"/>
        <v>2227</v>
      </c>
      <c r="B2228" s="363" t="str">
        <f t="shared" si="272"/>
        <v>00</v>
      </c>
      <c r="C2228" s="405" t="str">
        <f t="shared" si="273"/>
        <v>第003481号</v>
      </c>
      <c r="D2228" s="405" t="str">
        <f t="shared" si="274"/>
        <v>機動建設工業（株）</v>
      </c>
      <c r="E2228" s="405" t="str">
        <f t="shared" si="275"/>
        <v/>
      </c>
      <c r="F2228" s="405" t="str">
        <f t="shared" si="276"/>
        <v>村上　敏昭</v>
      </c>
      <c r="G2228" s="405" t="str">
        <f t="shared" si="277"/>
        <v>九州支店</v>
      </c>
      <c r="H2228" s="405" t="str">
        <f t="shared" si="278"/>
        <v>福岡市博多区東那珂２－１４－２８</v>
      </c>
      <c r="L2228" s="403" t="s">
        <v>12441</v>
      </c>
      <c r="M2228" s="403" t="s">
        <v>12442</v>
      </c>
      <c r="N2228" s="403" t="s">
        <v>5885</v>
      </c>
      <c r="O2228" s="403" t="s">
        <v>7084</v>
      </c>
      <c r="P2228" s="403" t="s">
        <v>6558</v>
      </c>
      <c r="Q2228" s="403" t="s">
        <v>12443</v>
      </c>
      <c r="R2228" s="403" t="s">
        <v>21471</v>
      </c>
      <c r="S2228" s="403" t="s">
        <v>21472</v>
      </c>
      <c r="T2228" s="403" t="s">
        <v>21473</v>
      </c>
      <c r="U2228" s="403"/>
      <c r="V2228" s="403" t="s">
        <v>7007</v>
      </c>
      <c r="W2228" s="403" t="s">
        <v>21474</v>
      </c>
      <c r="X2228" s="403" t="s">
        <v>13159</v>
      </c>
      <c r="Y2228" s="403" t="s">
        <v>21475</v>
      </c>
    </row>
    <row r="2229" spans="1:25">
      <c r="A2229" s="363">
        <f t="shared" si="279"/>
        <v>2228</v>
      </c>
      <c r="B2229" s="363" t="str">
        <f t="shared" si="272"/>
        <v>00</v>
      </c>
      <c r="C2229" s="405" t="str">
        <f t="shared" si="273"/>
        <v>第003484号</v>
      </c>
      <c r="D2229" s="405" t="str">
        <f t="shared" si="274"/>
        <v>月島ＪＦＥアクアソリューション（株）</v>
      </c>
      <c r="E2229" s="405" t="str">
        <f t="shared" si="275"/>
        <v/>
      </c>
      <c r="F2229" s="405" t="str">
        <f t="shared" si="276"/>
        <v>林　伊知郎</v>
      </c>
      <c r="G2229" s="405" t="str">
        <f t="shared" si="277"/>
        <v>福岡支店</v>
      </c>
      <c r="H2229" s="405" t="str">
        <f t="shared" si="278"/>
        <v>福岡市中央区荒戸２－１－５</v>
      </c>
      <c r="L2229" s="403" t="s">
        <v>12444</v>
      </c>
      <c r="M2229" s="403" t="s">
        <v>12445</v>
      </c>
      <c r="N2229" s="403" t="s">
        <v>5886</v>
      </c>
      <c r="O2229" s="403" t="s">
        <v>7084</v>
      </c>
      <c r="P2229" s="403" t="s">
        <v>6559</v>
      </c>
      <c r="Q2229" s="403" t="s">
        <v>12446</v>
      </c>
      <c r="R2229" s="403" t="s">
        <v>21476</v>
      </c>
      <c r="S2229" s="403" t="s">
        <v>21477</v>
      </c>
      <c r="T2229" s="403" t="s">
        <v>21478</v>
      </c>
      <c r="U2229" s="403"/>
      <c r="V2229" s="403" t="s">
        <v>7018</v>
      </c>
      <c r="W2229" s="403" t="s">
        <v>17721</v>
      </c>
      <c r="X2229" s="403" t="s">
        <v>17575</v>
      </c>
      <c r="Y2229" s="403" t="s">
        <v>20956</v>
      </c>
    </row>
    <row r="2230" spans="1:25">
      <c r="A2230" s="363">
        <f t="shared" si="279"/>
        <v>2229</v>
      </c>
      <c r="B2230" s="363" t="str">
        <f t="shared" si="272"/>
        <v>00</v>
      </c>
      <c r="C2230" s="405" t="str">
        <f t="shared" si="273"/>
        <v>第003515号</v>
      </c>
      <c r="D2230" s="405" t="str">
        <f t="shared" si="274"/>
        <v>東芝プラントシステム（株）</v>
      </c>
      <c r="E2230" s="405" t="str">
        <f t="shared" si="275"/>
        <v/>
      </c>
      <c r="F2230" s="405" t="str">
        <f t="shared" si="276"/>
        <v>八木　寿朗</v>
      </c>
      <c r="G2230" s="405" t="str">
        <f t="shared" si="277"/>
        <v>九州支社</v>
      </c>
      <c r="H2230" s="405" t="str">
        <f t="shared" si="278"/>
        <v>福岡市中央区長浜２－４－１</v>
      </c>
      <c r="L2230" s="403" t="s">
        <v>12447</v>
      </c>
      <c r="M2230" s="403" t="s">
        <v>12448</v>
      </c>
      <c r="N2230" s="403" t="s">
        <v>5887</v>
      </c>
      <c r="O2230" s="403" t="s">
        <v>7089</v>
      </c>
      <c r="P2230" s="403" t="s">
        <v>6560</v>
      </c>
      <c r="Q2230" s="403" t="s">
        <v>12413</v>
      </c>
      <c r="R2230" s="403" t="s">
        <v>21431</v>
      </c>
      <c r="S2230" s="403" t="s">
        <v>21479</v>
      </c>
      <c r="T2230" s="403" t="s">
        <v>21480</v>
      </c>
      <c r="U2230" s="403"/>
      <c r="V2230" s="403" t="s">
        <v>7011</v>
      </c>
      <c r="W2230" s="403" t="s">
        <v>21481</v>
      </c>
      <c r="X2230" s="403" t="s">
        <v>13253</v>
      </c>
      <c r="Y2230" s="403" t="s">
        <v>21434</v>
      </c>
    </row>
    <row r="2231" spans="1:25">
      <c r="A2231" s="363">
        <f t="shared" si="279"/>
        <v>2230</v>
      </c>
      <c r="B2231" s="363" t="str">
        <f t="shared" si="272"/>
        <v>00</v>
      </c>
      <c r="C2231" s="405" t="str">
        <f t="shared" si="273"/>
        <v>第003518号</v>
      </c>
      <c r="D2231" s="405" t="str">
        <f t="shared" si="274"/>
        <v>（株）淺川組</v>
      </c>
      <c r="E2231" s="405" t="str">
        <f t="shared" si="275"/>
        <v/>
      </c>
      <c r="F2231" s="405" t="str">
        <f t="shared" si="276"/>
        <v>木原　愼二</v>
      </c>
      <c r="G2231" s="405" t="str">
        <f t="shared" si="277"/>
        <v>九州営業所</v>
      </c>
      <c r="H2231" s="405" t="str">
        <f t="shared" si="278"/>
        <v>福岡市博多区諸岡４－２１－３０　サンコーポあまの２０２</v>
      </c>
      <c r="L2231" s="403" t="s">
        <v>12449</v>
      </c>
      <c r="M2231" s="403" t="s">
        <v>12450</v>
      </c>
      <c r="N2231" s="403" t="s">
        <v>5888</v>
      </c>
      <c r="O2231" s="403" t="s">
        <v>7089</v>
      </c>
      <c r="P2231" s="403" t="s">
        <v>6561</v>
      </c>
      <c r="Q2231" s="403" t="s">
        <v>12451</v>
      </c>
      <c r="R2231" s="403" t="s">
        <v>21482</v>
      </c>
      <c r="S2231" s="403" t="s">
        <v>21483</v>
      </c>
      <c r="T2231" s="403" t="s">
        <v>21484</v>
      </c>
      <c r="U2231" s="403"/>
      <c r="V2231" s="403" t="s">
        <v>7012</v>
      </c>
      <c r="W2231" s="403" t="s">
        <v>17722</v>
      </c>
      <c r="X2231" s="403" t="s">
        <v>11907</v>
      </c>
      <c r="Y2231" s="403" t="s">
        <v>21485</v>
      </c>
    </row>
    <row r="2232" spans="1:25">
      <c r="A2232" s="363">
        <f t="shared" si="279"/>
        <v>2231</v>
      </c>
      <c r="B2232" s="363" t="str">
        <f t="shared" si="272"/>
        <v>00</v>
      </c>
      <c r="C2232" s="405" t="str">
        <f t="shared" si="273"/>
        <v>第003532号</v>
      </c>
      <c r="D2232" s="405" t="str">
        <f t="shared" si="274"/>
        <v>（株）三冷社</v>
      </c>
      <c r="E2232" s="405" t="str">
        <f t="shared" si="275"/>
        <v/>
      </c>
      <c r="F2232" s="405" t="str">
        <f t="shared" si="276"/>
        <v>森田　隆文</v>
      </c>
      <c r="G2232" s="405" t="str">
        <f t="shared" si="277"/>
        <v>九州支店</v>
      </c>
      <c r="H2232" s="405" t="str">
        <f t="shared" si="278"/>
        <v>福岡市博多区東那珂１－１２－２８</v>
      </c>
      <c r="L2232" s="403" t="s">
        <v>12452</v>
      </c>
      <c r="M2232" s="403" t="s">
        <v>12453</v>
      </c>
      <c r="N2232" s="403" t="s">
        <v>5889</v>
      </c>
      <c r="O2232" s="403" t="s">
        <v>7084</v>
      </c>
      <c r="P2232" s="403" t="s">
        <v>6562</v>
      </c>
      <c r="Q2232" s="403" t="s">
        <v>12454</v>
      </c>
      <c r="R2232" s="403" t="s">
        <v>21486</v>
      </c>
      <c r="S2232" s="403" t="s">
        <v>21487</v>
      </c>
      <c r="T2232" s="403" t="s">
        <v>21488</v>
      </c>
      <c r="U2232" s="403"/>
      <c r="V2232" s="403" t="s">
        <v>7007</v>
      </c>
      <c r="W2232" s="403" t="s">
        <v>17723</v>
      </c>
      <c r="X2232" s="403" t="s">
        <v>13159</v>
      </c>
      <c r="Y2232" s="403" t="s">
        <v>21489</v>
      </c>
    </row>
    <row r="2233" spans="1:25">
      <c r="A2233" s="363">
        <f t="shared" si="279"/>
        <v>2232</v>
      </c>
      <c r="B2233" s="363" t="str">
        <f t="shared" si="272"/>
        <v>00</v>
      </c>
      <c r="C2233" s="405" t="str">
        <f t="shared" si="273"/>
        <v>第003563号</v>
      </c>
      <c r="D2233" s="405" t="str">
        <f t="shared" si="274"/>
        <v>（株）明電舎</v>
      </c>
      <c r="E2233" s="405" t="str">
        <f t="shared" si="275"/>
        <v/>
      </c>
      <c r="F2233" s="405" t="str">
        <f t="shared" si="276"/>
        <v>鈴木　浩</v>
      </c>
      <c r="G2233" s="405" t="str">
        <f t="shared" si="277"/>
        <v>九州支店</v>
      </c>
      <c r="H2233" s="405" t="str">
        <f t="shared" si="278"/>
        <v>福岡市博多区住吉５－５－３</v>
      </c>
      <c r="L2233" s="403" t="s">
        <v>12455</v>
      </c>
      <c r="M2233" s="403" t="s">
        <v>12456</v>
      </c>
      <c r="N2233" s="403" t="s">
        <v>5890</v>
      </c>
      <c r="O2233" s="403" t="s">
        <v>7098</v>
      </c>
      <c r="P2233" s="403" t="s">
        <v>6563</v>
      </c>
      <c r="Q2233" s="403" t="s">
        <v>12457</v>
      </c>
      <c r="R2233" s="403" t="s">
        <v>21490</v>
      </c>
      <c r="S2233" s="403" t="s">
        <v>21491</v>
      </c>
      <c r="T2233" s="403" t="s">
        <v>21492</v>
      </c>
      <c r="U2233" s="403"/>
      <c r="V2233" s="403" t="s">
        <v>7007</v>
      </c>
      <c r="W2233" s="403" t="s">
        <v>17724</v>
      </c>
      <c r="X2233" s="403" t="s">
        <v>17556</v>
      </c>
      <c r="Y2233" s="403" t="s">
        <v>21493</v>
      </c>
    </row>
    <row r="2234" spans="1:25">
      <c r="A2234" s="363">
        <f t="shared" si="279"/>
        <v>2233</v>
      </c>
      <c r="B2234" s="363" t="str">
        <f t="shared" si="272"/>
        <v>00</v>
      </c>
      <c r="C2234" s="405" t="str">
        <f t="shared" si="273"/>
        <v>第003597号</v>
      </c>
      <c r="D2234" s="405" t="str">
        <f t="shared" si="274"/>
        <v>（株）丸島アクアシステム</v>
      </c>
      <c r="E2234" s="405" t="str">
        <f t="shared" si="275"/>
        <v/>
      </c>
      <c r="F2234" s="405" t="str">
        <f t="shared" si="276"/>
        <v>冨永　浩史</v>
      </c>
      <c r="G2234" s="405" t="str">
        <f t="shared" si="277"/>
        <v>九州支店</v>
      </c>
      <c r="H2234" s="405" t="str">
        <f t="shared" si="278"/>
        <v>福岡市博多区博多駅東１－１８－２５</v>
      </c>
      <c r="L2234" s="403" t="s">
        <v>12458</v>
      </c>
      <c r="M2234" s="403" t="s">
        <v>12459</v>
      </c>
      <c r="N2234" s="403" t="s">
        <v>5891</v>
      </c>
      <c r="O2234" s="403" t="s">
        <v>7089</v>
      </c>
      <c r="P2234" s="403" t="s">
        <v>6564</v>
      </c>
      <c r="Q2234" s="403" t="s">
        <v>12460</v>
      </c>
      <c r="R2234" s="403" t="s">
        <v>21494</v>
      </c>
      <c r="S2234" s="403" t="s">
        <v>21495</v>
      </c>
      <c r="T2234" s="403" t="s">
        <v>21496</v>
      </c>
      <c r="U2234" s="403"/>
      <c r="V2234" s="403" t="s">
        <v>7007</v>
      </c>
      <c r="W2234" s="403" t="s">
        <v>17725</v>
      </c>
      <c r="X2234" s="403" t="s">
        <v>13524</v>
      </c>
      <c r="Y2234" s="403" t="s">
        <v>21497</v>
      </c>
    </row>
    <row r="2235" spans="1:25">
      <c r="A2235" s="363">
        <f t="shared" si="279"/>
        <v>2234</v>
      </c>
      <c r="B2235" s="363" t="str">
        <f t="shared" si="272"/>
        <v>00</v>
      </c>
      <c r="C2235" s="405" t="str">
        <f t="shared" si="273"/>
        <v>第003650号</v>
      </c>
      <c r="D2235" s="405" t="str">
        <f t="shared" si="274"/>
        <v>若築建設（株）</v>
      </c>
      <c r="E2235" s="405" t="str">
        <f t="shared" si="275"/>
        <v/>
      </c>
      <c r="F2235" s="405" t="str">
        <f t="shared" si="276"/>
        <v>室積　次郎</v>
      </c>
      <c r="G2235" s="405" t="str">
        <f t="shared" si="277"/>
        <v>大分営業所</v>
      </c>
      <c r="H2235" s="405" t="str">
        <f t="shared" si="278"/>
        <v>大分市碩田町１－１－２３　吉次勧業ビル２階</v>
      </c>
      <c r="L2235" s="403" t="s">
        <v>12461</v>
      </c>
      <c r="M2235" s="403" t="s">
        <v>12462</v>
      </c>
      <c r="N2235" s="403" t="s">
        <v>5892</v>
      </c>
      <c r="O2235" s="403" t="s">
        <v>7083</v>
      </c>
      <c r="P2235" s="403" t="s">
        <v>6565</v>
      </c>
      <c r="Q2235" s="403" t="s">
        <v>12463</v>
      </c>
      <c r="R2235" s="403" t="s">
        <v>21498</v>
      </c>
      <c r="S2235" s="403" t="s">
        <v>21499</v>
      </c>
      <c r="T2235" s="403" t="s">
        <v>21500</v>
      </c>
      <c r="U2235" s="403"/>
      <c r="V2235" s="403" t="s">
        <v>7013</v>
      </c>
      <c r="W2235" s="403" t="s">
        <v>17726</v>
      </c>
      <c r="X2235" s="403" t="s">
        <v>10856</v>
      </c>
      <c r="Y2235" s="403" t="s">
        <v>21501</v>
      </c>
    </row>
    <row r="2236" spans="1:25">
      <c r="A2236" s="363">
        <f t="shared" si="279"/>
        <v>2235</v>
      </c>
      <c r="B2236" s="363" t="str">
        <f t="shared" si="272"/>
        <v>00</v>
      </c>
      <c r="C2236" s="405" t="str">
        <f t="shared" si="273"/>
        <v>第003659号</v>
      </c>
      <c r="D2236" s="405" t="str">
        <f t="shared" si="274"/>
        <v>（株）クリマテック</v>
      </c>
      <c r="E2236" s="405" t="str">
        <f t="shared" si="275"/>
        <v/>
      </c>
      <c r="F2236" s="405" t="str">
        <f t="shared" si="276"/>
        <v>外間　謙二</v>
      </c>
      <c r="G2236" s="405" t="str">
        <f t="shared" si="277"/>
        <v>九州支店</v>
      </c>
      <c r="H2236" s="405" t="str">
        <f t="shared" si="278"/>
        <v>福岡市博多区奈良屋町６－２９</v>
      </c>
      <c r="L2236" s="403" t="s">
        <v>12464</v>
      </c>
      <c r="M2236" s="403" t="s">
        <v>12465</v>
      </c>
      <c r="N2236" s="403" t="s">
        <v>5893</v>
      </c>
      <c r="O2236" s="403" t="s">
        <v>7099</v>
      </c>
      <c r="P2236" s="403" t="s">
        <v>6566</v>
      </c>
      <c r="Q2236" s="403" t="s">
        <v>12153</v>
      </c>
      <c r="R2236" s="403" t="s">
        <v>21502</v>
      </c>
      <c r="S2236" s="403" t="s">
        <v>21503</v>
      </c>
      <c r="T2236" s="403" t="s">
        <v>21504</v>
      </c>
      <c r="U2236" s="403"/>
      <c r="V2236" s="403" t="s">
        <v>7007</v>
      </c>
      <c r="W2236" s="403" t="s">
        <v>21505</v>
      </c>
      <c r="X2236" s="403" t="s">
        <v>17727</v>
      </c>
      <c r="Y2236" s="403" t="s">
        <v>21506</v>
      </c>
    </row>
    <row r="2237" spans="1:25">
      <c r="A2237" s="363">
        <f t="shared" si="279"/>
        <v>2236</v>
      </c>
      <c r="B2237" s="363" t="str">
        <f t="shared" si="272"/>
        <v>00</v>
      </c>
      <c r="C2237" s="405" t="str">
        <f t="shared" si="273"/>
        <v>第003660号</v>
      </c>
      <c r="D2237" s="405" t="str">
        <f t="shared" si="274"/>
        <v>ライト工業（株）</v>
      </c>
      <c r="E2237" s="405" t="str">
        <f t="shared" si="275"/>
        <v/>
      </c>
      <c r="F2237" s="405" t="str">
        <f t="shared" si="276"/>
        <v>日高　大宙</v>
      </c>
      <c r="G2237" s="405" t="str">
        <f t="shared" si="277"/>
        <v>大分営業所</v>
      </c>
      <c r="H2237" s="405" t="str">
        <f t="shared" si="278"/>
        <v>大分市下郡中央２－１－２１－２</v>
      </c>
      <c r="L2237" s="403" t="s">
        <v>12466</v>
      </c>
      <c r="M2237" s="403" t="s">
        <v>12467</v>
      </c>
      <c r="N2237" s="403" t="s">
        <v>5894</v>
      </c>
      <c r="O2237" s="403" t="s">
        <v>7083</v>
      </c>
      <c r="P2237" s="403" t="s">
        <v>6567</v>
      </c>
      <c r="Q2237" s="403" t="s">
        <v>12468</v>
      </c>
      <c r="R2237" s="403" t="s">
        <v>21507</v>
      </c>
      <c r="S2237" s="403" t="s">
        <v>21508</v>
      </c>
      <c r="T2237" s="403" t="s">
        <v>21509</v>
      </c>
      <c r="U2237" s="403"/>
      <c r="V2237" s="403" t="s">
        <v>7013</v>
      </c>
      <c r="W2237" s="403" t="s">
        <v>21510</v>
      </c>
      <c r="X2237" s="403" t="s">
        <v>8335</v>
      </c>
      <c r="Y2237" s="403" t="s">
        <v>21511</v>
      </c>
    </row>
    <row r="2238" spans="1:25">
      <c r="A2238" s="363">
        <f t="shared" si="279"/>
        <v>2237</v>
      </c>
      <c r="B2238" s="363" t="str">
        <f t="shared" si="272"/>
        <v>00</v>
      </c>
      <c r="C2238" s="405" t="str">
        <f t="shared" si="273"/>
        <v>第003671号</v>
      </c>
      <c r="D2238" s="405" t="str">
        <f t="shared" si="274"/>
        <v>奥村組土木興業（株）</v>
      </c>
      <c r="E2238" s="405" t="str">
        <f t="shared" si="275"/>
        <v/>
      </c>
      <c r="F2238" s="405" t="str">
        <f t="shared" si="276"/>
        <v>今橋　隆</v>
      </c>
      <c r="G2238" s="405" t="str">
        <f t="shared" si="277"/>
        <v>九州営業所</v>
      </c>
      <c r="H2238" s="405" t="str">
        <f t="shared" si="278"/>
        <v>福岡市博多区博多駅中央街４－８</v>
      </c>
      <c r="L2238" s="403" t="s">
        <v>12469</v>
      </c>
      <c r="M2238" s="403" t="s">
        <v>12470</v>
      </c>
      <c r="N2238" s="403" t="s">
        <v>5895</v>
      </c>
      <c r="O2238" s="403" t="s">
        <v>7089</v>
      </c>
      <c r="P2238" s="403" t="s">
        <v>6568</v>
      </c>
      <c r="Q2238" s="403" t="s">
        <v>12471</v>
      </c>
      <c r="R2238" s="403" t="s">
        <v>21512</v>
      </c>
      <c r="S2238" s="403" t="s">
        <v>21513</v>
      </c>
      <c r="T2238" s="403" t="s">
        <v>21514</v>
      </c>
      <c r="U2238" s="403"/>
      <c r="V2238" s="403" t="s">
        <v>7012</v>
      </c>
      <c r="W2238" s="403" t="s">
        <v>17728</v>
      </c>
      <c r="X2238" s="403" t="s">
        <v>17715</v>
      </c>
      <c r="Y2238" s="403" t="s">
        <v>21515</v>
      </c>
    </row>
    <row r="2239" spans="1:25">
      <c r="A2239" s="363">
        <f t="shared" si="279"/>
        <v>2238</v>
      </c>
      <c r="B2239" s="363" t="str">
        <f t="shared" si="272"/>
        <v>00</v>
      </c>
      <c r="C2239" s="405" t="str">
        <f t="shared" si="273"/>
        <v>第003672号</v>
      </c>
      <c r="D2239" s="405" t="str">
        <f t="shared" si="274"/>
        <v>（株）西原ネオ</v>
      </c>
      <c r="E2239" s="405" t="str">
        <f t="shared" si="275"/>
        <v/>
      </c>
      <c r="F2239" s="405" t="str">
        <f t="shared" si="276"/>
        <v>丸山　浩和</v>
      </c>
      <c r="G2239" s="405" t="str">
        <f t="shared" si="277"/>
        <v>九州支店</v>
      </c>
      <c r="H2239" s="405" t="str">
        <f t="shared" si="278"/>
        <v>福岡市博多区井相田２－２－３</v>
      </c>
      <c r="L2239" s="403" t="s">
        <v>12472</v>
      </c>
      <c r="M2239" s="403" t="s">
        <v>12473</v>
      </c>
      <c r="N2239" s="403" t="s">
        <v>5896</v>
      </c>
      <c r="O2239" s="403" t="s">
        <v>7084</v>
      </c>
      <c r="P2239" s="403" t="s">
        <v>6569</v>
      </c>
      <c r="Q2239" s="403" t="s">
        <v>12262</v>
      </c>
      <c r="R2239" s="403" t="s">
        <v>21516</v>
      </c>
      <c r="S2239" s="403" t="s">
        <v>21517</v>
      </c>
      <c r="T2239" s="403" t="s">
        <v>21518</v>
      </c>
      <c r="U2239" s="403"/>
      <c r="V2239" s="403" t="s">
        <v>7007</v>
      </c>
      <c r="W2239" s="403" t="s">
        <v>17729</v>
      </c>
      <c r="X2239" s="403" t="s">
        <v>13092</v>
      </c>
      <c r="Y2239" s="403" t="s">
        <v>21519</v>
      </c>
    </row>
    <row r="2240" spans="1:25">
      <c r="A2240" s="363">
        <f t="shared" si="279"/>
        <v>2239</v>
      </c>
      <c r="B2240" s="363" t="str">
        <f t="shared" si="272"/>
        <v>00</v>
      </c>
      <c r="C2240" s="405" t="str">
        <f t="shared" si="273"/>
        <v>第003750号</v>
      </c>
      <c r="D2240" s="405" t="str">
        <f t="shared" si="274"/>
        <v>（株）竹中土木</v>
      </c>
      <c r="E2240" s="405" t="str">
        <f t="shared" si="275"/>
        <v/>
      </c>
      <c r="F2240" s="405" t="str">
        <f t="shared" si="276"/>
        <v>小西　真臣</v>
      </c>
      <c r="G2240" s="405" t="str">
        <f t="shared" si="277"/>
        <v>九州支店</v>
      </c>
      <c r="H2240" s="405" t="str">
        <f t="shared" si="278"/>
        <v>福岡市中央区天神４－２－２０</v>
      </c>
      <c r="L2240" s="403" t="s">
        <v>12474</v>
      </c>
      <c r="M2240" s="403" t="s">
        <v>12475</v>
      </c>
      <c r="N2240" s="403" t="s">
        <v>5897</v>
      </c>
      <c r="O2240" s="403" t="s">
        <v>7089</v>
      </c>
      <c r="P2240" s="403" t="s">
        <v>6570</v>
      </c>
      <c r="Q2240" s="403" t="s">
        <v>12476</v>
      </c>
      <c r="R2240" s="403" t="s">
        <v>21520</v>
      </c>
      <c r="S2240" s="403" t="s">
        <v>21521</v>
      </c>
      <c r="T2240" s="403" t="s">
        <v>21522</v>
      </c>
      <c r="U2240" s="403"/>
      <c r="V2240" s="403" t="s">
        <v>7007</v>
      </c>
      <c r="W2240" s="403" t="s">
        <v>17730</v>
      </c>
      <c r="X2240" s="403" t="s">
        <v>17517</v>
      </c>
      <c r="Y2240" s="403" t="s">
        <v>21279</v>
      </c>
    </row>
    <row r="2241" spans="1:25">
      <c r="A2241" s="363">
        <f t="shared" si="279"/>
        <v>2240</v>
      </c>
      <c r="B2241" s="363" t="str">
        <f t="shared" si="272"/>
        <v>00</v>
      </c>
      <c r="C2241" s="405" t="str">
        <f t="shared" si="273"/>
        <v>第003759号</v>
      </c>
      <c r="D2241" s="405" t="str">
        <f t="shared" si="274"/>
        <v>九鉄工業（株）</v>
      </c>
      <c r="E2241" s="405" t="str">
        <f t="shared" si="275"/>
        <v/>
      </c>
      <c r="F2241" s="405" t="str">
        <f t="shared" si="276"/>
        <v>本田　龍司</v>
      </c>
      <c r="G2241" s="405" t="str">
        <f t="shared" si="277"/>
        <v>大分支店</v>
      </c>
      <c r="H2241" s="405" t="str">
        <f t="shared" si="278"/>
        <v>大分市要町５－２８</v>
      </c>
      <c r="L2241" s="403" t="s">
        <v>12477</v>
      </c>
      <c r="M2241" s="403" t="s">
        <v>12478</v>
      </c>
      <c r="N2241" s="403" t="s">
        <v>5898</v>
      </c>
      <c r="O2241" s="403" t="s">
        <v>7083</v>
      </c>
      <c r="P2241" s="403" t="s">
        <v>21523</v>
      </c>
      <c r="Q2241" s="403" t="s">
        <v>12479</v>
      </c>
      <c r="R2241" s="403" t="s">
        <v>21524</v>
      </c>
      <c r="S2241" s="403" t="s">
        <v>21525</v>
      </c>
      <c r="T2241" s="403" t="s">
        <v>21526</v>
      </c>
      <c r="U2241" s="403"/>
      <c r="V2241" s="403" t="s">
        <v>7009</v>
      </c>
      <c r="W2241" s="403" t="s">
        <v>17731</v>
      </c>
      <c r="X2241" s="403" t="s">
        <v>17732</v>
      </c>
      <c r="Y2241" s="403" t="s">
        <v>21527</v>
      </c>
    </row>
    <row r="2242" spans="1:25">
      <c r="A2242" s="363">
        <f t="shared" si="279"/>
        <v>2241</v>
      </c>
      <c r="B2242" s="363" t="str">
        <f t="shared" ref="B2242:B2305" si="280">LEFT(L2242,2)</f>
        <v>00</v>
      </c>
      <c r="C2242" s="405" t="str">
        <f t="shared" ref="C2242:C2305" si="281">IF(B2242="","","第"&amp;RIGHT(L2242,6)&amp;"号")</f>
        <v>第003762号</v>
      </c>
      <c r="D2242" s="405" t="str">
        <f t="shared" ref="D2242:D2305" si="282">N2242</f>
        <v>荏原実業（株）</v>
      </c>
      <c r="E2242" s="405" t="str">
        <f t="shared" ref="E2242:E2305" si="283">IF(V2242="　",O2242,"")</f>
        <v/>
      </c>
      <c r="F2242" s="405" t="str">
        <f t="shared" ref="F2242:F2305" si="284">IF(V2242="　",P2242,W2242)</f>
        <v>山田　洸介</v>
      </c>
      <c r="G2242" s="405" t="str">
        <f t="shared" ref="G2242:G2305" si="285">IF(V2242="　","主たる営業所",V2242)</f>
        <v>九州事務所</v>
      </c>
      <c r="H2242" s="405" t="str">
        <f t="shared" ref="H2242:H2305" si="286">IF(V2242="　",R2242,Y2242)</f>
        <v>福岡市中央区薬院３－１３－２３</v>
      </c>
      <c r="L2242" s="403" t="s">
        <v>12480</v>
      </c>
      <c r="M2242" s="403" t="s">
        <v>12481</v>
      </c>
      <c r="N2242" s="403" t="s">
        <v>5899</v>
      </c>
      <c r="O2242" s="403" t="s">
        <v>7084</v>
      </c>
      <c r="P2242" s="403" t="s">
        <v>6571</v>
      </c>
      <c r="Q2242" s="403" t="s">
        <v>12482</v>
      </c>
      <c r="R2242" s="403" t="s">
        <v>21528</v>
      </c>
      <c r="S2242" s="403" t="s">
        <v>21529</v>
      </c>
      <c r="T2242" s="403" t="s">
        <v>21530</v>
      </c>
      <c r="U2242" s="403"/>
      <c r="V2242" s="403" t="s">
        <v>7027</v>
      </c>
      <c r="W2242" s="403" t="s">
        <v>17733</v>
      </c>
      <c r="X2242" s="403" t="s">
        <v>12026</v>
      </c>
      <c r="Y2242" s="403" t="s">
        <v>21531</v>
      </c>
    </row>
    <row r="2243" spans="1:25">
      <c r="A2243" s="363">
        <f t="shared" ref="A2243:A2306" si="287">IF(B2243="","",A2242+1)</f>
        <v>2242</v>
      </c>
      <c r="B2243" s="363" t="str">
        <f t="shared" si="280"/>
        <v>00</v>
      </c>
      <c r="C2243" s="405" t="str">
        <f t="shared" si="281"/>
        <v>第003776号</v>
      </c>
      <c r="D2243" s="405" t="str">
        <f t="shared" si="282"/>
        <v>（株）東和</v>
      </c>
      <c r="E2243" s="405" t="str">
        <f t="shared" si="283"/>
        <v>代表取締役</v>
      </c>
      <c r="F2243" s="405" t="str">
        <f t="shared" si="284"/>
        <v>吉水　清文</v>
      </c>
      <c r="G2243" s="405" t="str">
        <f t="shared" si="285"/>
        <v>主たる営業所</v>
      </c>
      <c r="H2243" s="405" t="str">
        <f t="shared" si="286"/>
        <v>佐賀市高木瀬西６－９－３</v>
      </c>
      <c r="L2243" s="403" t="s">
        <v>12483</v>
      </c>
      <c r="M2243" s="403" t="s">
        <v>12484</v>
      </c>
      <c r="N2243" s="403" t="s">
        <v>5900</v>
      </c>
      <c r="O2243" s="403" t="s">
        <v>7084</v>
      </c>
      <c r="P2243" s="403" t="s">
        <v>6572</v>
      </c>
      <c r="Q2243" s="403" t="s">
        <v>12485</v>
      </c>
      <c r="R2243" s="403" t="s">
        <v>21532</v>
      </c>
      <c r="S2243" s="403" t="s">
        <v>17734</v>
      </c>
      <c r="T2243" s="403" t="s">
        <v>17735</v>
      </c>
      <c r="U2243" s="403"/>
      <c r="V2243" s="403" t="s">
        <v>23024</v>
      </c>
      <c r="W2243" s="403" t="s">
        <v>23024</v>
      </c>
      <c r="X2243" s="403" t="s">
        <v>23024</v>
      </c>
      <c r="Y2243" s="403" t="s">
        <v>23024</v>
      </c>
    </row>
    <row r="2244" spans="1:25">
      <c r="A2244" s="363">
        <f t="shared" si="287"/>
        <v>2243</v>
      </c>
      <c r="B2244" s="363" t="str">
        <f t="shared" si="280"/>
        <v>00</v>
      </c>
      <c r="C2244" s="405" t="str">
        <f t="shared" si="281"/>
        <v>第003780号</v>
      </c>
      <c r="D2244" s="405" t="str">
        <f t="shared" si="282"/>
        <v>日東河川工業（株）</v>
      </c>
      <c r="E2244" s="405" t="str">
        <f t="shared" si="283"/>
        <v/>
      </c>
      <c r="F2244" s="405" t="str">
        <f t="shared" si="284"/>
        <v>牛嶋　直幹</v>
      </c>
      <c r="G2244" s="405" t="str">
        <f t="shared" si="285"/>
        <v>九州営業所</v>
      </c>
      <c r="H2244" s="405" t="str">
        <f t="shared" si="286"/>
        <v>福岡市博多区竹丘町１－５－３１</v>
      </c>
      <c r="L2244" s="403" t="s">
        <v>12486</v>
      </c>
      <c r="M2244" s="403" t="s">
        <v>12487</v>
      </c>
      <c r="N2244" s="403" t="s">
        <v>5901</v>
      </c>
      <c r="O2244" s="403" t="s">
        <v>7083</v>
      </c>
      <c r="P2244" s="403" t="s">
        <v>6573</v>
      </c>
      <c r="Q2244" s="403" t="s">
        <v>12488</v>
      </c>
      <c r="R2244" s="403" t="s">
        <v>21533</v>
      </c>
      <c r="S2244" s="403" t="s">
        <v>21534</v>
      </c>
      <c r="T2244" s="403" t="s">
        <v>21535</v>
      </c>
      <c r="U2244" s="403"/>
      <c r="V2244" s="403" t="s">
        <v>7012</v>
      </c>
      <c r="W2244" s="403" t="s">
        <v>17736</v>
      </c>
      <c r="X2244" s="403" t="s">
        <v>17737</v>
      </c>
      <c r="Y2244" s="403" t="s">
        <v>21536</v>
      </c>
    </row>
    <row r="2245" spans="1:25">
      <c r="A2245" s="363">
        <f t="shared" si="287"/>
        <v>2244</v>
      </c>
      <c r="B2245" s="363" t="str">
        <f t="shared" si="280"/>
        <v>00</v>
      </c>
      <c r="C2245" s="405" t="str">
        <f t="shared" si="281"/>
        <v>第003781号</v>
      </c>
      <c r="D2245" s="405" t="str">
        <f t="shared" si="282"/>
        <v>（株）フソウ</v>
      </c>
      <c r="E2245" s="405" t="str">
        <f t="shared" si="283"/>
        <v/>
      </c>
      <c r="F2245" s="405" t="str">
        <f t="shared" si="284"/>
        <v>原川　崇</v>
      </c>
      <c r="G2245" s="405" t="str">
        <f t="shared" si="285"/>
        <v>九州支店</v>
      </c>
      <c r="H2245" s="405" t="str">
        <f t="shared" si="286"/>
        <v>福岡市博多区博多駅前２－１９－２４　大博センタービル６階</v>
      </c>
      <c r="L2245" s="403" t="s">
        <v>12489</v>
      </c>
      <c r="M2245" s="403" t="s">
        <v>12490</v>
      </c>
      <c r="N2245" s="403" t="s">
        <v>5902</v>
      </c>
      <c r="O2245" s="403" t="s">
        <v>7094</v>
      </c>
      <c r="P2245" s="403" t="s">
        <v>6574</v>
      </c>
      <c r="Q2245" s="403" t="s">
        <v>12491</v>
      </c>
      <c r="R2245" s="403" t="s">
        <v>21537</v>
      </c>
      <c r="S2245" s="403" t="s">
        <v>21538</v>
      </c>
      <c r="T2245" s="403" t="s">
        <v>21539</v>
      </c>
      <c r="U2245" s="403"/>
      <c r="V2245" s="403" t="s">
        <v>7007</v>
      </c>
      <c r="W2245" s="403" t="s">
        <v>17738</v>
      </c>
      <c r="X2245" s="403" t="s">
        <v>13015</v>
      </c>
      <c r="Y2245" s="403" t="s">
        <v>21540</v>
      </c>
    </row>
    <row r="2246" spans="1:25">
      <c r="A2246" s="363">
        <f t="shared" si="287"/>
        <v>2245</v>
      </c>
      <c r="B2246" s="363" t="str">
        <f t="shared" si="280"/>
        <v>00</v>
      </c>
      <c r="C2246" s="405" t="str">
        <f t="shared" si="281"/>
        <v>第003795号</v>
      </c>
      <c r="D2246" s="405" t="str">
        <f t="shared" si="282"/>
        <v>（株）ムラヤマ</v>
      </c>
      <c r="E2246" s="405" t="str">
        <f t="shared" si="283"/>
        <v>代表取締役</v>
      </c>
      <c r="F2246" s="405" t="str">
        <f t="shared" si="284"/>
        <v>齋木　透匡</v>
      </c>
      <c r="G2246" s="405" t="str">
        <f t="shared" si="285"/>
        <v>主たる営業所</v>
      </c>
      <c r="H2246" s="405" t="str">
        <f t="shared" si="286"/>
        <v>江東区豊洲３－２－２４</v>
      </c>
      <c r="L2246" s="403" t="s">
        <v>12492</v>
      </c>
      <c r="M2246" s="403" t="s">
        <v>12493</v>
      </c>
      <c r="N2246" s="403" t="s">
        <v>5903</v>
      </c>
      <c r="O2246" s="403" t="s">
        <v>7084</v>
      </c>
      <c r="P2246" s="403" t="s">
        <v>6575</v>
      </c>
      <c r="Q2246" s="403" t="s">
        <v>12494</v>
      </c>
      <c r="R2246" s="403" t="s">
        <v>21541</v>
      </c>
      <c r="S2246" s="403" t="s">
        <v>17739</v>
      </c>
      <c r="T2246" s="403" t="s">
        <v>17740</v>
      </c>
      <c r="U2246" s="403"/>
      <c r="V2246" s="403" t="s">
        <v>23024</v>
      </c>
      <c r="W2246" s="403" t="s">
        <v>23024</v>
      </c>
      <c r="X2246" s="403" t="s">
        <v>23024</v>
      </c>
      <c r="Y2246" s="403" t="s">
        <v>23024</v>
      </c>
    </row>
    <row r="2247" spans="1:25">
      <c r="A2247" s="363">
        <f t="shared" si="287"/>
        <v>2246</v>
      </c>
      <c r="B2247" s="363" t="str">
        <f t="shared" si="280"/>
        <v>00</v>
      </c>
      <c r="C2247" s="405" t="str">
        <f t="shared" si="281"/>
        <v>第003800号</v>
      </c>
      <c r="D2247" s="405" t="str">
        <f t="shared" si="282"/>
        <v>戸田建設（株）</v>
      </c>
      <c r="E2247" s="405" t="str">
        <f t="shared" si="283"/>
        <v/>
      </c>
      <c r="F2247" s="405" t="str">
        <f t="shared" si="284"/>
        <v>重本　彰</v>
      </c>
      <c r="G2247" s="405" t="str">
        <f t="shared" si="285"/>
        <v>九州支店</v>
      </c>
      <c r="H2247" s="405" t="str">
        <f t="shared" si="286"/>
        <v>福岡市中央区天神２－１３－７</v>
      </c>
      <c r="L2247" s="403" t="s">
        <v>12495</v>
      </c>
      <c r="M2247" s="403" t="s">
        <v>12496</v>
      </c>
      <c r="N2247" s="403" t="s">
        <v>5904</v>
      </c>
      <c r="O2247" s="403" t="s">
        <v>7083</v>
      </c>
      <c r="P2247" s="403" t="s">
        <v>6576</v>
      </c>
      <c r="Q2247" s="403" t="s">
        <v>12497</v>
      </c>
      <c r="R2247" s="403" t="s">
        <v>21542</v>
      </c>
      <c r="S2247" s="403" t="s">
        <v>21543</v>
      </c>
      <c r="T2247" s="403" t="s">
        <v>21544</v>
      </c>
      <c r="U2247" s="403"/>
      <c r="V2247" s="403" t="s">
        <v>7007</v>
      </c>
      <c r="W2247" s="403" t="s">
        <v>21545</v>
      </c>
      <c r="X2247" s="403" t="s">
        <v>17741</v>
      </c>
      <c r="Y2247" s="403" t="s">
        <v>21546</v>
      </c>
    </row>
    <row r="2248" spans="1:25">
      <c r="A2248" s="363">
        <f t="shared" si="287"/>
        <v>2247</v>
      </c>
      <c r="B2248" s="363" t="str">
        <f t="shared" si="280"/>
        <v>00</v>
      </c>
      <c r="C2248" s="405" t="str">
        <f t="shared" si="281"/>
        <v>第003801号</v>
      </c>
      <c r="D2248" s="405" t="str">
        <f t="shared" si="282"/>
        <v>藤吉工業（株）</v>
      </c>
      <c r="E2248" s="405" t="str">
        <f t="shared" si="283"/>
        <v>代表取締役社長</v>
      </c>
      <c r="F2248" s="405" t="str">
        <f t="shared" si="284"/>
        <v>加藤　靖始</v>
      </c>
      <c r="G2248" s="405" t="str">
        <f t="shared" si="285"/>
        <v>主たる営業所</v>
      </c>
      <c r="H2248" s="405" t="str">
        <f t="shared" si="286"/>
        <v>名古屋市中村区太閤４－２－８</v>
      </c>
      <c r="L2248" s="403" t="s">
        <v>12498</v>
      </c>
      <c r="M2248" s="403" t="s">
        <v>12499</v>
      </c>
      <c r="N2248" s="403" t="s">
        <v>5905</v>
      </c>
      <c r="O2248" s="403" t="s">
        <v>7083</v>
      </c>
      <c r="P2248" s="403" t="s">
        <v>6577</v>
      </c>
      <c r="Q2248" s="403" t="s">
        <v>12500</v>
      </c>
      <c r="R2248" s="403" t="s">
        <v>21547</v>
      </c>
      <c r="S2248" s="403" t="s">
        <v>17742</v>
      </c>
      <c r="T2248" s="403" t="s">
        <v>17743</v>
      </c>
      <c r="U2248" s="403"/>
      <c r="V2248" s="403" t="s">
        <v>23024</v>
      </c>
      <c r="W2248" s="403" t="s">
        <v>23024</v>
      </c>
      <c r="X2248" s="403" t="s">
        <v>23024</v>
      </c>
      <c r="Y2248" s="403" t="s">
        <v>23024</v>
      </c>
    </row>
    <row r="2249" spans="1:25">
      <c r="A2249" s="363">
        <f t="shared" si="287"/>
        <v>2248</v>
      </c>
      <c r="B2249" s="363" t="str">
        <f t="shared" si="280"/>
        <v>00</v>
      </c>
      <c r="C2249" s="405" t="str">
        <f t="shared" si="281"/>
        <v>第003810号</v>
      </c>
      <c r="D2249" s="405" t="str">
        <f t="shared" si="282"/>
        <v>日本自動機工（株）</v>
      </c>
      <c r="E2249" s="405" t="str">
        <f t="shared" si="283"/>
        <v>代表取締役</v>
      </c>
      <c r="F2249" s="405" t="str">
        <f t="shared" si="284"/>
        <v>古屋　久昭</v>
      </c>
      <c r="G2249" s="405" t="str">
        <f t="shared" si="285"/>
        <v>主たる営業所</v>
      </c>
      <c r="H2249" s="405" t="str">
        <f t="shared" si="286"/>
        <v>さいたま市浦和区岸町７－１－７</v>
      </c>
      <c r="L2249" s="403" t="s">
        <v>12501</v>
      </c>
      <c r="M2249" s="403" t="s">
        <v>12502</v>
      </c>
      <c r="N2249" s="403" t="s">
        <v>5906</v>
      </c>
      <c r="O2249" s="403" t="s">
        <v>7084</v>
      </c>
      <c r="P2249" s="403" t="s">
        <v>6578</v>
      </c>
      <c r="Q2249" s="403" t="s">
        <v>12503</v>
      </c>
      <c r="R2249" s="403" t="s">
        <v>21548</v>
      </c>
      <c r="S2249" s="403" t="s">
        <v>17744</v>
      </c>
      <c r="T2249" s="403" t="s">
        <v>17745</v>
      </c>
      <c r="U2249" s="403"/>
      <c r="V2249" s="403" t="s">
        <v>23024</v>
      </c>
      <c r="W2249" s="403" t="s">
        <v>23024</v>
      </c>
      <c r="X2249" s="403" t="s">
        <v>23024</v>
      </c>
      <c r="Y2249" s="403" t="s">
        <v>23024</v>
      </c>
    </row>
    <row r="2250" spans="1:25">
      <c r="A2250" s="363">
        <f t="shared" si="287"/>
        <v>2249</v>
      </c>
      <c r="B2250" s="363" t="str">
        <f t="shared" si="280"/>
        <v>00</v>
      </c>
      <c r="C2250" s="405" t="str">
        <f t="shared" si="281"/>
        <v>第003844号</v>
      </c>
      <c r="D2250" s="405" t="str">
        <f t="shared" si="282"/>
        <v>（株）イチケン</v>
      </c>
      <c r="E2250" s="405" t="str">
        <f t="shared" si="283"/>
        <v/>
      </c>
      <c r="F2250" s="405" t="str">
        <f t="shared" si="284"/>
        <v>太田　信孝</v>
      </c>
      <c r="G2250" s="405" t="str">
        <f t="shared" si="285"/>
        <v>九州支店</v>
      </c>
      <c r="H2250" s="405" t="str">
        <f t="shared" si="286"/>
        <v>福岡市中央区大名２－４－３５</v>
      </c>
      <c r="L2250" s="404" t="s">
        <v>12504</v>
      </c>
      <c r="M2250" s="404" t="s">
        <v>12505</v>
      </c>
      <c r="N2250" s="404" t="s">
        <v>5907</v>
      </c>
      <c r="O2250" s="404" t="s">
        <v>7083</v>
      </c>
      <c r="P2250" s="404" t="s">
        <v>6579</v>
      </c>
      <c r="Q2250" s="404" t="s">
        <v>21549</v>
      </c>
      <c r="R2250" s="404" t="s">
        <v>21550</v>
      </c>
      <c r="S2250" s="404" t="s">
        <v>21551</v>
      </c>
      <c r="T2250" s="404" t="s">
        <v>21552</v>
      </c>
      <c r="U2250" s="404"/>
      <c r="V2250" s="404" t="s">
        <v>7007</v>
      </c>
      <c r="W2250" s="404" t="s">
        <v>17746</v>
      </c>
      <c r="X2250" s="404" t="s">
        <v>13390</v>
      </c>
      <c r="Y2250" s="404" t="s">
        <v>21553</v>
      </c>
    </row>
    <row r="2251" spans="1:25">
      <c r="A2251" s="363">
        <f t="shared" si="287"/>
        <v>2250</v>
      </c>
      <c r="B2251" s="363" t="str">
        <f t="shared" si="280"/>
        <v>00</v>
      </c>
      <c r="C2251" s="405" t="str">
        <f t="shared" si="281"/>
        <v>第003862号</v>
      </c>
      <c r="D2251" s="405" t="str">
        <f t="shared" si="282"/>
        <v>積水アクアシステム（株）</v>
      </c>
      <c r="E2251" s="405" t="str">
        <f t="shared" si="283"/>
        <v>代表取締役社長</v>
      </c>
      <c r="F2251" s="405" t="str">
        <f t="shared" si="284"/>
        <v>今川　明</v>
      </c>
      <c r="G2251" s="405" t="str">
        <f t="shared" si="285"/>
        <v>主たる営業所</v>
      </c>
      <c r="H2251" s="405" t="str">
        <f t="shared" si="286"/>
        <v>大阪市北区大淀中１－１－３０</v>
      </c>
      <c r="L2251" s="402" t="s">
        <v>12506</v>
      </c>
      <c r="M2251" s="402" t="s">
        <v>12507</v>
      </c>
      <c r="N2251" s="402" t="s">
        <v>5908</v>
      </c>
      <c r="O2251" s="402" t="s">
        <v>7083</v>
      </c>
      <c r="P2251" s="402" t="s">
        <v>6580</v>
      </c>
      <c r="Q2251" s="402" t="s">
        <v>12508</v>
      </c>
      <c r="R2251" s="402" t="s">
        <v>21554</v>
      </c>
      <c r="S2251" s="402" t="s">
        <v>17747</v>
      </c>
      <c r="T2251" s="402" t="s">
        <v>17748</v>
      </c>
      <c r="U2251" s="402"/>
      <c r="V2251" s="403" t="s">
        <v>23024</v>
      </c>
      <c r="W2251" s="403" t="s">
        <v>23024</v>
      </c>
      <c r="X2251" s="403" t="s">
        <v>23024</v>
      </c>
      <c r="Y2251" s="403" t="s">
        <v>23024</v>
      </c>
    </row>
    <row r="2252" spans="1:25">
      <c r="A2252" s="363">
        <f t="shared" si="287"/>
        <v>2251</v>
      </c>
      <c r="B2252" s="363" t="str">
        <f t="shared" si="280"/>
        <v>00</v>
      </c>
      <c r="C2252" s="405" t="str">
        <f t="shared" si="281"/>
        <v>第003885号</v>
      </c>
      <c r="D2252" s="405" t="str">
        <f t="shared" si="282"/>
        <v>（株）関電工</v>
      </c>
      <c r="E2252" s="405" t="str">
        <f t="shared" si="283"/>
        <v/>
      </c>
      <c r="F2252" s="405" t="str">
        <f t="shared" si="284"/>
        <v>永翁　広志</v>
      </c>
      <c r="G2252" s="405" t="str">
        <f t="shared" si="285"/>
        <v>九州支店</v>
      </c>
      <c r="H2252" s="405" t="str">
        <f t="shared" si="286"/>
        <v>福岡市中央区薬院１－１－１　薬院ビジネスガーデン４Ｆ</v>
      </c>
      <c r="L2252" s="403" t="s">
        <v>12509</v>
      </c>
      <c r="M2252" s="403" t="s">
        <v>12510</v>
      </c>
      <c r="N2252" s="403" t="s">
        <v>5909</v>
      </c>
      <c r="O2252" s="403" t="s">
        <v>7089</v>
      </c>
      <c r="P2252" s="403" t="s">
        <v>21555</v>
      </c>
      <c r="Q2252" s="403" t="s">
        <v>12511</v>
      </c>
      <c r="R2252" s="403" t="s">
        <v>21556</v>
      </c>
      <c r="S2252" s="403" t="s">
        <v>21557</v>
      </c>
      <c r="T2252" s="403" t="s">
        <v>21558</v>
      </c>
      <c r="U2252" s="403"/>
      <c r="V2252" s="403" t="s">
        <v>7007</v>
      </c>
      <c r="W2252" s="403" t="s">
        <v>17749</v>
      </c>
      <c r="X2252" s="403" t="s">
        <v>12026</v>
      </c>
      <c r="Y2252" s="403" t="s">
        <v>21559</v>
      </c>
    </row>
    <row r="2253" spans="1:25">
      <c r="A2253" s="363">
        <f t="shared" si="287"/>
        <v>2252</v>
      </c>
      <c r="B2253" s="363" t="str">
        <f t="shared" si="280"/>
        <v>00</v>
      </c>
      <c r="C2253" s="405" t="str">
        <f t="shared" si="281"/>
        <v>第003887号</v>
      </c>
      <c r="D2253" s="405" t="str">
        <f t="shared" si="282"/>
        <v>徳倉建設（株）</v>
      </c>
      <c r="E2253" s="405" t="str">
        <f t="shared" si="283"/>
        <v/>
      </c>
      <c r="F2253" s="405" t="str">
        <f t="shared" si="284"/>
        <v>山本　佳久</v>
      </c>
      <c r="G2253" s="405" t="str">
        <f t="shared" si="285"/>
        <v>九州支店</v>
      </c>
      <c r="H2253" s="405" t="str">
        <f t="shared" si="286"/>
        <v>福岡市博多区博多駅南１－８－３１</v>
      </c>
      <c r="L2253" s="403" t="s">
        <v>12512</v>
      </c>
      <c r="M2253" s="403" t="s">
        <v>12513</v>
      </c>
      <c r="N2253" s="403" t="s">
        <v>5910</v>
      </c>
      <c r="O2253" s="403" t="s">
        <v>7083</v>
      </c>
      <c r="P2253" s="403" t="s">
        <v>6581</v>
      </c>
      <c r="Q2253" s="403" t="s">
        <v>12514</v>
      </c>
      <c r="R2253" s="403" t="s">
        <v>21560</v>
      </c>
      <c r="S2253" s="403" t="s">
        <v>21561</v>
      </c>
      <c r="T2253" s="403" t="s">
        <v>21562</v>
      </c>
      <c r="U2253" s="403"/>
      <c r="V2253" s="403" t="s">
        <v>7007</v>
      </c>
      <c r="W2253" s="403" t="s">
        <v>21563</v>
      </c>
      <c r="X2253" s="403" t="s">
        <v>11975</v>
      </c>
      <c r="Y2253" s="403" t="s">
        <v>21079</v>
      </c>
    </row>
    <row r="2254" spans="1:25">
      <c r="A2254" s="363">
        <f t="shared" si="287"/>
        <v>2253</v>
      </c>
      <c r="B2254" s="363" t="str">
        <f t="shared" si="280"/>
        <v>00</v>
      </c>
      <c r="C2254" s="405" t="str">
        <f t="shared" si="281"/>
        <v>第003892号</v>
      </c>
      <c r="D2254" s="405" t="str">
        <f t="shared" si="282"/>
        <v>オルガノ（株）</v>
      </c>
      <c r="E2254" s="405" t="str">
        <f t="shared" si="283"/>
        <v/>
      </c>
      <c r="F2254" s="405" t="str">
        <f t="shared" si="284"/>
        <v>渡邉　紳一朗</v>
      </c>
      <c r="G2254" s="405" t="str">
        <f t="shared" si="285"/>
        <v>九州支店</v>
      </c>
      <c r="H2254" s="405" t="str">
        <f t="shared" si="286"/>
        <v>福岡市中央区白金１－４－２</v>
      </c>
      <c r="L2254" s="403" t="s">
        <v>12515</v>
      </c>
      <c r="M2254" s="403" t="s">
        <v>12516</v>
      </c>
      <c r="N2254" s="403" t="s">
        <v>5911</v>
      </c>
      <c r="O2254" s="403" t="s">
        <v>7084</v>
      </c>
      <c r="P2254" s="403" t="s">
        <v>6582</v>
      </c>
      <c r="Q2254" s="403" t="s">
        <v>12517</v>
      </c>
      <c r="R2254" s="403" t="s">
        <v>21564</v>
      </c>
      <c r="S2254" s="403" t="s">
        <v>21565</v>
      </c>
      <c r="T2254" s="403" t="s">
        <v>21566</v>
      </c>
      <c r="U2254" s="403"/>
      <c r="V2254" s="403" t="s">
        <v>7007</v>
      </c>
      <c r="W2254" s="403" t="s">
        <v>21567</v>
      </c>
      <c r="X2254" s="403" t="s">
        <v>12238</v>
      </c>
      <c r="Y2254" s="403" t="s">
        <v>21568</v>
      </c>
    </row>
    <row r="2255" spans="1:25">
      <c r="A2255" s="363">
        <f t="shared" si="287"/>
        <v>2254</v>
      </c>
      <c r="B2255" s="363" t="str">
        <f t="shared" si="280"/>
        <v>00</v>
      </c>
      <c r="C2255" s="405" t="str">
        <f t="shared" si="281"/>
        <v>第003909号</v>
      </c>
      <c r="D2255" s="405" t="str">
        <f t="shared" si="282"/>
        <v>川田建設（株）</v>
      </c>
      <c r="E2255" s="405" t="str">
        <f t="shared" si="283"/>
        <v/>
      </c>
      <c r="F2255" s="405" t="str">
        <f t="shared" si="284"/>
        <v>大江田　慎太朗</v>
      </c>
      <c r="G2255" s="405" t="str">
        <f t="shared" si="285"/>
        <v>大分営業所</v>
      </c>
      <c r="H2255" s="405" t="str">
        <f t="shared" si="286"/>
        <v>杵築市大字片野１１５０－２１２</v>
      </c>
      <c r="L2255" s="403" t="s">
        <v>12518</v>
      </c>
      <c r="M2255" s="403" t="s">
        <v>12519</v>
      </c>
      <c r="N2255" s="403" t="s">
        <v>5912</v>
      </c>
      <c r="O2255" s="403" t="s">
        <v>7083</v>
      </c>
      <c r="P2255" s="403" t="s">
        <v>6583</v>
      </c>
      <c r="Q2255" s="403" t="s">
        <v>12520</v>
      </c>
      <c r="R2255" s="403" t="s">
        <v>21569</v>
      </c>
      <c r="S2255" s="403" t="s">
        <v>21570</v>
      </c>
      <c r="T2255" s="403" t="s">
        <v>21571</v>
      </c>
      <c r="U2255" s="403"/>
      <c r="V2255" s="403" t="s">
        <v>7013</v>
      </c>
      <c r="W2255" s="403" t="s">
        <v>17750</v>
      </c>
      <c r="X2255" s="403" t="s">
        <v>9392</v>
      </c>
      <c r="Y2255" s="403" t="s">
        <v>21572</v>
      </c>
    </row>
    <row r="2256" spans="1:25">
      <c r="A2256" s="363">
        <f t="shared" si="287"/>
        <v>2255</v>
      </c>
      <c r="B2256" s="363" t="str">
        <f t="shared" si="280"/>
        <v>00</v>
      </c>
      <c r="C2256" s="405" t="str">
        <f t="shared" si="281"/>
        <v>第003925号</v>
      </c>
      <c r="D2256" s="405" t="str">
        <f t="shared" si="282"/>
        <v>村本建設（株）</v>
      </c>
      <c r="E2256" s="405" t="str">
        <f t="shared" si="283"/>
        <v/>
      </c>
      <c r="F2256" s="405" t="str">
        <f t="shared" si="284"/>
        <v>坂本　史英</v>
      </c>
      <c r="G2256" s="405" t="str">
        <f t="shared" si="285"/>
        <v>九州支店</v>
      </c>
      <c r="H2256" s="405" t="str">
        <f t="shared" si="286"/>
        <v>福岡市博多区中洲中島町２－３</v>
      </c>
      <c r="L2256" s="403" t="s">
        <v>12521</v>
      </c>
      <c r="M2256" s="403" t="s">
        <v>12522</v>
      </c>
      <c r="N2256" s="403" t="s">
        <v>5913</v>
      </c>
      <c r="O2256" s="403" t="s">
        <v>7084</v>
      </c>
      <c r="P2256" s="403" t="s">
        <v>6584</v>
      </c>
      <c r="Q2256" s="403" t="s">
        <v>12523</v>
      </c>
      <c r="R2256" s="403" t="s">
        <v>21573</v>
      </c>
      <c r="S2256" s="403" t="s">
        <v>21574</v>
      </c>
      <c r="T2256" s="403" t="s">
        <v>21575</v>
      </c>
      <c r="U2256" s="403"/>
      <c r="V2256" s="403" t="s">
        <v>7007</v>
      </c>
      <c r="W2256" s="403" t="s">
        <v>21576</v>
      </c>
      <c r="X2256" s="403" t="s">
        <v>17751</v>
      </c>
      <c r="Y2256" s="403" t="s">
        <v>21577</v>
      </c>
    </row>
    <row r="2257" spans="1:25">
      <c r="A2257" s="363">
        <f t="shared" si="287"/>
        <v>2256</v>
      </c>
      <c r="B2257" s="363" t="str">
        <f t="shared" si="280"/>
        <v>00</v>
      </c>
      <c r="C2257" s="405" t="str">
        <f t="shared" si="281"/>
        <v>第003931号</v>
      </c>
      <c r="D2257" s="405" t="str">
        <f t="shared" si="282"/>
        <v>日比谷総合設備（株）</v>
      </c>
      <c r="E2257" s="405" t="str">
        <f t="shared" si="283"/>
        <v>代表取締役</v>
      </c>
      <c r="F2257" s="405" t="str">
        <f t="shared" si="284"/>
        <v>中北　英孝</v>
      </c>
      <c r="G2257" s="405" t="str">
        <f t="shared" si="285"/>
        <v>主たる営業所</v>
      </c>
      <c r="H2257" s="405" t="str">
        <f t="shared" si="286"/>
        <v>港区三田３－５－２７</v>
      </c>
      <c r="L2257" s="403" t="s">
        <v>12524</v>
      </c>
      <c r="M2257" s="403" t="s">
        <v>12525</v>
      </c>
      <c r="N2257" s="403" t="s">
        <v>5914</v>
      </c>
      <c r="O2257" s="403" t="s">
        <v>7084</v>
      </c>
      <c r="P2257" s="403" t="s">
        <v>6585</v>
      </c>
      <c r="Q2257" s="403" t="s">
        <v>12526</v>
      </c>
      <c r="R2257" s="403" t="s">
        <v>21578</v>
      </c>
      <c r="S2257" s="403" t="s">
        <v>17752</v>
      </c>
      <c r="T2257" s="403" t="s">
        <v>17753</v>
      </c>
      <c r="U2257" s="403"/>
      <c r="V2257" s="403" t="s">
        <v>23024</v>
      </c>
      <c r="W2257" s="403" t="s">
        <v>23024</v>
      </c>
      <c r="X2257" s="403" t="s">
        <v>23024</v>
      </c>
      <c r="Y2257" s="403" t="s">
        <v>23024</v>
      </c>
    </row>
    <row r="2258" spans="1:25">
      <c r="A2258" s="363">
        <f t="shared" si="287"/>
        <v>2257</v>
      </c>
      <c r="B2258" s="363" t="str">
        <f t="shared" si="280"/>
        <v>00</v>
      </c>
      <c r="C2258" s="405" t="str">
        <f t="shared" si="281"/>
        <v>第003961号</v>
      </c>
      <c r="D2258" s="405" t="str">
        <f t="shared" si="282"/>
        <v>川北電気工業（株）</v>
      </c>
      <c r="E2258" s="405" t="str">
        <f t="shared" si="283"/>
        <v/>
      </c>
      <c r="F2258" s="405" t="str">
        <f t="shared" si="284"/>
        <v>豊岡　正一</v>
      </c>
      <c r="G2258" s="405" t="str">
        <f t="shared" si="285"/>
        <v>九州支社</v>
      </c>
      <c r="H2258" s="405" t="str">
        <f t="shared" si="286"/>
        <v>福岡市中央区薬院１－６－１３</v>
      </c>
      <c r="L2258" s="403" t="s">
        <v>12527</v>
      </c>
      <c r="M2258" s="403" t="s">
        <v>12528</v>
      </c>
      <c r="N2258" s="403" t="s">
        <v>5915</v>
      </c>
      <c r="O2258" s="403" t="s">
        <v>7089</v>
      </c>
      <c r="P2258" s="403" t="s">
        <v>6586</v>
      </c>
      <c r="Q2258" s="403" t="s">
        <v>12115</v>
      </c>
      <c r="R2258" s="403" t="s">
        <v>21579</v>
      </c>
      <c r="S2258" s="403" t="s">
        <v>21580</v>
      </c>
      <c r="T2258" s="403" t="s">
        <v>21581</v>
      </c>
      <c r="U2258" s="403"/>
      <c r="V2258" s="403" t="s">
        <v>7011</v>
      </c>
      <c r="W2258" s="403" t="s">
        <v>17754</v>
      </c>
      <c r="X2258" s="403" t="s">
        <v>12026</v>
      </c>
      <c r="Y2258" s="403" t="s">
        <v>21582</v>
      </c>
    </row>
    <row r="2259" spans="1:25">
      <c r="A2259" s="363">
        <f t="shared" si="287"/>
        <v>2258</v>
      </c>
      <c r="B2259" s="363" t="str">
        <f t="shared" si="280"/>
        <v>00</v>
      </c>
      <c r="C2259" s="405" t="str">
        <f t="shared" si="281"/>
        <v>第003963号</v>
      </c>
      <c r="D2259" s="405" t="str">
        <f t="shared" si="282"/>
        <v>日本ケーブル（株）</v>
      </c>
      <c r="E2259" s="405" t="str">
        <f t="shared" si="283"/>
        <v/>
      </c>
      <c r="F2259" s="405" t="str">
        <f t="shared" si="284"/>
        <v>車田　直毅</v>
      </c>
      <c r="G2259" s="405" t="str">
        <f t="shared" si="285"/>
        <v>大阪支店</v>
      </c>
      <c r="H2259" s="405" t="str">
        <f t="shared" si="286"/>
        <v>大阪市中央区南船場１－１８－１７</v>
      </c>
      <c r="L2259" s="403" t="s">
        <v>12529</v>
      </c>
      <c r="M2259" s="403" t="s">
        <v>12530</v>
      </c>
      <c r="N2259" s="403" t="s">
        <v>5916</v>
      </c>
      <c r="O2259" s="403" t="s">
        <v>7083</v>
      </c>
      <c r="P2259" s="403" t="s">
        <v>6587</v>
      </c>
      <c r="Q2259" s="403" t="s">
        <v>12531</v>
      </c>
      <c r="R2259" s="403" t="s">
        <v>21583</v>
      </c>
      <c r="S2259" s="403" t="s">
        <v>21584</v>
      </c>
      <c r="T2259" s="403" t="s">
        <v>21585</v>
      </c>
      <c r="U2259" s="403"/>
      <c r="V2259" s="403" t="s">
        <v>7028</v>
      </c>
      <c r="W2259" s="403" t="s">
        <v>17755</v>
      </c>
      <c r="X2259" s="403" t="s">
        <v>12161</v>
      </c>
      <c r="Y2259" s="403" t="s">
        <v>21586</v>
      </c>
    </row>
    <row r="2260" spans="1:25">
      <c r="A2260" s="363">
        <f t="shared" si="287"/>
        <v>2259</v>
      </c>
      <c r="B2260" s="363" t="str">
        <f t="shared" si="280"/>
        <v>00</v>
      </c>
      <c r="C2260" s="405" t="str">
        <f t="shared" si="281"/>
        <v>第003993号</v>
      </c>
      <c r="D2260" s="405" t="str">
        <f t="shared" si="282"/>
        <v>ジョンソンコントロールズ（株）</v>
      </c>
      <c r="E2260" s="405" t="str">
        <f t="shared" si="283"/>
        <v/>
      </c>
      <c r="F2260" s="405" t="str">
        <f t="shared" si="284"/>
        <v>小田　治</v>
      </c>
      <c r="G2260" s="405" t="str">
        <f t="shared" si="285"/>
        <v>九州支店</v>
      </c>
      <c r="H2260" s="405" t="str">
        <f t="shared" si="286"/>
        <v>福岡市博多区冷泉町４－２０島津博多ビル５階</v>
      </c>
      <c r="L2260" s="403" t="s">
        <v>12532</v>
      </c>
      <c r="M2260" s="403" t="s">
        <v>12533</v>
      </c>
      <c r="N2260" s="403" t="s">
        <v>5917</v>
      </c>
      <c r="O2260" s="403" t="s">
        <v>7083</v>
      </c>
      <c r="P2260" s="403" t="s">
        <v>21587</v>
      </c>
      <c r="Q2260" s="403" t="s">
        <v>12534</v>
      </c>
      <c r="R2260" s="403" t="s">
        <v>21588</v>
      </c>
      <c r="S2260" s="403" t="s">
        <v>21589</v>
      </c>
      <c r="T2260" s="403" t="s">
        <v>21590</v>
      </c>
      <c r="U2260" s="403"/>
      <c r="V2260" s="403" t="s">
        <v>7007</v>
      </c>
      <c r="W2260" s="403" t="s">
        <v>21591</v>
      </c>
      <c r="X2260" s="403" t="s">
        <v>17756</v>
      </c>
      <c r="Y2260" s="403" t="s">
        <v>21592</v>
      </c>
    </row>
    <row r="2261" spans="1:25">
      <c r="A2261" s="363">
        <f t="shared" si="287"/>
        <v>2260</v>
      </c>
      <c r="B2261" s="363" t="str">
        <f t="shared" si="280"/>
        <v>00</v>
      </c>
      <c r="C2261" s="405" t="str">
        <f t="shared" si="281"/>
        <v>第004008号</v>
      </c>
      <c r="D2261" s="405" t="str">
        <f t="shared" si="282"/>
        <v>（株）工材社</v>
      </c>
      <c r="E2261" s="405" t="str">
        <f t="shared" si="283"/>
        <v>代表取締役</v>
      </c>
      <c r="F2261" s="405" t="str">
        <f t="shared" si="284"/>
        <v>竹村　圭一</v>
      </c>
      <c r="G2261" s="405" t="str">
        <f t="shared" si="285"/>
        <v>主たる営業所</v>
      </c>
      <c r="H2261" s="405" t="str">
        <f t="shared" si="286"/>
        <v>北九州市門司区大里東口３－１０</v>
      </c>
      <c r="L2261" s="403" t="s">
        <v>12535</v>
      </c>
      <c r="M2261" s="403" t="s">
        <v>12536</v>
      </c>
      <c r="N2261" s="403" t="s">
        <v>5918</v>
      </c>
      <c r="O2261" s="403" t="s">
        <v>7084</v>
      </c>
      <c r="P2261" s="403" t="s">
        <v>6588</v>
      </c>
      <c r="Q2261" s="403" t="s">
        <v>12537</v>
      </c>
      <c r="R2261" s="403" t="s">
        <v>21593</v>
      </c>
      <c r="S2261" s="403" t="s">
        <v>17757</v>
      </c>
      <c r="T2261" s="403" t="s">
        <v>17758</v>
      </c>
      <c r="U2261" s="403"/>
      <c r="V2261" s="403" t="s">
        <v>23024</v>
      </c>
      <c r="W2261" s="403" t="s">
        <v>23024</v>
      </c>
      <c r="X2261" s="403" t="s">
        <v>23024</v>
      </c>
      <c r="Y2261" s="403" t="s">
        <v>23024</v>
      </c>
    </row>
    <row r="2262" spans="1:25">
      <c r="A2262" s="363">
        <f t="shared" si="287"/>
        <v>2261</v>
      </c>
      <c r="B2262" s="363" t="str">
        <f t="shared" si="280"/>
        <v>00</v>
      </c>
      <c r="C2262" s="405" t="str">
        <f t="shared" si="281"/>
        <v>第004018号</v>
      </c>
      <c r="D2262" s="405" t="str">
        <f t="shared" si="282"/>
        <v>オリエンタル白石（株）</v>
      </c>
      <c r="E2262" s="405" t="str">
        <f t="shared" si="283"/>
        <v/>
      </c>
      <c r="F2262" s="405" t="str">
        <f t="shared" si="284"/>
        <v>藤木　慶博</v>
      </c>
      <c r="G2262" s="405" t="str">
        <f t="shared" si="285"/>
        <v>九州支店</v>
      </c>
      <c r="H2262" s="405" t="str">
        <f t="shared" si="286"/>
        <v>福岡市中央区天神４－２－３１</v>
      </c>
      <c r="L2262" s="403" t="s">
        <v>12538</v>
      </c>
      <c r="M2262" s="403" t="s">
        <v>12539</v>
      </c>
      <c r="N2262" s="403" t="s">
        <v>5919</v>
      </c>
      <c r="O2262" s="403" t="s">
        <v>7083</v>
      </c>
      <c r="P2262" s="403" t="s">
        <v>6589</v>
      </c>
      <c r="Q2262" s="403" t="s">
        <v>12494</v>
      </c>
      <c r="R2262" s="403" t="s">
        <v>21594</v>
      </c>
      <c r="S2262" s="403" t="s">
        <v>21595</v>
      </c>
      <c r="T2262" s="403" t="s">
        <v>21596</v>
      </c>
      <c r="U2262" s="403"/>
      <c r="V2262" s="403" t="s">
        <v>7007</v>
      </c>
      <c r="W2262" s="403" t="s">
        <v>21597</v>
      </c>
      <c r="X2262" s="403" t="s">
        <v>17517</v>
      </c>
      <c r="Y2262" s="403" t="s">
        <v>21598</v>
      </c>
    </row>
    <row r="2263" spans="1:25">
      <c r="A2263" s="363">
        <f t="shared" si="287"/>
        <v>2262</v>
      </c>
      <c r="B2263" s="363" t="str">
        <f t="shared" si="280"/>
        <v>00</v>
      </c>
      <c r="C2263" s="405" t="str">
        <f t="shared" si="281"/>
        <v>第004070号</v>
      </c>
      <c r="D2263" s="405" t="str">
        <f t="shared" si="282"/>
        <v>斎久工業（株）</v>
      </c>
      <c r="E2263" s="405" t="str">
        <f t="shared" si="283"/>
        <v/>
      </c>
      <c r="F2263" s="405" t="str">
        <f t="shared" si="284"/>
        <v>安部　正信</v>
      </c>
      <c r="G2263" s="405" t="str">
        <f t="shared" si="285"/>
        <v>九州支店</v>
      </c>
      <c r="H2263" s="405" t="str">
        <f t="shared" si="286"/>
        <v>福岡市博多区博多駅前２－２０－１</v>
      </c>
      <c r="L2263" s="403" t="s">
        <v>12540</v>
      </c>
      <c r="M2263" s="403" t="s">
        <v>12541</v>
      </c>
      <c r="N2263" s="403" t="s">
        <v>5920</v>
      </c>
      <c r="O2263" s="403" t="s">
        <v>7083</v>
      </c>
      <c r="P2263" s="403" t="s">
        <v>6590</v>
      </c>
      <c r="Q2263" s="403" t="s">
        <v>12271</v>
      </c>
      <c r="R2263" s="403" t="s">
        <v>21599</v>
      </c>
      <c r="S2263" s="403" t="s">
        <v>21600</v>
      </c>
      <c r="T2263" s="403" t="s">
        <v>21601</v>
      </c>
      <c r="U2263" s="403"/>
      <c r="V2263" s="403" t="s">
        <v>7007</v>
      </c>
      <c r="W2263" s="403" t="s">
        <v>17759</v>
      </c>
      <c r="X2263" s="403" t="s">
        <v>13015</v>
      </c>
      <c r="Y2263" s="403" t="s">
        <v>21602</v>
      </c>
    </row>
    <row r="2264" spans="1:25">
      <c r="A2264" s="363">
        <f t="shared" si="287"/>
        <v>2263</v>
      </c>
      <c r="B2264" s="363" t="str">
        <f t="shared" si="280"/>
        <v>00</v>
      </c>
      <c r="C2264" s="405" t="str">
        <f t="shared" si="281"/>
        <v>第004100号</v>
      </c>
      <c r="D2264" s="405" t="str">
        <f t="shared" si="282"/>
        <v>（株）松村組</v>
      </c>
      <c r="E2264" s="405" t="str">
        <f t="shared" si="283"/>
        <v/>
      </c>
      <c r="F2264" s="405" t="str">
        <f t="shared" si="284"/>
        <v>佐藤　成樹</v>
      </c>
      <c r="G2264" s="405" t="str">
        <f t="shared" si="285"/>
        <v>広島九州支店</v>
      </c>
      <c r="H2264" s="405" t="str">
        <f t="shared" si="286"/>
        <v>広島市中区大手町３－１３－１８</v>
      </c>
      <c r="L2264" s="403" t="s">
        <v>21603</v>
      </c>
      <c r="M2264" s="403" t="s">
        <v>21604</v>
      </c>
      <c r="N2264" s="403" t="s">
        <v>21605</v>
      </c>
      <c r="O2264" s="403" t="s">
        <v>7083</v>
      </c>
      <c r="P2264" s="403" t="s">
        <v>21606</v>
      </c>
      <c r="Q2264" s="403" t="s">
        <v>21607</v>
      </c>
      <c r="R2264" s="403" t="s">
        <v>21608</v>
      </c>
      <c r="S2264" s="403" t="s">
        <v>21609</v>
      </c>
      <c r="T2264" s="403" t="s">
        <v>21610</v>
      </c>
      <c r="U2264" s="403"/>
      <c r="V2264" s="403" t="s">
        <v>21611</v>
      </c>
      <c r="W2264" s="403" t="s">
        <v>21612</v>
      </c>
      <c r="X2264" s="403" t="s">
        <v>12075</v>
      </c>
      <c r="Y2264" s="403" t="s">
        <v>21613</v>
      </c>
    </row>
    <row r="2265" spans="1:25">
      <c r="A2265" s="363">
        <f t="shared" si="287"/>
        <v>2264</v>
      </c>
      <c r="B2265" s="363" t="str">
        <f t="shared" si="280"/>
        <v>00</v>
      </c>
      <c r="C2265" s="405" t="str">
        <f t="shared" si="281"/>
        <v>第004101号</v>
      </c>
      <c r="D2265" s="405" t="str">
        <f t="shared" si="282"/>
        <v>（株）ナカボーテック</v>
      </c>
      <c r="E2265" s="405" t="str">
        <f t="shared" si="283"/>
        <v/>
      </c>
      <c r="F2265" s="405" t="str">
        <f t="shared" si="284"/>
        <v>三宅　達也</v>
      </c>
      <c r="G2265" s="405" t="str">
        <f t="shared" si="285"/>
        <v>九州支店</v>
      </c>
      <c r="H2265" s="405" t="str">
        <f t="shared" si="286"/>
        <v>福岡市中央区大名２－４－２２</v>
      </c>
      <c r="L2265" s="403" t="s">
        <v>12542</v>
      </c>
      <c r="M2265" s="403" t="s">
        <v>12543</v>
      </c>
      <c r="N2265" s="403" t="s">
        <v>5921</v>
      </c>
      <c r="O2265" s="403" t="s">
        <v>7083</v>
      </c>
      <c r="P2265" s="403" t="s">
        <v>21614</v>
      </c>
      <c r="Q2265" s="403" t="s">
        <v>11946</v>
      </c>
      <c r="R2265" s="403" t="s">
        <v>21615</v>
      </c>
      <c r="S2265" s="403" t="s">
        <v>21616</v>
      </c>
      <c r="T2265" s="403" t="s">
        <v>21617</v>
      </c>
      <c r="U2265" s="403"/>
      <c r="V2265" s="403" t="s">
        <v>7007</v>
      </c>
      <c r="W2265" s="403" t="s">
        <v>17760</v>
      </c>
      <c r="X2265" s="403" t="s">
        <v>13390</v>
      </c>
      <c r="Y2265" s="403" t="s">
        <v>21618</v>
      </c>
    </row>
    <row r="2266" spans="1:25">
      <c r="A2266" s="363">
        <f t="shared" si="287"/>
        <v>2265</v>
      </c>
      <c r="B2266" s="363" t="str">
        <f t="shared" si="280"/>
        <v>00</v>
      </c>
      <c r="C2266" s="405" t="str">
        <f t="shared" si="281"/>
        <v>第004120号</v>
      </c>
      <c r="D2266" s="405" t="str">
        <f t="shared" si="282"/>
        <v>アイサワ工業（株）</v>
      </c>
      <c r="E2266" s="405" t="str">
        <f t="shared" si="283"/>
        <v/>
      </c>
      <c r="F2266" s="405" t="str">
        <f t="shared" si="284"/>
        <v>毛利　正彦</v>
      </c>
      <c r="G2266" s="405" t="str">
        <f t="shared" si="285"/>
        <v>九州支店</v>
      </c>
      <c r="H2266" s="405" t="str">
        <f t="shared" si="286"/>
        <v>福岡市中央区天神１－２－４</v>
      </c>
      <c r="L2266" s="403" t="s">
        <v>12544</v>
      </c>
      <c r="M2266" s="403" t="s">
        <v>12545</v>
      </c>
      <c r="N2266" s="403" t="s">
        <v>5922</v>
      </c>
      <c r="O2266" s="403" t="s">
        <v>7089</v>
      </c>
      <c r="P2266" s="403" t="s">
        <v>6591</v>
      </c>
      <c r="Q2266" s="403" t="s">
        <v>12546</v>
      </c>
      <c r="R2266" s="403" t="s">
        <v>21619</v>
      </c>
      <c r="S2266" s="403" t="s">
        <v>21620</v>
      </c>
      <c r="T2266" s="403" t="s">
        <v>21621</v>
      </c>
      <c r="U2266" s="403"/>
      <c r="V2266" s="403" t="s">
        <v>7007</v>
      </c>
      <c r="W2266" s="403" t="s">
        <v>17761</v>
      </c>
      <c r="X2266" s="403" t="s">
        <v>17517</v>
      </c>
      <c r="Y2266" s="403" t="s">
        <v>21622</v>
      </c>
    </row>
    <row r="2267" spans="1:25">
      <c r="A2267" s="363">
        <f t="shared" si="287"/>
        <v>2266</v>
      </c>
      <c r="B2267" s="363" t="str">
        <f t="shared" si="280"/>
        <v>00</v>
      </c>
      <c r="C2267" s="405" t="str">
        <f t="shared" si="281"/>
        <v>第004166号</v>
      </c>
      <c r="D2267" s="405" t="str">
        <f t="shared" si="282"/>
        <v>（株）神鋼環境ソリューション</v>
      </c>
      <c r="E2267" s="405" t="str">
        <f t="shared" si="283"/>
        <v/>
      </c>
      <c r="F2267" s="405" t="str">
        <f t="shared" si="284"/>
        <v>坂巻　良昭</v>
      </c>
      <c r="G2267" s="405" t="str">
        <f t="shared" si="285"/>
        <v>九州支店</v>
      </c>
      <c r="H2267" s="405" t="str">
        <f t="shared" si="286"/>
        <v>福岡市博多区博多駅中央街１－１新幹線博多ビル</v>
      </c>
      <c r="L2267" s="403" t="s">
        <v>12547</v>
      </c>
      <c r="M2267" s="403" t="s">
        <v>12548</v>
      </c>
      <c r="N2267" s="403" t="s">
        <v>5923</v>
      </c>
      <c r="O2267" s="403" t="s">
        <v>7089</v>
      </c>
      <c r="P2267" s="403" t="s">
        <v>21623</v>
      </c>
      <c r="Q2267" s="403" t="s">
        <v>12549</v>
      </c>
      <c r="R2267" s="403" t="s">
        <v>21624</v>
      </c>
      <c r="S2267" s="403" t="s">
        <v>21625</v>
      </c>
      <c r="T2267" s="403" t="s">
        <v>21626</v>
      </c>
      <c r="U2267" s="403"/>
      <c r="V2267" s="403" t="s">
        <v>7007</v>
      </c>
      <c r="W2267" s="403" t="s">
        <v>21627</v>
      </c>
      <c r="X2267" s="403" t="s">
        <v>17715</v>
      </c>
      <c r="Y2267" s="403" t="s">
        <v>21628</v>
      </c>
    </row>
    <row r="2268" spans="1:25">
      <c r="A2268" s="363">
        <f t="shared" si="287"/>
        <v>2267</v>
      </c>
      <c r="B2268" s="363" t="str">
        <f t="shared" si="280"/>
        <v>00</v>
      </c>
      <c r="C2268" s="405" t="str">
        <f t="shared" si="281"/>
        <v>第004226号</v>
      </c>
      <c r="D2268" s="405" t="str">
        <f t="shared" si="282"/>
        <v>都築電気（株）</v>
      </c>
      <c r="E2268" s="405" t="str">
        <f t="shared" si="283"/>
        <v/>
      </c>
      <c r="F2268" s="405" t="str">
        <f t="shared" si="284"/>
        <v>日高　圭一</v>
      </c>
      <c r="G2268" s="405" t="str">
        <f t="shared" si="285"/>
        <v>福岡オフィス</v>
      </c>
      <c r="H2268" s="405" t="str">
        <f t="shared" si="286"/>
        <v>福岡市博多区博多駅東１－１１－５</v>
      </c>
      <c r="L2268" s="403" t="s">
        <v>12550</v>
      </c>
      <c r="M2268" s="403" t="s">
        <v>12551</v>
      </c>
      <c r="N2268" s="403" t="s">
        <v>5924</v>
      </c>
      <c r="O2268" s="403" t="s">
        <v>7083</v>
      </c>
      <c r="P2268" s="403" t="s">
        <v>21629</v>
      </c>
      <c r="Q2268" s="403" t="s">
        <v>12552</v>
      </c>
      <c r="R2268" s="403" t="s">
        <v>21630</v>
      </c>
      <c r="S2268" s="403" t="s">
        <v>21631</v>
      </c>
      <c r="T2268" s="403" t="s">
        <v>21632</v>
      </c>
      <c r="U2268" s="403"/>
      <c r="V2268" s="403" t="s">
        <v>21633</v>
      </c>
      <c r="W2268" s="403" t="s">
        <v>21634</v>
      </c>
      <c r="X2268" s="403" t="s">
        <v>13524</v>
      </c>
      <c r="Y2268" s="403" t="s">
        <v>21635</v>
      </c>
    </row>
    <row r="2269" spans="1:25">
      <c r="A2269" s="363">
        <f t="shared" si="287"/>
        <v>2268</v>
      </c>
      <c r="B2269" s="363" t="str">
        <f t="shared" si="280"/>
        <v>00</v>
      </c>
      <c r="C2269" s="405" t="str">
        <f t="shared" si="281"/>
        <v>第004233号</v>
      </c>
      <c r="D2269" s="405" t="str">
        <f t="shared" si="282"/>
        <v>（株）システムハウスアールアンドシー</v>
      </c>
      <c r="E2269" s="405" t="str">
        <f t="shared" si="283"/>
        <v/>
      </c>
      <c r="F2269" s="405" t="str">
        <f t="shared" si="284"/>
        <v>前田　広樹</v>
      </c>
      <c r="G2269" s="405" t="str">
        <f t="shared" si="285"/>
        <v>九州支店</v>
      </c>
      <c r="H2269" s="405" t="str">
        <f t="shared" si="286"/>
        <v>福岡市博多区下呉服町１－１－４Ｆ</v>
      </c>
      <c r="L2269" s="403" t="s">
        <v>21636</v>
      </c>
      <c r="M2269" s="403" t="s">
        <v>21637</v>
      </c>
      <c r="N2269" s="403" t="s">
        <v>21638</v>
      </c>
      <c r="O2269" s="403" t="s">
        <v>7084</v>
      </c>
      <c r="P2269" s="403" t="s">
        <v>6421</v>
      </c>
      <c r="Q2269" s="403" t="s">
        <v>21639</v>
      </c>
      <c r="R2269" s="403" t="s">
        <v>21640</v>
      </c>
      <c r="S2269" s="403" t="s">
        <v>21641</v>
      </c>
      <c r="T2269" s="403" t="s">
        <v>21642</v>
      </c>
      <c r="U2269" s="403"/>
      <c r="V2269" s="403" t="s">
        <v>7007</v>
      </c>
      <c r="W2269" s="403" t="s">
        <v>21643</v>
      </c>
      <c r="X2269" s="403" t="s">
        <v>17703</v>
      </c>
      <c r="Y2269" s="403" t="s">
        <v>21644</v>
      </c>
    </row>
    <row r="2270" spans="1:25">
      <c r="A2270" s="363">
        <f t="shared" si="287"/>
        <v>2269</v>
      </c>
      <c r="B2270" s="363" t="str">
        <f t="shared" si="280"/>
        <v>00</v>
      </c>
      <c r="C2270" s="405" t="str">
        <f t="shared" si="281"/>
        <v>第004245号</v>
      </c>
      <c r="D2270" s="405" t="str">
        <f t="shared" si="282"/>
        <v>（株）ミゾタ</v>
      </c>
      <c r="E2270" s="405" t="str">
        <f t="shared" si="283"/>
        <v>取締役社長</v>
      </c>
      <c r="F2270" s="405" t="str">
        <f t="shared" si="284"/>
        <v>井田　建</v>
      </c>
      <c r="G2270" s="405" t="str">
        <f t="shared" si="285"/>
        <v>主たる営業所</v>
      </c>
      <c r="H2270" s="405" t="str">
        <f t="shared" si="286"/>
        <v>佐賀市伊勢町１５－１</v>
      </c>
      <c r="L2270" s="403" t="s">
        <v>12553</v>
      </c>
      <c r="M2270" s="403" t="s">
        <v>12554</v>
      </c>
      <c r="N2270" s="403" t="s">
        <v>5925</v>
      </c>
      <c r="O2270" s="403" t="s">
        <v>7089</v>
      </c>
      <c r="P2270" s="403" t="s">
        <v>6592</v>
      </c>
      <c r="Q2270" s="403" t="s">
        <v>12555</v>
      </c>
      <c r="R2270" s="403" t="s">
        <v>21645</v>
      </c>
      <c r="S2270" s="403" t="s">
        <v>17762</v>
      </c>
      <c r="T2270" s="403" t="s">
        <v>17763</v>
      </c>
      <c r="U2270" s="403"/>
      <c r="V2270" s="403" t="s">
        <v>23024</v>
      </c>
      <c r="W2270" s="403" t="s">
        <v>23024</v>
      </c>
      <c r="X2270" s="403" t="s">
        <v>23024</v>
      </c>
      <c r="Y2270" s="403" t="s">
        <v>23024</v>
      </c>
    </row>
    <row r="2271" spans="1:25">
      <c r="A2271" s="363">
        <f t="shared" si="287"/>
        <v>2270</v>
      </c>
      <c r="B2271" s="363" t="str">
        <f t="shared" si="280"/>
        <v>00</v>
      </c>
      <c r="C2271" s="405" t="str">
        <f t="shared" si="281"/>
        <v>第004255号</v>
      </c>
      <c r="D2271" s="405" t="str">
        <f t="shared" si="282"/>
        <v>日本無線（株）</v>
      </c>
      <c r="E2271" s="405" t="str">
        <f t="shared" si="283"/>
        <v/>
      </c>
      <c r="F2271" s="405" t="str">
        <f t="shared" si="284"/>
        <v>内山　竜二</v>
      </c>
      <c r="G2271" s="405" t="str">
        <f t="shared" si="285"/>
        <v>大分営業所</v>
      </c>
      <c r="H2271" s="405" t="str">
        <f t="shared" si="286"/>
        <v>大分市王子町７－１</v>
      </c>
      <c r="L2271" s="403" t="s">
        <v>12556</v>
      </c>
      <c r="M2271" s="403" t="s">
        <v>12557</v>
      </c>
      <c r="N2271" s="403" t="s">
        <v>5926</v>
      </c>
      <c r="O2271" s="403" t="s">
        <v>7100</v>
      </c>
      <c r="P2271" s="403" t="s">
        <v>6593</v>
      </c>
      <c r="Q2271" s="403" t="s">
        <v>12558</v>
      </c>
      <c r="R2271" s="403" t="s">
        <v>21646</v>
      </c>
      <c r="S2271" s="403" t="s">
        <v>21647</v>
      </c>
      <c r="T2271" s="403" t="s">
        <v>21648</v>
      </c>
      <c r="U2271" s="403"/>
      <c r="V2271" s="403" t="s">
        <v>7013</v>
      </c>
      <c r="W2271" s="403" t="s">
        <v>17764</v>
      </c>
      <c r="X2271" s="403" t="s">
        <v>11549</v>
      </c>
      <c r="Y2271" s="403" t="s">
        <v>21649</v>
      </c>
    </row>
    <row r="2272" spans="1:25">
      <c r="A2272" s="363">
        <f t="shared" si="287"/>
        <v>2271</v>
      </c>
      <c r="B2272" s="363" t="str">
        <f t="shared" si="280"/>
        <v>00</v>
      </c>
      <c r="C2272" s="405" t="str">
        <f t="shared" si="281"/>
        <v>第004272号</v>
      </c>
      <c r="D2272" s="405" t="str">
        <f t="shared" si="282"/>
        <v>日本工営エナジーソリューションズ（株）</v>
      </c>
      <c r="E2272" s="405" t="str">
        <f t="shared" si="283"/>
        <v>代表取締役</v>
      </c>
      <c r="F2272" s="405" t="str">
        <f t="shared" si="284"/>
        <v>横田　裕史</v>
      </c>
      <c r="G2272" s="405" t="str">
        <f t="shared" si="285"/>
        <v>主たる営業所</v>
      </c>
      <c r="H2272" s="405" t="str">
        <f t="shared" si="286"/>
        <v>千代田区麹町５－４</v>
      </c>
      <c r="L2272" s="403" t="s">
        <v>12559</v>
      </c>
      <c r="M2272" s="403" t="s">
        <v>12560</v>
      </c>
      <c r="N2272" s="403" t="s">
        <v>5927</v>
      </c>
      <c r="O2272" s="403" t="s">
        <v>7084</v>
      </c>
      <c r="P2272" s="403" t="s">
        <v>6594</v>
      </c>
      <c r="Q2272" s="403" t="s">
        <v>12561</v>
      </c>
      <c r="R2272" s="403" t="s">
        <v>21650</v>
      </c>
      <c r="S2272" s="403" t="s">
        <v>17765</v>
      </c>
      <c r="T2272" s="403" t="s">
        <v>17766</v>
      </c>
      <c r="U2272" s="403"/>
      <c r="V2272" s="403" t="s">
        <v>23024</v>
      </c>
      <c r="W2272" s="403" t="s">
        <v>23024</v>
      </c>
      <c r="X2272" s="403" t="s">
        <v>23024</v>
      </c>
      <c r="Y2272" s="403" t="s">
        <v>23024</v>
      </c>
    </row>
    <row r="2273" spans="1:25">
      <c r="A2273" s="363">
        <f t="shared" si="287"/>
        <v>2272</v>
      </c>
      <c r="B2273" s="363" t="str">
        <f t="shared" si="280"/>
        <v>00</v>
      </c>
      <c r="C2273" s="405" t="str">
        <f t="shared" si="281"/>
        <v>第004287号</v>
      </c>
      <c r="D2273" s="405" t="str">
        <f t="shared" si="282"/>
        <v>日本サミコン（株）</v>
      </c>
      <c r="E2273" s="405" t="str">
        <f t="shared" si="283"/>
        <v/>
      </c>
      <c r="F2273" s="405" t="str">
        <f t="shared" si="284"/>
        <v>一法師　英二</v>
      </c>
      <c r="G2273" s="405" t="str">
        <f t="shared" si="285"/>
        <v>九州支店</v>
      </c>
      <c r="H2273" s="405" t="str">
        <f t="shared" si="286"/>
        <v>熊本市東区健軍本町１－１１</v>
      </c>
      <c r="L2273" s="403" t="s">
        <v>12562</v>
      </c>
      <c r="M2273" s="403" t="s">
        <v>12563</v>
      </c>
      <c r="N2273" s="403" t="s">
        <v>5928</v>
      </c>
      <c r="O2273" s="403" t="s">
        <v>7083</v>
      </c>
      <c r="P2273" s="403" t="s">
        <v>6595</v>
      </c>
      <c r="Q2273" s="403" t="s">
        <v>12564</v>
      </c>
      <c r="R2273" s="403" t="s">
        <v>21651</v>
      </c>
      <c r="S2273" s="403" t="s">
        <v>21652</v>
      </c>
      <c r="T2273" s="403" t="s">
        <v>21653</v>
      </c>
      <c r="U2273" s="403"/>
      <c r="V2273" s="403" t="s">
        <v>7007</v>
      </c>
      <c r="W2273" s="403" t="s">
        <v>21654</v>
      </c>
      <c r="X2273" s="403" t="s">
        <v>17767</v>
      </c>
      <c r="Y2273" s="403" t="s">
        <v>21655</v>
      </c>
    </row>
    <row r="2274" spans="1:25">
      <c r="A2274" s="363">
        <f t="shared" si="287"/>
        <v>2273</v>
      </c>
      <c r="B2274" s="363" t="str">
        <f t="shared" si="280"/>
        <v>00</v>
      </c>
      <c r="C2274" s="405" t="str">
        <f t="shared" si="281"/>
        <v>第004292号</v>
      </c>
      <c r="D2274" s="405" t="str">
        <f t="shared" si="282"/>
        <v>ホーチキ（株）</v>
      </c>
      <c r="E2274" s="405" t="str">
        <f t="shared" si="283"/>
        <v/>
      </c>
      <c r="F2274" s="405" t="str">
        <f t="shared" si="284"/>
        <v>城戸　義博</v>
      </c>
      <c r="G2274" s="405" t="str">
        <f t="shared" si="285"/>
        <v>九州支店</v>
      </c>
      <c r="H2274" s="405" t="str">
        <f t="shared" si="286"/>
        <v>福岡市南区向野１－１７－２</v>
      </c>
      <c r="L2274" s="403" t="s">
        <v>12565</v>
      </c>
      <c r="M2274" s="403" t="s">
        <v>12566</v>
      </c>
      <c r="N2274" s="403" t="s">
        <v>5929</v>
      </c>
      <c r="O2274" s="403" t="s">
        <v>7094</v>
      </c>
      <c r="P2274" s="403" t="s">
        <v>6596</v>
      </c>
      <c r="Q2274" s="403" t="s">
        <v>12567</v>
      </c>
      <c r="R2274" s="403" t="s">
        <v>21656</v>
      </c>
      <c r="S2274" s="403" t="s">
        <v>21657</v>
      </c>
      <c r="T2274" s="403" t="s">
        <v>21658</v>
      </c>
      <c r="U2274" s="403"/>
      <c r="V2274" s="403" t="s">
        <v>7007</v>
      </c>
      <c r="W2274" s="403" t="s">
        <v>21659</v>
      </c>
      <c r="X2274" s="403" t="s">
        <v>13490</v>
      </c>
      <c r="Y2274" s="403" t="s">
        <v>21660</v>
      </c>
    </row>
    <row r="2275" spans="1:25">
      <c r="A2275" s="363">
        <f t="shared" si="287"/>
        <v>2274</v>
      </c>
      <c r="B2275" s="363" t="str">
        <f t="shared" si="280"/>
        <v>00</v>
      </c>
      <c r="C2275" s="405" t="str">
        <f t="shared" si="281"/>
        <v>第004298号</v>
      </c>
      <c r="D2275" s="405" t="str">
        <f t="shared" si="282"/>
        <v>日本製紙総合開発（株）</v>
      </c>
      <c r="E2275" s="405" t="str">
        <f t="shared" si="283"/>
        <v/>
      </c>
      <c r="F2275" s="405" t="str">
        <f t="shared" si="284"/>
        <v>塩見　義郎</v>
      </c>
      <c r="G2275" s="405" t="str">
        <f t="shared" si="285"/>
        <v>熊本営業所</v>
      </c>
      <c r="H2275" s="405" t="str">
        <f t="shared" si="286"/>
        <v>八代市萩原町１－８－１６</v>
      </c>
      <c r="L2275" s="403" t="s">
        <v>12568</v>
      </c>
      <c r="M2275" s="403" t="s">
        <v>12569</v>
      </c>
      <c r="N2275" s="403" t="s">
        <v>5930</v>
      </c>
      <c r="O2275" s="403" t="s">
        <v>7084</v>
      </c>
      <c r="P2275" s="403" t="s">
        <v>21661</v>
      </c>
      <c r="Q2275" s="403" t="s">
        <v>12570</v>
      </c>
      <c r="R2275" s="403" t="s">
        <v>21662</v>
      </c>
      <c r="S2275" s="403" t="s">
        <v>21663</v>
      </c>
      <c r="T2275" s="403" t="s">
        <v>21664</v>
      </c>
      <c r="U2275" s="403"/>
      <c r="V2275" s="403" t="s">
        <v>7029</v>
      </c>
      <c r="W2275" s="403" t="s">
        <v>17768</v>
      </c>
      <c r="X2275" s="403" t="s">
        <v>17769</v>
      </c>
      <c r="Y2275" s="403" t="s">
        <v>21665</v>
      </c>
    </row>
    <row r="2276" spans="1:25">
      <c r="A2276" s="363">
        <f t="shared" si="287"/>
        <v>2275</v>
      </c>
      <c r="B2276" s="363" t="str">
        <f t="shared" si="280"/>
        <v>00</v>
      </c>
      <c r="C2276" s="405" t="str">
        <f t="shared" si="281"/>
        <v>第004305号</v>
      </c>
      <c r="D2276" s="405" t="str">
        <f t="shared" si="282"/>
        <v>新明和工業（株）</v>
      </c>
      <c r="E2276" s="405" t="str">
        <f t="shared" si="283"/>
        <v/>
      </c>
      <c r="F2276" s="405" t="str">
        <f t="shared" si="284"/>
        <v>西村　聡</v>
      </c>
      <c r="G2276" s="405" t="str">
        <f t="shared" si="285"/>
        <v>流体事業部営業本部九州支店</v>
      </c>
      <c r="H2276" s="405" t="str">
        <f t="shared" si="286"/>
        <v>福岡市博多区豊１－９－４３</v>
      </c>
      <c r="L2276" s="403" t="s">
        <v>12571</v>
      </c>
      <c r="M2276" s="403" t="s">
        <v>12572</v>
      </c>
      <c r="N2276" s="403" t="s">
        <v>5931</v>
      </c>
      <c r="O2276" s="403" t="s">
        <v>7084</v>
      </c>
      <c r="P2276" s="403" t="s">
        <v>6597</v>
      </c>
      <c r="Q2276" s="403" t="s">
        <v>12573</v>
      </c>
      <c r="R2276" s="403" t="s">
        <v>21666</v>
      </c>
      <c r="S2276" s="403" t="s">
        <v>21667</v>
      </c>
      <c r="T2276" s="403" t="s">
        <v>21668</v>
      </c>
      <c r="U2276" s="403"/>
      <c r="V2276" s="403" t="s">
        <v>7030</v>
      </c>
      <c r="W2276" s="403" t="s">
        <v>17770</v>
      </c>
      <c r="X2276" s="403" t="s">
        <v>17771</v>
      </c>
      <c r="Y2276" s="403" t="s">
        <v>21669</v>
      </c>
    </row>
    <row r="2277" spans="1:25">
      <c r="A2277" s="363">
        <f t="shared" si="287"/>
        <v>2276</v>
      </c>
      <c r="B2277" s="363" t="str">
        <f t="shared" si="280"/>
        <v>00</v>
      </c>
      <c r="C2277" s="405" t="str">
        <f t="shared" si="281"/>
        <v>第004310号</v>
      </c>
      <c r="D2277" s="405" t="str">
        <f t="shared" si="282"/>
        <v>三機工業（株）</v>
      </c>
      <c r="E2277" s="405" t="str">
        <f t="shared" si="283"/>
        <v/>
      </c>
      <c r="F2277" s="405" t="str">
        <f t="shared" si="284"/>
        <v>川口　淳二</v>
      </c>
      <c r="G2277" s="405" t="str">
        <f t="shared" si="285"/>
        <v>九州支店</v>
      </c>
      <c r="H2277" s="405" t="str">
        <f t="shared" si="286"/>
        <v>福岡市中央区天神１－１４－１８</v>
      </c>
      <c r="L2277" s="403" t="s">
        <v>12574</v>
      </c>
      <c r="M2277" s="403" t="s">
        <v>12575</v>
      </c>
      <c r="N2277" s="403" t="s">
        <v>5932</v>
      </c>
      <c r="O2277" s="403" t="s">
        <v>7083</v>
      </c>
      <c r="P2277" s="403" t="s">
        <v>6598</v>
      </c>
      <c r="Q2277" s="403" t="s">
        <v>12576</v>
      </c>
      <c r="R2277" s="403" t="s">
        <v>21670</v>
      </c>
      <c r="S2277" s="403" t="s">
        <v>21671</v>
      </c>
      <c r="T2277" s="403" t="s">
        <v>21672</v>
      </c>
      <c r="U2277" s="403"/>
      <c r="V2277" s="403" t="s">
        <v>7007</v>
      </c>
      <c r="W2277" s="403" t="s">
        <v>17772</v>
      </c>
      <c r="X2277" s="403" t="s">
        <v>17517</v>
      </c>
      <c r="Y2277" s="403" t="s">
        <v>21360</v>
      </c>
    </row>
    <row r="2278" spans="1:25">
      <c r="A2278" s="363">
        <f t="shared" si="287"/>
        <v>2277</v>
      </c>
      <c r="B2278" s="363" t="str">
        <f t="shared" si="280"/>
        <v>00</v>
      </c>
      <c r="C2278" s="405" t="str">
        <f t="shared" si="281"/>
        <v>第004311号</v>
      </c>
      <c r="D2278" s="405" t="str">
        <f t="shared" si="282"/>
        <v>水道機工（株）</v>
      </c>
      <c r="E2278" s="405" t="str">
        <f t="shared" si="283"/>
        <v/>
      </c>
      <c r="F2278" s="405" t="str">
        <f t="shared" si="284"/>
        <v>山口　詞寿</v>
      </c>
      <c r="G2278" s="405" t="str">
        <f t="shared" si="285"/>
        <v>九州支店</v>
      </c>
      <c r="H2278" s="405" t="str">
        <f t="shared" si="286"/>
        <v>福岡市中央区天神３－１０－２０</v>
      </c>
      <c r="L2278" s="403" t="s">
        <v>12577</v>
      </c>
      <c r="M2278" s="403" t="s">
        <v>12578</v>
      </c>
      <c r="N2278" s="403" t="s">
        <v>5933</v>
      </c>
      <c r="O2278" s="403" t="s">
        <v>7084</v>
      </c>
      <c r="P2278" s="403" t="s">
        <v>6599</v>
      </c>
      <c r="Q2278" s="403" t="s">
        <v>12579</v>
      </c>
      <c r="R2278" s="403" t="s">
        <v>21673</v>
      </c>
      <c r="S2278" s="403" t="s">
        <v>21674</v>
      </c>
      <c r="T2278" s="403" t="s">
        <v>21675</v>
      </c>
      <c r="U2278" s="403"/>
      <c r="V2278" s="403" t="s">
        <v>7007</v>
      </c>
      <c r="W2278" s="403" t="s">
        <v>17773</v>
      </c>
      <c r="X2278" s="403" t="s">
        <v>17517</v>
      </c>
      <c r="Y2278" s="403" t="s">
        <v>21676</v>
      </c>
    </row>
    <row r="2279" spans="1:25">
      <c r="A2279" s="363">
        <f t="shared" si="287"/>
        <v>2278</v>
      </c>
      <c r="B2279" s="363" t="str">
        <f t="shared" si="280"/>
        <v>00</v>
      </c>
      <c r="C2279" s="405" t="str">
        <f t="shared" si="281"/>
        <v>第004329号</v>
      </c>
      <c r="D2279" s="405" t="str">
        <f t="shared" si="282"/>
        <v>八千代電設工業（株）</v>
      </c>
      <c r="E2279" s="405" t="str">
        <f t="shared" si="283"/>
        <v/>
      </c>
      <c r="F2279" s="405" t="str">
        <f t="shared" si="284"/>
        <v>辻　正昭</v>
      </c>
      <c r="G2279" s="405" t="str">
        <f t="shared" si="285"/>
        <v>九州営業所</v>
      </c>
      <c r="H2279" s="405" t="str">
        <f t="shared" si="286"/>
        <v>福岡市博多区博多駅東３－９－７</v>
      </c>
      <c r="L2279" s="403" t="s">
        <v>12580</v>
      </c>
      <c r="M2279" s="403" t="s">
        <v>12581</v>
      </c>
      <c r="N2279" s="403" t="s">
        <v>5934</v>
      </c>
      <c r="O2279" s="403" t="s">
        <v>7083</v>
      </c>
      <c r="P2279" s="403" t="s">
        <v>6600</v>
      </c>
      <c r="Q2279" s="403" t="s">
        <v>12582</v>
      </c>
      <c r="R2279" s="403" t="s">
        <v>21677</v>
      </c>
      <c r="S2279" s="403" t="s">
        <v>21678</v>
      </c>
      <c r="T2279" s="403" t="s">
        <v>21679</v>
      </c>
      <c r="U2279" s="403"/>
      <c r="V2279" s="403" t="s">
        <v>7012</v>
      </c>
      <c r="W2279" s="403" t="s">
        <v>17774</v>
      </c>
      <c r="X2279" s="403" t="s">
        <v>17775</v>
      </c>
      <c r="Y2279" s="403" t="s">
        <v>21680</v>
      </c>
    </row>
    <row r="2280" spans="1:25">
      <c r="A2280" s="363">
        <f t="shared" si="287"/>
        <v>2279</v>
      </c>
      <c r="B2280" s="363" t="str">
        <f t="shared" si="280"/>
        <v>00</v>
      </c>
      <c r="C2280" s="405" t="str">
        <f t="shared" si="281"/>
        <v>第004340号</v>
      </c>
      <c r="D2280" s="405" t="str">
        <f t="shared" si="282"/>
        <v>（株）ＮＨＫテクノロジーズ</v>
      </c>
      <c r="E2280" s="405" t="str">
        <f t="shared" si="283"/>
        <v/>
      </c>
      <c r="F2280" s="405" t="str">
        <f t="shared" si="284"/>
        <v>矢野　誠一</v>
      </c>
      <c r="G2280" s="405" t="str">
        <f t="shared" si="285"/>
        <v>福岡総支社</v>
      </c>
      <c r="H2280" s="405" t="str">
        <f t="shared" si="286"/>
        <v>福岡市中央区六本松１－１－１０</v>
      </c>
      <c r="L2280" s="403" t="s">
        <v>12583</v>
      </c>
      <c r="M2280" s="403" t="s">
        <v>12584</v>
      </c>
      <c r="N2280" s="403" t="s">
        <v>5935</v>
      </c>
      <c r="O2280" s="403" t="s">
        <v>7083</v>
      </c>
      <c r="P2280" s="403" t="s">
        <v>6601</v>
      </c>
      <c r="Q2280" s="403" t="s">
        <v>12585</v>
      </c>
      <c r="R2280" s="403" t="s">
        <v>21681</v>
      </c>
      <c r="S2280" s="403" t="s">
        <v>21682</v>
      </c>
      <c r="T2280" s="403" t="s">
        <v>21683</v>
      </c>
      <c r="U2280" s="403"/>
      <c r="V2280" s="403" t="s">
        <v>7031</v>
      </c>
      <c r="W2280" s="403" t="s">
        <v>21684</v>
      </c>
      <c r="X2280" s="403" t="s">
        <v>17776</v>
      </c>
      <c r="Y2280" s="403" t="s">
        <v>21685</v>
      </c>
    </row>
    <row r="2281" spans="1:25">
      <c r="A2281" s="363">
        <f t="shared" si="287"/>
        <v>2280</v>
      </c>
      <c r="B2281" s="363" t="str">
        <f t="shared" si="280"/>
        <v>00</v>
      </c>
      <c r="C2281" s="405" t="str">
        <f t="shared" si="281"/>
        <v>第004341号</v>
      </c>
      <c r="D2281" s="405" t="str">
        <f t="shared" si="282"/>
        <v>東京計器（株）</v>
      </c>
      <c r="E2281" s="405" t="str">
        <f t="shared" si="283"/>
        <v/>
      </c>
      <c r="F2281" s="405" t="str">
        <f t="shared" si="284"/>
        <v>金子　久志</v>
      </c>
      <c r="G2281" s="405" t="str">
        <f t="shared" si="285"/>
        <v>福岡営業所</v>
      </c>
      <c r="H2281" s="405" t="str">
        <f t="shared" si="286"/>
        <v>福岡市博多区博多駅前４－８－１５</v>
      </c>
      <c r="L2281" s="403" t="s">
        <v>12586</v>
      </c>
      <c r="M2281" s="403" t="s">
        <v>12587</v>
      </c>
      <c r="N2281" s="403" t="s">
        <v>5936</v>
      </c>
      <c r="O2281" s="403" t="s">
        <v>7084</v>
      </c>
      <c r="P2281" s="403" t="s">
        <v>6602</v>
      </c>
      <c r="Q2281" s="403" t="s">
        <v>12588</v>
      </c>
      <c r="R2281" s="403" t="s">
        <v>21686</v>
      </c>
      <c r="S2281" s="403" t="s">
        <v>21687</v>
      </c>
      <c r="T2281" s="403" t="s">
        <v>21688</v>
      </c>
      <c r="U2281" s="403"/>
      <c r="V2281" s="403" t="s">
        <v>7010</v>
      </c>
      <c r="W2281" s="403" t="s">
        <v>17777</v>
      </c>
      <c r="X2281" s="403" t="s">
        <v>13015</v>
      </c>
      <c r="Y2281" s="403" t="s">
        <v>21689</v>
      </c>
    </row>
    <row r="2282" spans="1:25">
      <c r="A2282" s="363">
        <f t="shared" si="287"/>
        <v>2281</v>
      </c>
      <c r="B2282" s="363" t="str">
        <f t="shared" si="280"/>
        <v>00</v>
      </c>
      <c r="C2282" s="405" t="str">
        <f t="shared" si="281"/>
        <v>第004354号</v>
      </c>
      <c r="D2282" s="405" t="str">
        <f t="shared" si="282"/>
        <v>深田サルベージ建設（株）</v>
      </c>
      <c r="E2282" s="405" t="str">
        <f t="shared" si="283"/>
        <v/>
      </c>
      <c r="F2282" s="405" t="str">
        <f t="shared" si="284"/>
        <v>岡田　良彦</v>
      </c>
      <c r="G2282" s="405" t="str">
        <f t="shared" si="285"/>
        <v>九州支店</v>
      </c>
      <c r="H2282" s="405" t="str">
        <f t="shared" si="286"/>
        <v>北九州市門司区田野浦海岸１－２６</v>
      </c>
      <c r="L2282" s="403" t="s">
        <v>12589</v>
      </c>
      <c r="M2282" s="403" t="s">
        <v>12590</v>
      </c>
      <c r="N2282" s="403" t="s">
        <v>5937</v>
      </c>
      <c r="O2282" s="403" t="s">
        <v>7084</v>
      </c>
      <c r="P2282" s="403" t="s">
        <v>21690</v>
      </c>
      <c r="Q2282" s="403" t="s">
        <v>12591</v>
      </c>
      <c r="R2282" s="403" t="s">
        <v>21691</v>
      </c>
      <c r="S2282" s="403" t="s">
        <v>21692</v>
      </c>
      <c r="T2282" s="403" t="s">
        <v>21693</v>
      </c>
      <c r="U2282" s="403"/>
      <c r="V2282" s="403" t="s">
        <v>7007</v>
      </c>
      <c r="W2282" s="403" t="s">
        <v>17778</v>
      </c>
      <c r="X2282" s="403" t="s">
        <v>17779</v>
      </c>
      <c r="Y2282" s="403" t="s">
        <v>21694</v>
      </c>
    </row>
    <row r="2283" spans="1:25">
      <c r="A2283" s="363">
        <f t="shared" si="287"/>
        <v>2282</v>
      </c>
      <c r="B2283" s="363" t="str">
        <f t="shared" si="280"/>
        <v>00</v>
      </c>
      <c r="C2283" s="405" t="str">
        <f t="shared" si="281"/>
        <v>第004379号</v>
      </c>
      <c r="D2283" s="405" t="str">
        <f t="shared" si="282"/>
        <v>三菱電機システムサービス（株）</v>
      </c>
      <c r="E2283" s="405" t="str">
        <f t="shared" si="283"/>
        <v/>
      </c>
      <c r="F2283" s="405" t="str">
        <f t="shared" si="284"/>
        <v>室　英之</v>
      </c>
      <c r="G2283" s="405" t="str">
        <f t="shared" si="285"/>
        <v>九州支社</v>
      </c>
      <c r="H2283" s="405" t="str">
        <f t="shared" si="286"/>
        <v>福岡市博多区東比恵３－１２－１６</v>
      </c>
      <c r="L2283" s="403" t="s">
        <v>12592</v>
      </c>
      <c r="M2283" s="403" t="s">
        <v>12593</v>
      </c>
      <c r="N2283" s="403" t="s">
        <v>5938</v>
      </c>
      <c r="O2283" s="403" t="s">
        <v>7084</v>
      </c>
      <c r="P2283" s="403" t="s">
        <v>6603</v>
      </c>
      <c r="Q2283" s="403" t="s">
        <v>12594</v>
      </c>
      <c r="R2283" s="403" t="s">
        <v>21695</v>
      </c>
      <c r="S2283" s="403" t="s">
        <v>21696</v>
      </c>
      <c r="T2283" s="403" t="s">
        <v>21697</v>
      </c>
      <c r="U2283" s="403"/>
      <c r="V2283" s="403" t="s">
        <v>7011</v>
      </c>
      <c r="W2283" s="403" t="s">
        <v>17780</v>
      </c>
      <c r="X2283" s="403" t="s">
        <v>13787</v>
      </c>
      <c r="Y2283" s="403" t="s">
        <v>21078</v>
      </c>
    </row>
    <row r="2284" spans="1:25">
      <c r="A2284" s="363">
        <f t="shared" si="287"/>
        <v>2283</v>
      </c>
      <c r="B2284" s="363" t="str">
        <f t="shared" si="280"/>
        <v>00</v>
      </c>
      <c r="C2284" s="405" t="str">
        <f t="shared" si="281"/>
        <v>第004394号</v>
      </c>
      <c r="D2284" s="405" t="str">
        <f t="shared" si="282"/>
        <v>美津濃（株）</v>
      </c>
      <c r="E2284" s="405" t="str">
        <f t="shared" si="283"/>
        <v/>
      </c>
      <c r="F2284" s="405" t="str">
        <f t="shared" si="284"/>
        <v>長岡　一郎</v>
      </c>
      <c r="G2284" s="405" t="str">
        <f t="shared" si="285"/>
        <v>大阪支社</v>
      </c>
      <c r="H2284" s="405" t="str">
        <f t="shared" si="286"/>
        <v>大阪市住之江区南港北１－１２－３５</v>
      </c>
      <c r="L2284" s="403" t="s">
        <v>12595</v>
      </c>
      <c r="M2284" s="403" t="s">
        <v>12596</v>
      </c>
      <c r="N2284" s="403" t="s">
        <v>5939</v>
      </c>
      <c r="O2284" s="403" t="s">
        <v>7083</v>
      </c>
      <c r="P2284" s="403" t="s">
        <v>6604</v>
      </c>
      <c r="Q2284" s="403" t="s">
        <v>12597</v>
      </c>
      <c r="R2284" s="403" t="s">
        <v>21698</v>
      </c>
      <c r="S2284" s="403" t="s">
        <v>21699</v>
      </c>
      <c r="T2284" s="403" t="s">
        <v>17781</v>
      </c>
      <c r="U2284" s="403"/>
      <c r="V2284" s="403" t="s">
        <v>7032</v>
      </c>
      <c r="W2284" s="403" t="s">
        <v>21700</v>
      </c>
      <c r="X2284" s="403" t="s">
        <v>12597</v>
      </c>
      <c r="Y2284" s="403" t="s">
        <v>21698</v>
      </c>
    </row>
    <row r="2285" spans="1:25">
      <c r="A2285" s="363">
        <f t="shared" si="287"/>
        <v>2284</v>
      </c>
      <c r="B2285" s="363" t="str">
        <f t="shared" si="280"/>
        <v>00</v>
      </c>
      <c r="C2285" s="405" t="str">
        <f t="shared" si="281"/>
        <v>第004422号</v>
      </c>
      <c r="D2285" s="405" t="str">
        <f t="shared" si="282"/>
        <v>富士通Ｊａｐａｎ（株）</v>
      </c>
      <c r="E2285" s="405" t="str">
        <f t="shared" si="283"/>
        <v/>
      </c>
      <c r="F2285" s="405" t="str">
        <f t="shared" si="284"/>
        <v>長尾　勇一</v>
      </c>
      <c r="G2285" s="405" t="str">
        <f t="shared" si="285"/>
        <v>西日本公共ビジネス統括部（福岡）</v>
      </c>
      <c r="H2285" s="405" t="str">
        <f t="shared" si="286"/>
        <v>福岡市博多区東比恵１－５－１３</v>
      </c>
      <c r="L2285" s="403" t="s">
        <v>12598</v>
      </c>
      <c r="M2285" s="403" t="s">
        <v>12599</v>
      </c>
      <c r="N2285" s="403" t="s">
        <v>5940</v>
      </c>
      <c r="O2285" s="403" t="s">
        <v>7083</v>
      </c>
      <c r="P2285" s="403" t="s">
        <v>6605</v>
      </c>
      <c r="Q2285" s="403" t="s">
        <v>12600</v>
      </c>
      <c r="R2285" s="403" t="s">
        <v>21701</v>
      </c>
      <c r="S2285" s="403" t="s">
        <v>21702</v>
      </c>
      <c r="T2285" s="403">
        <v>0</v>
      </c>
      <c r="U2285" s="403"/>
      <c r="V2285" s="403" t="s">
        <v>21703</v>
      </c>
      <c r="W2285" s="403" t="s">
        <v>21704</v>
      </c>
      <c r="X2285" s="403" t="s">
        <v>13787</v>
      </c>
      <c r="Y2285" s="403" t="s">
        <v>21705</v>
      </c>
    </row>
    <row r="2286" spans="1:25">
      <c r="A2286" s="363">
        <f t="shared" si="287"/>
        <v>2285</v>
      </c>
      <c r="B2286" s="363" t="str">
        <f t="shared" si="280"/>
        <v>00</v>
      </c>
      <c r="C2286" s="405" t="str">
        <f t="shared" si="281"/>
        <v>第004450号</v>
      </c>
      <c r="D2286" s="405" t="str">
        <f t="shared" si="282"/>
        <v>東邦電気工業（株）</v>
      </c>
      <c r="E2286" s="405" t="str">
        <f t="shared" si="283"/>
        <v/>
      </c>
      <c r="F2286" s="405" t="str">
        <f t="shared" si="284"/>
        <v>佐藤　千修</v>
      </c>
      <c r="G2286" s="405" t="str">
        <f t="shared" si="285"/>
        <v>九州支店</v>
      </c>
      <c r="H2286" s="405" t="str">
        <f t="shared" si="286"/>
        <v>福岡市博多区板付７－１０－２７</v>
      </c>
      <c r="L2286" s="403" t="s">
        <v>12601</v>
      </c>
      <c r="M2286" s="403" t="s">
        <v>12602</v>
      </c>
      <c r="N2286" s="403" t="s">
        <v>5941</v>
      </c>
      <c r="O2286" s="403" t="s">
        <v>7083</v>
      </c>
      <c r="P2286" s="403" t="s">
        <v>6606</v>
      </c>
      <c r="Q2286" s="403" t="s">
        <v>12603</v>
      </c>
      <c r="R2286" s="403" t="s">
        <v>21706</v>
      </c>
      <c r="S2286" s="403" t="s">
        <v>21707</v>
      </c>
      <c r="T2286" s="403" t="s">
        <v>21708</v>
      </c>
      <c r="U2286" s="403"/>
      <c r="V2286" s="403" t="s">
        <v>7007</v>
      </c>
      <c r="W2286" s="403" t="s">
        <v>17782</v>
      </c>
      <c r="X2286" s="403" t="s">
        <v>13121</v>
      </c>
      <c r="Y2286" s="403" t="s">
        <v>21709</v>
      </c>
    </row>
    <row r="2287" spans="1:25">
      <c r="A2287" s="363">
        <f t="shared" si="287"/>
        <v>2286</v>
      </c>
      <c r="B2287" s="363" t="str">
        <f t="shared" si="280"/>
        <v>00</v>
      </c>
      <c r="C2287" s="405" t="str">
        <f t="shared" si="281"/>
        <v>第004510号</v>
      </c>
      <c r="D2287" s="405" t="str">
        <f t="shared" si="282"/>
        <v>第一工業（株）</v>
      </c>
      <c r="E2287" s="405" t="str">
        <f t="shared" si="283"/>
        <v/>
      </c>
      <c r="F2287" s="405" t="str">
        <f t="shared" si="284"/>
        <v>杉田　真臣</v>
      </c>
      <c r="G2287" s="405" t="str">
        <f t="shared" si="285"/>
        <v>九州営業所</v>
      </c>
      <c r="H2287" s="405" t="str">
        <f t="shared" si="286"/>
        <v>福岡市中央区天神３－１５－２４</v>
      </c>
      <c r="L2287" s="403" t="s">
        <v>12604</v>
      </c>
      <c r="M2287" s="403" t="s">
        <v>10393</v>
      </c>
      <c r="N2287" s="403" t="s">
        <v>3206</v>
      </c>
      <c r="O2287" s="403" t="s">
        <v>7084</v>
      </c>
      <c r="P2287" s="403" t="s">
        <v>21710</v>
      </c>
      <c r="Q2287" s="403" t="s">
        <v>12271</v>
      </c>
      <c r="R2287" s="403" t="s">
        <v>21711</v>
      </c>
      <c r="S2287" s="403" t="s">
        <v>21712</v>
      </c>
      <c r="T2287" s="403" t="s">
        <v>21713</v>
      </c>
      <c r="U2287" s="403"/>
      <c r="V2287" s="403" t="s">
        <v>7012</v>
      </c>
      <c r="W2287" s="403" t="s">
        <v>17783</v>
      </c>
      <c r="X2287" s="403" t="s">
        <v>17517</v>
      </c>
      <c r="Y2287" s="403" t="s">
        <v>21714</v>
      </c>
    </row>
    <row r="2288" spans="1:25">
      <c r="A2288" s="363">
        <f t="shared" si="287"/>
        <v>2287</v>
      </c>
      <c r="B2288" s="363" t="str">
        <f t="shared" si="280"/>
        <v>00</v>
      </c>
      <c r="C2288" s="405" t="str">
        <f t="shared" si="281"/>
        <v>第004520号</v>
      </c>
      <c r="D2288" s="405" t="str">
        <f t="shared" si="282"/>
        <v>日本防蝕工業（株）</v>
      </c>
      <c r="E2288" s="405" t="str">
        <f t="shared" si="283"/>
        <v/>
      </c>
      <c r="F2288" s="405" t="str">
        <f t="shared" si="284"/>
        <v>當間　豊</v>
      </c>
      <c r="G2288" s="405" t="str">
        <f t="shared" si="285"/>
        <v>九州支店</v>
      </c>
      <c r="H2288" s="405" t="str">
        <f t="shared" si="286"/>
        <v>福岡市中央区大宮１－４－３４</v>
      </c>
      <c r="L2288" s="403" t="s">
        <v>12605</v>
      </c>
      <c r="M2288" s="403" t="s">
        <v>12606</v>
      </c>
      <c r="N2288" s="403" t="s">
        <v>5942</v>
      </c>
      <c r="O2288" s="403" t="s">
        <v>7083</v>
      </c>
      <c r="P2288" s="403" t="s">
        <v>6607</v>
      </c>
      <c r="Q2288" s="403" t="s">
        <v>12607</v>
      </c>
      <c r="R2288" s="403" t="s">
        <v>21715</v>
      </c>
      <c r="S2288" s="403" t="s">
        <v>21716</v>
      </c>
      <c r="T2288" s="403" t="s">
        <v>21717</v>
      </c>
      <c r="U2288" s="403"/>
      <c r="V2288" s="403" t="s">
        <v>7007</v>
      </c>
      <c r="W2288" s="403" t="s">
        <v>17784</v>
      </c>
      <c r="X2288" s="403" t="s">
        <v>13054</v>
      </c>
      <c r="Y2288" s="403" t="s">
        <v>21718</v>
      </c>
    </row>
    <row r="2289" spans="1:25">
      <c r="A2289" s="363">
        <f t="shared" si="287"/>
        <v>2288</v>
      </c>
      <c r="B2289" s="363" t="str">
        <f t="shared" si="280"/>
        <v>00</v>
      </c>
      <c r="C2289" s="405" t="str">
        <f t="shared" si="281"/>
        <v>第004550号</v>
      </c>
      <c r="D2289" s="405" t="str">
        <f t="shared" si="282"/>
        <v>（株）ナカノフドー建設</v>
      </c>
      <c r="E2289" s="405" t="str">
        <f t="shared" si="283"/>
        <v/>
      </c>
      <c r="F2289" s="405" t="str">
        <f t="shared" si="284"/>
        <v>大内　和人</v>
      </c>
      <c r="G2289" s="405" t="str">
        <f t="shared" si="285"/>
        <v>九州支社</v>
      </c>
      <c r="H2289" s="405" t="str">
        <f t="shared" si="286"/>
        <v>福岡市博多区博多駅前３－１０－２４</v>
      </c>
      <c r="L2289" s="403" t="s">
        <v>12608</v>
      </c>
      <c r="M2289" s="403" t="s">
        <v>12609</v>
      </c>
      <c r="N2289" s="403" t="s">
        <v>5943</v>
      </c>
      <c r="O2289" s="403" t="s">
        <v>7083</v>
      </c>
      <c r="P2289" s="403" t="s">
        <v>6608</v>
      </c>
      <c r="Q2289" s="403" t="s">
        <v>12610</v>
      </c>
      <c r="R2289" s="403" t="s">
        <v>21719</v>
      </c>
      <c r="S2289" s="403" t="s">
        <v>21720</v>
      </c>
      <c r="T2289" s="403" t="s">
        <v>21721</v>
      </c>
      <c r="U2289" s="403"/>
      <c r="V2289" s="403" t="s">
        <v>7011</v>
      </c>
      <c r="W2289" s="403" t="s">
        <v>17785</v>
      </c>
      <c r="X2289" s="403" t="s">
        <v>13015</v>
      </c>
      <c r="Y2289" s="403" t="s">
        <v>21722</v>
      </c>
    </row>
    <row r="2290" spans="1:25">
      <c r="A2290" s="363">
        <f t="shared" si="287"/>
        <v>2289</v>
      </c>
      <c r="B2290" s="363" t="str">
        <f t="shared" si="280"/>
        <v>00</v>
      </c>
      <c r="C2290" s="405" t="str">
        <f t="shared" si="281"/>
        <v>第004553号</v>
      </c>
      <c r="D2290" s="405" t="str">
        <f t="shared" si="282"/>
        <v>日本信号（株）</v>
      </c>
      <c r="E2290" s="405" t="str">
        <f t="shared" si="283"/>
        <v/>
      </c>
      <c r="F2290" s="405" t="str">
        <f t="shared" si="284"/>
        <v>高田　泰希</v>
      </c>
      <c r="G2290" s="405" t="str">
        <f t="shared" si="285"/>
        <v>九州支店</v>
      </c>
      <c r="H2290" s="405" t="str">
        <f t="shared" si="286"/>
        <v>福岡市中央区大名２－４－３０</v>
      </c>
      <c r="L2290" s="403" t="s">
        <v>12611</v>
      </c>
      <c r="M2290" s="403" t="s">
        <v>12612</v>
      </c>
      <c r="N2290" s="403" t="s">
        <v>5944</v>
      </c>
      <c r="O2290" s="403" t="s">
        <v>7089</v>
      </c>
      <c r="P2290" s="403" t="s">
        <v>6609</v>
      </c>
      <c r="Q2290" s="403" t="s">
        <v>12613</v>
      </c>
      <c r="R2290" s="403" t="s">
        <v>21723</v>
      </c>
      <c r="S2290" s="403" t="s">
        <v>21724</v>
      </c>
      <c r="T2290" s="403" t="s">
        <v>21725</v>
      </c>
      <c r="U2290" s="403"/>
      <c r="V2290" s="403" t="s">
        <v>7007</v>
      </c>
      <c r="W2290" s="403" t="s">
        <v>17786</v>
      </c>
      <c r="X2290" s="403" t="s">
        <v>13390</v>
      </c>
      <c r="Y2290" s="403" t="s">
        <v>21726</v>
      </c>
    </row>
    <row r="2291" spans="1:25">
      <c r="A2291" s="363">
        <f t="shared" si="287"/>
        <v>2290</v>
      </c>
      <c r="B2291" s="363" t="str">
        <f t="shared" si="280"/>
        <v>00</v>
      </c>
      <c r="C2291" s="405" t="str">
        <f t="shared" si="281"/>
        <v>第004590号</v>
      </c>
      <c r="D2291" s="405" t="str">
        <f t="shared" si="282"/>
        <v>国土防災技術（株）</v>
      </c>
      <c r="E2291" s="405" t="str">
        <f t="shared" si="283"/>
        <v/>
      </c>
      <c r="F2291" s="405" t="str">
        <f t="shared" si="284"/>
        <v>吉峰　慎一</v>
      </c>
      <c r="G2291" s="405" t="str">
        <f t="shared" si="285"/>
        <v>大分支店</v>
      </c>
      <c r="H2291" s="405" t="str">
        <f t="shared" si="286"/>
        <v>大分市府内町３－８－２５（山田ビル）</v>
      </c>
      <c r="L2291" s="403" t="s">
        <v>12614</v>
      </c>
      <c r="M2291" s="403" t="s">
        <v>12615</v>
      </c>
      <c r="N2291" s="403" t="s">
        <v>5945</v>
      </c>
      <c r="O2291" s="403" t="s">
        <v>7084</v>
      </c>
      <c r="P2291" s="403" t="s">
        <v>6610</v>
      </c>
      <c r="Q2291" s="403" t="s">
        <v>12616</v>
      </c>
      <c r="R2291" s="403" t="s">
        <v>21727</v>
      </c>
      <c r="S2291" s="403" t="s">
        <v>21728</v>
      </c>
      <c r="T2291" s="403" t="s">
        <v>21729</v>
      </c>
      <c r="U2291" s="403"/>
      <c r="V2291" s="403" t="s">
        <v>7009</v>
      </c>
      <c r="W2291" s="403" t="s">
        <v>17787</v>
      </c>
      <c r="X2291" s="403" t="s">
        <v>17788</v>
      </c>
      <c r="Y2291" s="403" t="s">
        <v>21730</v>
      </c>
    </row>
    <row r="2292" spans="1:25">
      <c r="A2292" s="363">
        <f t="shared" si="287"/>
        <v>2291</v>
      </c>
      <c r="B2292" s="363" t="str">
        <f t="shared" si="280"/>
        <v>00</v>
      </c>
      <c r="C2292" s="405" t="str">
        <f t="shared" si="281"/>
        <v>第004594号</v>
      </c>
      <c r="D2292" s="405" t="str">
        <f t="shared" si="282"/>
        <v>（株）菱熱</v>
      </c>
      <c r="E2292" s="405" t="str">
        <f t="shared" si="283"/>
        <v/>
      </c>
      <c r="F2292" s="405" t="str">
        <f t="shared" si="284"/>
        <v>阿比留　和紀</v>
      </c>
      <c r="G2292" s="405" t="str">
        <f t="shared" si="285"/>
        <v>大分支店</v>
      </c>
      <c r="H2292" s="405" t="str">
        <f t="shared" si="286"/>
        <v>大分市南津留２－１８</v>
      </c>
      <c r="L2292" s="403" t="s">
        <v>12617</v>
      </c>
      <c r="M2292" s="403" t="s">
        <v>12618</v>
      </c>
      <c r="N2292" s="403" t="s">
        <v>5946</v>
      </c>
      <c r="O2292" s="403" t="s">
        <v>7083</v>
      </c>
      <c r="P2292" s="403" t="s">
        <v>6611</v>
      </c>
      <c r="Q2292" s="403" t="s">
        <v>12619</v>
      </c>
      <c r="R2292" s="403" t="s">
        <v>21731</v>
      </c>
      <c r="S2292" s="403" t="s">
        <v>21732</v>
      </c>
      <c r="T2292" s="403" t="s">
        <v>21733</v>
      </c>
      <c r="U2292" s="403"/>
      <c r="V2292" s="403" t="s">
        <v>7009</v>
      </c>
      <c r="W2292" s="403" t="s">
        <v>17789</v>
      </c>
      <c r="X2292" s="403" t="s">
        <v>10878</v>
      </c>
      <c r="Y2292" s="403" t="s">
        <v>21734</v>
      </c>
    </row>
    <row r="2293" spans="1:25">
      <c r="A2293" s="363">
        <f t="shared" si="287"/>
        <v>2292</v>
      </c>
      <c r="B2293" s="363" t="str">
        <f t="shared" si="280"/>
        <v>00</v>
      </c>
      <c r="C2293" s="405" t="str">
        <f t="shared" si="281"/>
        <v>第004603号</v>
      </c>
      <c r="D2293" s="405" t="str">
        <f t="shared" si="282"/>
        <v>（株）日立産機システム</v>
      </c>
      <c r="E2293" s="405" t="str">
        <f t="shared" si="283"/>
        <v/>
      </c>
      <c r="F2293" s="405" t="str">
        <f t="shared" si="284"/>
        <v>市丸　浩二</v>
      </c>
      <c r="G2293" s="405" t="str">
        <f t="shared" si="285"/>
        <v>北九州サービスステーション</v>
      </c>
      <c r="H2293" s="405" t="str">
        <f t="shared" si="286"/>
        <v>北九州市小倉北区西港町９２－１２</v>
      </c>
      <c r="L2293" s="403" t="s">
        <v>21735</v>
      </c>
      <c r="M2293" s="403" t="s">
        <v>21736</v>
      </c>
      <c r="N2293" s="403" t="s">
        <v>21737</v>
      </c>
      <c r="O2293" s="403" t="s">
        <v>7084</v>
      </c>
      <c r="P2293" s="403" t="s">
        <v>21738</v>
      </c>
      <c r="Q2293" s="403" t="s">
        <v>12199</v>
      </c>
      <c r="R2293" s="403" t="s">
        <v>21739</v>
      </c>
      <c r="S2293" s="403" t="s">
        <v>21740</v>
      </c>
      <c r="T2293" s="403" t="s">
        <v>21741</v>
      </c>
      <c r="U2293" s="403"/>
      <c r="V2293" s="403" t="s">
        <v>21742</v>
      </c>
      <c r="W2293" s="403" t="s">
        <v>21743</v>
      </c>
      <c r="X2293" s="403" t="s">
        <v>13232</v>
      </c>
      <c r="Y2293" s="403" t="s">
        <v>21744</v>
      </c>
    </row>
    <row r="2294" spans="1:25">
      <c r="A2294" s="363">
        <f t="shared" si="287"/>
        <v>2293</v>
      </c>
      <c r="B2294" s="363" t="str">
        <f t="shared" si="280"/>
        <v>00</v>
      </c>
      <c r="C2294" s="405" t="str">
        <f t="shared" si="281"/>
        <v>第004607号</v>
      </c>
      <c r="D2294" s="405" t="str">
        <f t="shared" si="282"/>
        <v>（株）巴コーポレーション</v>
      </c>
      <c r="E2294" s="405" t="str">
        <f t="shared" si="283"/>
        <v/>
      </c>
      <c r="F2294" s="405" t="str">
        <f t="shared" si="284"/>
        <v>佐藤　里志</v>
      </c>
      <c r="G2294" s="405" t="str">
        <f t="shared" si="285"/>
        <v>九州支店</v>
      </c>
      <c r="H2294" s="405" t="str">
        <f t="shared" si="286"/>
        <v>福岡市博多区博多駅東３－１－４　タカ福岡ビル５Ｆ</v>
      </c>
      <c r="L2294" s="403" t="s">
        <v>12620</v>
      </c>
      <c r="M2294" s="403" t="s">
        <v>12621</v>
      </c>
      <c r="N2294" s="403" t="s">
        <v>5947</v>
      </c>
      <c r="O2294" s="403" t="s">
        <v>7084</v>
      </c>
      <c r="P2294" s="403" t="s">
        <v>6612</v>
      </c>
      <c r="Q2294" s="403" t="s">
        <v>12304</v>
      </c>
      <c r="R2294" s="403" t="s">
        <v>21745</v>
      </c>
      <c r="S2294" s="403" t="s">
        <v>21746</v>
      </c>
      <c r="T2294" s="403" t="s">
        <v>21747</v>
      </c>
      <c r="U2294" s="403"/>
      <c r="V2294" s="403" t="s">
        <v>7007</v>
      </c>
      <c r="W2294" s="403" t="s">
        <v>17790</v>
      </c>
      <c r="X2294" s="403" t="s">
        <v>13524</v>
      </c>
      <c r="Y2294" s="403" t="s">
        <v>21748</v>
      </c>
    </row>
    <row r="2295" spans="1:25">
      <c r="A2295" s="363">
        <f t="shared" si="287"/>
        <v>2294</v>
      </c>
      <c r="B2295" s="363" t="str">
        <f t="shared" si="280"/>
        <v>00</v>
      </c>
      <c r="C2295" s="405" t="str">
        <f t="shared" si="281"/>
        <v>第004633号</v>
      </c>
      <c r="D2295" s="405" t="str">
        <f t="shared" si="282"/>
        <v>岩崎電気（株）</v>
      </c>
      <c r="E2295" s="405" t="str">
        <f t="shared" si="283"/>
        <v/>
      </c>
      <c r="F2295" s="405" t="str">
        <f t="shared" si="284"/>
        <v>原田　淳士</v>
      </c>
      <c r="G2295" s="405" t="str">
        <f t="shared" si="285"/>
        <v>福岡営業所</v>
      </c>
      <c r="H2295" s="405" t="str">
        <f t="shared" si="286"/>
        <v>福岡市博多区美野島１－２－８</v>
      </c>
      <c r="L2295" s="403" t="s">
        <v>21749</v>
      </c>
      <c r="M2295" s="403" t="s">
        <v>21750</v>
      </c>
      <c r="N2295" s="403" t="s">
        <v>21751</v>
      </c>
      <c r="O2295" s="403" t="s">
        <v>7084</v>
      </c>
      <c r="P2295" s="403" t="s">
        <v>21752</v>
      </c>
      <c r="Q2295" s="403" t="s">
        <v>11925</v>
      </c>
      <c r="R2295" s="403" t="s">
        <v>21753</v>
      </c>
      <c r="S2295" s="403" t="s">
        <v>21754</v>
      </c>
      <c r="T2295" s="403" t="s">
        <v>21755</v>
      </c>
      <c r="U2295" s="403"/>
      <c r="V2295" s="403" t="s">
        <v>7010</v>
      </c>
      <c r="W2295" s="403" t="s">
        <v>21756</v>
      </c>
      <c r="X2295" s="403" t="s">
        <v>17633</v>
      </c>
      <c r="Y2295" s="403" t="s">
        <v>21757</v>
      </c>
    </row>
    <row r="2296" spans="1:25">
      <c r="A2296" s="363">
        <f t="shared" si="287"/>
        <v>2295</v>
      </c>
      <c r="B2296" s="363" t="str">
        <f t="shared" si="280"/>
        <v>00</v>
      </c>
      <c r="C2296" s="405" t="str">
        <f t="shared" si="281"/>
        <v>第004643号</v>
      </c>
      <c r="D2296" s="405" t="str">
        <f t="shared" si="282"/>
        <v>フジテック（株）</v>
      </c>
      <c r="E2296" s="405" t="str">
        <f t="shared" si="283"/>
        <v/>
      </c>
      <c r="F2296" s="405" t="str">
        <f t="shared" si="284"/>
        <v>藤木　義順</v>
      </c>
      <c r="G2296" s="405" t="str">
        <f t="shared" si="285"/>
        <v>九州支店</v>
      </c>
      <c r="H2296" s="405" t="str">
        <f t="shared" si="286"/>
        <v>福岡市博多区綱場町４－１</v>
      </c>
      <c r="L2296" s="403" t="s">
        <v>12622</v>
      </c>
      <c r="M2296" s="403" t="s">
        <v>12623</v>
      </c>
      <c r="N2296" s="403" t="s">
        <v>5948</v>
      </c>
      <c r="O2296" s="403" t="s">
        <v>7083</v>
      </c>
      <c r="P2296" s="403" t="s">
        <v>6613</v>
      </c>
      <c r="Q2296" s="403" t="s">
        <v>12624</v>
      </c>
      <c r="R2296" s="403" t="s">
        <v>21758</v>
      </c>
      <c r="S2296" s="403" t="s">
        <v>21759</v>
      </c>
      <c r="T2296" s="403" t="s">
        <v>21760</v>
      </c>
      <c r="U2296" s="403"/>
      <c r="V2296" s="403" t="s">
        <v>7007</v>
      </c>
      <c r="W2296" s="403" t="s">
        <v>17791</v>
      </c>
      <c r="X2296" s="403" t="s">
        <v>17529</v>
      </c>
      <c r="Y2296" s="403" t="s">
        <v>21761</v>
      </c>
    </row>
    <row r="2297" spans="1:25">
      <c r="A2297" s="363">
        <f t="shared" si="287"/>
        <v>2296</v>
      </c>
      <c r="B2297" s="363" t="str">
        <f t="shared" si="280"/>
        <v>00</v>
      </c>
      <c r="C2297" s="405" t="str">
        <f t="shared" si="281"/>
        <v>第004701号</v>
      </c>
      <c r="D2297" s="405" t="str">
        <f t="shared" si="282"/>
        <v>ＪＦＥエンジニアリング（株）</v>
      </c>
      <c r="E2297" s="405" t="str">
        <f t="shared" si="283"/>
        <v/>
      </c>
      <c r="F2297" s="405" t="str">
        <f t="shared" si="284"/>
        <v>堤　　裕</v>
      </c>
      <c r="G2297" s="405" t="str">
        <f t="shared" si="285"/>
        <v>九州支店</v>
      </c>
      <c r="H2297" s="405" t="str">
        <f t="shared" si="286"/>
        <v>福岡市博多区博多駅東２－７－２７</v>
      </c>
      <c r="L2297" s="403" t="s">
        <v>12625</v>
      </c>
      <c r="M2297" s="403" t="s">
        <v>12626</v>
      </c>
      <c r="N2297" s="403" t="s">
        <v>5949</v>
      </c>
      <c r="O2297" s="403" t="s">
        <v>7083</v>
      </c>
      <c r="P2297" s="403" t="s">
        <v>6614</v>
      </c>
      <c r="Q2297" s="403" t="s">
        <v>12627</v>
      </c>
      <c r="R2297" s="403" t="s">
        <v>21762</v>
      </c>
      <c r="S2297" s="403" t="s">
        <v>21763</v>
      </c>
      <c r="T2297" s="403" t="s">
        <v>21764</v>
      </c>
      <c r="U2297" s="403"/>
      <c r="V2297" s="403" t="s">
        <v>7007</v>
      </c>
      <c r="W2297" s="403" t="s">
        <v>21765</v>
      </c>
      <c r="X2297" s="403" t="s">
        <v>13524</v>
      </c>
      <c r="Y2297" s="403" t="s">
        <v>21333</v>
      </c>
    </row>
    <row r="2298" spans="1:25">
      <c r="A2298" s="363">
        <f t="shared" si="287"/>
        <v>2297</v>
      </c>
      <c r="B2298" s="363" t="str">
        <f t="shared" si="280"/>
        <v>00</v>
      </c>
      <c r="C2298" s="405" t="str">
        <f t="shared" si="281"/>
        <v>第004702号</v>
      </c>
      <c r="D2298" s="405" t="str">
        <f t="shared" si="282"/>
        <v>（株）日立製作所</v>
      </c>
      <c r="E2298" s="405" t="str">
        <f t="shared" si="283"/>
        <v/>
      </c>
      <c r="F2298" s="405" t="str">
        <f t="shared" si="284"/>
        <v>山本　真司</v>
      </c>
      <c r="G2298" s="405" t="str">
        <f t="shared" si="285"/>
        <v>九州支社</v>
      </c>
      <c r="H2298" s="405" t="str">
        <f t="shared" si="286"/>
        <v>福岡市中央区天神１－１１－１</v>
      </c>
      <c r="L2298" s="403" t="s">
        <v>12628</v>
      </c>
      <c r="M2298" s="403" t="s">
        <v>12629</v>
      </c>
      <c r="N2298" s="403" t="s">
        <v>5950</v>
      </c>
      <c r="O2298" s="403" t="s">
        <v>7101</v>
      </c>
      <c r="P2298" s="403" t="s">
        <v>21766</v>
      </c>
      <c r="Q2298" s="403" t="s">
        <v>12630</v>
      </c>
      <c r="R2298" s="403" t="s">
        <v>21767</v>
      </c>
      <c r="S2298" s="403" t="s">
        <v>21768</v>
      </c>
      <c r="T2298" s="403" t="s">
        <v>21769</v>
      </c>
      <c r="U2298" s="403"/>
      <c r="V2298" s="403" t="s">
        <v>7011</v>
      </c>
      <c r="W2298" s="403" t="s">
        <v>21770</v>
      </c>
      <c r="X2298" s="403" t="s">
        <v>21771</v>
      </c>
      <c r="Y2298" s="403" t="s">
        <v>21772</v>
      </c>
    </row>
    <row r="2299" spans="1:25">
      <c r="A2299" s="363">
        <f t="shared" si="287"/>
        <v>2298</v>
      </c>
      <c r="B2299" s="363" t="str">
        <f t="shared" si="280"/>
        <v>00</v>
      </c>
      <c r="C2299" s="405" t="str">
        <f t="shared" si="281"/>
        <v>第004737号</v>
      </c>
      <c r="D2299" s="405" t="str">
        <f t="shared" si="282"/>
        <v>（株）クマヒラ</v>
      </c>
      <c r="E2299" s="405" t="str">
        <f t="shared" si="283"/>
        <v>代表取締役</v>
      </c>
      <c r="F2299" s="405" t="str">
        <f t="shared" si="284"/>
        <v>渡邉　秀隆</v>
      </c>
      <c r="G2299" s="405" t="str">
        <f t="shared" si="285"/>
        <v>主たる営業所</v>
      </c>
      <c r="H2299" s="405" t="str">
        <f t="shared" si="286"/>
        <v>中央区日本橋室町２－１－１</v>
      </c>
      <c r="L2299" s="403" t="s">
        <v>12631</v>
      </c>
      <c r="M2299" s="403" t="s">
        <v>12632</v>
      </c>
      <c r="N2299" s="403" t="s">
        <v>5951</v>
      </c>
      <c r="O2299" s="403" t="s">
        <v>7084</v>
      </c>
      <c r="P2299" s="403" t="s">
        <v>6615</v>
      </c>
      <c r="Q2299" s="403" t="s">
        <v>12633</v>
      </c>
      <c r="R2299" s="403" t="s">
        <v>21773</v>
      </c>
      <c r="S2299" s="403" t="s">
        <v>17792</v>
      </c>
      <c r="T2299" s="403" t="s">
        <v>17793</v>
      </c>
      <c r="U2299" s="403"/>
      <c r="V2299" s="403" t="s">
        <v>23024</v>
      </c>
      <c r="W2299" s="403" t="s">
        <v>23024</v>
      </c>
      <c r="X2299" s="403" t="s">
        <v>23024</v>
      </c>
      <c r="Y2299" s="403" t="s">
        <v>23024</v>
      </c>
    </row>
    <row r="2300" spans="1:25">
      <c r="A2300" s="363">
        <f t="shared" si="287"/>
        <v>2299</v>
      </c>
      <c r="B2300" s="363" t="str">
        <f t="shared" si="280"/>
        <v>00</v>
      </c>
      <c r="C2300" s="405" t="str">
        <f t="shared" si="281"/>
        <v>第004765号</v>
      </c>
      <c r="D2300" s="405" t="str">
        <f t="shared" si="282"/>
        <v>日本ファブテック（株）</v>
      </c>
      <c r="E2300" s="405" t="str">
        <f t="shared" si="283"/>
        <v/>
      </c>
      <c r="F2300" s="405" t="str">
        <f t="shared" si="284"/>
        <v>佐藤　浩</v>
      </c>
      <c r="G2300" s="405" t="str">
        <f t="shared" si="285"/>
        <v>福岡営業所</v>
      </c>
      <c r="H2300" s="405" t="str">
        <f t="shared" si="286"/>
        <v>福岡市中央区天神４－１－１８</v>
      </c>
      <c r="L2300" s="403" t="s">
        <v>12634</v>
      </c>
      <c r="M2300" s="403" t="s">
        <v>12635</v>
      </c>
      <c r="N2300" s="403" t="s">
        <v>5952</v>
      </c>
      <c r="O2300" s="403" t="s">
        <v>7083</v>
      </c>
      <c r="P2300" s="403" t="s">
        <v>21774</v>
      </c>
      <c r="Q2300" s="403" t="s">
        <v>12636</v>
      </c>
      <c r="R2300" s="403" t="s">
        <v>21775</v>
      </c>
      <c r="S2300" s="403" t="s">
        <v>21776</v>
      </c>
      <c r="T2300" s="403" t="s">
        <v>21777</v>
      </c>
      <c r="U2300" s="403"/>
      <c r="V2300" s="403" t="s">
        <v>7010</v>
      </c>
      <c r="W2300" s="403" t="s">
        <v>17794</v>
      </c>
      <c r="X2300" s="403" t="s">
        <v>17517</v>
      </c>
      <c r="Y2300" s="403" t="s">
        <v>21778</v>
      </c>
    </row>
    <row r="2301" spans="1:25">
      <c r="A2301" s="363">
        <f t="shared" si="287"/>
        <v>2300</v>
      </c>
      <c r="B2301" s="363" t="str">
        <f t="shared" si="280"/>
        <v>00</v>
      </c>
      <c r="C2301" s="405" t="str">
        <f t="shared" si="281"/>
        <v>第004794号</v>
      </c>
      <c r="D2301" s="405" t="str">
        <f t="shared" si="282"/>
        <v>共和化工（株）</v>
      </c>
      <c r="E2301" s="405" t="str">
        <f t="shared" si="283"/>
        <v/>
      </c>
      <c r="F2301" s="405" t="str">
        <f t="shared" si="284"/>
        <v>山口　貴臣</v>
      </c>
      <c r="G2301" s="405" t="str">
        <f t="shared" si="285"/>
        <v>福岡支店</v>
      </c>
      <c r="H2301" s="405" t="str">
        <f t="shared" si="286"/>
        <v>福岡市中央区大名２－４－２２</v>
      </c>
      <c r="L2301" s="403" t="s">
        <v>12637</v>
      </c>
      <c r="M2301" s="403" t="s">
        <v>12638</v>
      </c>
      <c r="N2301" s="403" t="s">
        <v>5953</v>
      </c>
      <c r="O2301" s="403" t="s">
        <v>7084</v>
      </c>
      <c r="P2301" s="403" t="s">
        <v>6616</v>
      </c>
      <c r="Q2301" s="403" t="s">
        <v>12639</v>
      </c>
      <c r="R2301" s="403" t="s">
        <v>21779</v>
      </c>
      <c r="S2301" s="403" t="s">
        <v>21780</v>
      </c>
      <c r="T2301" s="403" t="s">
        <v>21781</v>
      </c>
      <c r="U2301" s="403"/>
      <c r="V2301" s="403" t="s">
        <v>7018</v>
      </c>
      <c r="W2301" s="403" t="s">
        <v>17795</v>
      </c>
      <c r="X2301" s="403" t="s">
        <v>13390</v>
      </c>
      <c r="Y2301" s="403" t="s">
        <v>21618</v>
      </c>
    </row>
    <row r="2302" spans="1:25">
      <c r="A2302" s="363">
        <f t="shared" si="287"/>
        <v>2301</v>
      </c>
      <c r="B2302" s="363" t="str">
        <f t="shared" si="280"/>
        <v>00</v>
      </c>
      <c r="C2302" s="405" t="str">
        <f t="shared" si="281"/>
        <v>第004807号</v>
      </c>
      <c r="D2302" s="405" t="str">
        <f t="shared" si="282"/>
        <v>名古屋電機工業（株）</v>
      </c>
      <c r="E2302" s="405" t="str">
        <f t="shared" si="283"/>
        <v/>
      </c>
      <c r="F2302" s="405" t="str">
        <f t="shared" si="284"/>
        <v>小川　和男</v>
      </c>
      <c r="G2302" s="405" t="str">
        <f t="shared" si="285"/>
        <v>福岡支店</v>
      </c>
      <c r="H2302" s="405" t="str">
        <f t="shared" si="286"/>
        <v>福岡市博多区博多駅南４－１０－３６</v>
      </c>
      <c r="L2302" s="403" t="s">
        <v>12640</v>
      </c>
      <c r="M2302" s="403" t="s">
        <v>12641</v>
      </c>
      <c r="N2302" s="403" t="s">
        <v>5954</v>
      </c>
      <c r="O2302" s="403" t="s">
        <v>7084</v>
      </c>
      <c r="P2302" s="403" t="s">
        <v>6617</v>
      </c>
      <c r="Q2302" s="403" t="s">
        <v>12642</v>
      </c>
      <c r="R2302" s="403" t="s">
        <v>21782</v>
      </c>
      <c r="S2302" s="403" t="s">
        <v>21783</v>
      </c>
      <c r="T2302" s="403" t="s">
        <v>21784</v>
      </c>
      <c r="U2302" s="403"/>
      <c r="V2302" s="403" t="s">
        <v>7018</v>
      </c>
      <c r="W2302" s="403" t="s">
        <v>17796</v>
      </c>
      <c r="X2302" s="403" t="s">
        <v>11975</v>
      </c>
      <c r="Y2302" s="403" t="s">
        <v>21785</v>
      </c>
    </row>
    <row r="2303" spans="1:25">
      <c r="A2303" s="363">
        <f t="shared" si="287"/>
        <v>2302</v>
      </c>
      <c r="B2303" s="363" t="str">
        <f t="shared" si="280"/>
        <v>00</v>
      </c>
      <c r="C2303" s="405" t="str">
        <f t="shared" si="281"/>
        <v>第004921号</v>
      </c>
      <c r="D2303" s="405" t="str">
        <f t="shared" si="282"/>
        <v>三軌建設（株）</v>
      </c>
      <c r="E2303" s="405" t="str">
        <f t="shared" si="283"/>
        <v/>
      </c>
      <c r="F2303" s="405" t="str">
        <f t="shared" si="284"/>
        <v>国料　博信</v>
      </c>
      <c r="G2303" s="405" t="str">
        <f t="shared" si="285"/>
        <v>大分支店</v>
      </c>
      <c r="H2303" s="405" t="str">
        <f t="shared" si="286"/>
        <v>大分市金池南１－３－３５</v>
      </c>
      <c r="L2303" s="403" t="s">
        <v>12643</v>
      </c>
      <c r="M2303" s="403" t="s">
        <v>12644</v>
      </c>
      <c r="N2303" s="403" t="s">
        <v>5955</v>
      </c>
      <c r="O2303" s="403" t="s">
        <v>7084</v>
      </c>
      <c r="P2303" s="403" t="s">
        <v>6618</v>
      </c>
      <c r="Q2303" s="403" t="s">
        <v>12645</v>
      </c>
      <c r="R2303" s="403" t="s">
        <v>21786</v>
      </c>
      <c r="S2303" s="403" t="s">
        <v>21787</v>
      </c>
      <c r="T2303" s="403" t="s">
        <v>21788</v>
      </c>
      <c r="U2303" s="403"/>
      <c r="V2303" s="403" t="s">
        <v>7009</v>
      </c>
      <c r="W2303" s="403" t="s">
        <v>17797</v>
      </c>
      <c r="X2303" s="403" t="s">
        <v>7510</v>
      </c>
      <c r="Y2303" s="403" t="s">
        <v>21789</v>
      </c>
    </row>
    <row r="2304" spans="1:25">
      <c r="A2304" s="363">
        <f t="shared" si="287"/>
        <v>2303</v>
      </c>
      <c r="B2304" s="363" t="str">
        <f t="shared" si="280"/>
        <v>00</v>
      </c>
      <c r="C2304" s="405" t="str">
        <f t="shared" si="281"/>
        <v>第004927号</v>
      </c>
      <c r="D2304" s="405" t="str">
        <f t="shared" si="282"/>
        <v>東洋ホイスト（株）</v>
      </c>
      <c r="E2304" s="405" t="str">
        <f t="shared" si="283"/>
        <v>代表取締役</v>
      </c>
      <c r="F2304" s="405" t="str">
        <f t="shared" si="284"/>
        <v>東谷　卓哉</v>
      </c>
      <c r="G2304" s="405" t="str">
        <f t="shared" si="285"/>
        <v>主たる営業所</v>
      </c>
      <c r="H2304" s="405" t="str">
        <f t="shared" si="286"/>
        <v>糟屋郡新宮町下府２－１１－１</v>
      </c>
      <c r="L2304" s="403" t="s">
        <v>12646</v>
      </c>
      <c r="M2304" s="403" t="s">
        <v>12647</v>
      </c>
      <c r="N2304" s="403" t="s">
        <v>5956</v>
      </c>
      <c r="O2304" s="403" t="s">
        <v>7084</v>
      </c>
      <c r="P2304" s="403" t="s">
        <v>6619</v>
      </c>
      <c r="Q2304" s="403" t="s">
        <v>12648</v>
      </c>
      <c r="R2304" s="403" t="s">
        <v>21790</v>
      </c>
      <c r="S2304" s="403" t="s">
        <v>17798</v>
      </c>
      <c r="T2304" s="403" t="s">
        <v>17799</v>
      </c>
      <c r="U2304" s="403"/>
      <c r="V2304" s="403" t="s">
        <v>23024</v>
      </c>
      <c r="W2304" s="403" t="s">
        <v>23024</v>
      </c>
      <c r="X2304" s="403" t="s">
        <v>23024</v>
      </c>
      <c r="Y2304" s="403" t="s">
        <v>23024</v>
      </c>
    </row>
    <row r="2305" spans="1:25">
      <c r="A2305" s="363">
        <f t="shared" si="287"/>
        <v>2304</v>
      </c>
      <c r="B2305" s="363" t="str">
        <f t="shared" si="280"/>
        <v>00</v>
      </c>
      <c r="C2305" s="405" t="str">
        <f t="shared" si="281"/>
        <v>第004940号</v>
      </c>
      <c r="D2305" s="405" t="str">
        <f t="shared" si="282"/>
        <v>電気興業（株）</v>
      </c>
      <c r="E2305" s="405" t="str">
        <f t="shared" si="283"/>
        <v/>
      </c>
      <c r="F2305" s="405" t="str">
        <f t="shared" si="284"/>
        <v>宮内　洋</v>
      </c>
      <c r="G2305" s="405" t="str">
        <f t="shared" si="285"/>
        <v>西日本営業部</v>
      </c>
      <c r="H2305" s="405" t="str">
        <f t="shared" si="286"/>
        <v>福岡市博多区中洲中島町２－３</v>
      </c>
      <c r="L2305" s="403" t="s">
        <v>12649</v>
      </c>
      <c r="M2305" s="403" t="s">
        <v>12650</v>
      </c>
      <c r="N2305" s="403" t="s">
        <v>5957</v>
      </c>
      <c r="O2305" s="403" t="s">
        <v>7083</v>
      </c>
      <c r="P2305" s="403" t="s">
        <v>6620</v>
      </c>
      <c r="Q2305" s="403" t="s">
        <v>12494</v>
      </c>
      <c r="R2305" s="403" t="s">
        <v>21791</v>
      </c>
      <c r="S2305" s="403" t="s">
        <v>21792</v>
      </c>
      <c r="T2305" s="403" t="s">
        <v>21793</v>
      </c>
      <c r="U2305" s="403"/>
      <c r="V2305" s="403" t="s">
        <v>7033</v>
      </c>
      <c r="W2305" s="403" t="s">
        <v>17800</v>
      </c>
      <c r="X2305" s="403" t="s">
        <v>17751</v>
      </c>
      <c r="Y2305" s="403" t="s">
        <v>21577</v>
      </c>
    </row>
    <row r="2306" spans="1:25">
      <c r="A2306" s="363">
        <f t="shared" si="287"/>
        <v>2305</v>
      </c>
      <c r="B2306" s="363" t="str">
        <f t="shared" ref="B2306:B2369" si="288">LEFT(L2306,2)</f>
        <v>00</v>
      </c>
      <c r="C2306" s="405" t="str">
        <f t="shared" ref="C2306:C2369" si="289">IF(B2306="","","第"&amp;RIGHT(L2306,6)&amp;"号")</f>
        <v>第004947号</v>
      </c>
      <c r="D2306" s="405" t="str">
        <f t="shared" ref="D2306:D2369" si="290">N2306</f>
        <v>（株）ノバック</v>
      </c>
      <c r="E2306" s="405" t="str">
        <f t="shared" ref="E2306:E2369" si="291">IF(V2306="　",O2306,"")</f>
        <v/>
      </c>
      <c r="F2306" s="405" t="str">
        <f t="shared" ref="F2306:F2369" si="292">IF(V2306="　",P2306,W2306)</f>
        <v>田島　知実</v>
      </c>
      <c r="G2306" s="405" t="str">
        <f t="shared" ref="G2306:G2369" si="293">IF(V2306="　","主たる営業所",V2306)</f>
        <v>九州支店</v>
      </c>
      <c r="H2306" s="405" t="str">
        <f t="shared" ref="H2306:H2369" si="294">IF(V2306="　",R2306,Y2306)</f>
        <v>福岡市中央区白金２－８－１２</v>
      </c>
      <c r="L2306" s="403" t="s">
        <v>12651</v>
      </c>
      <c r="M2306" s="403" t="s">
        <v>12652</v>
      </c>
      <c r="N2306" s="403" t="s">
        <v>5958</v>
      </c>
      <c r="O2306" s="403" t="s">
        <v>7083</v>
      </c>
      <c r="P2306" s="403" t="s">
        <v>6621</v>
      </c>
      <c r="Q2306" s="403" t="s">
        <v>12653</v>
      </c>
      <c r="R2306" s="403" t="s">
        <v>21794</v>
      </c>
      <c r="S2306" s="403" t="s">
        <v>21795</v>
      </c>
      <c r="T2306" s="403" t="s">
        <v>21796</v>
      </c>
      <c r="U2306" s="403"/>
      <c r="V2306" s="403" t="s">
        <v>7007</v>
      </c>
      <c r="W2306" s="403" t="s">
        <v>17801</v>
      </c>
      <c r="X2306" s="403" t="s">
        <v>12238</v>
      </c>
      <c r="Y2306" s="403" t="s">
        <v>21797</v>
      </c>
    </row>
    <row r="2307" spans="1:25">
      <c r="A2307" s="363">
        <f t="shared" ref="A2307:A2370" si="295">IF(B2307="","",A2306+1)</f>
        <v>2306</v>
      </c>
      <c r="B2307" s="363" t="str">
        <f t="shared" si="288"/>
        <v>00</v>
      </c>
      <c r="C2307" s="405" t="str">
        <f t="shared" si="289"/>
        <v>第004948号</v>
      </c>
      <c r="D2307" s="405" t="str">
        <f t="shared" si="290"/>
        <v>東テク（株）</v>
      </c>
      <c r="E2307" s="405" t="str">
        <f t="shared" si="291"/>
        <v/>
      </c>
      <c r="F2307" s="405" t="str">
        <f t="shared" si="292"/>
        <v>平尾　亮一</v>
      </c>
      <c r="G2307" s="405" t="str">
        <f t="shared" si="293"/>
        <v>九州支店</v>
      </c>
      <c r="H2307" s="405" t="str">
        <f t="shared" si="294"/>
        <v>福岡市博多区博多駅南４－１０－８</v>
      </c>
      <c r="L2307" s="403" t="s">
        <v>12654</v>
      </c>
      <c r="M2307" s="403" t="s">
        <v>12655</v>
      </c>
      <c r="N2307" s="403" t="s">
        <v>5959</v>
      </c>
      <c r="O2307" s="403" t="s">
        <v>7083</v>
      </c>
      <c r="P2307" s="403" t="s">
        <v>21798</v>
      </c>
      <c r="Q2307" s="403" t="s">
        <v>12454</v>
      </c>
      <c r="R2307" s="403" t="s">
        <v>21799</v>
      </c>
      <c r="S2307" s="403" t="s">
        <v>21800</v>
      </c>
      <c r="T2307" s="403" t="s">
        <v>21801</v>
      </c>
      <c r="U2307" s="403"/>
      <c r="V2307" s="403" t="s">
        <v>7007</v>
      </c>
      <c r="W2307" s="403" t="s">
        <v>17802</v>
      </c>
      <c r="X2307" s="403" t="s">
        <v>11975</v>
      </c>
      <c r="Y2307" s="403" t="s">
        <v>21802</v>
      </c>
    </row>
    <row r="2308" spans="1:25">
      <c r="A2308" s="363">
        <f t="shared" si="295"/>
        <v>2307</v>
      </c>
      <c r="B2308" s="363" t="str">
        <f t="shared" si="288"/>
        <v>00</v>
      </c>
      <c r="C2308" s="405" t="str">
        <f t="shared" si="289"/>
        <v>第004968号</v>
      </c>
      <c r="D2308" s="405" t="str">
        <f t="shared" si="290"/>
        <v>文化シヤッター（株）</v>
      </c>
      <c r="E2308" s="405" t="str">
        <f t="shared" si="291"/>
        <v/>
      </c>
      <c r="F2308" s="405" t="str">
        <f t="shared" si="292"/>
        <v>安部　東洋</v>
      </c>
      <c r="G2308" s="405" t="str">
        <f t="shared" si="293"/>
        <v>大分営業所</v>
      </c>
      <c r="H2308" s="405" t="str">
        <f t="shared" si="294"/>
        <v>大分市賀来北２－４－２３</v>
      </c>
      <c r="L2308" s="403" t="s">
        <v>21803</v>
      </c>
      <c r="M2308" s="403" t="s">
        <v>21804</v>
      </c>
      <c r="N2308" s="403" t="s">
        <v>21805</v>
      </c>
      <c r="O2308" s="403" t="s">
        <v>7084</v>
      </c>
      <c r="P2308" s="403" t="s">
        <v>21806</v>
      </c>
      <c r="Q2308" s="403" t="s">
        <v>21807</v>
      </c>
      <c r="R2308" s="403" t="s">
        <v>21808</v>
      </c>
      <c r="S2308" s="403" t="s">
        <v>21809</v>
      </c>
      <c r="T2308" s="403" t="s">
        <v>21810</v>
      </c>
      <c r="U2308" s="403"/>
      <c r="V2308" s="403" t="s">
        <v>7013</v>
      </c>
      <c r="W2308" s="403" t="s">
        <v>21811</v>
      </c>
      <c r="X2308" s="403" t="s">
        <v>8303</v>
      </c>
      <c r="Y2308" s="403" t="s">
        <v>21812</v>
      </c>
    </row>
    <row r="2309" spans="1:25">
      <c r="A2309" s="363">
        <f t="shared" si="295"/>
        <v>2308</v>
      </c>
      <c r="B2309" s="363" t="str">
        <f t="shared" si="288"/>
        <v>00</v>
      </c>
      <c r="C2309" s="405" t="str">
        <f t="shared" si="289"/>
        <v>第005087号</v>
      </c>
      <c r="D2309" s="405" t="str">
        <f t="shared" si="290"/>
        <v>扶桑電通（株）</v>
      </c>
      <c r="E2309" s="405" t="str">
        <f t="shared" si="291"/>
        <v/>
      </c>
      <c r="F2309" s="405" t="str">
        <f t="shared" si="292"/>
        <v>布施　克磨</v>
      </c>
      <c r="G2309" s="405" t="str">
        <f t="shared" si="293"/>
        <v>九州支店</v>
      </c>
      <c r="H2309" s="405" t="str">
        <f t="shared" si="294"/>
        <v>福岡市博多区博多駅前１－１８－７</v>
      </c>
      <c r="L2309" s="403" t="s">
        <v>12656</v>
      </c>
      <c r="M2309" s="403" t="s">
        <v>12657</v>
      </c>
      <c r="N2309" s="403" t="s">
        <v>5960</v>
      </c>
      <c r="O2309" s="403" t="s">
        <v>7084</v>
      </c>
      <c r="P2309" s="403" t="s">
        <v>6622</v>
      </c>
      <c r="Q2309" s="403" t="s">
        <v>12658</v>
      </c>
      <c r="R2309" s="403" t="s">
        <v>21813</v>
      </c>
      <c r="S2309" s="403" t="s">
        <v>21814</v>
      </c>
      <c r="T2309" s="403" t="s">
        <v>21815</v>
      </c>
      <c r="U2309" s="403"/>
      <c r="V2309" s="403" t="s">
        <v>7007</v>
      </c>
      <c r="W2309" s="403" t="s">
        <v>17803</v>
      </c>
      <c r="X2309" s="403" t="s">
        <v>13015</v>
      </c>
      <c r="Y2309" s="403" t="s">
        <v>21816</v>
      </c>
    </row>
    <row r="2310" spans="1:25">
      <c r="A2310" s="363">
        <f t="shared" si="295"/>
        <v>2309</v>
      </c>
      <c r="B2310" s="363" t="str">
        <f t="shared" si="288"/>
        <v>00</v>
      </c>
      <c r="C2310" s="405" t="str">
        <f t="shared" si="289"/>
        <v>第005088号</v>
      </c>
      <c r="D2310" s="405" t="str">
        <f t="shared" si="290"/>
        <v>（株）国際電気</v>
      </c>
      <c r="E2310" s="405" t="str">
        <f t="shared" si="291"/>
        <v/>
      </c>
      <c r="F2310" s="405" t="str">
        <f t="shared" si="292"/>
        <v>辻　孝之</v>
      </c>
      <c r="G2310" s="405" t="str">
        <f t="shared" si="293"/>
        <v>九州支店</v>
      </c>
      <c r="H2310" s="405" t="str">
        <f t="shared" si="294"/>
        <v>福岡市博多区博多駅東２－１３－３４</v>
      </c>
      <c r="L2310" s="403" t="s">
        <v>12659</v>
      </c>
      <c r="M2310" s="403" t="s">
        <v>21817</v>
      </c>
      <c r="N2310" s="403" t="s">
        <v>21818</v>
      </c>
      <c r="O2310" s="403" t="s">
        <v>7084</v>
      </c>
      <c r="P2310" s="403" t="s">
        <v>6623</v>
      </c>
      <c r="Q2310" s="403" t="s">
        <v>12660</v>
      </c>
      <c r="R2310" s="403" t="s">
        <v>21819</v>
      </c>
      <c r="S2310" s="403" t="s">
        <v>21820</v>
      </c>
      <c r="T2310" s="403" t="s">
        <v>21821</v>
      </c>
      <c r="U2310" s="403"/>
      <c r="V2310" s="403" t="s">
        <v>7007</v>
      </c>
      <c r="W2310" s="403" t="s">
        <v>21822</v>
      </c>
      <c r="X2310" s="403" t="s">
        <v>13524</v>
      </c>
      <c r="Y2310" s="403" t="s">
        <v>21823</v>
      </c>
    </row>
    <row r="2311" spans="1:25">
      <c r="A2311" s="363">
        <f t="shared" si="295"/>
        <v>2310</v>
      </c>
      <c r="B2311" s="363" t="str">
        <f t="shared" si="288"/>
        <v>00</v>
      </c>
      <c r="C2311" s="405" t="str">
        <f t="shared" si="289"/>
        <v>第005100号</v>
      </c>
      <c r="D2311" s="405" t="str">
        <f t="shared" si="290"/>
        <v>（株）森田鉄工所</v>
      </c>
      <c r="E2311" s="405" t="str">
        <f t="shared" si="291"/>
        <v/>
      </c>
      <c r="F2311" s="405" t="str">
        <f t="shared" si="292"/>
        <v>矢内原　淳</v>
      </c>
      <c r="G2311" s="405" t="str">
        <f t="shared" si="293"/>
        <v>九州営業支店</v>
      </c>
      <c r="H2311" s="405" t="str">
        <f t="shared" si="294"/>
        <v>福岡市博多区博多駅前３－１０－２４</v>
      </c>
      <c r="L2311" s="403" t="s">
        <v>12661</v>
      </c>
      <c r="M2311" s="403" t="s">
        <v>12662</v>
      </c>
      <c r="N2311" s="403" t="s">
        <v>5961</v>
      </c>
      <c r="O2311" s="403" t="s">
        <v>7084</v>
      </c>
      <c r="P2311" s="403" t="s">
        <v>6624</v>
      </c>
      <c r="Q2311" s="403" t="s">
        <v>12663</v>
      </c>
      <c r="R2311" s="403" t="s">
        <v>21824</v>
      </c>
      <c r="S2311" s="403" t="s">
        <v>21825</v>
      </c>
      <c r="T2311" s="403" t="s">
        <v>21826</v>
      </c>
      <c r="U2311" s="403"/>
      <c r="V2311" s="403" t="s">
        <v>7034</v>
      </c>
      <c r="W2311" s="403" t="s">
        <v>17804</v>
      </c>
      <c r="X2311" s="403" t="s">
        <v>13015</v>
      </c>
      <c r="Y2311" s="403" t="s">
        <v>21722</v>
      </c>
    </row>
    <row r="2312" spans="1:25">
      <c r="A2312" s="363">
        <f t="shared" si="295"/>
        <v>2311</v>
      </c>
      <c r="B2312" s="363" t="str">
        <f t="shared" si="288"/>
        <v>00</v>
      </c>
      <c r="C2312" s="405" t="str">
        <f t="shared" si="289"/>
        <v>第005101号</v>
      </c>
      <c r="D2312" s="405" t="str">
        <f t="shared" si="290"/>
        <v>（株）内藤ハウス</v>
      </c>
      <c r="E2312" s="405" t="str">
        <f t="shared" si="291"/>
        <v/>
      </c>
      <c r="F2312" s="405" t="str">
        <f t="shared" si="292"/>
        <v>丸山　勝彦</v>
      </c>
      <c r="G2312" s="405" t="str">
        <f t="shared" si="293"/>
        <v>福岡営業所</v>
      </c>
      <c r="H2312" s="405" t="str">
        <f t="shared" si="294"/>
        <v>福岡市博多区博多駅南２－９－１１　三共福岡ビル５階</v>
      </c>
      <c r="L2312" s="403" t="s">
        <v>12664</v>
      </c>
      <c r="M2312" s="403" t="s">
        <v>12665</v>
      </c>
      <c r="N2312" s="403" t="s">
        <v>5962</v>
      </c>
      <c r="O2312" s="403" t="s">
        <v>7084</v>
      </c>
      <c r="P2312" s="403" t="s">
        <v>6625</v>
      </c>
      <c r="Q2312" s="403" t="s">
        <v>12666</v>
      </c>
      <c r="R2312" s="403" t="s">
        <v>21827</v>
      </c>
      <c r="S2312" s="403" t="s">
        <v>21828</v>
      </c>
      <c r="T2312" s="403" t="s">
        <v>21829</v>
      </c>
      <c r="U2312" s="403"/>
      <c r="V2312" s="403" t="s">
        <v>7010</v>
      </c>
      <c r="W2312" s="403" t="s">
        <v>17805</v>
      </c>
      <c r="X2312" s="403" t="s">
        <v>11975</v>
      </c>
      <c r="Y2312" s="403" t="s">
        <v>21830</v>
      </c>
    </row>
    <row r="2313" spans="1:25">
      <c r="A2313" s="363">
        <f t="shared" si="295"/>
        <v>2312</v>
      </c>
      <c r="B2313" s="363" t="str">
        <f t="shared" si="288"/>
        <v>00</v>
      </c>
      <c r="C2313" s="405" t="str">
        <f t="shared" si="289"/>
        <v>第005120号</v>
      </c>
      <c r="D2313" s="405" t="str">
        <f t="shared" si="290"/>
        <v>巴工業（株）</v>
      </c>
      <c r="E2313" s="405" t="str">
        <f t="shared" si="291"/>
        <v/>
      </c>
      <c r="F2313" s="405" t="str">
        <f t="shared" si="292"/>
        <v>杉浦　路明</v>
      </c>
      <c r="G2313" s="405" t="str">
        <f t="shared" si="293"/>
        <v>大阪支店</v>
      </c>
      <c r="H2313" s="405" t="str">
        <f t="shared" si="294"/>
        <v>大阪市北区梅田２－２－２２</v>
      </c>
      <c r="L2313" s="404" t="s">
        <v>12667</v>
      </c>
      <c r="M2313" s="404" t="s">
        <v>12668</v>
      </c>
      <c r="N2313" s="404" t="s">
        <v>5963</v>
      </c>
      <c r="O2313" s="404" t="s">
        <v>7084</v>
      </c>
      <c r="P2313" s="404" t="s">
        <v>6626</v>
      </c>
      <c r="Q2313" s="404" t="s">
        <v>12669</v>
      </c>
      <c r="R2313" s="404" t="s">
        <v>21831</v>
      </c>
      <c r="S2313" s="404" t="s">
        <v>21832</v>
      </c>
      <c r="T2313" s="404" t="s">
        <v>21833</v>
      </c>
      <c r="U2313" s="404"/>
      <c r="V2313" s="404" t="s">
        <v>7028</v>
      </c>
      <c r="W2313" s="404" t="s">
        <v>21834</v>
      </c>
      <c r="X2313" s="404" t="s">
        <v>12834</v>
      </c>
      <c r="Y2313" s="404" t="s">
        <v>21835</v>
      </c>
    </row>
    <row r="2314" spans="1:25">
      <c r="A2314" s="363">
        <f t="shared" si="295"/>
        <v>2313</v>
      </c>
      <c r="B2314" s="363" t="str">
        <f t="shared" si="288"/>
        <v>00</v>
      </c>
      <c r="C2314" s="405" t="str">
        <f t="shared" si="289"/>
        <v>第005178号</v>
      </c>
      <c r="D2314" s="405" t="str">
        <f t="shared" si="290"/>
        <v>三菱化工機（株）</v>
      </c>
      <c r="E2314" s="405" t="str">
        <f t="shared" si="291"/>
        <v/>
      </c>
      <c r="F2314" s="405" t="str">
        <f t="shared" si="292"/>
        <v>馬場　摩貴雄</v>
      </c>
      <c r="G2314" s="405" t="str">
        <f t="shared" si="293"/>
        <v>九州営業所</v>
      </c>
      <c r="H2314" s="405" t="str">
        <f t="shared" si="294"/>
        <v>福岡市東区箱崎４－５－２</v>
      </c>
      <c r="L2314" s="402" t="s">
        <v>12670</v>
      </c>
      <c r="M2314" s="402" t="s">
        <v>12671</v>
      </c>
      <c r="N2314" s="402" t="s">
        <v>5964</v>
      </c>
      <c r="O2314" s="402" t="s">
        <v>7084</v>
      </c>
      <c r="P2314" s="402" t="s">
        <v>6627</v>
      </c>
      <c r="Q2314" s="402" t="s">
        <v>12422</v>
      </c>
      <c r="R2314" s="402" t="s">
        <v>21836</v>
      </c>
      <c r="S2314" s="402" t="s">
        <v>21837</v>
      </c>
      <c r="T2314" s="402" t="s">
        <v>21838</v>
      </c>
      <c r="U2314" s="402"/>
      <c r="V2314" s="402" t="s">
        <v>7012</v>
      </c>
      <c r="W2314" s="402" t="s">
        <v>17806</v>
      </c>
      <c r="X2314" s="402" t="s">
        <v>12112</v>
      </c>
      <c r="Y2314" s="402" t="s">
        <v>21839</v>
      </c>
    </row>
    <row r="2315" spans="1:25">
      <c r="A2315" s="363">
        <f t="shared" si="295"/>
        <v>2314</v>
      </c>
      <c r="B2315" s="363" t="str">
        <f t="shared" si="288"/>
        <v>00</v>
      </c>
      <c r="C2315" s="405" t="str">
        <f t="shared" si="289"/>
        <v>第005186号</v>
      </c>
      <c r="D2315" s="405" t="str">
        <f t="shared" si="290"/>
        <v>東芝ライテック（株）</v>
      </c>
      <c r="E2315" s="405" t="str">
        <f t="shared" si="291"/>
        <v/>
      </c>
      <c r="F2315" s="405" t="str">
        <f t="shared" si="292"/>
        <v>及川　慎一朗</v>
      </c>
      <c r="G2315" s="405" t="str">
        <f t="shared" si="293"/>
        <v>九州営業所</v>
      </c>
      <c r="H2315" s="405" t="str">
        <f t="shared" si="294"/>
        <v>福岡市中央区長浜２－４－１</v>
      </c>
      <c r="L2315" s="403" t="s">
        <v>12672</v>
      </c>
      <c r="M2315" s="403" t="s">
        <v>12673</v>
      </c>
      <c r="N2315" s="403" t="s">
        <v>5965</v>
      </c>
      <c r="O2315" s="403" t="s">
        <v>7089</v>
      </c>
      <c r="P2315" s="403" t="s">
        <v>6628</v>
      </c>
      <c r="Q2315" s="403" t="s">
        <v>12413</v>
      </c>
      <c r="R2315" s="403" t="s">
        <v>21431</v>
      </c>
      <c r="S2315" s="403" t="s">
        <v>21840</v>
      </c>
      <c r="T2315" s="403" t="s">
        <v>21841</v>
      </c>
      <c r="U2315" s="403"/>
      <c r="V2315" s="403" t="s">
        <v>7012</v>
      </c>
      <c r="W2315" s="403" t="s">
        <v>17807</v>
      </c>
      <c r="X2315" s="403" t="s">
        <v>13253</v>
      </c>
      <c r="Y2315" s="403" t="s">
        <v>21434</v>
      </c>
    </row>
    <row r="2316" spans="1:25">
      <c r="A2316" s="363">
        <f t="shared" si="295"/>
        <v>2315</v>
      </c>
      <c r="B2316" s="363" t="str">
        <f t="shared" si="288"/>
        <v>00</v>
      </c>
      <c r="C2316" s="405" t="str">
        <f t="shared" si="289"/>
        <v>第005225号</v>
      </c>
      <c r="D2316" s="405" t="str">
        <f t="shared" si="290"/>
        <v>沖電気工業（株）</v>
      </c>
      <c r="E2316" s="405" t="str">
        <f t="shared" si="291"/>
        <v/>
      </c>
      <c r="F2316" s="405" t="str">
        <f t="shared" si="292"/>
        <v>山口　和徳</v>
      </c>
      <c r="G2316" s="405" t="str">
        <f t="shared" si="293"/>
        <v>九州支社</v>
      </c>
      <c r="H2316" s="405" t="str">
        <f t="shared" si="294"/>
        <v>福岡市中央区天神２－１３－７</v>
      </c>
      <c r="L2316" s="403" t="s">
        <v>12674</v>
      </c>
      <c r="M2316" s="403" t="s">
        <v>12675</v>
      </c>
      <c r="N2316" s="403" t="s">
        <v>5966</v>
      </c>
      <c r="O2316" s="403" t="s">
        <v>7084</v>
      </c>
      <c r="P2316" s="403" t="s">
        <v>6629</v>
      </c>
      <c r="Q2316" s="403" t="s">
        <v>12676</v>
      </c>
      <c r="R2316" s="403" t="s">
        <v>21842</v>
      </c>
      <c r="S2316" s="403" t="s">
        <v>21843</v>
      </c>
      <c r="T2316" s="403" t="s">
        <v>21844</v>
      </c>
      <c r="U2316" s="403"/>
      <c r="V2316" s="403" t="s">
        <v>7011</v>
      </c>
      <c r="W2316" s="403" t="s">
        <v>17808</v>
      </c>
      <c r="X2316" s="403" t="s">
        <v>17517</v>
      </c>
      <c r="Y2316" s="403" t="s">
        <v>21546</v>
      </c>
    </row>
    <row r="2317" spans="1:25">
      <c r="A2317" s="363">
        <f t="shared" si="295"/>
        <v>2316</v>
      </c>
      <c r="B2317" s="363" t="str">
        <f t="shared" si="288"/>
        <v>00</v>
      </c>
      <c r="C2317" s="405" t="str">
        <f t="shared" si="289"/>
        <v>第005229号</v>
      </c>
      <c r="D2317" s="405" t="str">
        <f t="shared" si="290"/>
        <v>能美防災（株）</v>
      </c>
      <c r="E2317" s="405" t="str">
        <f t="shared" si="291"/>
        <v/>
      </c>
      <c r="F2317" s="405" t="str">
        <f t="shared" si="292"/>
        <v>山田　真二</v>
      </c>
      <c r="G2317" s="405" t="str">
        <f t="shared" si="293"/>
        <v>九州支社</v>
      </c>
      <c r="H2317" s="405" t="str">
        <f t="shared" si="294"/>
        <v>福岡市中央区薬院２－５－７</v>
      </c>
      <c r="L2317" s="403" t="s">
        <v>12677</v>
      </c>
      <c r="M2317" s="403" t="s">
        <v>12678</v>
      </c>
      <c r="N2317" s="403" t="s">
        <v>5967</v>
      </c>
      <c r="O2317" s="403" t="s">
        <v>7083</v>
      </c>
      <c r="P2317" s="403" t="s">
        <v>6630</v>
      </c>
      <c r="Q2317" s="403" t="s">
        <v>12679</v>
      </c>
      <c r="R2317" s="403" t="s">
        <v>21845</v>
      </c>
      <c r="S2317" s="403" t="s">
        <v>21846</v>
      </c>
      <c r="T2317" s="403" t="s">
        <v>21847</v>
      </c>
      <c r="U2317" s="403"/>
      <c r="V2317" s="403" t="s">
        <v>7011</v>
      </c>
      <c r="W2317" s="403" t="s">
        <v>17809</v>
      </c>
      <c r="X2317" s="403" t="s">
        <v>12026</v>
      </c>
      <c r="Y2317" s="403" t="s">
        <v>21848</v>
      </c>
    </row>
    <row r="2318" spans="1:25">
      <c r="A2318" s="363">
        <f t="shared" si="295"/>
        <v>2317</v>
      </c>
      <c r="B2318" s="363" t="str">
        <f t="shared" si="288"/>
        <v>00</v>
      </c>
      <c r="C2318" s="405" t="str">
        <f t="shared" si="289"/>
        <v>第005279号</v>
      </c>
      <c r="D2318" s="405" t="str">
        <f t="shared" si="290"/>
        <v>大和ハウス工業（株）</v>
      </c>
      <c r="E2318" s="405" t="str">
        <f t="shared" si="291"/>
        <v/>
      </c>
      <c r="F2318" s="405" t="str">
        <f t="shared" si="292"/>
        <v>戝津　高広</v>
      </c>
      <c r="G2318" s="405" t="str">
        <f t="shared" si="293"/>
        <v>九州支社</v>
      </c>
      <c r="H2318" s="405" t="str">
        <f t="shared" si="294"/>
        <v>福岡市博多区上牟田２－１１－２４</v>
      </c>
      <c r="L2318" s="403" t="s">
        <v>12680</v>
      </c>
      <c r="M2318" s="403" t="s">
        <v>12681</v>
      </c>
      <c r="N2318" s="403" t="s">
        <v>5968</v>
      </c>
      <c r="O2318" s="403" t="s">
        <v>7084</v>
      </c>
      <c r="P2318" s="403" t="s">
        <v>21849</v>
      </c>
      <c r="Q2318" s="403" t="s">
        <v>12682</v>
      </c>
      <c r="R2318" s="403" t="s">
        <v>21850</v>
      </c>
      <c r="S2318" s="403" t="s">
        <v>21851</v>
      </c>
      <c r="T2318" s="403" t="s">
        <v>21852</v>
      </c>
      <c r="U2318" s="403"/>
      <c r="V2318" s="403" t="s">
        <v>7011</v>
      </c>
      <c r="W2318" s="403" t="s">
        <v>21853</v>
      </c>
      <c r="X2318" s="403" t="s">
        <v>17810</v>
      </c>
      <c r="Y2318" s="403" t="s">
        <v>21854</v>
      </c>
    </row>
    <row r="2319" spans="1:25">
      <c r="A2319" s="363">
        <f t="shared" si="295"/>
        <v>2318</v>
      </c>
      <c r="B2319" s="363" t="str">
        <f t="shared" si="288"/>
        <v>00</v>
      </c>
      <c r="C2319" s="405" t="str">
        <f t="shared" si="289"/>
        <v>第005287号</v>
      </c>
      <c r="D2319" s="405" t="str">
        <f t="shared" si="290"/>
        <v>（株）日立プラントサービス</v>
      </c>
      <c r="E2319" s="405" t="str">
        <f t="shared" si="291"/>
        <v/>
      </c>
      <c r="F2319" s="405" t="str">
        <f t="shared" si="292"/>
        <v>小田　朋行</v>
      </c>
      <c r="G2319" s="405" t="str">
        <f t="shared" si="293"/>
        <v>九州支店</v>
      </c>
      <c r="H2319" s="405" t="str">
        <f t="shared" si="294"/>
        <v>福岡市博多区冷泉町２－１</v>
      </c>
      <c r="L2319" s="403" t="s">
        <v>12683</v>
      </c>
      <c r="M2319" s="403" t="s">
        <v>12684</v>
      </c>
      <c r="N2319" s="403" t="s">
        <v>5969</v>
      </c>
      <c r="O2319" s="403" t="s">
        <v>7089</v>
      </c>
      <c r="P2319" s="403" t="s">
        <v>6631</v>
      </c>
      <c r="Q2319" s="403" t="s">
        <v>12917</v>
      </c>
      <c r="R2319" s="403" t="s">
        <v>21855</v>
      </c>
      <c r="S2319" s="403" t="s">
        <v>21856</v>
      </c>
      <c r="T2319" s="403" t="s">
        <v>21857</v>
      </c>
      <c r="U2319" s="403"/>
      <c r="V2319" s="403" t="s">
        <v>7007</v>
      </c>
      <c r="W2319" s="403" t="s">
        <v>17811</v>
      </c>
      <c r="X2319" s="403" t="s">
        <v>17756</v>
      </c>
      <c r="Y2319" s="403" t="s">
        <v>21858</v>
      </c>
    </row>
    <row r="2320" spans="1:25">
      <c r="A2320" s="363">
        <f t="shared" si="295"/>
        <v>2319</v>
      </c>
      <c r="B2320" s="363" t="str">
        <f t="shared" si="288"/>
        <v>00</v>
      </c>
      <c r="C2320" s="405" t="str">
        <f t="shared" si="289"/>
        <v>第005300号</v>
      </c>
      <c r="D2320" s="405" t="str">
        <f t="shared" si="290"/>
        <v>ＪＦＥプラントエンジ（株）</v>
      </c>
      <c r="E2320" s="405" t="str">
        <f t="shared" si="291"/>
        <v/>
      </c>
      <c r="F2320" s="405" t="str">
        <f t="shared" si="292"/>
        <v>後藤　省二</v>
      </c>
      <c r="G2320" s="405" t="str">
        <f t="shared" si="293"/>
        <v>関西営業部</v>
      </c>
      <c r="H2320" s="405" t="str">
        <f t="shared" si="294"/>
        <v>神戸市中央区浜辺通５－１－１４</v>
      </c>
      <c r="L2320" s="403" t="s">
        <v>12685</v>
      </c>
      <c r="M2320" s="403" t="s">
        <v>12686</v>
      </c>
      <c r="N2320" s="403" t="s">
        <v>5970</v>
      </c>
      <c r="O2320" s="403" t="s">
        <v>7083</v>
      </c>
      <c r="P2320" s="403" t="s">
        <v>6632</v>
      </c>
      <c r="Q2320" s="403" t="s">
        <v>12687</v>
      </c>
      <c r="R2320" s="403" t="s">
        <v>21859</v>
      </c>
      <c r="S2320" s="403" t="s">
        <v>21860</v>
      </c>
      <c r="T2320" s="403" t="s">
        <v>21861</v>
      </c>
      <c r="U2320" s="403"/>
      <c r="V2320" s="403" t="s">
        <v>7035</v>
      </c>
      <c r="W2320" s="403" t="s">
        <v>17812</v>
      </c>
      <c r="X2320" s="403" t="s">
        <v>11999</v>
      </c>
      <c r="Y2320" s="403" t="s">
        <v>21862</v>
      </c>
    </row>
    <row r="2321" spans="1:25">
      <c r="A2321" s="363">
        <f t="shared" si="295"/>
        <v>2320</v>
      </c>
      <c r="B2321" s="363" t="str">
        <f t="shared" si="288"/>
        <v>00</v>
      </c>
      <c r="C2321" s="405" t="str">
        <f t="shared" si="289"/>
        <v>第005335号</v>
      </c>
      <c r="D2321" s="405" t="str">
        <f t="shared" si="290"/>
        <v>三菱電機ビルソリューションズ（株）</v>
      </c>
      <c r="E2321" s="405" t="str">
        <f t="shared" si="291"/>
        <v/>
      </c>
      <c r="F2321" s="405" t="str">
        <f t="shared" si="292"/>
        <v>古渡　昭之</v>
      </c>
      <c r="G2321" s="405" t="str">
        <f t="shared" si="293"/>
        <v>西日本支社</v>
      </c>
      <c r="H2321" s="405" t="str">
        <f t="shared" si="294"/>
        <v>福岡市中央区天神１－１０－２０</v>
      </c>
      <c r="L2321" s="403" t="s">
        <v>12688</v>
      </c>
      <c r="M2321" s="403" t="s">
        <v>12689</v>
      </c>
      <c r="N2321" s="403" t="s">
        <v>5971</v>
      </c>
      <c r="O2321" s="403" t="s">
        <v>7084</v>
      </c>
      <c r="P2321" s="403" t="s">
        <v>6633</v>
      </c>
      <c r="Q2321" s="403" t="s">
        <v>12690</v>
      </c>
      <c r="R2321" s="403" t="s">
        <v>21389</v>
      </c>
      <c r="S2321" s="403" t="s">
        <v>21863</v>
      </c>
      <c r="T2321" s="403" t="s">
        <v>21864</v>
      </c>
      <c r="U2321" s="403"/>
      <c r="V2321" s="403" t="s">
        <v>7036</v>
      </c>
      <c r="W2321" s="403" t="s">
        <v>17813</v>
      </c>
      <c r="X2321" s="403" t="s">
        <v>17517</v>
      </c>
      <c r="Y2321" s="403" t="s">
        <v>21865</v>
      </c>
    </row>
    <row r="2322" spans="1:25">
      <c r="A2322" s="363">
        <f t="shared" si="295"/>
        <v>2321</v>
      </c>
      <c r="B2322" s="363" t="str">
        <f t="shared" si="288"/>
        <v>00</v>
      </c>
      <c r="C2322" s="405" t="str">
        <f t="shared" si="289"/>
        <v>第005383号</v>
      </c>
      <c r="D2322" s="405" t="str">
        <f t="shared" si="290"/>
        <v>日本乾溜工業（株）</v>
      </c>
      <c r="E2322" s="405" t="str">
        <f t="shared" si="291"/>
        <v/>
      </c>
      <c r="F2322" s="405" t="str">
        <f t="shared" si="292"/>
        <v>浜窪　正久</v>
      </c>
      <c r="G2322" s="405" t="str">
        <f t="shared" si="293"/>
        <v>大分支店</v>
      </c>
      <c r="H2322" s="405" t="str">
        <f t="shared" si="294"/>
        <v>大分市青崎２－４－３９</v>
      </c>
      <c r="L2322" s="403" t="s">
        <v>12691</v>
      </c>
      <c r="M2322" s="403" t="s">
        <v>12692</v>
      </c>
      <c r="N2322" s="403" t="s">
        <v>5972</v>
      </c>
      <c r="O2322" s="403" t="s">
        <v>7083</v>
      </c>
      <c r="P2322" s="403" t="s">
        <v>6634</v>
      </c>
      <c r="Q2322" s="403" t="s">
        <v>12693</v>
      </c>
      <c r="R2322" s="403" t="s">
        <v>21866</v>
      </c>
      <c r="S2322" s="403" t="s">
        <v>21867</v>
      </c>
      <c r="T2322" s="403" t="s">
        <v>21868</v>
      </c>
      <c r="U2322" s="403"/>
      <c r="V2322" s="403" t="s">
        <v>7009</v>
      </c>
      <c r="W2322" s="403" t="s">
        <v>17814</v>
      </c>
      <c r="X2322" s="403" t="s">
        <v>7528</v>
      </c>
      <c r="Y2322" s="403" t="s">
        <v>21052</v>
      </c>
    </row>
    <row r="2323" spans="1:25">
      <c r="A2323" s="363">
        <f t="shared" si="295"/>
        <v>2322</v>
      </c>
      <c r="B2323" s="363" t="str">
        <f t="shared" si="288"/>
        <v>00</v>
      </c>
      <c r="C2323" s="405" t="str">
        <f t="shared" si="289"/>
        <v>第005400号</v>
      </c>
      <c r="D2323" s="405" t="str">
        <f t="shared" si="290"/>
        <v>（株）ミライト・ワン</v>
      </c>
      <c r="E2323" s="405" t="str">
        <f t="shared" si="291"/>
        <v/>
      </c>
      <c r="F2323" s="405" t="str">
        <f t="shared" si="292"/>
        <v>浦本　浩二</v>
      </c>
      <c r="G2323" s="405" t="str">
        <f t="shared" si="293"/>
        <v>九州支店</v>
      </c>
      <c r="H2323" s="405" t="str">
        <f t="shared" si="294"/>
        <v>福岡市博多区上呉服町１０－１</v>
      </c>
      <c r="L2323" s="403" t="s">
        <v>12694</v>
      </c>
      <c r="M2323" s="403" t="s">
        <v>12695</v>
      </c>
      <c r="N2323" s="403" t="s">
        <v>5973</v>
      </c>
      <c r="O2323" s="403" t="s">
        <v>7084</v>
      </c>
      <c r="P2323" s="403" t="s">
        <v>21869</v>
      </c>
      <c r="Q2323" s="403" t="s">
        <v>12696</v>
      </c>
      <c r="R2323" s="403" t="s">
        <v>21870</v>
      </c>
      <c r="S2323" s="403" t="s">
        <v>21871</v>
      </c>
      <c r="T2323" s="403" t="s">
        <v>21872</v>
      </c>
      <c r="U2323" s="403"/>
      <c r="V2323" s="403" t="s">
        <v>7007</v>
      </c>
      <c r="W2323" s="403" t="s">
        <v>17815</v>
      </c>
      <c r="X2323" s="403" t="s">
        <v>12874</v>
      </c>
      <c r="Y2323" s="403" t="s">
        <v>20770</v>
      </c>
    </row>
    <row r="2324" spans="1:25">
      <c r="A2324" s="363">
        <f t="shared" si="295"/>
        <v>2323</v>
      </c>
      <c r="B2324" s="363" t="str">
        <f t="shared" si="288"/>
        <v>00</v>
      </c>
      <c r="C2324" s="405" t="str">
        <f t="shared" si="289"/>
        <v>第005411号</v>
      </c>
      <c r="D2324" s="405" t="str">
        <f t="shared" si="290"/>
        <v>極東開発工業（株）</v>
      </c>
      <c r="E2324" s="405" t="str">
        <f t="shared" si="291"/>
        <v>代表取締役</v>
      </c>
      <c r="F2324" s="405" t="str">
        <f t="shared" si="292"/>
        <v>布原　達也</v>
      </c>
      <c r="G2324" s="405" t="str">
        <f t="shared" si="293"/>
        <v>主たる営業所</v>
      </c>
      <c r="H2324" s="405" t="str">
        <f t="shared" si="294"/>
        <v>大阪市中央区淡路町２－５－１１</v>
      </c>
      <c r="L2324" s="403" t="s">
        <v>12697</v>
      </c>
      <c r="M2324" s="403" t="s">
        <v>12698</v>
      </c>
      <c r="N2324" s="403" t="s">
        <v>5974</v>
      </c>
      <c r="O2324" s="403" t="s">
        <v>7084</v>
      </c>
      <c r="P2324" s="403" t="s">
        <v>6635</v>
      </c>
      <c r="Q2324" s="403" t="s">
        <v>12699</v>
      </c>
      <c r="R2324" s="403" t="s">
        <v>21873</v>
      </c>
      <c r="S2324" s="403" t="s">
        <v>17816</v>
      </c>
      <c r="T2324" s="403" t="s">
        <v>17817</v>
      </c>
      <c r="U2324" s="403"/>
      <c r="V2324" s="403" t="s">
        <v>23024</v>
      </c>
      <c r="W2324" s="403" t="s">
        <v>23024</v>
      </c>
      <c r="X2324" s="403" t="s">
        <v>23024</v>
      </c>
      <c r="Y2324" s="403" t="s">
        <v>23024</v>
      </c>
    </row>
    <row r="2325" spans="1:25">
      <c r="A2325" s="363">
        <f t="shared" si="295"/>
        <v>2324</v>
      </c>
      <c r="B2325" s="363" t="str">
        <f t="shared" si="288"/>
        <v>00</v>
      </c>
      <c r="C2325" s="405" t="str">
        <f t="shared" si="289"/>
        <v>第005422号</v>
      </c>
      <c r="D2325" s="405" t="str">
        <f t="shared" si="290"/>
        <v>アズビル（株）</v>
      </c>
      <c r="E2325" s="405" t="str">
        <f t="shared" si="291"/>
        <v/>
      </c>
      <c r="F2325" s="405" t="str">
        <f t="shared" si="292"/>
        <v>岡本　和博</v>
      </c>
      <c r="G2325" s="405" t="str">
        <f t="shared" si="293"/>
        <v>ビルシステムカンパニー九州支店</v>
      </c>
      <c r="H2325" s="405" t="str">
        <f t="shared" si="294"/>
        <v>福岡市博多区冷泉町２－１</v>
      </c>
      <c r="L2325" s="403" t="s">
        <v>12700</v>
      </c>
      <c r="M2325" s="403" t="s">
        <v>12701</v>
      </c>
      <c r="N2325" s="403" t="s">
        <v>5975</v>
      </c>
      <c r="O2325" s="403" t="s">
        <v>7095</v>
      </c>
      <c r="P2325" s="403" t="s">
        <v>6636</v>
      </c>
      <c r="Q2325" s="403" t="s">
        <v>12702</v>
      </c>
      <c r="R2325" s="403" t="s">
        <v>21389</v>
      </c>
      <c r="S2325" s="403" t="s">
        <v>21874</v>
      </c>
      <c r="T2325" s="403" t="s">
        <v>21875</v>
      </c>
      <c r="U2325" s="403"/>
      <c r="V2325" s="403" t="s">
        <v>7037</v>
      </c>
      <c r="W2325" s="403" t="s">
        <v>17818</v>
      </c>
      <c r="X2325" s="403" t="s">
        <v>17756</v>
      </c>
      <c r="Y2325" s="403" t="s">
        <v>21858</v>
      </c>
    </row>
    <row r="2326" spans="1:25">
      <c r="A2326" s="363">
        <f t="shared" si="295"/>
        <v>2325</v>
      </c>
      <c r="B2326" s="363" t="str">
        <f t="shared" si="288"/>
        <v>00</v>
      </c>
      <c r="C2326" s="405" t="str">
        <f t="shared" si="289"/>
        <v>第005435号</v>
      </c>
      <c r="D2326" s="405" t="str">
        <f t="shared" si="290"/>
        <v>空研工業（株）</v>
      </c>
      <c r="E2326" s="405" t="str">
        <f t="shared" si="291"/>
        <v/>
      </c>
      <c r="F2326" s="405" t="str">
        <f t="shared" si="292"/>
        <v>過能　圭介</v>
      </c>
      <c r="G2326" s="405" t="str">
        <f t="shared" si="293"/>
        <v>工事部</v>
      </c>
      <c r="H2326" s="405" t="str">
        <f t="shared" si="294"/>
        <v>福岡市西区内浜２－４－３８</v>
      </c>
      <c r="L2326" s="403" t="s">
        <v>12703</v>
      </c>
      <c r="M2326" s="403" t="s">
        <v>12704</v>
      </c>
      <c r="N2326" s="403" t="s">
        <v>5976</v>
      </c>
      <c r="O2326" s="403" t="s">
        <v>7084</v>
      </c>
      <c r="P2326" s="403" t="s">
        <v>6637</v>
      </c>
      <c r="Q2326" s="403" t="s">
        <v>12705</v>
      </c>
      <c r="R2326" s="403" t="s">
        <v>21876</v>
      </c>
      <c r="S2326" s="403" t="s">
        <v>21877</v>
      </c>
      <c r="T2326" s="403" t="s">
        <v>21878</v>
      </c>
      <c r="U2326" s="403"/>
      <c r="V2326" s="403" t="s">
        <v>7038</v>
      </c>
      <c r="W2326" s="403" t="s">
        <v>17819</v>
      </c>
      <c r="X2326" s="403" t="s">
        <v>17820</v>
      </c>
      <c r="Y2326" s="403" t="s">
        <v>21879</v>
      </c>
    </row>
    <row r="2327" spans="1:25">
      <c r="A2327" s="363">
        <f t="shared" si="295"/>
        <v>2326</v>
      </c>
      <c r="B2327" s="363" t="str">
        <f t="shared" si="288"/>
        <v>00</v>
      </c>
      <c r="C2327" s="405" t="str">
        <f t="shared" si="289"/>
        <v>第005438号</v>
      </c>
      <c r="D2327" s="405" t="str">
        <f t="shared" si="290"/>
        <v>（株）水機テクノス</v>
      </c>
      <c r="E2327" s="405" t="str">
        <f t="shared" si="291"/>
        <v/>
      </c>
      <c r="F2327" s="405" t="str">
        <f t="shared" si="292"/>
        <v>宮崎　龍一</v>
      </c>
      <c r="G2327" s="405" t="str">
        <f t="shared" si="293"/>
        <v>福岡支店</v>
      </c>
      <c r="H2327" s="405" t="str">
        <f t="shared" si="294"/>
        <v>福岡市中央区長浜１－３－４</v>
      </c>
      <c r="L2327" s="403" t="s">
        <v>12706</v>
      </c>
      <c r="M2327" s="403" t="s">
        <v>12707</v>
      </c>
      <c r="N2327" s="403" t="s">
        <v>5977</v>
      </c>
      <c r="O2327" s="403" t="s">
        <v>7084</v>
      </c>
      <c r="P2327" s="403" t="s">
        <v>21880</v>
      </c>
      <c r="Q2327" s="403" t="s">
        <v>12579</v>
      </c>
      <c r="R2327" s="403" t="s">
        <v>21673</v>
      </c>
      <c r="S2327" s="403" t="s">
        <v>21881</v>
      </c>
      <c r="T2327" s="403" t="s">
        <v>21882</v>
      </c>
      <c r="U2327" s="403"/>
      <c r="V2327" s="403" t="s">
        <v>7018</v>
      </c>
      <c r="W2327" s="403" t="s">
        <v>17821</v>
      </c>
      <c r="X2327" s="403" t="s">
        <v>13253</v>
      </c>
      <c r="Y2327" s="403" t="s">
        <v>21883</v>
      </c>
    </row>
    <row r="2328" spans="1:25">
      <c r="A2328" s="363">
        <f t="shared" si="295"/>
        <v>2327</v>
      </c>
      <c r="B2328" s="363" t="str">
        <f t="shared" si="288"/>
        <v>00</v>
      </c>
      <c r="C2328" s="405" t="str">
        <f t="shared" si="289"/>
        <v>第005478号</v>
      </c>
      <c r="D2328" s="405" t="str">
        <f t="shared" si="290"/>
        <v>（株）西海建設</v>
      </c>
      <c r="E2328" s="405" t="str">
        <f t="shared" si="291"/>
        <v>代表取締役</v>
      </c>
      <c r="F2328" s="405" t="str">
        <f t="shared" si="292"/>
        <v>寺澤　孝憲</v>
      </c>
      <c r="G2328" s="405" t="str">
        <f t="shared" si="293"/>
        <v>主たる営業所</v>
      </c>
      <c r="H2328" s="405" t="str">
        <f t="shared" si="294"/>
        <v>長崎市興善町２－８</v>
      </c>
      <c r="L2328" s="403" t="s">
        <v>12708</v>
      </c>
      <c r="M2328" s="403" t="s">
        <v>9631</v>
      </c>
      <c r="N2328" s="403" t="s">
        <v>5978</v>
      </c>
      <c r="O2328" s="403" t="s">
        <v>7084</v>
      </c>
      <c r="P2328" s="403" t="s">
        <v>6638</v>
      </c>
      <c r="Q2328" s="403" t="s">
        <v>12709</v>
      </c>
      <c r="R2328" s="403" t="s">
        <v>21884</v>
      </c>
      <c r="S2328" s="403" t="s">
        <v>17822</v>
      </c>
      <c r="T2328" s="403" t="s">
        <v>17823</v>
      </c>
      <c r="U2328" s="403"/>
      <c r="V2328" s="403" t="s">
        <v>23024</v>
      </c>
      <c r="W2328" s="403" t="s">
        <v>23024</v>
      </c>
      <c r="X2328" s="403" t="s">
        <v>23024</v>
      </c>
      <c r="Y2328" s="403" t="s">
        <v>23024</v>
      </c>
    </row>
    <row r="2329" spans="1:25">
      <c r="A2329" s="363">
        <f t="shared" si="295"/>
        <v>2328</v>
      </c>
      <c r="B2329" s="363" t="str">
        <f t="shared" si="288"/>
        <v>00</v>
      </c>
      <c r="C2329" s="405" t="str">
        <f t="shared" si="289"/>
        <v>第005541号</v>
      </c>
      <c r="D2329" s="405" t="str">
        <f t="shared" si="290"/>
        <v>新菱工業（株）</v>
      </c>
      <c r="E2329" s="405" t="str">
        <f t="shared" si="291"/>
        <v/>
      </c>
      <c r="F2329" s="405" t="str">
        <f t="shared" si="292"/>
        <v>副島　昭裕</v>
      </c>
      <c r="G2329" s="405" t="str">
        <f t="shared" si="293"/>
        <v>九州営業所</v>
      </c>
      <c r="H2329" s="405" t="str">
        <f t="shared" si="294"/>
        <v>福岡市博多区店屋町６－２５</v>
      </c>
      <c r="L2329" s="403" t="s">
        <v>12710</v>
      </c>
      <c r="M2329" s="403" t="s">
        <v>12711</v>
      </c>
      <c r="N2329" s="403" t="s">
        <v>5979</v>
      </c>
      <c r="O2329" s="403" t="s">
        <v>7084</v>
      </c>
      <c r="P2329" s="403" t="s">
        <v>6639</v>
      </c>
      <c r="Q2329" s="403" t="s">
        <v>12712</v>
      </c>
      <c r="R2329" s="403" t="s">
        <v>21885</v>
      </c>
      <c r="S2329" s="403" t="s">
        <v>21886</v>
      </c>
      <c r="T2329" s="403" t="s">
        <v>21887</v>
      </c>
      <c r="U2329" s="403"/>
      <c r="V2329" s="403" t="s">
        <v>7012</v>
      </c>
      <c r="W2329" s="403" t="s">
        <v>17824</v>
      </c>
      <c r="X2329" s="403" t="s">
        <v>17522</v>
      </c>
      <c r="Y2329" s="403" t="s">
        <v>21888</v>
      </c>
    </row>
    <row r="2330" spans="1:25">
      <c r="A2330" s="363">
        <f t="shared" si="295"/>
        <v>2329</v>
      </c>
      <c r="B2330" s="363" t="str">
        <f t="shared" si="288"/>
        <v>00</v>
      </c>
      <c r="C2330" s="405" t="str">
        <f t="shared" si="289"/>
        <v>第005570号</v>
      </c>
      <c r="D2330" s="405" t="str">
        <f t="shared" si="290"/>
        <v>（株）日立ビルシステム</v>
      </c>
      <c r="E2330" s="405" t="str">
        <f t="shared" si="291"/>
        <v/>
      </c>
      <c r="F2330" s="405" t="str">
        <f t="shared" si="292"/>
        <v>野川　晃宏</v>
      </c>
      <c r="G2330" s="405" t="str">
        <f t="shared" si="293"/>
        <v>西日本支社</v>
      </c>
      <c r="H2330" s="405" t="str">
        <f t="shared" si="294"/>
        <v>福岡市博多区上呉服町１０－１０</v>
      </c>
      <c r="L2330" s="403" t="s">
        <v>12713</v>
      </c>
      <c r="M2330" s="403" t="s">
        <v>12714</v>
      </c>
      <c r="N2330" s="403" t="s">
        <v>5980</v>
      </c>
      <c r="O2330" s="403" t="s">
        <v>7089</v>
      </c>
      <c r="P2330" s="403" t="s">
        <v>21889</v>
      </c>
      <c r="Q2330" s="403" t="s">
        <v>12715</v>
      </c>
      <c r="R2330" s="403" t="s">
        <v>21890</v>
      </c>
      <c r="S2330" s="403" t="s">
        <v>21891</v>
      </c>
      <c r="T2330" s="403" t="s">
        <v>21892</v>
      </c>
      <c r="U2330" s="403"/>
      <c r="V2330" s="403" t="s">
        <v>7036</v>
      </c>
      <c r="W2330" s="403" t="s">
        <v>21893</v>
      </c>
      <c r="X2330" s="403" t="s">
        <v>12874</v>
      </c>
      <c r="Y2330" s="403" t="s">
        <v>21894</v>
      </c>
    </row>
    <row r="2331" spans="1:25">
      <c r="A2331" s="363">
        <f t="shared" si="295"/>
        <v>2330</v>
      </c>
      <c r="B2331" s="363" t="str">
        <f t="shared" si="288"/>
        <v>00</v>
      </c>
      <c r="C2331" s="405" t="str">
        <f t="shared" si="289"/>
        <v>第005592号</v>
      </c>
      <c r="D2331" s="405" t="str">
        <f t="shared" si="290"/>
        <v>（株）東和エンジニアリング</v>
      </c>
      <c r="E2331" s="405" t="str">
        <f t="shared" si="291"/>
        <v/>
      </c>
      <c r="F2331" s="405" t="str">
        <f t="shared" si="292"/>
        <v>澤谷　千</v>
      </c>
      <c r="G2331" s="405" t="str">
        <f t="shared" si="293"/>
        <v>関西支社</v>
      </c>
      <c r="H2331" s="405" t="str">
        <f t="shared" si="294"/>
        <v>大阪市北区中崎西４－２－２７</v>
      </c>
      <c r="L2331" s="403" t="s">
        <v>21895</v>
      </c>
      <c r="M2331" s="403" t="s">
        <v>21896</v>
      </c>
      <c r="N2331" s="403" t="s">
        <v>21897</v>
      </c>
      <c r="O2331" s="403" t="s">
        <v>7084</v>
      </c>
      <c r="P2331" s="403" t="s">
        <v>21898</v>
      </c>
      <c r="Q2331" s="403" t="s">
        <v>21899</v>
      </c>
      <c r="R2331" s="403" t="s">
        <v>21900</v>
      </c>
      <c r="S2331" s="403" t="s">
        <v>21901</v>
      </c>
      <c r="T2331" s="403" t="s">
        <v>21902</v>
      </c>
      <c r="U2331" s="403"/>
      <c r="V2331" s="403" t="s">
        <v>21903</v>
      </c>
      <c r="W2331" s="403" t="s">
        <v>21904</v>
      </c>
      <c r="X2331" s="403" t="s">
        <v>21905</v>
      </c>
      <c r="Y2331" s="403" t="s">
        <v>21906</v>
      </c>
    </row>
    <row r="2332" spans="1:25">
      <c r="A2332" s="363">
        <f t="shared" si="295"/>
        <v>2331</v>
      </c>
      <c r="B2332" s="363" t="str">
        <f t="shared" si="288"/>
        <v>00</v>
      </c>
      <c r="C2332" s="405" t="str">
        <f t="shared" si="289"/>
        <v>第005625号</v>
      </c>
      <c r="D2332" s="405" t="str">
        <f t="shared" si="290"/>
        <v>東海プラントエンジニアリング（株）</v>
      </c>
      <c r="E2332" s="405" t="str">
        <f t="shared" si="291"/>
        <v/>
      </c>
      <c r="F2332" s="405" t="str">
        <f t="shared" si="292"/>
        <v>竹下　幸一郎</v>
      </c>
      <c r="G2332" s="405" t="str">
        <f t="shared" si="293"/>
        <v>大分事業所</v>
      </c>
      <c r="H2332" s="405" t="str">
        <f t="shared" si="294"/>
        <v>大分市大字西ノ洲１</v>
      </c>
      <c r="L2332" s="403" t="s">
        <v>12716</v>
      </c>
      <c r="M2332" s="403" t="s">
        <v>12717</v>
      </c>
      <c r="N2332" s="403" t="s">
        <v>5981</v>
      </c>
      <c r="O2332" s="403" t="s">
        <v>7084</v>
      </c>
      <c r="P2332" s="403" t="s">
        <v>6640</v>
      </c>
      <c r="Q2332" s="403" t="s">
        <v>12718</v>
      </c>
      <c r="R2332" s="403" t="s">
        <v>21907</v>
      </c>
      <c r="S2332" s="403" t="s">
        <v>21908</v>
      </c>
      <c r="T2332" s="403" t="s">
        <v>21909</v>
      </c>
      <c r="U2332" s="403"/>
      <c r="V2332" s="403" t="s">
        <v>7017</v>
      </c>
      <c r="W2332" s="403" t="s">
        <v>17825</v>
      </c>
      <c r="X2332" s="403" t="s">
        <v>17655</v>
      </c>
      <c r="Y2332" s="403" t="s">
        <v>7076</v>
      </c>
    </row>
    <row r="2333" spans="1:25">
      <c r="A2333" s="363">
        <f t="shared" si="295"/>
        <v>2332</v>
      </c>
      <c r="B2333" s="363" t="str">
        <f t="shared" si="288"/>
        <v>00</v>
      </c>
      <c r="C2333" s="405" t="str">
        <f t="shared" si="289"/>
        <v>第005627号</v>
      </c>
      <c r="D2333" s="405" t="str">
        <f t="shared" si="290"/>
        <v>（株）松村電機製作所</v>
      </c>
      <c r="E2333" s="405" t="str">
        <f t="shared" si="291"/>
        <v/>
      </c>
      <c r="F2333" s="405" t="str">
        <f t="shared" si="292"/>
        <v>柿野　寛</v>
      </c>
      <c r="G2333" s="405" t="str">
        <f t="shared" si="293"/>
        <v>九州支店</v>
      </c>
      <c r="H2333" s="405" t="str">
        <f t="shared" si="294"/>
        <v>福岡市博多区博多駅前１－１５－２０</v>
      </c>
      <c r="L2333" s="403" t="s">
        <v>12719</v>
      </c>
      <c r="M2333" s="403" t="s">
        <v>12720</v>
      </c>
      <c r="N2333" s="403" t="s">
        <v>5982</v>
      </c>
      <c r="O2333" s="403" t="s">
        <v>7084</v>
      </c>
      <c r="P2333" s="403" t="s">
        <v>6641</v>
      </c>
      <c r="Q2333" s="403" t="s">
        <v>12721</v>
      </c>
      <c r="R2333" s="403" t="s">
        <v>21910</v>
      </c>
      <c r="S2333" s="403" t="s">
        <v>21911</v>
      </c>
      <c r="T2333" s="403" t="s">
        <v>21912</v>
      </c>
      <c r="U2333" s="403"/>
      <c r="V2333" s="403" t="s">
        <v>7007</v>
      </c>
      <c r="W2333" s="403" t="s">
        <v>17826</v>
      </c>
      <c r="X2333" s="403" t="s">
        <v>13015</v>
      </c>
      <c r="Y2333" s="403" t="s">
        <v>21913</v>
      </c>
    </row>
    <row r="2334" spans="1:25">
      <c r="A2334" s="363">
        <f t="shared" si="295"/>
        <v>2333</v>
      </c>
      <c r="B2334" s="363" t="str">
        <f t="shared" si="288"/>
        <v>00</v>
      </c>
      <c r="C2334" s="405" t="str">
        <f t="shared" si="289"/>
        <v>第005658号</v>
      </c>
      <c r="D2334" s="405" t="str">
        <f t="shared" si="290"/>
        <v>ドリコ（株）</v>
      </c>
      <c r="E2334" s="405" t="str">
        <f t="shared" si="291"/>
        <v/>
      </c>
      <c r="F2334" s="405" t="str">
        <f t="shared" si="292"/>
        <v>濱崎　満雄</v>
      </c>
      <c r="G2334" s="405" t="str">
        <f t="shared" si="293"/>
        <v>福岡支店</v>
      </c>
      <c r="H2334" s="405" t="str">
        <f t="shared" si="294"/>
        <v>福岡市博多区博多駅南１－３－１１</v>
      </c>
      <c r="L2334" s="403" t="s">
        <v>12722</v>
      </c>
      <c r="M2334" s="403" t="s">
        <v>12723</v>
      </c>
      <c r="N2334" s="403" t="s">
        <v>5983</v>
      </c>
      <c r="O2334" s="403" t="s">
        <v>7083</v>
      </c>
      <c r="P2334" s="403" t="s">
        <v>6642</v>
      </c>
      <c r="Q2334" s="403" t="s">
        <v>12724</v>
      </c>
      <c r="R2334" s="403" t="s">
        <v>21914</v>
      </c>
      <c r="S2334" s="403" t="s">
        <v>21915</v>
      </c>
      <c r="T2334" s="403" t="s">
        <v>21916</v>
      </c>
      <c r="U2334" s="403"/>
      <c r="V2334" s="403" t="s">
        <v>7018</v>
      </c>
      <c r="W2334" s="403" t="s">
        <v>17827</v>
      </c>
      <c r="X2334" s="403" t="s">
        <v>11975</v>
      </c>
      <c r="Y2334" s="403" t="s">
        <v>21155</v>
      </c>
    </row>
    <row r="2335" spans="1:25">
      <c r="A2335" s="363">
        <f t="shared" si="295"/>
        <v>2334</v>
      </c>
      <c r="B2335" s="363" t="str">
        <f t="shared" si="288"/>
        <v>00</v>
      </c>
      <c r="C2335" s="405" t="str">
        <f t="shared" si="289"/>
        <v>第005669号</v>
      </c>
      <c r="D2335" s="405" t="str">
        <f t="shared" si="290"/>
        <v>（株）ＨＹＳエンジニアリングサービス</v>
      </c>
      <c r="E2335" s="405" t="str">
        <f t="shared" si="291"/>
        <v/>
      </c>
      <c r="F2335" s="405" t="str">
        <f t="shared" si="292"/>
        <v>久保　潤治</v>
      </c>
      <c r="G2335" s="405" t="str">
        <f t="shared" si="293"/>
        <v>九州営業所</v>
      </c>
      <c r="H2335" s="405" t="str">
        <f t="shared" si="294"/>
        <v>福岡市博多区博多駅東２－１３－３４</v>
      </c>
      <c r="L2335" s="403" t="s">
        <v>12725</v>
      </c>
      <c r="M2335" s="403" t="s">
        <v>12726</v>
      </c>
      <c r="N2335" s="403" t="s">
        <v>5984</v>
      </c>
      <c r="O2335" s="403" t="s">
        <v>7084</v>
      </c>
      <c r="P2335" s="403" t="s">
        <v>21917</v>
      </c>
      <c r="Q2335" s="403" t="s">
        <v>12727</v>
      </c>
      <c r="R2335" s="403" t="s">
        <v>21918</v>
      </c>
      <c r="S2335" s="403" t="s">
        <v>21919</v>
      </c>
      <c r="T2335" s="403" t="s">
        <v>21920</v>
      </c>
      <c r="U2335" s="403"/>
      <c r="V2335" s="403" t="s">
        <v>7012</v>
      </c>
      <c r="W2335" s="403" t="s">
        <v>21921</v>
      </c>
      <c r="X2335" s="403" t="s">
        <v>13524</v>
      </c>
      <c r="Y2335" s="403" t="s">
        <v>21823</v>
      </c>
    </row>
    <row r="2336" spans="1:25">
      <c r="A2336" s="363">
        <f t="shared" si="295"/>
        <v>2335</v>
      </c>
      <c r="B2336" s="363" t="str">
        <f t="shared" si="288"/>
        <v>00</v>
      </c>
      <c r="C2336" s="405" t="str">
        <f t="shared" si="289"/>
        <v>第005678号</v>
      </c>
      <c r="D2336" s="405" t="str">
        <f t="shared" si="290"/>
        <v>みらい建設工業（株）</v>
      </c>
      <c r="E2336" s="405" t="str">
        <f t="shared" si="291"/>
        <v/>
      </c>
      <c r="F2336" s="405" t="str">
        <f t="shared" si="292"/>
        <v>野村　信二</v>
      </c>
      <c r="G2336" s="405" t="str">
        <f t="shared" si="293"/>
        <v>九州支店</v>
      </c>
      <c r="H2336" s="405" t="str">
        <f t="shared" si="294"/>
        <v>福岡市博多区上呉服町１０－１</v>
      </c>
      <c r="L2336" s="403" t="s">
        <v>12728</v>
      </c>
      <c r="M2336" s="403" t="s">
        <v>12729</v>
      </c>
      <c r="N2336" s="403" t="s">
        <v>5985</v>
      </c>
      <c r="O2336" s="403" t="s">
        <v>7084</v>
      </c>
      <c r="P2336" s="403" t="s">
        <v>6643</v>
      </c>
      <c r="Q2336" s="403" t="s">
        <v>12330</v>
      </c>
      <c r="R2336" s="403" t="s">
        <v>21922</v>
      </c>
      <c r="S2336" s="403" t="s">
        <v>21923</v>
      </c>
      <c r="T2336" s="403" t="s">
        <v>21924</v>
      </c>
      <c r="U2336" s="403"/>
      <c r="V2336" s="403" t="s">
        <v>7007</v>
      </c>
      <c r="W2336" s="403" t="s">
        <v>17828</v>
      </c>
      <c r="X2336" s="403" t="s">
        <v>12874</v>
      </c>
      <c r="Y2336" s="403" t="s">
        <v>20770</v>
      </c>
    </row>
    <row r="2337" spans="1:25">
      <c r="A2337" s="363">
        <f t="shared" si="295"/>
        <v>2336</v>
      </c>
      <c r="B2337" s="363" t="str">
        <f t="shared" si="288"/>
        <v>00</v>
      </c>
      <c r="C2337" s="405" t="str">
        <f t="shared" si="289"/>
        <v>第005692号</v>
      </c>
      <c r="D2337" s="405" t="str">
        <f t="shared" si="290"/>
        <v>大栄開発（株）</v>
      </c>
      <c r="E2337" s="405" t="str">
        <f t="shared" si="291"/>
        <v>代表取締役</v>
      </c>
      <c r="F2337" s="405" t="str">
        <f t="shared" si="292"/>
        <v>折原　尚司</v>
      </c>
      <c r="G2337" s="405" t="str">
        <f t="shared" si="293"/>
        <v>主たる営業所</v>
      </c>
      <c r="H2337" s="405" t="str">
        <f t="shared" si="294"/>
        <v>佐世保市日宇町２６９０</v>
      </c>
      <c r="L2337" s="403" t="s">
        <v>12730</v>
      </c>
      <c r="M2337" s="403" t="s">
        <v>12731</v>
      </c>
      <c r="N2337" s="403" t="s">
        <v>5986</v>
      </c>
      <c r="O2337" s="403" t="s">
        <v>7084</v>
      </c>
      <c r="P2337" s="403" t="s">
        <v>6644</v>
      </c>
      <c r="Q2337" s="403" t="s">
        <v>12732</v>
      </c>
      <c r="R2337" s="403" t="s">
        <v>21925</v>
      </c>
      <c r="S2337" s="403" t="s">
        <v>17829</v>
      </c>
      <c r="T2337" s="403" t="s">
        <v>17830</v>
      </c>
      <c r="U2337" s="403"/>
      <c r="V2337" s="403" t="s">
        <v>23024</v>
      </c>
      <c r="W2337" s="403" t="s">
        <v>23024</v>
      </c>
      <c r="X2337" s="403" t="s">
        <v>23024</v>
      </c>
      <c r="Y2337" s="403" t="s">
        <v>23024</v>
      </c>
    </row>
    <row r="2338" spans="1:25">
      <c r="A2338" s="363">
        <f t="shared" si="295"/>
        <v>2337</v>
      </c>
      <c r="B2338" s="363" t="str">
        <f t="shared" si="288"/>
        <v>00</v>
      </c>
      <c r="C2338" s="405" t="str">
        <f t="shared" si="289"/>
        <v>第005700号</v>
      </c>
      <c r="D2338" s="405" t="str">
        <f t="shared" si="290"/>
        <v>理水化学（株）</v>
      </c>
      <c r="E2338" s="405" t="str">
        <f t="shared" si="291"/>
        <v/>
      </c>
      <c r="F2338" s="405" t="str">
        <f t="shared" si="292"/>
        <v>高島　徹也</v>
      </c>
      <c r="G2338" s="405" t="str">
        <f t="shared" si="293"/>
        <v>福岡支店</v>
      </c>
      <c r="H2338" s="405" t="str">
        <f t="shared" si="294"/>
        <v>福岡市博多区博多駅東３－１１－２８</v>
      </c>
      <c r="L2338" s="403" t="s">
        <v>12733</v>
      </c>
      <c r="M2338" s="403" t="s">
        <v>12734</v>
      </c>
      <c r="N2338" s="403" t="s">
        <v>5987</v>
      </c>
      <c r="O2338" s="403" t="s">
        <v>7084</v>
      </c>
      <c r="P2338" s="403" t="s">
        <v>6645</v>
      </c>
      <c r="Q2338" s="403" t="s">
        <v>12389</v>
      </c>
      <c r="R2338" s="403" t="s">
        <v>21926</v>
      </c>
      <c r="S2338" s="403" t="s">
        <v>21927</v>
      </c>
      <c r="T2338" s="403" t="s">
        <v>21928</v>
      </c>
      <c r="U2338" s="403"/>
      <c r="V2338" s="403" t="s">
        <v>7018</v>
      </c>
      <c r="W2338" s="403" t="s">
        <v>21929</v>
      </c>
      <c r="X2338" s="403" t="s">
        <v>13524</v>
      </c>
      <c r="Y2338" s="403" t="s">
        <v>21930</v>
      </c>
    </row>
    <row r="2339" spans="1:25">
      <c r="A2339" s="363">
        <f t="shared" si="295"/>
        <v>2338</v>
      </c>
      <c r="B2339" s="363" t="str">
        <f t="shared" si="288"/>
        <v>00</v>
      </c>
      <c r="C2339" s="405" t="str">
        <f t="shared" si="289"/>
        <v>第005708号</v>
      </c>
      <c r="D2339" s="405" t="str">
        <f t="shared" si="290"/>
        <v>高砂熱学工業（株）</v>
      </c>
      <c r="E2339" s="405" t="str">
        <f t="shared" si="291"/>
        <v/>
      </c>
      <c r="F2339" s="405" t="str">
        <f t="shared" si="292"/>
        <v>牧本　浩明</v>
      </c>
      <c r="G2339" s="405" t="str">
        <f t="shared" si="293"/>
        <v>九州支店</v>
      </c>
      <c r="H2339" s="405" t="str">
        <f t="shared" si="294"/>
        <v>福岡市博多区博多駅前２－１９－２４大博センタービル９階</v>
      </c>
      <c r="L2339" s="403" t="s">
        <v>12735</v>
      </c>
      <c r="M2339" s="403" t="s">
        <v>12736</v>
      </c>
      <c r="N2339" s="403" t="s">
        <v>5988</v>
      </c>
      <c r="O2339" s="403" t="s">
        <v>7083</v>
      </c>
      <c r="P2339" s="403" t="s">
        <v>6646</v>
      </c>
      <c r="Q2339" s="403" t="s">
        <v>12737</v>
      </c>
      <c r="R2339" s="403" t="s">
        <v>21931</v>
      </c>
      <c r="S2339" s="403" t="s">
        <v>21932</v>
      </c>
      <c r="T2339" s="403" t="s">
        <v>21933</v>
      </c>
      <c r="U2339" s="403"/>
      <c r="V2339" s="403" t="s">
        <v>7007</v>
      </c>
      <c r="W2339" s="403" t="s">
        <v>21934</v>
      </c>
      <c r="X2339" s="403" t="s">
        <v>13015</v>
      </c>
      <c r="Y2339" s="403" t="s">
        <v>21935</v>
      </c>
    </row>
    <row r="2340" spans="1:25">
      <c r="A2340" s="363">
        <f t="shared" si="295"/>
        <v>2339</v>
      </c>
      <c r="B2340" s="363" t="str">
        <f t="shared" si="288"/>
        <v>00</v>
      </c>
      <c r="C2340" s="405" t="str">
        <f t="shared" si="289"/>
        <v>第005723号</v>
      </c>
      <c r="D2340" s="405" t="str">
        <f t="shared" si="290"/>
        <v>ＮＥＣネッツエスアイ（株）</v>
      </c>
      <c r="E2340" s="405" t="str">
        <f t="shared" si="291"/>
        <v/>
      </c>
      <c r="F2340" s="405" t="str">
        <f t="shared" si="292"/>
        <v>房村　慎一郎</v>
      </c>
      <c r="G2340" s="405" t="str">
        <f t="shared" si="293"/>
        <v>大分営業所</v>
      </c>
      <c r="H2340" s="405" t="str">
        <f t="shared" si="294"/>
        <v>大分市東春日町１７－１９</v>
      </c>
      <c r="L2340" s="403" t="s">
        <v>12738</v>
      </c>
      <c r="M2340" s="403" t="s">
        <v>12739</v>
      </c>
      <c r="N2340" s="403" t="s">
        <v>5989</v>
      </c>
      <c r="O2340" s="403" t="s">
        <v>7084</v>
      </c>
      <c r="P2340" s="403" t="s">
        <v>6647</v>
      </c>
      <c r="Q2340" s="403" t="s">
        <v>12740</v>
      </c>
      <c r="R2340" s="403" t="s">
        <v>21936</v>
      </c>
      <c r="S2340" s="403" t="s">
        <v>21937</v>
      </c>
      <c r="T2340" s="403" t="s">
        <v>21938</v>
      </c>
      <c r="U2340" s="403"/>
      <c r="V2340" s="403" t="s">
        <v>7013</v>
      </c>
      <c r="W2340" s="403" t="s">
        <v>17831</v>
      </c>
      <c r="X2340" s="403" t="s">
        <v>17641</v>
      </c>
      <c r="Y2340" s="403" t="s">
        <v>21939</v>
      </c>
    </row>
    <row r="2341" spans="1:25">
      <c r="A2341" s="363">
        <f t="shared" si="295"/>
        <v>2340</v>
      </c>
      <c r="B2341" s="363" t="str">
        <f t="shared" si="288"/>
        <v>00</v>
      </c>
      <c r="C2341" s="405" t="str">
        <f t="shared" si="289"/>
        <v>第005725号</v>
      </c>
      <c r="D2341" s="405" t="str">
        <f t="shared" si="290"/>
        <v>（株）カナデン</v>
      </c>
      <c r="E2341" s="405" t="str">
        <f t="shared" si="291"/>
        <v/>
      </c>
      <c r="F2341" s="405" t="str">
        <f t="shared" si="292"/>
        <v>宮本　愼也</v>
      </c>
      <c r="G2341" s="405" t="str">
        <f t="shared" si="293"/>
        <v>福岡営業所</v>
      </c>
      <c r="H2341" s="405" t="str">
        <f t="shared" si="294"/>
        <v>福岡市中央区天神４－１－１第７明星ビル９階</v>
      </c>
      <c r="L2341" s="403" t="s">
        <v>12741</v>
      </c>
      <c r="M2341" s="403" t="s">
        <v>12742</v>
      </c>
      <c r="N2341" s="403" t="s">
        <v>5990</v>
      </c>
      <c r="O2341" s="403" t="s">
        <v>7084</v>
      </c>
      <c r="P2341" s="403" t="s">
        <v>21940</v>
      </c>
      <c r="Q2341" s="403" t="s">
        <v>12743</v>
      </c>
      <c r="R2341" s="403" t="s">
        <v>21941</v>
      </c>
      <c r="S2341" s="403" t="s">
        <v>21942</v>
      </c>
      <c r="T2341" s="403" t="s">
        <v>21943</v>
      </c>
      <c r="U2341" s="403"/>
      <c r="V2341" s="403" t="s">
        <v>7010</v>
      </c>
      <c r="W2341" s="403" t="s">
        <v>21944</v>
      </c>
      <c r="X2341" s="403" t="s">
        <v>17517</v>
      </c>
      <c r="Y2341" s="403" t="s">
        <v>21945</v>
      </c>
    </row>
    <row r="2342" spans="1:25">
      <c r="A2342" s="363">
        <f t="shared" si="295"/>
        <v>2341</v>
      </c>
      <c r="B2342" s="363" t="str">
        <f t="shared" si="288"/>
        <v>00</v>
      </c>
      <c r="C2342" s="405" t="str">
        <f t="shared" si="289"/>
        <v>第005731号</v>
      </c>
      <c r="D2342" s="405" t="str">
        <f t="shared" si="290"/>
        <v>（株）千代田組</v>
      </c>
      <c r="E2342" s="405" t="str">
        <f t="shared" si="291"/>
        <v/>
      </c>
      <c r="F2342" s="405" t="str">
        <f t="shared" si="292"/>
        <v>吉岡　祐二</v>
      </c>
      <c r="G2342" s="405" t="str">
        <f t="shared" si="293"/>
        <v>九州支店</v>
      </c>
      <c r="H2342" s="405" t="str">
        <f t="shared" si="294"/>
        <v>福岡市博多区博多駅中央街７－２１　紙与博多中央ビル６階</v>
      </c>
      <c r="L2342" s="403" t="s">
        <v>12744</v>
      </c>
      <c r="M2342" s="403" t="s">
        <v>12745</v>
      </c>
      <c r="N2342" s="403" t="s">
        <v>5991</v>
      </c>
      <c r="O2342" s="403" t="s">
        <v>7083</v>
      </c>
      <c r="P2342" s="403" t="s">
        <v>6648</v>
      </c>
      <c r="Q2342" s="403" t="s">
        <v>12746</v>
      </c>
      <c r="R2342" s="403" t="s">
        <v>21946</v>
      </c>
      <c r="S2342" s="403" t="s">
        <v>21947</v>
      </c>
      <c r="T2342" s="403" t="s">
        <v>21948</v>
      </c>
      <c r="U2342" s="403"/>
      <c r="V2342" s="403" t="s">
        <v>7007</v>
      </c>
      <c r="W2342" s="403" t="s">
        <v>17832</v>
      </c>
      <c r="X2342" s="403" t="s">
        <v>17715</v>
      </c>
      <c r="Y2342" s="403" t="s">
        <v>21949</v>
      </c>
    </row>
    <row r="2343" spans="1:25">
      <c r="A2343" s="363">
        <f t="shared" si="295"/>
        <v>2342</v>
      </c>
      <c r="B2343" s="363" t="str">
        <f t="shared" si="288"/>
        <v>00</v>
      </c>
      <c r="C2343" s="405" t="str">
        <f t="shared" si="289"/>
        <v>第005828号</v>
      </c>
      <c r="D2343" s="405" t="str">
        <f t="shared" si="290"/>
        <v>（株）ゼネラル</v>
      </c>
      <c r="E2343" s="405" t="str">
        <f t="shared" si="291"/>
        <v/>
      </c>
      <c r="F2343" s="405" t="str">
        <f t="shared" si="292"/>
        <v>島崎　浩成</v>
      </c>
      <c r="G2343" s="405" t="str">
        <f t="shared" si="293"/>
        <v>九州情報通信ネットワーク営業部</v>
      </c>
      <c r="H2343" s="405" t="str">
        <f t="shared" si="294"/>
        <v>福岡市南区横手１－１２－４５</v>
      </c>
      <c r="L2343" s="403" t="s">
        <v>12747</v>
      </c>
      <c r="M2343" s="403" t="s">
        <v>21950</v>
      </c>
      <c r="N2343" s="403" t="s">
        <v>21951</v>
      </c>
      <c r="O2343" s="403" t="s">
        <v>7084</v>
      </c>
      <c r="P2343" s="403" t="s">
        <v>6649</v>
      </c>
      <c r="Q2343" s="403" t="s">
        <v>12748</v>
      </c>
      <c r="R2343" s="403" t="s">
        <v>21952</v>
      </c>
      <c r="S2343" s="403" t="s">
        <v>21953</v>
      </c>
      <c r="T2343" s="403" t="s">
        <v>21954</v>
      </c>
      <c r="U2343" s="403"/>
      <c r="V2343" s="403" t="s">
        <v>7039</v>
      </c>
      <c r="W2343" s="403" t="s">
        <v>17833</v>
      </c>
      <c r="X2343" s="403" t="s">
        <v>17834</v>
      </c>
      <c r="Y2343" s="403" t="s">
        <v>21955</v>
      </c>
    </row>
    <row r="2344" spans="1:25">
      <c r="A2344" s="363">
        <f t="shared" si="295"/>
        <v>2343</v>
      </c>
      <c r="B2344" s="363" t="str">
        <f t="shared" si="288"/>
        <v>00</v>
      </c>
      <c r="C2344" s="405" t="str">
        <f t="shared" si="289"/>
        <v>第005832号</v>
      </c>
      <c r="D2344" s="405" t="str">
        <f t="shared" si="290"/>
        <v>ダイハツインフィニアース（株）</v>
      </c>
      <c r="E2344" s="405" t="str">
        <f t="shared" si="291"/>
        <v/>
      </c>
      <c r="F2344" s="405" t="str">
        <f t="shared" si="292"/>
        <v>池田　正人</v>
      </c>
      <c r="G2344" s="405" t="str">
        <f t="shared" si="293"/>
        <v>九州支店</v>
      </c>
      <c r="H2344" s="405" t="str">
        <f t="shared" si="294"/>
        <v>福岡市東区多の津２－３－１</v>
      </c>
      <c r="L2344" s="403" t="s">
        <v>12749</v>
      </c>
      <c r="M2344" s="403" t="s">
        <v>21956</v>
      </c>
      <c r="N2344" s="403" t="s">
        <v>21957</v>
      </c>
      <c r="O2344" s="403" t="s">
        <v>7084</v>
      </c>
      <c r="P2344" s="403" t="s">
        <v>6650</v>
      </c>
      <c r="Q2344" s="403" t="s">
        <v>12508</v>
      </c>
      <c r="R2344" s="403" t="s">
        <v>21554</v>
      </c>
      <c r="S2344" s="403" t="s">
        <v>21958</v>
      </c>
      <c r="T2344" s="403" t="s">
        <v>21959</v>
      </c>
      <c r="U2344" s="403"/>
      <c r="V2344" s="403" t="s">
        <v>7007</v>
      </c>
      <c r="W2344" s="403" t="s">
        <v>17835</v>
      </c>
      <c r="X2344" s="403" t="s">
        <v>13803</v>
      </c>
      <c r="Y2344" s="403" t="s">
        <v>21960</v>
      </c>
    </row>
    <row r="2345" spans="1:25">
      <c r="A2345" s="363">
        <f t="shared" si="295"/>
        <v>2344</v>
      </c>
      <c r="B2345" s="363" t="str">
        <f t="shared" si="288"/>
        <v>00</v>
      </c>
      <c r="C2345" s="405" t="str">
        <f t="shared" si="289"/>
        <v>第005892号</v>
      </c>
      <c r="D2345" s="405" t="str">
        <f t="shared" si="290"/>
        <v>（株）ＩＨＩ回転機械エンジニアリング</v>
      </c>
      <c r="E2345" s="405" t="str">
        <f t="shared" si="291"/>
        <v/>
      </c>
      <c r="F2345" s="405" t="str">
        <f t="shared" si="292"/>
        <v>工藤　春生</v>
      </c>
      <c r="G2345" s="405" t="str">
        <f t="shared" si="293"/>
        <v>福岡事業所</v>
      </c>
      <c r="H2345" s="405" t="str">
        <f t="shared" si="294"/>
        <v>福岡市南区清水４－４－３４</v>
      </c>
      <c r="L2345" s="403" t="s">
        <v>12750</v>
      </c>
      <c r="M2345" s="403" t="s">
        <v>12751</v>
      </c>
      <c r="N2345" s="403" t="s">
        <v>5992</v>
      </c>
      <c r="O2345" s="403" t="s">
        <v>7083</v>
      </c>
      <c r="P2345" s="403" t="s">
        <v>6651</v>
      </c>
      <c r="Q2345" s="403" t="s">
        <v>12752</v>
      </c>
      <c r="R2345" s="403" t="s">
        <v>21961</v>
      </c>
      <c r="S2345" s="403" t="s">
        <v>21962</v>
      </c>
      <c r="T2345" s="403" t="s">
        <v>21963</v>
      </c>
      <c r="U2345" s="403"/>
      <c r="V2345" s="403" t="s">
        <v>7040</v>
      </c>
      <c r="W2345" s="403" t="s">
        <v>17836</v>
      </c>
      <c r="X2345" s="403" t="s">
        <v>12137</v>
      </c>
      <c r="Y2345" s="403" t="s">
        <v>21964</v>
      </c>
    </row>
    <row r="2346" spans="1:25">
      <c r="A2346" s="363">
        <f t="shared" si="295"/>
        <v>2345</v>
      </c>
      <c r="B2346" s="363" t="str">
        <f t="shared" si="288"/>
        <v>00</v>
      </c>
      <c r="C2346" s="405" t="str">
        <f t="shared" si="289"/>
        <v>第005900号</v>
      </c>
      <c r="D2346" s="405" t="str">
        <f t="shared" si="290"/>
        <v>管清工業（株）</v>
      </c>
      <c r="E2346" s="405" t="str">
        <f t="shared" si="291"/>
        <v/>
      </c>
      <c r="F2346" s="405" t="str">
        <f t="shared" si="292"/>
        <v>澤谷　善政</v>
      </c>
      <c r="G2346" s="405" t="str">
        <f t="shared" si="293"/>
        <v>九州支店</v>
      </c>
      <c r="H2346" s="405" t="str">
        <f t="shared" si="294"/>
        <v>福岡市博多区那珂５－３－１３</v>
      </c>
      <c r="L2346" s="403" t="s">
        <v>12753</v>
      </c>
      <c r="M2346" s="403" t="s">
        <v>12754</v>
      </c>
      <c r="N2346" s="403" t="s">
        <v>5993</v>
      </c>
      <c r="O2346" s="403" t="s">
        <v>7084</v>
      </c>
      <c r="P2346" s="403" t="s">
        <v>6652</v>
      </c>
      <c r="Q2346" s="403" t="s">
        <v>12755</v>
      </c>
      <c r="R2346" s="403" t="s">
        <v>21965</v>
      </c>
      <c r="S2346" s="403" t="s">
        <v>21966</v>
      </c>
      <c r="T2346" s="403" t="s">
        <v>21967</v>
      </c>
      <c r="U2346" s="403"/>
      <c r="V2346" s="403" t="s">
        <v>7007</v>
      </c>
      <c r="W2346" s="403" t="s">
        <v>17837</v>
      </c>
      <c r="X2346" s="403" t="s">
        <v>17682</v>
      </c>
      <c r="Y2346" s="403" t="s">
        <v>21968</v>
      </c>
    </row>
    <row r="2347" spans="1:25">
      <c r="A2347" s="363">
        <f t="shared" si="295"/>
        <v>2346</v>
      </c>
      <c r="B2347" s="363" t="str">
        <f t="shared" si="288"/>
        <v>00</v>
      </c>
      <c r="C2347" s="405" t="str">
        <f t="shared" si="289"/>
        <v>第005903号</v>
      </c>
      <c r="D2347" s="405" t="str">
        <f t="shared" si="290"/>
        <v>大和リース（株）</v>
      </c>
      <c r="E2347" s="405" t="str">
        <f t="shared" si="291"/>
        <v/>
      </c>
      <c r="F2347" s="405" t="str">
        <f t="shared" si="292"/>
        <v>大本　健介</v>
      </c>
      <c r="G2347" s="405" t="str">
        <f t="shared" si="293"/>
        <v>大分支店</v>
      </c>
      <c r="H2347" s="405" t="str">
        <f t="shared" si="294"/>
        <v>大分市王子北町５－９</v>
      </c>
      <c r="L2347" s="403" t="s">
        <v>12756</v>
      </c>
      <c r="M2347" s="403" t="s">
        <v>12757</v>
      </c>
      <c r="N2347" s="403" t="s">
        <v>5994</v>
      </c>
      <c r="O2347" s="403" t="s">
        <v>7084</v>
      </c>
      <c r="P2347" s="403" t="s">
        <v>6653</v>
      </c>
      <c r="Q2347" s="403" t="s">
        <v>12758</v>
      </c>
      <c r="R2347" s="403" t="s">
        <v>21969</v>
      </c>
      <c r="S2347" s="403" t="s">
        <v>21970</v>
      </c>
      <c r="T2347" s="403" t="s">
        <v>21971</v>
      </c>
      <c r="U2347" s="403"/>
      <c r="V2347" s="403" t="s">
        <v>7009</v>
      </c>
      <c r="W2347" s="403" t="s">
        <v>21972</v>
      </c>
      <c r="X2347" s="403" t="s">
        <v>7507</v>
      </c>
      <c r="Y2347" s="403" t="s">
        <v>21973</v>
      </c>
    </row>
    <row r="2348" spans="1:25">
      <c r="A2348" s="363">
        <f t="shared" si="295"/>
        <v>2347</v>
      </c>
      <c r="B2348" s="363" t="str">
        <f t="shared" si="288"/>
        <v>00</v>
      </c>
      <c r="C2348" s="405" t="str">
        <f t="shared" si="289"/>
        <v>第005955号</v>
      </c>
      <c r="D2348" s="405" t="str">
        <f t="shared" si="290"/>
        <v>日東工営（株）</v>
      </c>
      <c r="E2348" s="405" t="str">
        <f t="shared" si="291"/>
        <v/>
      </c>
      <c r="F2348" s="405" t="str">
        <f t="shared" si="292"/>
        <v>錦邉　忠彦</v>
      </c>
      <c r="G2348" s="405" t="str">
        <f t="shared" si="293"/>
        <v>九州支店</v>
      </c>
      <c r="H2348" s="405" t="str">
        <f t="shared" si="294"/>
        <v>福岡市博多区店屋町１－３５</v>
      </c>
      <c r="L2348" s="403" t="s">
        <v>12759</v>
      </c>
      <c r="M2348" s="403" t="s">
        <v>12760</v>
      </c>
      <c r="N2348" s="403" t="s">
        <v>5995</v>
      </c>
      <c r="O2348" s="403" t="s">
        <v>7084</v>
      </c>
      <c r="P2348" s="403" t="s">
        <v>21974</v>
      </c>
      <c r="Q2348" s="403" t="s">
        <v>12761</v>
      </c>
      <c r="R2348" s="403" t="s">
        <v>21975</v>
      </c>
      <c r="S2348" s="403" t="s">
        <v>21976</v>
      </c>
      <c r="T2348" s="403" t="s">
        <v>21977</v>
      </c>
      <c r="U2348" s="403"/>
      <c r="V2348" s="403" t="s">
        <v>7007</v>
      </c>
      <c r="W2348" s="403" t="s">
        <v>17838</v>
      </c>
      <c r="X2348" s="403" t="s">
        <v>17522</v>
      </c>
      <c r="Y2348" s="403" t="s">
        <v>21069</v>
      </c>
    </row>
    <row r="2349" spans="1:25">
      <c r="A2349" s="363">
        <f t="shared" si="295"/>
        <v>2348</v>
      </c>
      <c r="B2349" s="363" t="str">
        <f t="shared" si="288"/>
        <v>00</v>
      </c>
      <c r="C2349" s="405" t="str">
        <f t="shared" si="289"/>
        <v>第006002号</v>
      </c>
      <c r="D2349" s="405" t="str">
        <f t="shared" si="290"/>
        <v>オムロンフィールドエンジニアリング（株）</v>
      </c>
      <c r="E2349" s="405" t="str">
        <f t="shared" si="291"/>
        <v/>
      </c>
      <c r="F2349" s="405" t="str">
        <f t="shared" si="292"/>
        <v>伊藤　大輔</v>
      </c>
      <c r="G2349" s="405" t="str">
        <f t="shared" si="293"/>
        <v>大分テクノセンタ</v>
      </c>
      <c r="H2349" s="405" t="str">
        <f t="shared" si="294"/>
        <v>大分市東春日町１７－１９　大分ソフィアプラザビル２Ｆ</v>
      </c>
      <c r="L2349" s="403" t="s">
        <v>12762</v>
      </c>
      <c r="M2349" s="403" t="s">
        <v>12763</v>
      </c>
      <c r="N2349" s="403" t="s">
        <v>5996</v>
      </c>
      <c r="O2349" s="403" t="s">
        <v>7084</v>
      </c>
      <c r="P2349" s="403" t="s">
        <v>6654</v>
      </c>
      <c r="Q2349" s="403" t="s">
        <v>12764</v>
      </c>
      <c r="R2349" s="403" t="s">
        <v>21978</v>
      </c>
      <c r="S2349" s="403" t="s">
        <v>21979</v>
      </c>
      <c r="T2349" s="403" t="s">
        <v>21980</v>
      </c>
      <c r="U2349" s="403"/>
      <c r="V2349" s="403" t="s">
        <v>7041</v>
      </c>
      <c r="W2349" s="403" t="s">
        <v>2426</v>
      </c>
      <c r="X2349" s="403" t="s">
        <v>17641</v>
      </c>
      <c r="Y2349" s="403" t="s">
        <v>21981</v>
      </c>
    </row>
    <row r="2350" spans="1:25">
      <c r="A2350" s="363">
        <f t="shared" si="295"/>
        <v>2349</v>
      </c>
      <c r="B2350" s="363" t="str">
        <f t="shared" si="288"/>
        <v>00</v>
      </c>
      <c r="C2350" s="405" t="str">
        <f t="shared" si="289"/>
        <v>第006005号</v>
      </c>
      <c r="D2350" s="405" t="str">
        <f t="shared" si="290"/>
        <v>（株）三進ろ過工業</v>
      </c>
      <c r="E2350" s="405" t="str">
        <f t="shared" si="291"/>
        <v/>
      </c>
      <c r="F2350" s="405" t="str">
        <f t="shared" si="292"/>
        <v>中　裕一</v>
      </c>
      <c r="G2350" s="405" t="str">
        <f t="shared" si="293"/>
        <v>九州営業所</v>
      </c>
      <c r="H2350" s="405" t="str">
        <f t="shared" si="294"/>
        <v>福岡市博多区博多駅南３－５－１８ニッシンビル２０６号室</v>
      </c>
      <c r="L2350" s="403" t="s">
        <v>12765</v>
      </c>
      <c r="M2350" s="403" t="s">
        <v>12766</v>
      </c>
      <c r="N2350" s="403" t="s">
        <v>5997</v>
      </c>
      <c r="O2350" s="403" t="s">
        <v>7084</v>
      </c>
      <c r="P2350" s="403" t="s">
        <v>6655</v>
      </c>
      <c r="Q2350" s="403" t="s">
        <v>12767</v>
      </c>
      <c r="R2350" s="403" t="s">
        <v>21982</v>
      </c>
      <c r="S2350" s="403" t="s">
        <v>21983</v>
      </c>
      <c r="T2350" s="403" t="s">
        <v>21984</v>
      </c>
      <c r="U2350" s="403"/>
      <c r="V2350" s="403" t="s">
        <v>7012</v>
      </c>
      <c r="W2350" s="403" t="s">
        <v>17839</v>
      </c>
      <c r="X2350" s="403" t="s">
        <v>11975</v>
      </c>
      <c r="Y2350" s="403" t="s">
        <v>21985</v>
      </c>
    </row>
    <row r="2351" spans="1:25">
      <c r="A2351" s="363">
        <f t="shared" si="295"/>
        <v>2350</v>
      </c>
      <c r="B2351" s="363" t="str">
        <f t="shared" si="288"/>
        <v>00</v>
      </c>
      <c r="C2351" s="405" t="str">
        <f t="shared" si="289"/>
        <v>第006011号</v>
      </c>
      <c r="D2351" s="405" t="str">
        <f t="shared" si="290"/>
        <v>（株）大仙</v>
      </c>
      <c r="E2351" s="405" t="str">
        <f t="shared" si="291"/>
        <v/>
      </c>
      <c r="F2351" s="405" t="str">
        <f t="shared" si="292"/>
        <v>日向　章博</v>
      </c>
      <c r="G2351" s="405" t="str">
        <f t="shared" si="293"/>
        <v>九州支社</v>
      </c>
      <c r="H2351" s="405" t="str">
        <f t="shared" si="294"/>
        <v>大野城市山田２－１－１</v>
      </c>
      <c r="L2351" s="403" t="s">
        <v>12768</v>
      </c>
      <c r="M2351" s="403" t="s">
        <v>12769</v>
      </c>
      <c r="N2351" s="403" t="s">
        <v>5998</v>
      </c>
      <c r="O2351" s="403" t="s">
        <v>7084</v>
      </c>
      <c r="P2351" s="403" t="s">
        <v>6656</v>
      </c>
      <c r="Q2351" s="403" t="s">
        <v>12770</v>
      </c>
      <c r="R2351" s="403" t="s">
        <v>21986</v>
      </c>
      <c r="S2351" s="403" t="s">
        <v>21987</v>
      </c>
      <c r="T2351" s="403" t="s">
        <v>21988</v>
      </c>
      <c r="U2351" s="403"/>
      <c r="V2351" s="403" t="s">
        <v>7011</v>
      </c>
      <c r="W2351" s="403" t="s">
        <v>17840</v>
      </c>
      <c r="X2351" s="403" t="s">
        <v>17841</v>
      </c>
      <c r="Y2351" s="403" t="s">
        <v>21989</v>
      </c>
    </row>
    <row r="2352" spans="1:25">
      <c r="A2352" s="363">
        <f t="shared" si="295"/>
        <v>2351</v>
      </c>
      <c r="B2352" s="363" t="str">
        <f t="shared" si="288"/>
        <v>00</v>
      </c>
      <c r="C2352" s="405" t="str">
        <f t="shared" si="289"/>
        <v>第006068号</v>
      </c>
      <c r="D2352" s="405" t="str">
        <f t="shared" si="290"/>
        <v>（株）ケーネス</v>
      </c>
      <c r="E2352" s="405" t="str">
        <f t="shared" si="291"/>
        <v/>
      </c>
      <c r="F2352" s="405" t="str">
        <f t="shared" si="292"/>
        <v>農上　賢治</v>
      </c>
      <c r="G2352" s="405" t="str">
        <f t="shared" si="293"/>
        <v>九州支店</v>
      </c>
      <c r="H2352" s="405" t="str">
        <f t="shared" si="294"/>
        <v>福岡市博多区博多駅南１－３－１１</v>
      </c>
      <c r="L2352" s="403" t="s">
        <v>12771</v>
      </c>
      <c r="M2352" s="403" t="s">
        <v>12772</v>
      </c>
      <c r="N2352" s="403" t="s">
        <v>5999</v>
      </c>
      <c r="O2352" s="403" t="s">
        <v>7084</v>
      </c>
      <c r="P2352" s="403" t="s">
        <v>6657</v>
      </c>
      <c r="Q2352" s="403" t="s">
        <v>12773</v>
      </c>
      <c r="R2352" s="403" t="s">
        <v>21990</v>
      </c>
      <c r="S2352" s="403" t="s">
        <v>21991</v>
      </c>
      <c r="T2352" s="403" t="s">
        <v>21992</v>
      </c>
      <c r="U2352" s="403"/>
      <c r="V2352" s="403" t="s">
        <v>7007</v>
      </c>
      <c r="W2352" s="403" t="s">
        <v>17842</v>
      </c>
      <c r="X2352" s="403" t="s">
        <v>11975</v>
      </c>
      <c r="Y2352" s="403" t="s">
        <v>21155</v>
      </c>
    </row>
    <row r="2353" spans="1:25">
      <c r="A2353" s="363">
        <f t="shared" si="295"/>
        <v>2352</v>
      </c>
      <c r="B2353" s="363" t="str">
        <f t="shared" si="288"/>
        <v>00</v>
      </c>
      <c r="C2353" s="405" t="str">
        <f t="shared" si="289"/>
        <v>第006074号</v>
      </c>
      <c r="D2353" s="405" t="str">
        <f t="shared" si="290"/>
        <v>ジャトー（株）</v>
      </c>
      <c r="E2353" s="405" t="str">
        <f t="shared" si="291"/>
        <v/>
      </c>
      <c r="F2353" s="405" t="str">
        <f t="shared" si="292"/>
        <v>福久　友己</v>
      </c>
      <c r="G2353" s="405" t="str">
        <f t="shared" si="293"/>
        <v>九州営業所</v>
      </c>
      <c r="H2353" s="405" t="str">
        <f t="shared" si="294"/>
        <v>福岡市博多区豊１－４－２５</v>
      </c>
      <c r="L2353" s="403" t="s">
        <v>12774</v>
      </c>
      <c r="M2353" s="403" t="s">
        <v>12775</v>
      </c>
      <c r="N2353" s="403" t="s">
        <v>6000</v>
      </c>
      <c r="O2353" s="403" t="s">
        <v>7084</v>
      </c>
      <c r="P2353" s="403" t="s">
        <v>6658</v>
      </c>
      <c r="Q2353" s="403" t="s">
        <v>12776</v>
      </c>
      <c r="R2353" s="403" t="s">
        <v>21993</v>
      </c>
      <c r="S2353" s="403" t="s">
        <v>21994</v>
      </c>
      <c r="T2353" s="403" t="s">
        <v>21995</v>
      </c>
      <c r="U2353" s="403"/>
      <c r="V2353" s="403" t="s">
        <v>7012</v>
      </c>
      <c r="W2353" s="403" t="s">
        <v>17843</v>
      </c>
      <c r="X2353" s="403" t="s">
        <v>17771</v>
      </c>
      <c r="Y2353" s="403" t="s">
        <v>21996</v>
      </c>
    </row>
    <row r="2354" spans="1:25">
      <c r="A2354" s="363">
        <f t="shared" si="295"/>
        <v>2353</v>
      </c>
      <c r="B2354" s="363" t="str">
        <f t="shared" si="288"/>
        <v>00</v>
      </c>
      <c r="C2354" s="405" t="str">
        <f t="shared" si="289"/>
        <v>第006090号</v>
      </c>
      <c r="D2354" s="405" t="str">
        <f t="shared" si="290"/>
        <v>カナデビアＥ＆Ｅ（株）</v>
      </c>
      <c r="E2354" s="405" t="str">
        <f t="shared" si="291"/>
        <v>代表取締役</v>
      </c>
      <c r="F2354" s="405" t="str">
        <f t="shared" si="292"/>
        <v>佐藤　英夫</v>
      </c>
      <c r="G2354" s="405" t="str">
        <f t="shared" si="293"/>
        <v>主たる営業所</v>
      </c>
      <c r="H2354" s="405" t="str">
        <f t="shared" si="294"/>
        <v>大阪市港区弁天１－２－１</v>
      </c>
      <c r="L2354" s="403" t="s">
        <v>12777</v>
      </c>
      <c r="M2354" s="403" t="s">
        <v>12778</v>
      </c>
      <c r="N2354" s="403" t="s">
        <v>6001</v>
      </c>
      <c r="O2354" s="403" t="s">
        <v>7084</v>
      </c>
      <c r="P2354" s="403" t="s">
        <v>21997</v>
      </c>
      <c r="Q2354" s="403" t="s">
        <v>12779</v>
      </c>
      <c r="R2354" s="403" t="s">
        <v>21998</v>
      </c>
      <c r="S2354" s="403" t="s">
        <v>17844</v>
      </c>
      <c r="T2354" s="403" t="s">
        <v>17845</v>
      </c>
      <c r="U2354" s="403"/>
      <c r="V2354" s="403" t="s">
        <v>23024</v>
      </c>
      <c r="W2354" s="403" t="s">
        <v>23024</v>
      </c>
      <c r="X2354" s="403" t="s">
        <v>23024</v>
      </c>
      <c r="Y2354" s="403" t="s">
        <v>23024</v>
      </c>
    </row>
    <row r="2355" spans="1:25">
      <c r="A2355" s="363">
        <f t="shared" si="295"/>
        <v>2354</v>
      </c>
      <c r="B2355" s="363" t="str">
        <f t="shared" si="288"/>
        <v>00</v>
      </c>
      <c r="C2355" s="405" t="str">
        <f t="shared" si="289"/>
        <v>第006129号</v>
      </c>
      <c r="D2355" s="405" t="str">
        <f t="shared" si="290"/>
        <v>（株）タクマ</v>
      </c>
      <c r="E2355" s="405" t="str">
        <f t="shared" si="291"/>
        <v/>
      </c>
      <c r="F2355" s="405" t="str">
        <f t="shared" si="292"/>
        <v>栗山　雄一</v>
      </c>
      <c r="G2355" s="405" t="str">
        <f t="shared" si="293"/>
        <v>九州支店</v>
      </c>
      <c r="H2355" s="405" t="str">
        <f t="shared" si="294"/>
        <v>福岡市中央区薬院１－１－１</v>
      </c>
      <c r="L2355" s="403" t="s">
        <v>12780</v>
      </c>
      <c r="M2355" s="403" t="s">
        <v>12781</v>
      </c>
      <c r="N2355" s="403" t="s">
        <v>6002</v>
      </c>
      <c r="O2355" s="403" t="s">
        <v>7083</v>
      </c>
      <c r="P2355" s="403" t="s">
        <v>21999</v>
      </c>
      <c r="Q2355" s="403" t="s">
        <v>12782</v>
      </c>
      <c r="R2355" s="403" t="s">
        <v>22000</v>
      </c>
      <c r="S2355" s="403" t="s">
        <v>22001</v>
      </c>
      <c r="T2355" s="403" t="s">
        <v>22002</v>
      </c>
      <c r="U2355" s="403"/>
      <c r="V2355" s="403" t="s">
        <v>7007</v>
      </c>
      <c r="W2355" s="403" t="s">
        <v>17846</v>
      </c>
      <c r="X2355" s="403" t="s">
        <v>12026</v>
      </c>
      <c r="Y2355" s="403" t="s">
        <v>22003</v>
      </c>
    </row>
    <row r="2356" spans="1:25">
      <c r="A2356" s="363">
        <f t="shared" si="295"/>
        <v>2355</v>
      </c>
      <c r="B2356" s="363" t="str">
        <f t="shared" si="288"/>
        <v>00</v>
      </c>
      <c r="C2356" s="405" t="str">
        <f t="shared" si="289"/>
        <v>第006233号</v>
      </c>
      <c r="D2356" s="405" t="str">
        <f t="shared" si="290"/>
        <v>（株）加藤建設</v>
      </c>
      <c r="E2356" s="405" t="str">
        <f t="shared" si="291"/>
        <v/>
      </c>
      <c r="F2356" s="405" t="str">
        <f t="shared" si="292"/>
        <v>赤星　勝之</v>
      </c>
      <c r="G2356" s="405" t="str">
        <f t="shared" si="293"/>
        <v>九州営業所</v>
      </c>
      <c r="H2356" s="405" t="str">
        <f t="shared" si="294"/>
        <v>福岡市博多区竹下１－１６－８</v>
      </c>
      <c r="L2356" s="403" t="s">
        <v>12783</v>
      </c>
      <c r="M2356" s="403" t="s">
        <v>9905</v>
      </c>
      <c r="N2356" s="403" t="s">
        <v>6003</v>
      </c>
      <c r="O2356" s="403" t="s">
        <v>7083</v>
      </c>
      <c r="P2356" s="403" t="s">
        <v>6659</v>
      </c>
      <c r="Q2356" s="403" t="s">
        <v>12784</v>
      </c>
      <c r="R2356" s="403" t="s">
        <v>22004</v>
      </c>
      <c r="S2356" s="403" t="s">
        <v>22005</v>
      </c>
      <c r="T2356" s="403" t="s">
        <v>22006</v>
      </c>
      <c r="U2356" s="403"/>
      <c r="V2356" s="403" t="s">
        <v>7012</v>
      </c>
      <c r="W2356" s="403" t="s">
        <v>17847</v>
      </c>
      <c r="X2356" s="403" t="s">
        <v>11952</v>
      </c>
      <c r="Y2356" s="403" t="s">
        <v>22007</v>
      </c>
    </row>
    <row r="2357" spans="1:25">
      <c r="A2357" s="363">
        <f t="shared" si="295"/>
        <v>2356</v>
      </c>
      <c r="B2357" s="363" t="str">
        <f t="shared" si="288"/>
        <v>00</v>
      </c>
      <c r="C2357" s="405" t="str">
        <f t="shared" si="289"/>
        <v>第006345号</v>
      </c>
      <c r="D2357" s="405" t="str">
        <f t="shared" si="290"/>
        <v>今別府産業（株）</v>
      </c>
      <c r="E2357" s="405" t="str">
        <f t="shared" si="291"/>
        <v/>
      </c>
      <c r="F2357" s="405" t="str">
        <f t="shared" si="292"/>
        <v>村吉　裕樹</v>
      </c>
      <c r="G2357" s="405" t="str">
        <f t="shared" si="293"/>
        <v>福岡支店</v>
      </c>
      <c r="H2357" s="405" t="str">
        <f t="shared" si="294"/>
        <v>福岡市博多区井相田３－２５－１</v>
      </c>
      <c r="L2357" s="403" t="s">
        <v>12785</v>
      </c>
      <c r="M2357" s="403" t="s">
        <v>12786</v>
      </c>
      <c r="N2357" s="403" t="s">
        <v>6004</v>
      </c>
      <c r="O2357" s="403" t="s">
        <v>7084</v>
      </c>
      <c r="P2357" s="403" t="s">
        <v>6660</v>
      </c>
      <c r="Q2357" s="403" t="s">
        <v>12787</v>
      </c>
      <c r="R2357" s="403" t="s">
        <v>22008</v>
      </c>
      <c r="S2357" s="403" t="s">
        <v>22009</v>
      </c>
      <c r="T2357" s="403" t="s">
        <v>22010</v>
      </c>
      <c r="U2357" s="403"/>
      <c r="V2357" s="403" t="s">
        <v>7018</v>
      </c>
      <c r="W2357" s="403" t="s">
        <v>17848</v>
      </c>
      <c r="X2357" s="403" t="s">
        <v>13092</v>
      </c>
      <c r="Y2357" s="403" t="s">
        <v>22011</v>
      </c>
    </row>
    <row r="2358" spans="1:25">
      <c r="A2358" s="363">
        <f t="shared" si="295"/>
        <v>2357</v>
      </c>
      <c r="B2358" s="363" t="str">
        <f t="shared" si="288"/>
        <v>00</v>
      </c>
      <c r="C2358" s="405" t="str">
        <f t="shared" si="289"/>
        <v>第006366号</v>
      </c>
      <c r="D2358" s="405" t="str">
        <f t="shared" si="290"/>
        <v>ヒビノスペーステック（株）</v>
      </c>
      <c r="E2358" s="405" t="str">
        <f t="shared" si="291"/>
        <v/>
      </c>
      <c r="F2358" s="405" t="str">
        <f t="shared" si="292"/>
        <v>浦崎　仁裕</v>
      </c>
      <c r="G2358" s="405" t="str">
        <f t="shared" si="293"/>
        <v>九州営業所</v>
      </c>
      <c r="H2358" s="405" t="str">
        <f t="shared" si="294"/>
        <v>福岡市中央区長浜１－１－１　ＫＢＣビル９階</v>
      </c>
      <c r="L2358" s="403" t="s">
        <v>12788</v>
      </c>
      <c r="M2358" s="403" t="s">
        <v>12789</v>
      </c>
      <c r="N2358" s="403" t="s">
        <v>6005</v>
      </c>
      <c r="O2358" s="403" t="s">
        <v>7083</v>
      </c>
      <c r="P2358" s="403" t="s">
        <v>6661</v>
      </c>
      <c r="Q2358" s="403" t="s">
        <v>12790</v>
      </c>
      <c r="R2358" s="403" t="s">
        <v>22012</v>
      </c>
      <c r="S2358" s="403" t="s">
        <v>22013</v>
      </c>
      <c r="T2358" s="403" t="s">
        <v>22014</v>
      </c>
      <c r="U2358" s="403"/>
      <c r="V2358" s="403" t="s">
        <v>7012</v>
      </c>
      <c r="W2358" s="403" t="s">
        <v>17849</v>
      </c>
      <c r="X2358" s="403" t="s">
        <v>13253</v>
      </c>
      <c r="Y2358" s="403" t="s">
        <v>22015</v>
      </c>
    </row>
    <row r="2359" spans="1:25">
      <c r="A2359" s="363">
        <f t="shared" si="295"/>
        <v>2358</v>
      </c>
      <c r="B2359" s="363" t="str">
        <f t="shared" si="288"/>
        <v>00</v>
      </c>
      <c r="C2359" s="405" t="str">
        <f t="shared" si="289"/>
        <v>第006378号</v>
      </c>
      <c r="D2359" s="405" t="str">
        <f t="shared" si="290"/>
        <v>（株）田中衡機工業所</v>
      </c>
      <c r="E2359" s="405" t="str">
        <f t="shared" si="291"/>
        <v>代表取締役</v>
      </c>
      <c r="F2359" s="405" t="str">
        <f t="shared" si="292"/>
        <v>田中　康之</v>
      </c>
      <c r="G2359" s="405" t="str">
        <f t="shared" si="293"/>
        <v>主たる営業所</v>
      </c>
      <c r="H2359" s="405" t="str">
        <f t="shared" si="294"/>
        <v>三条市福島新田丙２３１８－１</v>
      </c>
      <c r="L2359" s="403" t="s">
        <v>12791</v>
      </c>
      <c r="M2359" s="403" t="s">
        <v>12792</v>
      </c>
      <c r="N2359" s="403" t="s">
        <v>6006</v>
      </c>
      <c r="O2359" s="403" t="s">
        <v>7084</v>
      </c>
      <c r="P2359" s="403" t="s">
        <v>6662</v>
      </c>
      <c r="Q2359" s="403" t="s">
        <v>12793</v>
      </c>
      <c r="R2359" s="403" t="s">
        <v>22016</v>
      </c>
      <c r="S2359" s="403" t="s">
        <v>17850</v>
      </c>
      <c r="T2359" s="403" t="s">
        <v>17851</v>
      </c>
      <c r="U2359" s="403"/>
      <c r="V2359" s="403" t="s">
        <v>23024</v>
      </c>
      <c r="W2359" s="403" t="s">
        <v>23024</v>
      </c>
      <c r="X2359" s="403" t="s">
        <v>23024</v>
      </c>
      <c r="Y2359" s="403" t="s">
        <v>23024</v>
      </c>
    </row>
    <row r="2360" spans="1:25">
      <c r="A2360" s="363">
        <f t="shared" si="295"/>
        <v>2359</v>
      </c>
      <c r="B2360" s="363" t="str">
        <f t="shared" si="288"/>
        <v>00</v>
      </c>
      <c r="C2360" s="405" t="str">
        <f t="shared" si="289"/>
        <v>第006441号</v>
      </c>
      <c r="D2360" s="405" t="str">
        <f t="shared" si="290"/>
        <v>泉陽興業（株）</v>
      </c>
      <c r="E2360" s="405" t="str">
        <f t="shared" si="291"/>
        <v>代表取締役</v>
      </c>
      <c r="F2360" s="405" t="str">
        <f t="shared" si="292"/>
        <v>山田　勇作</v>
      </c>
      <c r="G2360" s="405" t="str">
        <f t="shared" si="293"/>
        <v>主たる営業所</v>
      </c>
      <c r="H2360" s="405" t="str">
        <f t="shared" si="294"/>
        <v>大阪市浪速区元町１－８－１５</v>
      </c>
      <c r="L2360" s="403" t="s">
        <v>12794</v>
      </c>
      <c r="M2360" s="403" t="s">
        <v>12795</v>
      </c>
      <c r="N2360" s="403" t="s">
        <v>6007</v>
      </c>
      <c r="O2360" s="403" t="s">
        <v>7084</v>
      </c>
      <c r="P2360" s="403" t="s">
        <v>6663</v>
      </c>
      <c r="Q2360" s="403" t="s">
        <v>12796</v>
      </c>
      <c r="R2360" s="403" t="s">
        <v>22017</v>
      </c>
      <c r="S2360" s="403" t="s">
        <v>17852</v>
      </c>
      <c r="T2360" s="403" t="s">
        <v>17853</v>
      </c>
      <c r="U2360" s="403"/>
      <c r="V2360" s="403" t="s">
        <v>23024</v>
      </c>
      <c r="W2360" s="403" t="s">
        <v>23024</v>
      </c>
      <c r="X2360" s="403" t="s">
        <v>23024</v>
      </c>
      <c r="Y2360" s="403" t="s">
        <v>23024</v>
      </c>
    </row>
    <row r="2361" spans="1:25">
      <c r="A2361" s="363">
        <f t="shared" si="295"/>
        <v>2360</v>
      </c>
      <c r="B2361" s="363" t="str">
        <f t="shared" si="288"/>
        <v>00</v>
      </c>
      <c r="C2361" s="405" t="str">
        <f t="shared" si="289"/>
        <v>第006449号</v>
      </c>
      <c r="D2361" s="405" t="str">
        <f t="shared" si="290"/>
        <v>ＴＳＰ太陽（株）</v>
      </c>
      <c r="E2361" s="405" t="str">
        <f t="shared" si="291"/>
        <v/>
      </c>
      <c r="F2361" s="405" t="str">
        <f t="shared" si="292"/>
        <v>杉本　裕紀</v>
      </c>
      <c r="G2361" s="405" t="str">
        <f t="shared" si="293"/>
        <v>大阪支店</v>
      </c>
      <c r="H2361" s="405" t="str">
        <f t="shared" si="294"/>
        <v>大阪市淀川区木川東４－８－３３</v>
      </c>
      <c r="L2361" s="403" t="s">
        <v>12797</v>
      </c>
      <c r="M2361" s="403" t="s">
        <v>12798</v>
      </c>
      <c r="N2361" s="403" t="s">
        <v>6008</v>
      </c>
      <c r="O2361" s="403" t="s">
        <v>7083</v>
      </c>
      <c r="P2361" s="403" t="s">
        <v>6664</v>
      </c>
      <c r="Q2361" s="403" t="s">
        <v>12799</v>
      </c>
      <c r="R2361" s="403" t="s">
        <v>22018</v>
      </c>
      <c r="S2361" s="403" t="s">
        <v>22019</v>
      </c>
      <c r="T2361" s="403" t="s">
        <v>22020</v>
      </c>
      <c r="U2361" s="403"/>
      <c r="V2361" s="403" t="s">
        <v>7028</v>
      </c>
      <c r="W2361" s="403" t="s">
        <v>17854</v>
      </c>
      <c r="X2361" s="403" t="s">
        <v>17855</v>
      </c>
      <c r="Y2361" s="403" t="s">
        <v>22021</v>
      </c>
    </row>
    <row r="2362" spans="1:25">
      <c r="A2362" s="363">
        <f t="shared" si="295"/>
        <v>2361</v>
      </c>
      <c r="B2362" s="363" t="str">
        <f t="shared" si="288"/>
        <v>00</v>
      </c>
      <c r="C2362" s="405" t="str">
        <f t="shared" si="289"/>
        <v>第006540号</v>
      </c>
      <c r="D2362" s="405" t="str">
        <f t="shared" si="290"/>
        <v>日新興業（株）</v>
      </c>
      <c r="E2362" s="405" t="str">
        <f t="shared" si="291"/>
        <v>代表取締役</v>
      </c>
      <c r="F2362" s="405" t="str">
        <f t="shared" si="292"/>
        <v>千種　成一郎</v>
      </c>
      <c r="G2362" s="405" t="str">
        <f t="shared" si="293"/>
        <v>主たる営業所</v>
      </c>
      <c r="H2362" s="405" t="str">
        <f t="shared" si="294"/>
        <v>大阪市淀川区三国本町１－１２－３０</v>
      </c>
      <c r="L2362" s="403" t="s">
        <v>12800</v>
      </c>
      <c r="M2362" s="403" t="s">
        <v>12028</v>
      </c>
      <c r="N2362" s="403" t="s">
        <v>5746</v>
      </c>
      <c r="O2362" s="403" t="s">
        <v>7084</v>
      </c>
      <c r="P2362" s="403" t="s">
        <v>6665</v>
      </c>
      <c r="Q2362" s="403" t="s">
        <v>12801</v>
      </c>
      <c r="R2362" s="403" t="s">
        <v>22022</v>
      </c>
      <c r="S2362" s="403" t="s">
        <v>17856</v>
      </c>
      <c r="T2362" s="403" t="s">
        <v>17857</v>
      </c>
      <c r="U2362" s="403"/>
      <c r="V2362" s="403" t="s">
        <v>23024</v>
      </c>
      <c r="W2362" s="403" t="s">
        <v>23024</v>
      </c>
      <c r="X2362" s="403" t="s">
        <v>23024</v>
      </c>
      <c r="Y2362" s="403" t="s">
        <v>23024</v>
      </c>
    </row>
    <row r="2363" spans="1:25">
      <c r="A2363" s="363">
        <f t="shared" si="295"/>
        <v>2362</v>
      </c>
      <c r="B2363" s="363" t="str">
        <f t="shared" si="288"/>
        <v>00</v>
      </c>
      <c r="C2363" s="405" t="str">
        <f t="shared" si="289"/>
        <v>第006587号</v>
      </c>
      <c r="D2363" s="405" t="str">
        <f t="shared" si="290"/>
        <v>日本体育施設（株）</v>
      </c>
      <c r="E2363" s="405" t="str">
        <f t="shared" si="291"/>
        <v/>
      </c>
      <c r="F2363" s="405" t="str">
        <f t="shared" si="292"/>
        <v>神倉　正法</v>
      </c>
      <c r="G2363" s="405" t="str">
        <f t="shared" si="293"/>
        <v>九州営業所</v>
      </c>
      <c r="H2363" s="405" t="str">
        <f t="shared" si="294"/>
        <v>福岡市南区大池１－２３－１５</v>
      </c>
      <c r="L2363" s="403" t="s">
        <v>12802</v>
      </c>
      <c r="M2363" s="403" t="s">
        <v>12803</v>
      </c>
      <c r="N2363" s="403" t="s">
        <v>6009</v>
      </c>
      <c r="O2363" s="403" t="s">
        <v>7084</v>
      </c>
      <c r="P2363" s="403" t="s">
        <v>6666</v>
      </c>
      <c r="Q2363" s="403" t="s">
        <v>12804</v>
      </c>
      <c r="R2363" s="403" t="s">
        <v>22023</v>
      </c>
      <c r="S2363" s="403" t="s">
        <v>22024</v>
      </c>
      <c r="T2363" s="403" t="s">
        <v>22025</v>
      </c>
      <c r="U2363" s="403"/>
      <c r="V2363" s="403" t="s">
        <v>7012</v>
      </c>
      <c r="W2363" s="403" t="s">
        <v>17858</v>
      </c>
      <c r="X2363" s="403" t="s">
        <v>17859</v>
      </c>
      <c r="Y2363" s="403" t="s">
        <v>22026</v>
      </c>
    </row>
    <row r="2364" spans="1:25">
      <c r="A2364" s="363">
        <f t="shared" si="295"/>
        <v>2363</v>
      </c>
      <c r="B2364" s="363" t="str">
        <f t="shared" si="288"/>
        <v>00</v>
      </c>
      <c r="C2364" s="405" t="str">
        <f t="shared" si="289"/>
        <v>第006653号</v>
      </c>
      <c r="D2364" s="405" t="str">
        <f t="shared" si="290"/>
        <v>郡リース（株）</v>
      </c>
      <c r="E2364" s="405" t="str">
        <f t="shared" si="291"/>
        <v/>
      </c>
      <c r="F2364" s="405" t="str">
        <f t="shared" si="292"/>
        <v>松木　淳</v>
      </c>
      <c r="G2364" s="405" t="str">
        <f t="shared" si="293"/>
        <v>福岡支店</v>
      </c>
      <c r="H2364" s="405" t="str">
        <f t="shared" si="294"/>
        <v>福岡市博多区住吉３－１－１</v>
      </c>
      <c r="L2364" s="403" t="s">
        <v>12805</v>
      </c>
      <c r="M2364" s="403" t="s">
        <v>12806</v>
      </c>
      <c r="N2364" s="403" t="s">
        <v>6010</v>
      </c>
      <c r="O2364" s="403" t="s">
        <v>7083</v>
      </c>
      <c r="P2364" s="403" t="s">
        <v>6667</v>
      </c>
      <c r="Q2364" s="403" t="s">
        <v>12398</v>
      </c>
      <c r="R2364" s="403" t="s">
        <v>22027</v>
      </c>
      <c r="S2364" s="403" t="s">
        <v>22028</v>
      </c>
      <c r="T2364" s="403" t="s">
        <v>22029</v>
      </c>
      <c r="U2364" s="403"/>
      <c r="V2364" s="403" t="s">
        <v>7018</v>
      </c>
      <c r="W2364" s="403" t="s">
        <v>22030</v>
      </c>
      <c r="X2364" s="403" t="s">
        <v>17556</v>
      </c>
      <c r="Y2364" s="403" t="s">
        <v>22031</v>
      </c>
    </row>
    <row r="2365" spans="1:25">
      <c r="A2365" s="363">
        <f t="shared" si="295"/>
        <v>2364</v>
      </c>
      <c r="B2365" s="363" t="str">
        <f t="shared" si="288"/>
        <v>00</v>
      </c>
      <c r="C2365" s="405" t="str">
        <f t="shared" si="289"/>
        <v>第006689号</v>
      </c>
      <c r="D2365" s="405" t="str">
        <f t="shared" si="290"/>
        <v>三精工事サービス（株）</v>
      </c>
      <c r="E2365" s="405" t="str">
        <f t="shared" si="291"/>
        <v/>
      </c>
      <c r="F2365" s="405" t="str">
        <f t="shared" si="292"/>
        <v>藤田　満</v>
      </c>
      <c r="G2365" s="405" t="str">
        <f t="shared" si="293"/>
        <v>九州支店</v>
      </c>
      <c r="H2365" s="405" t="str">
        <f t="shared" si="294"/>
        <v>福岡市博多区博多駅南４－８－２１</v>
      </c>
      <c r="L2365" s="403" t="s">
        <v>12807</v>
      </c>
      <c r="M2365" s="403" t="s">
        <v>12808</v>
      </c>
      <c r="N2365" s="403" t="s">
        <v>6011</v>
      </c>
      <c r="O2365" s="403" t="s">
        <v>7083</v>
      </c>
      <c r="P2365" s="403" t="s">
        <v>6668</v>
      </c>
      <c r="Q2365" s="403" t="s">
        <v>12809</v>
      </c>
      <c r="R2365" s="403" t="s">
        <v>22032</v>
      </c>
      <c r="S2365" s="403" t="s">
        <v>22033</v>
      </c>
      <c r="T2365" s="403" t="s">
        <v>22034</v>
      </c>
      <c r="U2365" s="403"/>
      <c r="V2365" s="403" t="s">
        <v>7007</v>
      </c>
      <c r="W2365" s="403" t="s">
        <v>17860</v>
      </c>
      <c r="X2365" s="403" t="s">
        <v>11975</v>
      </c>
      <c r="Y2365" s="403" t="s">
        <v>22035</v>
      </c>
    </row>
    <row r="2366" spans="1:25">
      <c r="A2366" s="363">
        <f t="shared" si="295"/>
        <v>2365</v>
      </c>
      <c r="B2366" s="363" t="str">
        <f t="shared" si="288"/>
        <v>00</v>
      </c>
      <c r="C2366" s="405" t="str">
        <f t="shared" si="289"/>
        <v>第006806号</v>
      </c>
      <c r="D2366" s="405" t="str">
        <f t="shared" si="290"/>
        <v>東海リース（株）</v>
      </c>
      <c r="E2366" s="405" t="str">
        <f t="shared" si="291"/>
        <v/>
      </c>
      <c r="F2366" s="405" t="str">
        <f t="shared" si="292"/>
        <v>吉田　忠司</v>
      </c>
      <c r="G2366" s="405" t="str">
        <f t="shared" si="293"/>
        <v>福岡支店</v>
      </c>
      <c r="H2366" s="405" t="str">
        <f t="shared" si="294"/>
        <v>福岡市博多区東比恵３－４－２</v>
      </c>
      <c r="L2366" s="403" t="s">
        <v>12810</v>
      </c>
      <c r="M2366" s="403" t="s">
        <v>12811</v>
      </c>
      <c r="N2366" s="403" t="s">
        <v>6012</v>
      </c>
      <c r="O2366" s="403" t="s">
        <v>7084</v>
      </c>
      <c r="P2366" s="403" t="s">
        <v>6669</v>
      </c>
      <c r="Q2366" s="403" t="s">
        <v>12812</v>
      </c>
      <c r="R2366" s="403" t="s">
        <v>22036</v>
      </c>
      <c r="S2366" s="403" t="s">
        <v>22037</v>
      </c>
      <c r="T2366" s="403" t="s">
        <v>22038</v>
      </c>
      <c r="U2366" s="403"/>
      <c r="V2366" s="403" t="s">
        <v>7018</v>
      </c>
      <c r="W2366" s="403" t="s">
        <v>17861</v>
      </c>
      <c r="X2366" s="403" t="s">
        <v>13787</v>
      </c>
      <c r="Y2366" s="403" t="s">
        <v>22039</v>
      </c>
    </row>
    <row r="2367" spans="1:25">
      <c r="A2367" s="363">
        <f t="shared" si="295"/>
        <v>2366</v>
      </c>
      <c r="B2367" s="363" t="str">
        <f t="shared" si="288"/>
        <v>00</v>
      </c>
      <c r="C2367" s="405" t="str">
        <f t="shared" si="289"/>
        <v>第006813号</v>
      </c>
      <c r="D2367" s="405" t="str">
        <f t="shared" si="290"/>
        <v>三桜電気工業（株）</v>
      </c>
      <c r="E2367" s="405" t="str">
        <f t="shared" si="291"/>
        <v>代表取締役</v>
      </c>
      <c r="F2367" s="405" t="str">
        <f t="shared" si="292"/>
        <v>大野　信介</v>
      </c>
      <c r="G2367" s="405" t="str">
        <f t="shared" si="293"/>
        <v>主たる営業所</v>
      </c>
      <c r="H2367" s="405" t="str">
        <f t="shared" si="294"/>
        <v>宮崎市大字小松字下川原１１５８－１１</v>
      </c>
      <c r="L2367" s="403" t="s">
        <v>12813</v>
      </c>
      <c r="M2367" s="403" t="s">
        <v>12814</v>
      </c>
      <c r="N2367" s="403" t="s">
        <v>6013</v>
      </c>
      <c r="O2367" s="403" t="s">
        <v>7084</v>
      </c>
      <c r="P2367" s="403" t="s">
        <v>6670</v>
      </c>
      <c r="Q2367" s="403" t="s">
        <v>12815</v>
      </c>
      <c r="R2367" s="403" t="s">
        <v>22040</v>
      </c>
      <c r="S2367" s="403" t="s">
        <v>17862</v>
      </c>
      <c r="T2367" s="403" t="s">
        <v>17863</v>
      </c>
      <c r="U2367" s="403"/>
      <c r="V2367" s="403" t="s">
        <v>23024</v>
      </c>
      <c r="W2367" s="403" t="s">
        <v>23024</v>
      </c>
      <c r="X2367" s="403" t="s">
        <v>23024</v>
      </c>
      <c r="Y2367" s="403" t="s">
        <v>23024</v>
      </c>
    </row>
    <row r="2368" spans="1:25">
      <c r="A2368" s="363">
        <f t="shared" si="295"/>
        <v>2367</v>
      </c>
      <c r="B2368" s="363" t="str">
        <f t="shared" si="288"/>
        <v>00</v>
      </c>
      <c r="C2368" s="405" t="str">
        <f t="shared" si="289"/>
        <v>第006819号</v>
      </c>
      <c r="D2368" s="405" t="str">
        <f t="shared" si="290"/>
        <v>トータリゼータエンジニアリング（株）</v>
      </c>
      <c r="E2368" s="405" t="str">
        <f t="shared" si="291"/>
        <v>代表取締役</v>
      </c>
      <c r="F2368" s="405" t="str">
        <f t="shared" si="292"/>
        <v>中三川　和則</v>
      </c>
      <c r="G2368" s="405" t="str">
        <f t="shared" si="293"/>
        <v>主たる営業所</v>
      </c>
      <c r="H2368" s="405" t="str">
        <f t="shared" si="294"/>
        <v>品川区南大井６－２０－１４</v>
      </c>
      <c r="L2368" s="403" t="s">
        <v>12816</v>
      </c>
      <c r="M2368" s="403" t="s">
        <v>12817</v>
      </c>
      <c r="N2368" s="403" t="s">
        <v>6014</v>
      </c>
      <c r="O2368" s="403" t="s">
        <v>7084</v>
      </c>
      <c r="P2368" s="403" t="s">
        <v>6671</v>
      </c>
      <c r="Q2368" s="403" t="s">
        <v>12818</v>
      </c>
      <c r="R2368" s="403" t="s">
        <v>22041</v>
      </c>
      <c r="S2368" s="403" t="s">
        <v>17864</v>
      </c>
      <c r="T2368" s="403" t="s">
        <v>17865</v>
      </c>
      <c r="U2368" s="403"/>
      <c r="V2368" s="403" t="s">
        <v>23024</v>
      </c>
      <c r="W2368" s="403" t="s">
        <v>23024</v>
      </c>
      <c r="X2368" s="403" t="s">
        <v>23024</v>
      </c>
      <c r="Y2368" s="403" t="s">
        <v>23024</v>
      </c>
    </row>
    <row r="2369" spans="1:25">
      <c r="A2369" s="363">
        <f t="shared" si="295"/>
        <v>2368</v>
      </c>
      <c r="B2369" s="363" t="str">
        <f t="shared" si="288"/>
        <v>00</v>
      </c>
      <c r="C2369" s="405" t="str">
        <f t="shared" si="289"/>
        <v>第006970号</v>
      </c>
      <c r="D2369" s="405" t="str">
        <f t="shared" si="290"/>
        <v>三菱重工環境・化学エンジニアリング（株）</v>
      </c>
      <c r="E2369" s="405" t="str">
        <f t="shared" si="291"/>
        <v/>
      </c>
      <c r="F2369" s="405" t="str">
        <f t="shared" si="292"/>
        <v>大町　哲也</v>
      </c>
      <c r="G2369" s="405" t="str">
        <f t="shared" si="293"/>
        <v>九州支店</v>
      </c>
      <c r="H2369" s="405" t="str">
        <f t="shared" si="294"/>
        <v>福岡市博多区博多駅中央街８－２７</v>
      </c>
      <c r="L2369" s="403" t="s">
        <v>12819</v>
      </c>
      <c r="M2369" s="403" t="s">
        <v>12820</v>
      </c>
      <c r="N2369" s="403" t="s">
        <v>6015</v>
      </c>
      <c r="O2369" s="403" t="s">
        <v>7083</v>
      </c>
      <c r="P2369" s="403" t="s">
        <v>6672</v>
      </c>
      <c r="Q2369" s="403" t="s">
        <v>11960</v>
      </c>
      <c r="R2369" s="403" t="s">
        <v>22042</v>
      </c>
      <c r="S2369" s="403" t="s">
        <v>22043</v>
      </c>
      <c r="T2369" s="403" t="s">
        <v>22044</v>
      </c>
      <c r="U2369" s="403"/>
      <c r="V2369" s="403" t="s">
        <v>7007</v>
      </c>
      <c r="W2369" s="403" t="s">
        <v>22045</v>
      </c>
      <c r="X2369" s="403" t="s">
        <v>17715</v>
      </c>
      <c r="Y2369" s="403" t="s">
        <v>22046</v>
      </c>
    </row>
    <row r="2370" spans="1:25">
      <c r="A2370" s="363">
        <f t="shared" si="295"/>
        <v>2369</v>
      </c>
      <c r="B2370" s="363" t="str">
        <f t="shared" ref="B2370:B2433" si="296">LEFT(L2370,2)</f>
        <v>00</v>
      </c>
      <c r="C2370" s="405" t="str">
        <f t="shared" ref="C2370:C2433" si="297">IF(B2370="","","第"&amp;RIGHT(L2370,6)&amp;"号")</f>
        <v>第007003号</v>
      </c>
      <c r="D2370" s="405" t="str">
        <f t="shared" ref="D2370:D2433" si="298">N2370</f>
        <v>（株）瀬口組</v>
      </c>
      <c r="E2370" s="405" t="str">
        <f t="shared" ref="E2370:E2433" si="299">IF(V2370="　",O2370,"")</f>
        <v/>
      </c>
      <c r="F2370" s="405" t="str">
        <f t="shared" ref="F2370:F2433" si="300">IF(V2370="　",P2370,W2370)</f>
        <v>瀬口　義幸</v>
      </c>
      <c r="G2370" s="405" t="str">
        <f t="shared" ref="G2370:G2433" si="301">IF(V2370="　","主たる営業所",V2370)</f>
        <v>中津支店</v>
      </c>
      <c r="H2370" s="405" t="str">
        <f t="shared" ref="H2370:H2433" si="302">IF(V2370="　",R2370,Y2370)</f>
        <v>中津市中央町２－７－５２</v>
      </c>
      <c r="L2370" s="403" t="s">
        <v>12821</v>
      </c>
      <c r="M2370" s="403" t="s">
        <v>12822</v>
      </c>
      <c r="N2370" s="403" t="s">
        <v>6016</v>
      </c>
      <c r="O2370" s="403" t="s">
        <v>7083</v>
      </c>
      <c r="P2370" s="403" t="s">
        <v>6673</v>
      </c>
      <c r="Q2370" s="403" t="s">
        <v>12823</v>
      </c>
      <c r="R2370" s="403" t="s">
        <v>22047</v>
      </c>
      <c r="S2370" s="403" t="s">
        <v>22048</v>
      </c>
      <c r="T2370" s="403" t="s">
        <v>22049</v>
      </c>
      <c r="U2370" s="403"/>
      <c r="V2370" s="403" t="s">
        <v>7016</v>
      </c>
      <c r="W2370" s="403" t="s">
        <v>17866</v>
      </c>
      <c r="X2370" s="403" t="s">
        <v>7306</v>
      </c>
      <c r="Y2370" s="403" t="s">
        <v>22050</v>
      </c>
    </row>
    <row r="2371" spans="1:25">
      <c r="A2371" s="363">
        <f t="shared" ref="A2371:A2434" si="303">IF(B2371="","",A2370+1)</f>
        <v>2370</v>
      </c>
      <c r="B2371" s="363" t="str">
        <f t="shared" si="296"/>
        <v>00</v>
      </c>
      <c r="C2371" s="405" t="str">
        <f t="shared" si="297"/>
        <v>第007035号</v>
      </c>
      <c r="D2371" s="405" t="str">
        <f t="shared" si="298"/>
        <v>（株）山田商会</v>
      </c>
      <c r="E2371" s="405" t="str">
        <f t="shared" si="299"/>
        <v/>
      </c>
      <c r="F2371" s="405" t="str">
        <f t="shared" si="300"/>
        <v>吉嵜　利彦</v>
      </c>
      <c r="G2371" s="405" t="str">
        <f t="shared" si="301"/>
        <v>中津支店</v>
      </c>
      <c r="H2371" s="405" t="str">
        <f t="shared" si="302"/>
        <v>中津市大字加来１５３７－１</v>
      </c>
      <c r="L2371" s="403" t="s">
        <v>12824</v>
      </c>
      <c r="M2371" s="403" t="s">
        <v>12825</v>
      </c>
      <c r="N2371" s="403" t="s">
        <v>6017</v>
      </c>
      <c r="O2371" s="403" t="s">
        <v>7084</v>
      </c>
      <c r="P2371" s="403" t="s">
        <v>6674</v>
      </c>
      <c r="Q2371" s="403" t="s">
        <v>12826</v>
      </c>
      <c r="R2371" s="403" t="s">
        <v>22051</v>
      </c>
      <c r="S2371" s="403" t="s">
        <v>22052</v>
      </c>
      <c r="T2371" s="403" t="s">
        <v>22053</v>
      </c>
      <c r="U2371" s="403"/>
      <c r="V2371" s="403" t="s">
        <v>7016</v>
      </c>
      <c r="W2371" s="403" t="s">
        <v>17867</v>
      </c>
      <c r="X2371" s="403" t="s">
        <v>7351</v>
      </c>
      <c r="Y2371" s="403" t="s">
        <v>22054</v>
      </c>
    </row>
    <row r="2372" spans="1:25">
      <c r="A2372" s="363">
        <f t="shared" si="303"/>
        <v>2371</v>
      </c>
      <c r="B2372" s="363" t="str">
        <f t="shared" si="296"/>
        <v>00</v>
      </c>
      <c r="C2372" s="405" t="str">
        <f t="shared" si="297"/>
        <v>第007075号</v>
      </c>
      <c r="D2372" s="405" t="str">
        <f t="shared" si="298"/>
        <v>千代田計装（株）</v>
      </c>
      <c r="E2372" s="405" t="str">
        <f t="shared" si="299"/>
        <v>代表取締役社長</v>
      </c>
      <c r="F2372" s="405" t="str">
        <f t="shared" si="300"/>
        <v>谷川　雅幸</v>
      </c>
      <c r="G2372" s="405" t="str">
        <f t="shared" si="301"/>
        <v>主たる営業所</v>
      </c>
      <c r="H2372" s="405" t="str">
        <f t="shared" si="302"/>
        <v>福岡市早良区百道１－１８－２５</v>
      </c>
      <c r="L2372" s="403" t="s">
        <v>12827</v>
      </c>
      <c r="M2372" s="403" t="s">
        <v>12828</v>
      </c>
      <c r="N2372" s="403" t="s">
        <v>6018</v>
      </c>
      <c r="O2372" s="403" t="s">
        <v>7083</v>
      </c>
      <c r="P2372" s="403" t="s">
        <v>6675</v>
      </c>
      <c r="Q2372" s="403" t="s">
        <v>12829</v>
      </c>
      <c r="R2372" s="403" t="s">
        <v>22055</v>
      </c>
      <c r="S2372" s="403" t="s">
        <v>17868</v>
      </c>
      <c r="T2372" s="403" t="s">
        <v>17869</v>
      </c>
      <c r="U2372" s="403"/>
      <c r="V2372" s="403" t="s">
        <v>23024</v>
      </c>
      <c r="W2372" s="403" t="s">
        <v>23024</v>
      </c>
      <c r="X2372" s="403" t="s">
        <v>23024</v>
      </c>
      <c r="Y2372" s="403" t="s">
        <v>23024</v>
      </c>
    </row>
    <row r="2373" spans="1:25">
      <c r="A2373" s="363">
        <f t="shared" si="303"/>
        <v>2372</v>
      </c>
      <c r="B2373" s="363" t="str">
        <f t="shared" si="296"/>
        <v>00</v>
      </c>
      <c r="C2373" s="405" t="str">
        <f t="shared" si="297"/>
        <v>第007129号</v>
      </c>
      <c r="D2373" s="405" t="str">
        <f t="shared" si="298"/>
        <v>王子エンジニアリング（株）</v>
      </c>
      <c r="E2373" s="405" t="str">
        <f t="shared" si="299"/>
        <v/>
      </c>
      <c r="F2373" s="405" t="str">
        <f t="shared" si="300"/>
        <v>佐々木　淳</v>
      </c>
      <c r="G2373" s="405" t="str">
        <f t="shared" si="301"/>
        <v>日南事業部</v>
      </c>
      <c r="H2373" s="405" t="str">
        <f t="shared" si="302"/>
        <v>日南市大字戸高１８５０</v>
      </c>
      <c r="L2373" s="403" t="s">
        <v>12830</v>
      </c>
      <c r="M2373" s="403" t="s">
        <v>12831</v>
      </c>
      <c r="N2373" s="403" t="s">
        <v>6019</v>
      </c>
      <c r="O2373" s="403" t="s">
        <v>7083</v>
      </c>
      <c r="P2373" s="403" t="s">
        <v>6676</v>
      </c>
      <c r="Q2373" s="403" t="s">
        <v>12153</v>
      </c>
      <c r="R2373" s="403" t="s">
        <v>22056</v>
      </c>
      <c r="S2373" s="403" t="s">
        <v>22057</v>
      </c>
      <c r="T2373" s="403" t="s">
        <v>22058</v>
      </c>
      <c r="U2373" s="403"/>
      <c r="V2373" s="403" t="s">
        <v>7042</v>
      </c>
      <c r="W2373" s="403" t="s">
        <v>17870</v>
      </c>
      <c r="X2373" s="403" t="s">
        <v>17871</v>
      </c>
      <c r="Y2373" s="403" t="s">
        <v>22059</v>
      </c>
    </row>
    <row r="2374" spans="1:25">
      <c r="A2374" s="363">
        <f t="shared" si="303"/>
        <v>2373</v>
      </c>
      <c r="B2374" s="363" t="str">
        <f t="shared" si="296"/>
        <v>00</v>
      </c>
      <c r="C2374" s="405" t="str">
        <f t="shared" si="297"/>
        <v>第007324号</v>
      </c>
      <c r="D2374" s="405" t="str">
        <f t="shared" si="298"/>
        <v>大成機工（株）</v>
      </c>
      <c r="E2374" s="405" t="str">
        <f t="shared" si="299"/>
        <v/>
      </c>
      <c r="F2374" s="405" t="str">
        <f t="shared" si="300"/>
        <v>久米　博和</v>
      </c>
      <c r="G2374" s="405" t="str">
        <f t="shared" si="301"/>
        <v>九州支店</v>
      </c>
      <c r="H2374" s="405" t="str">
        <f t="shared" si="302"/>
        <v>福岡市博多区博多駅前１－４－４</v>
      </c>
      <c r="L2374" s="403" t="s">
        <v>12832</v>
      </c>
      <c r="M2374" s="403" t="s">
        <v>12833</v>
      </c>
      <c r="N2374" s="403" t="s">
        <v>6020</v>
      </c>
      <c r="O2374" s="403" t="s">
        <v>7083</v>
      </c>
      <c r="P2374" s="403" t="s">
        <v>6677</v>
      </c>
      <c r="Q2374" s="403" t="s">
        <v>12834</v>
      </c>
      <c r="R2374" s="403" t="s">
        <v>22060</v>
      </c>
      <c r="S2374" s="403" t="s">
        <v>22061</v>
      </c>
      <c r="T2374" s="403" t="s">
        <v>22062</v>
      </c>
      <c r="U2374" s="403"/>
      <c r="V2374" s="403" t="s">
        <v>7007</v>
      </c>
      <c r="W2374" s="403" t="s">
        <v>17872</v>
      </c>
      <c r="X2374" s="403" t="s">
        <v>13015</v>
      </c>
      <c r="Y2374" s="403" t="s">
        <v>21134</v>
      </c>
    </row>
    <row r="2375" spans="1:25">
      <c r="A2375" s="363">
        <f t="shared" si="303"/>
        <v>2374</v>
      </c>
      <c r="B2375" s="363" t="str">
        <f t="shared" si="296"/>
        <v>00</v>
      </c>
      <c r="C2375" s="405" t="str">
        <f t="shared" si="297"/>
        <v>第007332号</v>
      </c>
      <c r="D2375" s="405" t="str">
        <f t="shared" si="298"/>
        <v>（株）キューオキ</v>
      </c>
      <c r="E2375" s="405" t="str">
        <f t="shared" si="299"/>
        <v>代表取締役社長</v>
      </c>
      <c r="F2375" s="405" t="str">
        <f t="shared" si="300"/>
        <v>廣島　将登</v>
      </c>
      <c r="G2375" s="405" t="str">
        <f t="shared" si="301"/>
        <v>主たる営業所</v>
      </c>
      <c r="H2375" s="405" t="str">
        <f t="shared" si="302"/>
        <v>福岡市南区井尻４－２８－１８</v>
      </c>
      <c r="L2375" s="403" t="s">
        <v>12835</v>
      </c>
      <c r="M2375" s="403" t="s">
        <v>12836</v>
      </c>
      <c r="N2375" s="403" t="s">
        <v>6021</v>
      </c>
      <c r="O2375" s="403" t="s">
        <v>7083</v>
      </c>
      <c r="P2375" s="403" t="s">
        <v>6678</v>
      </c>
      <c r="Q2375" s="403" t="s">
        <v>12837</v>
      </c>
      <c r="R2375" s="403" t="s">
        <v>22063</v>
      </c>
      <c r="S2375" s="403" t="s">
        <v>17873</v>
      </c>
      <c r="T2375" s="403" t="s">
        <v>17874</v>
      </c>
      <c r="U2375" s="403"/>
      <c r="V2375" s="403" t="s">
        <v>23024</v>
      </c>
      <c r="W2375" s="403" t="s">
        <v>23024</v>
      </c>
      <c r="X2375" s="403" t="s">
        <v>23024</v>
      </c>
      <c r="Y2375" s="403" t="s">
        <v>23024</v>
      </c>
    </row>
    <row r="2376" spans="1:25">
      <c r="A2376" s="363">
        <f t="shared" si="303"/>
        <v>2375</v>
      </c>
      <c r="B2376" s="363" t="str">
        <f t="shared" si="296"/>
        <v>00</v>
      </c>
      <c r="C2376" s="405" t="str">
        <f t="shared" si="297"/>
        <v>第007402号</v>
      </c>
      <c r="D2376" s="405" t="str">
        <f t="shared" si="298"/>
        <v>（株）乗富鉄工所</v>
      </c>
      <c r="E2376" s="405" t="str">
        <f t="shared" si="299"/>
        <v>代表取締役</v>
      </c>
      <c r="F2376" s="405" t="str">
        <f t="shared" si="300"/>
        <v>乘冨　賢蔵</v>
      </c>
      <c r="G2376" s="405" t="str">
        <f t="shared" si="301"/>
        <v>主たる営業所</v>
      </c>
      <c r="H2376" s="405" t="str">
        <f t="shared" si="302"/>
        <v>柳川市三橋町柳河９３４－４</v>
      </c>
      <c r="L2376" s="404" t="s">
        <v>12838</v>
      </c>
      <c r="M2376" s="404" t="s">
        <v>12839</v>
      </c>
      <c r="N2376" s="404" t="s">
        <v>6022</v>
      </c>
      <c r="O2376" s="404" t="s">
        <v>7084</v>
      </c>
      <c r="P2376" s="404" t="s">
        <v>6679</v>
      </c>
      <c r="Q2376" s="404" t="s">
        <v>12840</v>
      </c>
      <c r="R2376" s="404" t="s">
        <v>22064</v>
      </c>
      <c r="S2376" s="404" t="s">
        <v>17875</v>
      </c>
      <c r="T2376" s="404" t="s">
        <v>17876</v>
      </c>
      <c r="U2376" s="404"/>
      <c r="V2376" s="403" t="s">
        <v>23024</v>
      </c>
      <c r="W2376" s="403" t="s">
        <v>23024</v>
      </c>
      <c r="X2376" s="403" t="s">
        <v>23024</v>
      </c>
      <c r="Y2376" s="403" t="s">
        <v>23024</v>
      </c>
    </row>
    <row r="2377" spans="1:25">
      <c r="A2377" s="363">
        <f t="shared" si="303"/>
        <v>2376</v>
      </c>
      <c r="B2377" s="363" t="str">
        <f t="shared" si="296"/>
        <v>00</v>
      </c>
      <c r="C2377" s="405" t="str">
        <f t="shared" si="297"/>
        <v>第007710号</v>
      </c>
      <c r="D2377" s="405" t="str">
        <f t="shared" si="298"/>
        <v>九州ニチレキ工事（株）</v>
      </c>
      <c r="E2377" s="405" t="str">
        <f t="shared" si="299"/>
        <v/>
      </c>
      <c r="F2377" s="405" t="str">
        <f t="shared" si="300"/>
        <v>今水　和明</v>
      </c>
      <c r="G2377" s="405" t="str">
        <f t="shared" si="301"/>
        <v>中津営業所</v>
      </c>
      <c r="H2377" s="405" t="str">
        <f t="shared" si="302"/>
        <v>中津市豊田町３－１－３５</v>
      </c>
      <c r="L2377" s="402" t="s">
        <v>12841</v>
      </c>
      <c r="M2377" s="402" t="s">
        <v>12842</v>
      </c>
      <c r="N2377" s="402" t="s">
        <v>6023</v>
      </c>
      <c r="O2377" s="402" t="s">
        <v>7084</v>
      </c>
      <c r="P2377" s="402" t="s">
        <v>6680</v>
      </c>
      <c r="Q2377" s="402" t="s">
        <v>12843</v>
      </c>
      <c r="R2377" s="402" t="s">
        <v>22065</v>
      </c>
      <c r="S2377" s="402" t="s">
        <v>22066</v>
      </c>
      <c r="T2377" s="402" t="s">
        <v>22067</v>
      </c>
      <c r="U2377" s="402"/>
      <c r="V2377" s="402" t="s">
        <v>7043</v>
      </c>
      <c r="W2377" s="402" t="s">
        <v>17877</v>
      </c>
      <c r="X2377" s="402" t="s">
        <v>9478</v>
      </c>
      <c r="Y2377" s="402" t="s">
        <v>22068</v>
      </c>
    </row>
    <row r="2378" spans="1:25">
      <c r="A2378" s="363">
        <f t="shared" si="303"/>
        <v>2377</v>
      </c>
      <c r="B2378" s="363" t="str">
        <f t="shared" si="296"/>
        <v>00</v>
      </c>
      <c r="C2378" s="405" t="str">
        <f t="shared" si="297"/>
        <v>第007765号</v>
      </c>
      <c r="D2378" s="405" t="str">
        <f t="shared" si="298"/>
        <v>フコク電興（株）</v>
      </c>
      <c r="E2378" s="405" t="str">
        <f t="shared" si="299"/>
        <v/>
      </c>
      <c r="F2378" s="405" t="str">
        <f t="shared" si="300"/>
        <v>橋本　修</v>
      </c>
      <c r="G2378" s="405" t="str">
        <f t="shared" si="301"/>
        <v>大分営業所</v>
      </c>
      <c r="H2378" s="405" t="str">
        <f t="shared" si="302"/>
        <v>大分市下郡北３－８－３６</v>
      </c>
      <c r="L2378" s="403" t="s">
        <v>12844</v>
      </c>
      <c r="M2378" s="403" t="s">
        <v>12845</v>
      </c>
      <c r="N2378" s="403" t="s">
        <v>6024</v>
      </c>
      <c r="O2378" s="403" t="s">
        <v>7083</v>
      </c>
      <c r="P2378" s="403" t="s">
        <v>6681</v>
      </c>
      <c r="Q2378" s="403" t="s">
        <v>12846</v>
      </c>
      <c r="R2378" s="403" t="s">
        <v>22069</v>
      </c>
      <c r="S2378" s="403" t="s">
        <v>22070</v>
      </c>
      <c r="T2378" s="403" t="s">
        <v>22071</v>
      </c>
      <c r="U2378" s="403"/>
      <c r="V2378" s="403" t="s">
        <v>7013</v>
      </c>
      <c r="W2378" s="403" t="s">
        <v>22072</v>
      </c>
      <c r="X2378" s="403" t="s">
        <v>9524</v>
      </c>
      <c r="Y2378" s="403" t="s">
        <v>22073</v>
      </c>
    </row>
    <row r="2379" spans="1:25">
      <c r="A2379" s="363">
        <f t="shared" si="303"/>
        <v>2378</v>
      </c>
      <c r="B2379" s="363" t="str">
        <f t="shared" si="296"/>
        <v>00</v>
      </c>
      <c r="C2379" s="405" t="str">
        <f t="shared" si="297"/>
        <v>第007769号</v>
      </c>
      <c r="D2379" s="405" t="str">
        <f t="shared" si="298"/>
        <v>鶴原消防設備（株）</v>
      </c>
      <c r="E2379" s="405" t="str">
        <f t="shared" si="299"/>
        <v/>
      </c>
      <c r="F2379" s="405" t="str">
        <f t="shared" si="300"/>
        <v>久野　達典</v>
      </c>
      <c r="G2379" s="405" t="str">
        <f t="shared" si="301"/>
        <v>中津支店</v>
      </c>
      <c r="H2379" s="405" t="str">
        <f t="shared" si="302"/>
        <v>中津市大字湯屋１４８－２</v>
      </c>
      <c r="L2379" s="403" t="s">
        <v>22074</v>
      </c>
      <c r="M2379" s="403" t="s">
        <v>22075</v>
      </c>
      <c r="N2379" s="403" t="s">
        <v>22076</v>
      </c>
      <c r="O2379" s="403" t="s">
        <v>7084</v>
      </c>
      <c r="P2379" s="403" t="s">
        <v>22077</v>
      </c>
      <c r="Q2379" s="403" t="s">
        <v>22078</v>
      </c>
      <c r="R2379" s="403" t="s">
        <v>22079</v>
      </c>
      <c r="S2379" s="403" t="s">
        <v>22080</v>
      </c>
      <c r="T2379" s="403" t="s">
        <v>22081</v>
      </c>
      <c r="U2379" s="403"/>
      <c r="V2379" s="403" t="s">
        <v>7016</v>
      </c>
      <c r="W2379" s="403" t="s">
        <v>22082</v>
      </c>
      <c r="X2379" s="403" t="s">
        <v>9486</v>
      </c>
      <c r="Y2379" s="403" t="s">
        <v>22083</v>
      </c>
    </row>
    <row r="2380" spans="1:25">
      <c r="A2380" s="363">
        <f t="shared" si="303"/>
        <v>2379</v>
      </c>
      <c r="B2380" s="363" t="str">
        <f t="shared" si="296"/>
        <v>00</v>
      </c>
      <c r="C2380" s="405" t="str">
        <f t="shared" si="297"/>
        <v>第007804号</v>
      </c>
      <c r="D2380" s="405" t="str">
        <f t="shared" si="298"/>
        <v>三晃工業（株）</v>
      </c>
      <c r="E2380" s="405" t="str">
        <f t="shared" si="299"/>
        <v>代表取締役</v>
      </c>
      <c r="F2380" s="405" t="str">
        <f t="shared" si="300"/>
        <v>山梶　章</v>
      </c>
      <c r="G2380" s="405" t="str">
        <f t="shared" si="301"/>
        <v>主たる営業所</v>
      </c>
      <c r="H2380" s="405" t="str">
        <f t="shared" si="302"/>
        <v>大阪市大正区鶴町２－１５－２６</v>
      </c>
      <c r="L2380" s="403" t="s">
        <v>12847</v>
      </c>
      <c r="M2380" s="403" t="s">
        <v>12848</v>
      </c>
      <c r="N2380" s="403" t="s">
        <v>6025</v>
      </c>
      <c r="O2380" s="403" t="s">
        <v>7084</v>
      </c>
      <c r="P2380" s="403" t="s">
        <v>6682</v>
      </c>
      <c r="Q2380" s="403" t="s">
        <v>12849</v>
      </c>
      <c r="R2380" s="403" t="s">
        <v>22084</v>
      </c>
      <c r="S2380" s="403" t="s">
        <v>17878</v>
      </c>
      <c r="T2380" s="403" t="s">
        <v>17879</v>
      </c>
      <c r="U2380" s="403"/>
      <c r="V2380" s="403" t="s">
        <v>23024</v>
      </c>
      <c r="W2380" s="403" t="s">
        <v>23024</v>
      </c>
      <c r="X2380" s="403" t="s">
        <v>23024</v>
      </c>
      <c r="Y2380" s="403" t="s">
        <v>23024</v>
      </c>
    </row>
    <row r="2381" spans="1:25">
      <c r="A2381" s="363">
        <f t="shared" si="303"/>
        <v>2380</v>
      </c>
      <c r="B2381" s="363" t="str">
        <f t="shared" si="296"/>
        <v>00</v>
      </c>
      <c r="C2381" s="405" t="str">
        <f t="shared" si="297"/>
        <v>第008015号</v>
      </c>
      <c r="D2381" s="405" t="str">
        <f t="shared" si="298"/>
        <v>（株）大和エンジニヤリング</v>
      </c>
      <c r="E2381" s="405" t="str">
        <f t="shared" si="299"/>
        <v>代表取締役</v>
      </c>
      <c r="F2381" s="405" t="str">
        <f t="shared" si="300"/>
        <v>後藤　浩美</v>
      </c>
      <c r="G2381" s="405" t="str">
        <f t="shared" si="301"/>
        <v>主たる営業所</v>
      </c>
      <c r="H2381" s="405" t="str">
        <f t="shared" si="302"/>
        <v>広島市安佐南区緑井１－１２－３１</v>
      </c>
      <c r="L2381" s="403" t="s">
        <v>12850</v>
      </c>
      <c r="M2381" s="403" t="s">
        <v>12851</v>
      </c>
      <c r="N2381" s="403" t="s">
        <v>6026</v>
      </c>
      <c r="O2381" s="403" t="s">
        <v>7084</v>
      </c>
      <c r="P2381" s="403" t="s">
        <v>6683</v>
      </c>
      <c r="Q2381" s="403" t="s">
        <v>12852</v>
      </c>
      <c r="R2381" s="403" t="s">
        <v>22085</v>
      </c>
      <c r="S2381" s="403" t="s">
        <v>17880</v>
      </c>
      <c r="T2381" s="403" t="s">
        <v>17881</v>
      </c>
      <c r="U2381" s="403"/>
      <c r="V2381" s="403" t="s">
        <v>23024</v>
      </c>
      <c r="W2381" s="403" t="s">
        <v>23024</v>
      </c>
      <c r="X2381" s="403" t="s">
        <v>23024</v>
      </c>
      <c r="Y2381" s="403" t="s">
        <v>23024</v>
      </c>
    </row>
    <row r="2382" spans="1:25">
      <c r="A2382" s="363">
        <f t="shared" si="303"/>
        <v>2381</v>
      </c>
      <c r="B2382" s="363" t="str">
        <f t="shared" si="296"/>
        <v>00</v>
      </c>
      <c r="C2382" s="405" t="str">
        <f t="shared" si="297"/>
        <v>第008130号</v>
      </c>
      <c r="D2382" s="405" t="str">
        <f t="shared" si="298"/>
        <v>（株）若港</v>
      </c>
      <c r="E2382" s="405" t="str">
        <f t="shared" si="299"/>
        <v>代表取締役</v>
      </c>
      <c r="F2382" s="405" t="str">
        <f t="shared" si="300"/>
        <v>六田　啓二</v>
      </c>
      <c r="G2382" s="405" t="str">
        <f t="shared" si="301"/>
        <v>主たる営業所</v>
      </c>
      <c r="H2382" s="405" t="str">
        <f t="shared" si="302"/>
        <v>北九州市若松区くきのうみ中央７－１８</v>
      </c>
      <c r="L2382" s="403" t="s">
        <v>12853</v>
      </c>
      <c r="M2382" s="403" t="s">
        <v>12854</v>
      </c>
      <c r="N2382" s="403" t="s">
        <v>6027</v>
      </c>
      <c r="O2382" s="403" t="s">
        <v>7084</v>
      </c>
      <c r="P2382" s="403" t="s">
        <v>6684</v>
      </c>
      <c r="Q2382" s="403" t="s">
        <v>12855</v>
      </c>
      <c r="R2382" s="403" t="s">
        <v>22086</v>
      </c>
      <c r="S2382" s="403" t="s">
        <v>17882</v>
      </c>
      <c r="T2382" s="403" t="s">
        <v>17883</v>
      </c>
      <c r="U2382" s="403"/>
      <c r="V2382" s="403" t="s">
        <v>23024</v>
      </c>
      <c r="W2382" s="403" t="s">
        <v>23024</v>
      </c>
      <c r="X2382" s="403" t="s">
        <v>23024</v>
      </c>
      <c r="Y2382" s="403" t="s">
        <v>23024</v>
      </c>
    </row>
    <row r="2383" spans="1:25">
      <c r="A2383" s="363">
        <f t="shared" si="303"/>
        <v>2382</v>
      </c>
      <c r="B2383" s="363" t="str">
        <f t="shared" si="296"/>
        <v>00</v>
      </c>
      <c r="C2383" s="405" t="str">
        <f t="shared" si="297"/>
        <v>第008135号</v>
      </c>
      <c r="D2383" s="405" t="str">
        <f t="shared" si="298"/>
        <v>（株）スポーツテクノ和広</v>
      </c>
      <c r="E2383" s="405" t="str">
        <f t="shared" si="299"/>
        <v/>
      </c>
      <c r="F2383" s="405" t="str">
        <f t="shared" si="300"/>
        <v>野見山　竜一</v>
      </c>
      <c r="G2383" s="405" t="str">
        <f t="shared" si="301"/>
        <v>九州支店</v>
      </c>
      <c r="H2383" s="405" t="str">
        <f t="shared" si="302"/>
        <v>久留米市東合川１－５－２７</v>
      </c>
      <c r="L2383" s="403" t="s">
        <v>12856</v>
      </c>
      <c r="M2383" s="403" t="s">
        <v>12857</v>
      </c>
      <c r="N2383" s="403" t="s">
        <v>6028</v>
      </c>
      <c r="O2383" s="403" t="s">
        <v>7084</v>
      </c>
      <c r="P2383" s="403" t="s">
        <v>6685</v>
      </c>
      <c r="Q2383" s="403" t="s">
        <v>12818</v>
      </c>
      <c r="R2383" s="403" t="s">
        <v>22087</v>
      </c>
      <c r="S2383" s="403" t="s">
        <v>22088</v>
      </c>
      <c r="T2383" s="403" t="s">
        <v>22089</v>
      </c>
      <c r="U2383" s="403"/>
      <c r="V2383" s="403" t="s">
        <v>7007</v>
      </c>
      <c r="W2383" s="403" t="s">
        <v>17884</v>
      </c>
      <c r="X2383" s="403" t="s">
        <v>12956</v>
      </c>
      <c r="Y2383" s="403" t="s">
        <v>22090</v>
      </c>
    </row>
    <row r="2384" spans="1:25">
      <c r="A2384" s="363">
        <f t="shared" si="303"/>
        <v>2383</v>
      </c>
      <c r="B2384" s="363" t="str">
        <f t="shared" si="296"/>
        <v>00</v>
      </c>
      <c r="C2384" s="405" t="str">
        <f t="shared" si="297"/>
        <v>第008314号</v>
      </c>
      <c r="D2384" s="405" t="str">
        <f t="shared" si="298"/>
        <v>日本コムシス（株）</v>
      </c>
      <c r="E2384" s="405" t="str">
        <f t="shared" si="299"/>
        <v/>
      </c>
      <c r="F2384" s="405" t="str">
        <f t="shared" si="300"/>
        <v>上村　幸太郎</v>
      </c>
      <c r="G2384" s="405" t="str">
        <f t="shared" si="301"/>
        <v>九州支店</v>
      </c>
      <c r="H2384" s="405" t="str">
        <f t="shared" si="302"/>
        <v>福岡市博多区千代２－１５－１２</v>
      </c>
      <c r="L2384" s="403" t="s">
        <v>12858</v>
      </c>
      <c r="M2384" s="403" t="s">
        <v>12859</v>
      </c>
      <c r="N2384" s="403" t="s">
        <v>6029</v>
      </c>
      <c r="O2384" s="403" t="s">
        <v>7083</v>
      </c>
      <c r="P2384" s="403" t="s">
        <v>6686</v>
      </c>
      <c r="Q2384" s="403" t="s">
        <v>12860</v>
      </c>
      <c r="R2384" s="403" t="s">
        <v>21003</v>
      </c>
      <c r="S2384" s="403" t="s">
        <v>22091</v>
      </c>
      <c r="T2384" s="403" t="s">
        <v>22092</v>
      </c>
      <c r="U2384" s="403"/>
      <c r="V2384" s="403" t="s">
        <v>7007</v>
      </c>
      <c r="W2384" s="403" t="s">
        <v>6438</v>
      </c>
      <c r="X2384" s="403" t="s">
        <v>17538</v>
      </c>
      <c r="Y2384" s="403" t="s">
        <v>21007</v>
      </c>
    </row>
    <row r="2385" spans="1:25">
      <c r="A2385" s="363">
        <f t="shared" si="303"/>
        <v>2384</v>
      </c>
      <c r="B2385" s="363" t="str">
        <f t="shared" si="296"/>
        <v>00</v>
      </c>
      <c r="C2385" s="405" t="str">
        <f t="shared" si="297"/>
        <v>第008401号</v>
      </c>
      <c r="D2385" s="405" t="str">
        <f t="shared" si="298"/>
        <v>エコー電子工業（株）</v>
      </c>
      <c r="E2385" s="405" t="str">
        <f t="shared" si="299"/>
        <v>代表取締役</v>
      </c>
      <c r="F2385" s="405" t="str">
        <f t="shared" si="300"/>
        <v>小林　啓太</v>
      </c>
      <c r="G2385" s="405" t="str">
        <f t="shared" si="301"/>
        <v>主たる営業所</v>
      </c>
      <c r="H2385" s="405" t="str">
        <f t="shared" si="302"/>
        <v>佐世保市万徳町４－１８</v>
      </c>
      <c r="L2385" s="403" t="s">
        <v>12861</v>
      </c>
      <c r="M2385" s="403" t="s">
        <v>12862</v>
      </c>
      <c r="N2385" s="403" t="s">
        <v>6030</v>
      </c>
      <c r="O2385" s="403" t="s">
        <v>7084</v>
      </c>
      <c r="P2385" s="403" t="s">
        <v>6687</v>
      </c>
      <c r="Q2385" s="403" t="s">
        <v>12863</v>
      </c>
      <c r="R2385" s="403" t="s">
        <v>22093</v>
      </c>
      <c r="S2385" s="403" t="s">
        <v>17885</v>
      </c>
      <c r="T2385" s="403" t="s">
        <v>17886</v>
      </c>
      <c r="U2385" s="403"/>
      <c r="V2385" s="403" t="s">
        <v>23024</v>
      </c>
      <c r="W2385" s="403" t="s">
        <v>23024</v>
      </c>
      <c r="X2385" s="403" t="s">
        <v>23024</v>
      </c>
      <c r="Y2385" s="403" t="s">
        <v>23024</v>
      </c>
    </row>
    <row r="2386" spans="1:25">
      <c r="A2386" s="363">
        <f t="shared" si="303"/>
        <v>2385</v>
      </c>
      <c r="B2386" s="363" t="str">
        <f t="shared" si="296"/>
        <v>00</v>
      </c>
      <c r="C2386" s="405" t="str">
        <f t="shared" si="297"/>
        <v>第008427号</v>
      </c>
      <c r="D2386" s="405" t="str">
        <f t="shared" si="298"/>
        <v>（株）丹青社</v>
      </c>
      <c r="E2386" s="405" t="str">
        <f t="shared" si="299"/>
        <v>代表取締役</v>
      </c>
      <c r="F2386" s="405" t="str">
        <f t="shared" si="300"/>
        <v>小林　統</v>
      </c>
      <c r="G2386" s="405" t="str">
        <f t="shared" si="301"/>
        <v>主たる営業所</v>
      </c>
      <c r="H2386" s="405" t="str">
        <f t="shared" si="302"/>
        <v>港区港南１－２－７０</v>
      </c>
      <c r="L2386" s="403" t="s">
        <v>12864</v>
      </c>
      <c r="M2386" s="403" t="s">
        <v>12865</v>
      </c>
      <c r="N2386" s="403" t="s">
        <v>6031</v>
      </c>
      <c r="O2386" s="403" t="s">
        <v>7084</v>
      </c>
      <c r="P2386" s="403" t="s">
        <v>6688</v>
      </c>
      <c r="Q2386" s="403" t="s">
        <v>12866</v>
      </c>
      <c r="R2386" s="403" t="s">
        <v>22094</v>
      </c>
      <c r="S2386" s="403" t="s">
        <v>17887</v>
      </c>
      <c r="T2386" s="403" t="s">
        <v>17888</v>
      </c>
      <c r="U2386" s="403"/>
      <c r="V2386" s="403" t="s">
        <v>23024</v>
      </c>
      <c r="W2386" s="403" t="s">
        <v>23024</v>
      </c>
      <c r="X2386" s="403" t="s">
        <v>23024</v>
      </c>
      <c r="Y2386" s="403" t="s">
        <v>23024</v>
      </c>
    </row>
    <row r="2387" spans="1:25">
      <c r="A2387" s="363">
        <f t="shared" si="303"/>
        <v>2386</v>
      </c>
      <c r="B2387" s="363" t="str">
        <f t="shared" si="296"/>
        <v>00</v>
      </c>
      <c r="C2387" s="405" t="str">
        <f t="shared" si="297"/>
        <v>第008509号</v>
      </c>
      <c r="D2387" s="405" t="str">
        <f t="shared" si="298"/>
        <v>（株）荏原電産</v>
      </c>
      <c r="E2387" s="405" t="str">
        <f t="shared" si="299"/>
        <v/>
      </c>
      <c r="F2387" s="405" t="str">
        <f t="shared" si="300"/>
        <v>廣瀬　栄治</v>
      </c>
      <c r="G2387" s="405" t="str">
        <f t="shared" si="301"/>
        <v>九州営業所</v>
      </c>
      <c r="H2387" s="405" t="str">
        <f t="shared" si="302"/>
        <v>福岡市博多区美野島１－２－８　ＮＴビル</v>
      </c>
      <c r="L2387" s="403" t="s">
        <v>12867</v>
      </c>
      <c r="M2387" s="403" t="s">
        <v>12868</v>
      </c>
      <c r="N2387" s="403" t="s">
        <v>6032</v>
      </c>
      <c r="O2387" s="403" t="s">
        <v>7084</v>
      </c>
      <c r="P2387" s="403" t="s">
        <v>6689</v>
      </c>
      <c r="Q2387" s="403" t="s">
        <v>12869</v>
      </c>
      <c r="R2387" s="403" t="s">
        <v>21157</v>
      </c>
      <c r="S2387" s="403" t="s">
        <v>22095</v>
      </c>
      <c r="T2387" s="403" t="s">
        <v>22096</v>
      </c>
      <c r="U2387" s="403"/>
      <c r="V2387" s="403" t="s">
        <v>7012</v>
      </c>
      <c r="W2387" s="403" t="s">
        <v>17889</v>
      </c>
      <c r="X2387" s="403" t="s">
        <v>17633</v>
      </c>
      <c r="Y2387" s="403" t="s">
        <v>21160</v>
      </c>
    </row>
    <row r="2388" spans="1:25">
      <c r="A2388" s="363">
        <f t="shared" si="303"/>
        <v>2387</v>
      </c>
      <c r="B2388" s="363" t="str">
        <f t="shared" si="296"/>
        <v>00</v>
      </c>
      <c r="C2388" s="405" t="str">
        <f t="shared" si="297"/>
        <v>第008546号</v>
      </c>
      <c r="D2388" s="405" t="str">
        <f t="shared" si="298"/>
        <v>石垣メンテナンス（株）</v>
      </c>
      <c r="E2388" s="405" t="str">
        <f t="shared" si="299"/>
        <v/>
      </c>
      <c r="F2388" s="405" t="str">
        <f t="shared" si="300"/>
        <v>池田　慎太郎</v>
      </c>
      <c r="G2388" s="405" t="str">
        <f t="shared" si="301"/>
        <v>九州支店</v>
      </c>
      <c r="H2388" s="405" t="str">
        <f t="shared" si="302"/>
        <v>福岡市博多区博多駅前１－９－３</v>
      </c>
      <c r="L2388" s="403" t="s">
        <v>12870</v>
      </c>
      <c r="M2388" s="403" t="s">
        <v>12871</v>
      </c>
      <c r="N2388" s="403" t="s">
        <v>6033</v>
      </c>
      <c r="O2388" s="403" t="s">
        <v>7083</v>
      </c>
      <c r="P2388" s="403" t="s">
        <v>22097</v>
      </c>
      <c r="Q2388" s="403" t="s">
        <v>12271</v>
      </c>
      <c r="R2388" s="403" t="s">
        <v>21233</v>
      </c>
      <c r="S2388" s="403" t="s">
        <v>22098</v>
      </c>
      <c r="T2388" s="403" t="s">
        <v>21235</v>
      </c>
      <c r="U2388" s="403"/>
      <c r="V2388" s="403" t="s">
        <v>7007</v>
      </c>
      <c r="W2388" s="403" t="s">
        <v>17890</v>
      </c>
      <c r="X2388" s="403" t="s">
        <v>13015</v>
      </c>
      <c r="Y2388" s="403" t="s">
        <v>21236</v>
      </c>
    </row>
    <row r="2389" spans="1:25">
      <c r="A2389" s="363">
        <f t="shared" si="303"/>
        <v>2388</v>
      </c>
      <c r="B2389" s="363" t="str">
        <f t="shared" si="296"/>
        <v>00</v>
      </c>
      <c r="C2389" s="405" t="str">
        <f t="shared" si="297"/>
        <v>第008666号</v>
      </c>
      <c r="D2389" s="405" t="str">
        <f t="shared" si="298"/>
        <v>（株）ファビルス</v>
      </c>
      <c r="E2389" s="405" t="str">
        <f t="shared" si="299"/>
        <v/>
      </c>
      <c r="F2389" s="405" t="str">
        <f t="shared" si="300"/>
        <v>原　計吾</v>
      </c>
      <c r="G2389" s="405" t="str">
        <f t="shared" si="301"/>
        <v>大分支社</v>
      </c>
      <c r="H2389" s="405" t="str">
        <f t="shared" si="302"/>
        <v>大分市舞鶴町１－３－３０　ＳＴビル７階</v>
      </c>
      <c r="L2389" s="403" t="s">
        <v>12872</v>
      </c>
      <c r="M2389" s="403" t="s">
        <v>12873</v>
      </c>
      <c r="N2389" s="403" t="s">
        <v>6034</v>
      </c>
      <c r="O2389" s="403" t="s">
        <v>7084</v>
      </c>
      <c r="P2389" s="403" t="s">
        <v>6690</v>
      </c>
      <c r="Q2389" s="403" t="s">
        <v>12874</v>
      </c>
      <c r="R2389" s="403" t="s">
        <v>20770</v>
      </c>
      <c r="S2389" s="403" t="s">
        <v>22099</v>
      </c>
      <c r="T2389" s="403" t="s">
        <v>22100</v>
      </c>
      <c r="U2389" s="403"/>
      <c r="V2389" s="403" t="s">
        <v>7025</v>
      </c>
      <c r="W2389" s="403" t="s">
        <v>17891</v>
      </c>
      <c r="X2389" s="403" t="s">
        <v>7282</v>
      </c>
      <c r="Y2389" s="403" t="s">
        <v>22101</v>
      </c>
    </row>
    <row r="2390" spans="1:25">
      <c r="A2390" s="363">
        <f t="shared" si="303"/>
        <v>2389</v>
      </c>
      <c r="B2390" s="363" t="str">
        <f t="shared" si="296"/>
        <v>00</v>
      </c>
      <c r="C2390" s="405" t="str">
        <f t="shared" si="297"/>
        <v>第008687号</v>
      </c>
      <c r="D2390" s="405" t="str">
        <f t="shared" si="298"/>
        <v>三菱プレシジョン（株）</v>
      </c>
      <c r="E2390" s="405" t="str">
        <f t="shared" si="299"/>
        <v/>
      </c>
      <c r="F2390" s="405" t="str">
        <f t="shared" si="300"/>
        <v>安達　洋二</v>
      </c>
      <c r="G2390" s="405" t="str">
        <f t="shared" si="301"/>
        <v>九州営業所</v>
      </c>
      <c r="H2390" s="405" t="str">
        <f t="shared" si="302"/>
        <v>福岡市博多区店屋町８－３０</v>
      </c>
      <c r="L2390" s="403" t="s">
        <v>12875</v>
      </c>
      <c r="M2390" s="403" t="s">
        <v>12876</v>
      </c>
      <c r="N2390" s="403" t="s">
        <v>6035</v>
      </c>
      <c r="O2390" s="403" t="s">
        <v>7084</v>
      </c>
      <c r="P2390" s="403" t="s">
        <v>22102</v>
      </c>
      <c r="Q2390" s="403" t="s">
        <v>12094</v>
      </c>
      <c r="R2390" s="403" t="s">
        <v>22103</v>
      </c>
      <c r="S2390" s="403" t="s">
        <v>22104</v>
      </c>
      <c r="T2390" s="403" t="s">
        <v>22105</v>
      </c>
      <c r="U2390" s="403"/>
      <c r="V2390" s="403" t="s">
        <v>7012</v>
      </c>
      <c r="W2390" s="403" t="s">
        <v>17892</v>
      </c>
      <c r="X2390" s="403" t="s">
        <v>17522</v>
      </c>
      <c r="Y2390" s="403" t="s">
        <v>22106</v>
      </c>
    </row>
    <row r="2391" spans="1:25">
      <c r="A2391" s="363">
        <f t="shared" si="303"/>
        <v>2390</v>
      </c>
      <c r="B2391" s="363" t="str">
        <f t="shared" si="296"/>
        <v>00</v>
      </c>
      <c r="C2391" s="405" t="str">
        <f t="shared" si="297"/>
        <v>第008703号</v>
      </c>
      <c r="D2391" s="405" t="str">
        <f t="shared" si="298"/>
        <v>（株）環境開発</v>
      </c>
      <c r="E2391" s="405" t="str">
        <f t="shared" si="299"/>
        <v>代表取締役</v>
      </c>
      <c r="F2391" s="405" t="str">
        <f t="shared" si="300"/>
        <v>牟田　義彦</v>
      </c>
      <c r="G2391" s="405" t="str">
        <f t="shared" si="301"/>
        <v>主たる営業所</v>
      </c>
      <c r="H2391" s="405" t="str">
        <f t="shared" si="302"/>
        <v>福岡市博多区吉塚６－６－３６</v>
      </c>
      <c r="L2391" s="403" t="s">
        <v>12877</v>
      </c>
      <c r="M2391" s="403" t="s">
        <v>12878</v>
      </c>
      <c r="N2391" s="403" t="s">
        <v>6036</v>
      </c>
      <c r="O2391" s="403" t="s">
        <v>7084</v>
      </c>
      <c r="P2391" s="403" t="s">
        <v>6691</v>
      </c>
      <c r="Q2391" s="403" t="s">
        <v>12879</v>
      </c>
      <c r="R2391" s="403" t="s">
        <v>22107</v>
      </c>
      <c r="S2391" s="403" t="s">
        <v>17893</v>
      </c>
      <c r="T2391" s="403" t="s">
        <v>22108</v>
      </c>
      <c r="U2391" s="403"/>
      <c r="V2391" s="403" t="s">
        <v>23024</v>
      </c>
      <c r="W2391" s="403" t="s">
        <v>23024</v>
      </c>
      <c r="X2391" s="403" t="s">
        <v>23024</v>
      </c>
      <c r="Y2391" s="403" t="s">
        <v>23024</v>
      </c>
    </row>
    <row r="2392" spans="1:25">
      <c r="A2392" s="363">
        <f t="shared" si="303"/>
        <v>2391</v>
      </c>
      <c r="B2392" s="363" t="str">
        <f t="shared" si="296"/>
        <v>00</v>
      </c>
      <c r="C2392" s="405" t="str">
        <f t="shared" si="297"/>
        <v>第008710号</v>
      </c>
      <c r="D2392" s="405" t="str">
        <f t="shared" si="298"/>
        <v>日本ギア工業（株）</v>
      </c>
      <c r="E2392" s="405" t="str">
        <f t="shared" si="299"/>
        <v/>
      </c>
      <c r="F2392" s="405" t="str">
        <f t="shared" si="300"/>
        <v>中村　康孝</v>
      </c>
      <c r="G2392" s="405" t="str">
        <f t="shared" si="301"/>
        <v>福岡事業所</v>
      </c>
      <c r="H2392" s="405" t="str">
        <f t="shared" si="302"/>
        <v>福岡市博多区中洲中島町２－３福岡フジランドビル４階</v>
      </c>
      <c r="L2392" s="403" t="s">
        <v>12880</v>
      </c>
      <c r="M2392" s="403" t="s">
        <v>12881</v>
      </c>
      <c r="N2392" s="403" t="s">
        <v>6037</v>
      </c>
      <c r="O2392" s="403" t="s">
        <v>7083</v>
      </c>
      <c r="P2392" s="403" t="s">
        <v>6692</v>
      </c>
      <c r="Q2392" s="403" t="s">
        <v>12746</v>
      </c>
      <c r="R2392" s="403" t="s">
        <v>22109</v>
      </c>
      <c r="S2392" s="403" t="s">
        <v>22110</v>
      </c>
      <c r="T2392" s="403" t="s">
        <v>22111</v>
      </c>
      <c r="U2392" s="403"/>
      <c r="V2392" s="403" t="s">
        <v>7040</v>
      </c>
      <c r="W2392" s="403" t="s">
        <v>17894</v>
      </c>
      <c r="X2392" s="403" t="s">
        <v>17751</v>
      </c>
      <c r="Y2392" s="403" t="s">
        <v>22112</v>
      </c>
    </row>
    <row r="2393" spans="1:25">
      <c r="A2393" s="363">
        <f t="shared" si="303"/>
        <v>2392</v>
      </c>
      <c r="B2393" s="363" t="str">
        <f t="shared" si="296"/>
        <v>00</v>
      </c>
      <c r="C2393" s="405" t="str">
        <f t="shared" si="297"/>
        <v>第008759号</v>
      </c>
      <c r="D2393" s="405" t="str">
        <f t="shared" si="298"/>
        <v>（株）拓和</v>
      </c>
      <c r="E2393" s="405" t="str">
        <f t="shared" si="299"/>
        <v/>
      </c>
      <c r="F2393" s="405" t="str">
        <f t="shared" si="300"/>
        <v>山下　茂生</v>
      </c>
      <c r="G2393" s="405" t="str">
        <f t="shared" si="301"/>
        <v>九州支店</v>
      </c>
      <c r="H2393" s="405" t="str">
        <f t="shared" si="302"/>
        <v>福岡市博多区比恵町１０－２８</v>
      </c>
      <c r="L2393" s="403" t="s">
        <v>12882</v>
      </c>
      <c r="M2393" s="403" t="s">
        <v>12883</v>
      </c>
      <c r="N2393" s="403" t="s">
        <v>6038</v>
      </c>
      <c r="O2393" s="403" t="s">
        <v>7084</v>
      </c>
      <c r="P2393" s="403" t="s">
        <v>6693</v>
      </c>
      <c r="Q2393" s="403" t="s">
        <v>12884</v>
      </c>
      <c r="R2393" s="403" t="s">
        <v>22113</v>
      </c>
      <c r="S2393" s="403" t="s">
        <v>22114</v>
      </c>
      <c r="T2393" s="403" t="s">
        <v>22115</v>
      </c>
      <c r="U2393" s="403"/>
      <c r="V2393" s="403" t="s">
        <v>7007</v>
      </c>
      <c r="W2393" s="403" t="s">
        <v>17895</v>
      </c>
      <c r="X2393" s="403" t="s">
        <v>13797</v>
      </c>
      <c r="Y2393" s="403" t="s">
        <v>22116</v>
      </c>
    </row>
    <row r="2394" spans="1:25">
      <c r="A2394" s="363">
        <f t="shared" si="303"/>
        <v>2393</v>
      </c>
      <c r="B2394" s="363" t="str">
        <f t="shared" si="296"/>
        <v>00</v>
      </c>
      <c r="C2394" s="405" t="str">
        <f t="shared" si="297"/>
        <v>第008806号</v>
      </c>
      <c r="D2394" s="405" t="str">
        <f t="shared" si="298"/>
        <v>（株）三井三池製作所</v>
      </c>
      <c r="E2394" s="405" t="str">
        <f t="shared" si="299"/>
        <v/>
      </c>
      <c r="F2394" s="405" t="str">
        <f t="shared" si="300"/>
        <v>宮野　岳知</v>
      </c>
      <c r="G2394" s="405" t="str">
        <f t="shared" si="301"/>
        <v>福岡支店</v>
      </c>
      <c r="H2394" s="405" t="str">
        <f t="shared" si="302"/>
        <v>福岡市博多区店屋町１－３５</v>
      </c>
      <c r="L2394" s="403" t="s">
        <v>12885</v>
      </c>
      <c r="M2394" s="403" t="s">
        <v>12886</v>
      </c>
      <c r="N2394" s="403" t="s">
        <v>6039</v>
      </c>
      <c r="O2394" s="403" t="s">
        <v>7083</v>
      </c>
      <c r="P2394" s="403" t="s">
        <v>6694</v>
      </c>
      <c r="Q2394" s="403" t="s">
        <v>12887</v>
      </c>
      <c r="R2394" s="403" t="s">
        <v>21773</v>
      </c>
      <c r="S2394" s="403" t="s">
        <v>22117</v>
      </c>
      <c r="T2394" s="403" t="s">
        <v>22118</v>
      </c>
      <c r="U2394" s="403"/>
      <c r="V2394" s="403" t="s">
        <v>7018</v>
      </c>
      <c r="W2394" s="403" t="s">
        <v>17896</v>
      </c>
      <c r="X2394" s="403" t="s">
        <v>17522</v>
      </c>
      <c r="Y2394" s="403" t="s">
        <v>21069</v>
      </c>
    </row>
    <row r="2395" spans="1:25">
      <c r="A2395" s="363">
        <f t="shared" si="303"/>
        <v>2394</v>
      </c>
      <c r="B2395" s="363" t="str">
        <f t="shared" si="296"/>
        <v>00</v>
      </c>
      <c r="C2395" s="405" t="str">
        <f t="shared" si="297"/>
        <v>第008836号</v>
      </c>
      <c r="D2395" s="405" t="str">
        <f t="shared" si="298"/>
        <v>（株）明興テクノス</v>
      </c>
      <c r="E2395" s="405" t="str">
        <f t="shared" si="299"/>
        <v/>
      </c>
      <c r="F2395" s="405" t="str">
        <f t="shared" si="300"/>
        <v>弓指　太</v>
      </c>
      <c r="G2395" s="405" t="str">
        <f t="shared" si="301"/>
        <v>福岡支店</v>
      </c>
      <c r="H2395" s="405" t="str">
        <f t="shared" si="302"/>
        <v>福岡市東区社領１－９－１６</v>
      </c>
      <c r="L2395" s="403" t="s">
        <v>12888</v>
      </c>
      <c r="M2395" s="403" t="s">
        <v>12889</v>
      </c>
      <c r="N2395" s="403" t="s">
        <v>6040</v>
      </c>
      <c r="O2395" s="403" t="s">
        <v>7083</v>
      </c>
      <c r="P2395" s="403" t="s">
        <v>6695</v>
      </c>
      <c r="Q2395" s="403" t="s">
        <v>12890</v>
      </c>
      <c r="R2395" s="403" t="s">
        <v>22119</v>
      </c>
      <c r="S2395" s="403" t="s">
        <v>22120</v>
      </c>
      <c r="T2395" s="403" t="s">
        <v>22121</v>
      </c>
      <c r="U2395" s="403"/>
      <c r="V2395" s="403" t="s">
        <v>7018</v>
      </c>
      <c r="W2395" s="403" t="s">
        <v>17897</v>
      </c>
      <c r="X2395" s="403" t="s">
        <v>17898</v>
      </c>
      <c r="Y2395" s="403" t="s">
        <v>22122</v>
      </c>
    </row>
    <row r="2396" spans="1:25">
      <c r="A2396" s="363">
        <f t="shared" si="303"/>
        <v>2395</v>
      </c>
      <c r="B2396" s="363" t="str">
        <f t="shared" si="296"/>
        <v>00</v>
      </c>
      <c r="C2396" s="405" t="str">
        <f t="shared" si="297"/>
        <v>第008880号</v>
      </c>
      <c r="D2396" s="405" t="str">
        <f t="shared" si="298"/>
        <v>（株）鶴見製作所</v>
      </c>
      <c r="E2396" s="405" t="str">
        <f t="shared" si="299"/>
        <v/>
      </c>
      <c r="F2396" s="405" t="str">
        <f t="shared" si="300"/>
        <v>岩瀬　和彰</v>
      </c>
      <c r="G2396" s="405" t="str">
        <f t="shared" si="301"/>
        <v>九州支店</v>
      </c>
      <c r="H2396" s="405" t="str">
        <f t="shared" si="302"/>
        <v>福岡市博多区榎田２－９－３０</v>
      </c>
      <c r="L2396" s="403" t="s">
        <v>12891</v>
      </c>
      <c r="M2396" s="403" t="s">
        <v>12892</v>
      </c>
      <c r="N2396" s="403" t="s">
        <v>6041</v>
      </c>
      <c r="O2396" s="403" t="s">
        <v>7084</v>
      </c>
      <c r="P2396" s="403" t="s">
        <v>6696</v>
      </c>
      <c r="Q2396" s="403" t="s">
        <v>12893</v>
      </c>
      <c r="R2396" s="403" t="s">
        <v>22123</v>
      </c>
      <c r="S2396" s="403" t="s">
        <v>22124</v>
      </c>
      <c r="T2396" s="403" t="s">
        <v>22125</v>
      </c>
      <c r="U2396" s="403"/>
      <c r="V2396" s="403" t="s">
        <v>7007</v>
      </c>
      <c r="W2396" s="403" t="s">
        <v>22126</v>
      </c>
      <c r="X2396" s="403" t="s">
        <v>17508</v>
      </c>
      <c r="Y2396" s="403" t="s">
        <v>22127</v>
      </c>
    </row>
    <row r="2397" spans="1:25">
      <c r="A2397" s="363">
        <f t="shared" si="303"/>
        <v>2396</v>
      </c>
      <c r="B2397" s="363" t="str">
        <f t="shared" si="296"/>
        <v>00</v>
      </c>
      <c r="C2397" s="405" t="str">
        <f t="shared" si="297"/>
        <v>第008938号</v>
      </c>
      <c r="D2397" s="405" t="str">
        <f t="shared" si="298"/>
        <v>（株）ＪＰＦ</v>
      </c>
      <c r="E2397" s="405" t="str">
        <f t="shared" si="299"/>
        <v>代表取締役</v>
      </c>
      <c r="F2397" s="405" t="str">
        <f t="shared" si="300"/>
        <v>渡辺　俊太郎</v>
      </c>
      <c r="G2397" s="405" t="str">
        <f t="shared" si="301"/>
        <v>主たる営業所</v>
      </c>
      <c r="H2397" s="405" t="str">
        <f t="shared" si="302"/>
        <v>千代田区富士見２－４－１１</v>
      </c>
      <c r="L2397" s="403" t="s">
        <v>12894</v>
      </c>
      <c r="M2397" s="403" t="s">
        <v>12895</v>
      </c>
      <c r="N2397" s="403" t="s">
        <v>6042</v>
      </c>
      <c r="O2397" s="403" t="s">
        <v>7084</v>
      </c>
      <c r="P2397" s="403" t="s">
        <v>6697</v>
      </c>
      <c r="Q2397" s="403" t="s">
        <v>12896</v>
      </c>
      <c r="R2397" s="403" t="s">
        <v>22128</v>
      </c>
      <c r="S2397" s="403" t="s">
        <v>17899</v>
      </c>
      <c r="T2397" s="403" t="s">
        <v>17900</v>
      </c>
      <c r="U2397" s="403"/>
      <c r="V2397" s="403" t="s">
        <v>23024</v>
      </c>
      <c r="W2397" s="403" t="s">
        <v>23024</v>
      </c>
      <c r="X2397" s="403" t="s">
        <v>23024</v>
      </c>
      <c r="Y2397" s="403" t="s">
        <v>23024</v>
      </c>
    </row>
    <row r="2398" spans="1:25">
      <c r="A2398" s="363">
        <f t="shared" si="303"/>
        <v>2397</v>
      </c>
      <c r="B2398" s="363" t="str">
        <f t="shared" si="296"/>
        <v>00</v>
      </c>
      <c r="C2398" s="405" t="str">
        <f t="shared" si="297"/>
        <v>第009085号</v>
      </c>
      <c r="D2398" s="405" t="str">
        <f t="shared" si="298"/>
        <v>三菱化工機アドバンス（株）</v>
      </c>
      <c r="E2398" s="405" t="str">
        <f t="shared" si="299"/>
        <v/>
      </c>
      <c r="F2398" s="405" t="str">
        <f t="shared" si="300"/>
        <v>片渕　孝徳</v>
      </c>
      <c r="G2398" s="405" t="str">
        <f t="shared" si="301"/>
        <v>福岡支店</v>
      </c>
      <c r="H2398" s="405" t="str">
        <f t="shared" si="302"/>
        <v>福岡市東区箱崎４－５－２</v>
      </c>
      <c r="L2398" s="403" t="s">
        <v>12897</v>
      </c>
      <c r="M2398" s="403" t="s">
        <v>12898</v>
      </c>
      <c r="N2398" s="403" t="s">
        <v>6043</v>
      </c>
      <c r="O2398" s="403" t="s">
        <v>7084</v>
      </c>
      <c r="P2398" s="403" t="s">
        <v>22129</v>
      </c>
      <c r="Q2398" s="403" t="s">
        <v>12422</v>
      </c>
      <c r="R2398" s="403" t="s">
        <v>22130</v>
      </c>
      <c r="S2398" s="403" t="s">
        <v>22131</v>
      </c>
      <c r="T2398" s="403" t="s">
        <v>22132</v>
      </c>
      <c r="U2398" s="403"/>
      <c r="V2398" s="403" t="s">
        <v>7018</v>
      </c>
      <c r="W2398" s="403" t="s">
        <v>22133</v>
      </c>
      <c r="X2398" s="403" t="s">
        <v>12112</v>
      </c>
      <c r="Y2398" s="403" t="s">
        <v>21839</v>
      </c>
    </row>
    <row r="2399" spans="1:25">
      <c r="A2399" s="363">
        <f t="shared" si="303"/>
        <v>2398</v>
      </c>
      <c r="B2399" s="363" t="str">
        <f t="shared" si="296"/>
        <v>00</v>
      </c>
      <c r="C2399" s="405" t="str">
        <f t="shared" si="297"/>
        <v>第009250号</v>
      </c>
      <c r="D2399" s="405" t="str">
        <f t="shared" si="298"/>
        <v>三井住友建設鉄構エンジニアリング（株）</v>
      </c>
      <c r="E2399" s="405" t="str">
        <f t="shared" si="299"/>
        <v/>
      </c>
      <c r="F2399" s="405" t="str">
        <f t="shared" si="300"/>
        <v>高橋　昭</v>
      </c>
      <c r="G2399" s="405" t="str">
        <f t="shared" si="301"/>
        <v>大分営業所</v>
      </c>
      <c r="H2399" s="405" t="str">
        <f t="shared" si="302"/>
        <v>大分市日吉原３</v>
      </c>
      <c r="L2399" s="403" t="s">
        <v>12899</v>
      </c>
      <c r="M2399" s="403" t="s">
        <v>12900</v>
      </c>
      <c r="N2399" s="403" t="s">
        <v>6044</v>
      </c>
      <c r="O2399" s="403" t="s">
        <v>7084</v>
      </c>
      <c r="P2399" s="403" t="s">
        <v>6698</v>
      </c>
      <c r="Q2399" s="403" t="s">
        <v>12901</v>
      </c>
      <c r="R2399" s="403" t="s">
        <v>22134</v>
      </c>
      <c r="S2399" s="403" t="s">
        <v>22135</v>
      </c>
      <c r="T2399" s="403" t="s">
        <v>22136</v>
      </c>
      <c r="U2399" s="403"/>
      <c r="V2399" s="403" t="s">
        <v>7013</v>
      </c>
      <c r="W2399" s="403" t="s">
        <v>17901</v>
      </c>
      <c r="X2399" s="403" t="s">
        <v>17902</v>
      </c>
      <c r="Y2399" s="403" t="s">
        <v>7077</v>
      </c>
    </row>
    <row r="2400" spans="1:25">
      <c r="A2400" s="363">
        <f t="shared" si="303"/>
        <v>2399</v>
      </c>
      <c r="B2400" s="363" t="str">
        <f t="shared" si="296"/>
        <v>00</v>
      </c>
      <c r="C2400" s="405" t="str">
        <f t="shared" si="297"/>
        <v>第009291号</v>
      </c>
      <c r="D2400" s="405" t="str">
        <f t="shared" si="298"/>
        <v>ワセダ技研（株）</v>
      </c>
      <c r="E2400" s="405" t="str">
        <f t="shared" si="299"/>
        <v>代表取締役</v>
      </c>
      <c r="F2400" s="405" t="str">
        <f t="shared" si="300"/>
        <v>赤熊　英次</v>
      </c>
      <c r="G2400" s="405" t="str">
        <f t="shared" si="301"/>
        <v>主たる営業所</v>
      </c>
      <c r="H2400" s="405" t="str">
        <f t="shared" si="302"/>
        <v>台東区台東２－９－４</v>
      </c>
      <c r="L2400" s="403" t="s">
        <v>22137</v>
      </c>
      <c r="M2400" s="403" t="s">
        <v>22138</v>
      </c>
      <c r="N2400" s="403" t="s">
        <v>22139</v>
      </c>
      <c r="O2400" s="403" t="s">
        <v>7084</v>
      </c>
      <c r="P2400" s="403" t="s">
        <v>22140</v>
      </c>
      <c r="Q2400" s="403" t="s">
        <v>17916</v>
      </c>
      <c r="R2400" s="403" t="s">
        <v>22141</v>
      </c>
      <c r="S2400" s="403" t="s">
        <v>22142</v>
      </c>
      <c r="T2400" s="403" t="s">
        <v>22143</v>
      </c>
      <c r="U2400" s="403"/>
      <c r="V2400" s="403" t="s">
        <v>23024</v>
      </c>
      <c r="W2400" s="403" t="s">
        <v>23024</v>
      </c>
      <c r="X2400" s="403" t="s">
        <v>23024</v>
      </c>
      <c r="Y2400" s="403" t="s">
        <v>23024</v>
      </c>
    </row>
    <row r="2401" spans="1:25">
      <c r="A2401" s="363">
        <f t="shared" si="303"/>
        <v>2400</v>
      </c>
      <c r="B2401" s="363" t="str">
        <f t="shared" si="296"/>
        <v>00</v>
      </c>
      <c r="C2401" s="405" t="str">
        <f t="shared" si="297"/>
        <v>第009361号</v>
      </c>
      <c r="D2401" s="405" t="str">
        <f t="shared" si="298"/>
        <v>古野電気（株）</v>
      </c>
      <c r="E2401" s="405" t="str">
        <f t="shared" si="299"/>
        <v>代表取締役</v>
      </c>
      <c r="F2401" s="405" t="str">
        <f t="shared" si="300"/>
        <v>古野　幸男</v>
      </c>
      <c r="G2401" s="405" t="str">
        <f t="shared" si="301"/>
        <v>主たる営業所</v>
      </c>
      <c r="H2401" s="405" t="str">
        <f t="shared" si="302"/>
        <v>西宮市芦原町９－５２</v>
      </c>
      <c r="L2401" s="403" t="s">
        <v>12902</v>
      </c>
      <c r="M2401" s="403" t="s">
        <v>12903</v>
      </c>
      <c r="N2401" s="403" t="s">
        <v>6045</v>
      </c>
      <c r="O2401" s="403" t="s">
        <v>7084</v>
      </c>
      <c r="P2401" s="403" t="s">
        <v>6699</v>
      </c>
      <c r="Q2401" s="403" t="s">
        <v>12904</v>
      </c>
      <c r="R2401" s="403" t="s">
        <v>22144</v>
      </c>
      <c r="S2401" s="403" t="s">
        <v>17903</v>
      </c>
      <c r="T2401" s="403" t="s">
        <v>17904</v>
      </c>
      <c r="U2401" s="403"/>
      <c r="V2401" s="403" t="s">
        <v>23024</v>
      </c>
      <c r="W2401" s="403" t="s">
        <v>23024</v>
      </c>
      <c r="X2401" s="403" t="s">
        <v>23024</v>
      </c>
      <c r="Y2401" s="403" t="s">
        <v>23024</v>
      </c>
    </row>
    <row r="2402" spans="1:25">
      <c r="A2402" s="363">
        <f t="shared" si="303"/>
        <v>2401</v>
      </c>
      <c r="B2402" s="363" t="str">
        <f t="shared" si="296"/>
        <v>00</v>
      </c>
      <c r="C2402" s="405" t="str">
        <f t="shared" si="297"/>
        <v>第009490号</v>
      </c>
      <c r="D2402" s="405" t="str">
        <f t="shared" si="298"/>
        <v>クボタ環境エンジニアリング（株）</v>
      </c>
      <c r="E2402" s="405" t="str">
        <f t="shared" si="299"/>
        <v/>
      </c>
      <c r="F2402" s="405" t="str">
        <f t="shared" si="300"/>
        <v>長濱　励</v>
      </c>
      <c r="G2402" s="405" t="str">
        <f t="shared" si="301"/>
        <v>九州支店</v>
      </c>
      <c r="H2402" s="405" t="str">
        <f t="shared" si="302"/>
        <v>福岡市博多区博多駅前３－２－８</v>
      </c>
      <c r="L2402" s="403" t="s">
        <v>12905</v>
      </c>
      <c r="M2402" s="403" t="s">
        <v>12906</v>
      </c>
      <c r="N2402" s="403" t="s">
        <v>6046</v>
      </c>
      <c r="O2402" s="403" t="s">
        <v>7084</v>
      </c>
      <c r="P2402" s="403" t="s">
        <v>22145</v>
      </c>
      <c r="Q2402" s="403" t="s">
        <v>12907</v>
      </c>
      <c r="R2402" s="403" t="s">
        <v>22146</v>
      </c>
      <c r="S2402" s="403" t="s">
        <v>22147</v>
      </c>
      <c r="T2402" s="403" t="s">
        <v>22148</v>
      </c>
      <c r="U2402" s="403"/>
      <c r="V2402" s="403" t="s">
        <v>7007</v>
      </c>
      <c r="W2402" s="403" t="s">
        <v>17905</v>
      </c>
      <c r="X2402" s="403" t="s">
        <v>13015</v>
      </c>
      <c r="Y2402" s="403" t="s">
        <v>21139</v>
      </c>
    </row>
    <row r="2403" spans="1:25">
      <c r="A2403" s="363">
        <f t="shared" si="303"/>
        <v>2402</v>
      </c>
      <c r="B2403" s="363" t="str">
        <f t="shared" si="296"/>
        <v>00</v>
      </c>
      <c r="C2403" s="405" t="str">
        <f t="shared" si="297"/>
        <v>第009564号</v>
      </c>
      <c r="D2403" s="405" t="str">
        <f t="shared" si="298"/>
        <v>パナソニックコネクト（株）</v>
      </c>
      <c r="E2403" s="405" t="str">
        <f t="shared" si="299"/>
        <v/>
      </c>
      <c r="F2403" s="405" t="str">
        <f t="shared" si="300"/>
        <v>萱野　実</v>
      </c>
      <c r="G2403" s="405" t="str">
        <f t="shared" si="301"/>
        <v>現場ソリューションカンパニー九州社</v>
      </c>
      <c r="H2403" s="405" t="str">
        <f t="shared" si="302"/>
        <v>福岡市博多区美野島４－１－６２</v>
      </c>
      <c r="L2403" s="403" t="s">
        <v>12908</v>
      </c>
      <c r="M2403" s="403" t="s">
        <v>12909</v>
      </c>
      <c r="N2403" s="403" t="s">
        <v>6047</v>
      </c>
      <c r="O2403" s="403" t="s">
        <v>7102</v>
      </c>
      <c r="P2403" s="403" t="s">
        <v>6700</v>
      </c>
      <c r="Q2403" s="403" t="s">
        <v>12153</v>
      </c>
      <c r="R2403" s="403" t="s">
        <v>22149</v>
      </c>
      <c r="S2403" s="403" t="s">
        <v>22150</v>
      </c>
      <c r="T2403" s="403" t="s">
        <v>22151</v>
      </c>
      <c r="U2403" s="403"/>
      <c r="V2403" s="403" t="s">
        <v>7044</v>
      </c>
      <c r="W2403" s="403" t="s">
        <v>17906</v>
      </c>
      <c r="X2403" s="403" t="s">
        <v>17907</v>
      </c>
      <c r="Y2403" s="403" t="s">
        <v>22152</v>
      </c>
    </row>
    <row r="2404" spans="1:25">
      <c r="A2404" s="363">
        <f t="shared" si="303"/>
        <v>2403</v>
      </c>
      <c r="B2404" s="363" t="str">
        <f t="shared" si="296"/>
        <v>00</v>
      </c>
      <c r="C2404" s="405" t="str">
        <f t="shared" si="297"/>
        <v>第009720号</v>
      </c>
      <c r="D2404" s="405" t="str">
        <f t="shared" si="298"/>
        <v>日本基礎技術（株）</v>
      </c>
      <c r="E2404" s="405" t="str">
        <f t="shared" si="299"/>
        <v/>
      </c>
      <c r="F2404" s="405" t="str">
        <f t="shared" si="300"/>
        <v>虎澤　昌広</v>
      </c>
      <c r="G2404" s="405" t="str">
        <f t="shared" si="301"/>
        <v>九州支店</v>
      </c>
      <c r="H2404" s="405" t="str">
        <f t="shared" si="302"/>
        <v>福岡市南区長丘５－２８－６</v>
      </c>
      <c r="L2404" s="403" t="s">
        <v>12910</v>
      </c>
      <c r="M2404" s="403" t="s">
        <v>12911</v>
      </c>
      <c r="N2404" s="403" t="s">
        <v>6048</v>
      </c>
      <c r="O2404" s="403" t="s">
        <v>7083</v>
      </c>
      <c r="P2404" s="403" t="s">
        <v>6701</v>
      </c>
      <c r="Q2404" s="403" t="s">
        <v>22153</v>
      </c>
      <c r="R2404" s="403" t="s">
        <v>22154</v>
      </c>
      <c r="S2404" s="403" t="s">
        <v>22155</v>
      </c>
      <c r="T2404" s="403" t="s">
        <v>22156</v>
      </c>
      <c r="U2404" s="403"/>
      <c r="V2404" s="403" t="s">
        <v>7007</v>
      </c>
      <c r="W2404" s="403" t="s">
        <v>22157</v>
      </c>
      <c r="X2404" s="403" t="s">
        <v>17908</v>
      </c>
      <c r="Y2404" s="403" t="s">
        <v>22158</v>
      </c>
    </row>
    <row r="2405" spans="1:25">
      <c r="A2405" s="363">
        <f t="shared" si="303"/>
        <v>2404</v>
      </c>
      <c r="B2405" s="363" t="str">
        <f t="shared" si="296"/>
        <v>00</v>
      </c>
      <c r="C2405" s="405" t="str">
        <f t="shared" si="297"/>
        <v>第009745号</v>
      </c>
      <c r="D2405" s="405" t="str">
        <f t="shared" si="298"/>
        <v>明電プラントシステムズ（株）</v>
      </c>
      <c r="E2405" s="405" t="str">
        <f t="shared" si="299"/>
        <v>代表取締役</v>
      </c>
      <c r="F2405" s="405" t="str">
        <f t="shared" si="300"/>
        <v>古田　隆</v>
      </c>
      <c r="G2405" s="405" t="str">
        <f t="shared" si="301"/>
        <v>主たる営業所</v>
      </c>
      <c r="H2405" s="405" t="str">
        <f t="shared" si="302"/>
        <v>品川区大崎２－８－１</v>
      </c>
      <c r="L2405" s="403" t="s">
        <v>12912</v>
      </c>
      <c r="M2405" s="403" t="s">
        <v>12913</v>
      </c>
      <c r="N2405" s="403" t="s">
        <v>6049</v>
      </c>
      <c r="O2405" s="403" t="s">
        <v>7084</v>
      </c>
      <c r="P2405" s="403" t="s">
        <v>6702</v>
      </c>
      <c r="Q2405" s="403" t="s">
        <v>12914</v>
      </c>
      <c r="R2405" s="403" t="s">
        <v>22159</v>
      </c>
      <c r="S2405" s="403" t="s">
        <v>17909</v>
      </c>
      <c r="T2405" s="403" t="s">
        <v>17910</v>
      </c>
      <c r="U2405" s="403"/>
      <c r="V2405" s="403" t="s">
        <v>23024</v>
      </c>
      <c r="W2405" s="403" t="s">
        <v>23024</v>
      </c>
      <c r="X2405" s="403" t="s">
        <v>23024</v>
      </c>
      <c r="Y2405" s="403" t="s">
        <v>23024</v>
      </c>
    </row>
    <row r="2406" spans="1:25">
      <c r="A2406" s="363">
        <f t="shared" si="303"/>
        <v>2405</v>
      </c>
      <c r="B2406" s="363" t="str">
        <f t="shared" si="296"/>
        <v>00</v>
      </c>
      <c r="C2406" s="405" t="str">
        <f t="shared" si="297"/>
        <v>第009777号</v>
      </c>
      <c r="D2406" s="405" t="str">
        <f t="shared" si="298"/>
        <v>三菱電機プラントエンジニアリング（株）</v>
      </c>
      <c r="E2406" s="405" t="str">
        <f t="shared" si="299"/>
        <v/>
      </c>
      <c r="F2406" s="405" t="str">
        <f t="shared" si="300"/>
        <v>平　隆則</v>
      </c>
      <c r="G2406" s="405" t="str">
        <f t="shared" si="301"/>
        <v>九州本部</v>
      </c>
      <c r="H2406" s="405" t="str">
        <f t="shared" si="302"/>
        <v>福岡市博多区上牟田１－１７－１</v>
      </c>
      <c r="L2406" s="403" t="s">
        <v>12915</v>
      </c>
      <c r="M2406" s="403" t="s">
        <v>12916</v>
      </c>
      <c r="N2406" s="403" t="s">
        <v>6050</v>
      </c>
      <c r="O2406" s="403" t="s">
        <v>7084</v>
      </c>
      <c r="P2406" s="403" t="s">
        <v>6703</v>
      </c>
      <c r="Q2406" s="403" t="s">
        <v>21639</v>
      </c>
      <c r="R2406" s="403" t="s">
        <v>22160</v>
      </c>
      <c r="S2406" s="403" t="s">
        <v>22161</v>
      </c>
      <c r="T2406" s="403" t="s">
        <v>22162</v>
      </c>
      <c r="U2406" s="403"/>
      <c r="V2406" s="403" t="s">
        <v>7045</v>
      </c>
      <c r="W2406" s="403" t="s">
        <v>17911</v>
      </c>
      <c r="X2406" s="403" t="s">
        <v>17810</v>
      </c>
      <c r="Y2406" s="403" t="s">
        <v>22163</v>
      </c>
    </row>
    <row r="2407" spans="1:25">
      <c r="A2407" s="363">
        <f t="shared" si="303"/>
        <v>2406</v>
      </c>
      <c r="B2407" s="363" t="str">
        <f t="shared" si="296"/>
        <v>00</v>
      </c>
      <c r="C2407" s="405" t="str">
        <f t="shared" si="297"/>
        <v>第009914号</v>
      </c>
      <c r="D2407" s="405" t="str">
        <f t="shared" si="298"/>
        <v>大同機工（株）</v>
      </c>
      <c r="E2407" s="405" t="str">
        <f t="shared" si="299"/>
        <v/>
      </c>
      <c r="F2407" s="405" t="str">
        <f t="shared" si="300"/>
        <v>岡崎　幸一</v>
      </c>
      <c r="G2407" s="405" t="str">
        <f t="shared" si="301"/>
        <v>福岡営業所</v>
      </c>
      <c r="H2407" s="405" t="str">
        <f t="shared" si="302"/>
        <v>福岡市中央区天神４－１－１７</v>
      </c>
      <c r="L2407" s="403" t="s">
        <v>12918</v>
      </c>
      <c r="M2407" s="403" t="s">
        <v>12919</v>
      </c>
      <c r="N2407" s="403" t="s">
        <v>6051</v>
      </c>
      <c r="O2407" s="403" t="s">
        <v>7084</v>
      </c>
      <c r="P2407" s="403" t="s">
        <v>6704</v>
      </c>
      <c r="Q2407" s="403" t="s">
        <v>12920</v>
      </c>
      <c r="R2407" s="403" t="s">
        <v>22164</v>
      </c>
      <c r="S2407" s="403" t="s">
        <v>22165</v>
      </c>
      <c r="T2407" s="403" t="s">
        <v>22166</v>
      </c>
      <c r="U2407" s="403"/>
      <c r="V2407" s="403" t="s">
        <v>7010</v>
      </c>
      <c r="W2407" s="403" t="s">
        <v>17912</v>
      </c>
      <c r="X2407" s="403" t="s">
        <v>17517</v>
      </c>
      <c r="Y2407" s="403" t="s">
        <v>22167</v>
      </c>
    </row>
    <row r="2408" spans="1:25">
      <c r="A2408" s="363">
        <f t="shared" si="303"/>
        <v>2407</v>
      </c>
      <c r="B2408" s="363" t="str">
        <f t="shared" si="296"/>
        <v>00</v>
      </c>
      <c r="C2408" s="405" t="str">
        <f t="shared" si="297"/>
        <v>第010306号</v>
      </c>
      <c r="D2408" s="405" t="str">
        <f t="shared" si="298"/>
        <v>オルガノプラントサービス（株）</v>
      </c>
      <c r="E2408" s="405" t="str">
        <f t="shared" si="299"/>
        <v/>
      </c>
      <c r="F2408" s="405" t="str">
        <f t="shared" si="300"/>
        <v>藪谷　和浩</v>
      </c>
      <c r="G2408" s="405" t="str">
        <f t="shared" si="301"/>
        <v>九州事業所</v>
      </c>
      <c r="H2408" s="405" t="str">
        <f t="shared" si="302"/>
        <v>福岡市中央区白金２－１１－９　ＣＲ福岡ビル６階</v>
      </c>
      <c r="L2408" s="403" t="s">
        <v>12921</v>
      </c>
      <c r="M2408" s="403" t="s">
        <v>12922</v>
      </c>
      <c r="N2408" s="403" t="s">
        <v>6052</v>
      </c>
      <c r="O2408" s="403" t="s">
        <v>7083</v>
      </c>
      <c r="P2408" s="403" t="s">
        <v>22168</v>
      </c>
      <c r="Q2408" s="403" t="s">
        <v>12923</v>
      </c>
      <c r="R2408" s="403" t="s">
        <v>21564</v>
      </c>
      <c r="S2408" s="403" t="s">
        <v>22169</v>
      </c>
      <c r="T2408" s="403" t="s">
        <v>22170</v>
      </c>
      <c r="U2408" s="403"/>
      <c r="V2408" s="403" t="s">
        <v>7046</v>
      </c>
      <c r="W2408" s="403" t="s">
        <v>22171</v>
      </c>
      <c r="X2408" s="403" t="s">
        <v>12238</v>
      </c>
      <c r="Y2408" s="403" t="s">
        <v>22172</v>
      </c>
    </row>
    <row r="2409" spans="1:25">
      <c r="A2409" s="363">
        <f t="shared" si="303"/>
        <v>2408</v>
      </c>
      <c r="B2409" s="363" t="str">
        <f t="shared" si="296"/>
        <v>00</v>
      </c>
      <c r="C2409" s="405" t="str">
        <f t="shared" si="297"/>
        <v>第010328号</v>
      </c>
      <c r="D2409" s="405" t="str">
        <f t="shared" si="298"/>
        <v>（株）サンケン・エンジニアリング</v>
      </c>
      <c r="E2409" s="405" t="str">
        <f t="shared" si="299"/>
        <v>代表取締役</v>
      </c>
      <c r="F2409" s="405" t="str">
        <f t="shared" si="300"/>
        <v>阿部　雅崇</v>
      </c>
      <c r="G2409" s="405" t="str">
        <f t="shared" si="301"/>
        <v>主たる営業所</v>
      </c>
      <c r="H2409" s="405" t="str">
        <f t="shared" si="302"/>
        <v>福岡市南区大楠２－１３－７</v>
      </c>
      <c r="L2409" s="403" t="s">
        <v>12924</v>
      </c>
      <c r="M2409" s="403" t="s">
        <v>12925</v>
      </c>
      <c r="N2409" s="403" t="s">
        <v>6053</v>
      </c>
      <c r="O2409" s="403" t="s">
        <v>7084</v>
      </c>
      <c r="P2409" s="403" t="s">
        <v>22173</v>
      </c>
      <c r="Q2409" s="403" t="s">
        <v>12926</v>
      </c>
      <c r="R2409" s="403" t="s">
        <v>22174</v>
      </c>
      <c r="S2409" s="403" t="s">
        <v>17913</v>
      </c>
      <c r="T2409" s="403" t="s">
        <v>17914</v>
      </c>
      <c r="U2409" s="403"/>
      <c r="V2409" s="403" t="s">
        <v>23024</v>
      </c>
      <c r="W2409" s="403" t="s">
        <v>23024</v>
      </c>
      <c r="X2409" s="403" t="s">
        <v>23024</v>
      </c>
      <c r="Y2409" s="403" t="s">
        <v>23024</v>
      </c>
    </row>
    <row r="2410" spans="1:25">
      <c r="A2410" s="363">
        <f t="shared" si="303"/>
        <v>2409</v>
      </c>
      <c r="B2410" s="363" t="str">
        <f t="shared" si="296"/>
        <v>00</v>
      </c>
      <c r="C2410" s="405" t="str">
        <f t="shared" si="297"/>
        <v>第010334号</v>
      </c>
      <c r="D2410" s="405" t="str">
        <f t="shared" si="298"/>
        <v>九州日植（株）</v>
      </c>
      <c r="E2410" s="405" t="str">
        <f t="shared" si="299"/>
        <v>代表取締役</v>
      </c>
      <c r="F2410" s="405" t="str">
        <f t="shared" si="300"/>
        <v>竹内　政典</v>
      </c>
      <c r="G2410" s="405" t="str">
        <f t="shared" si="301"/>
        <v>主たる営業所</v>
      </c>
      <c r="H2410" s="405" t="str">
        <f t="shared" si="302"/>
        <v>福岡市博多区博多駅南２－９－１１</v>
      </c>
      <c r="L2410" s="403" t="s">
        <v>12927</v>
      </c>
      <c r="M2410" s="403" t="s">
        <v>12928</v>
      </c>
      <c r="N2410" s="403" t="s">
        <v>6054</v>
      </c>
      <c r="O2410" s="403" t="s">
        <v>7084</v>
      </c>
      <c r="P2410" s="403" t="s">
        <v>6705</v>
      </c>
      <c r="Q2410" s="403" t="s">
        <v>11975</v>
      </c>
      <c r="R2410" s="403" t="s">
        <v>20821</v>
      </c>
      <c r="S2410" s="403" t="s">
        <v>22175</v>
      </c>
      <c r="T2410" s="403" t="s">
        <v>22176</v>
      </c>
      <c r="U2410" s="403"/>
      <c r="V2410" s="403" t="s">
        <v>23024</v>
      </c>
      <c r="W2410" s="403" t="s">
        <v>23024</v>
      </c>
      <c r="X2410" s="403" t="s">
        <v>23024</v>
      </c>
      <c r="Y2410" s="403" t="s">
        <v>23024</v>
      </c>
    </row>
    <row r="2411" spans="1:25">
      <c r="A2411" s="363">
        <f t="shared" si="303"/>
        <v>2410</v>
      </c>
      <c r="B2411" s="363" t="str">
        <f t="shared" si="296"/>
        <v>00</v>
      </c>
      <c r="C2411" s="405" t="str">
        <f t="shared" si="297"/>
        <v>第010349号</v>
      </c>
      <c r="D2411" s="405" t="str">
        <f t="shared" si="298"/>
        <v>（株）コンステック</v>
      </c>
      <c r="E2411" s="405" t="str">
        <f t="shared" si="299"/>
        <v/>
      </c>
      <c r="F2411" s="405" t="str">
        <f t="shared" si="300"/>
        <v>坂田　宏樹</v>
      </c>
      <c r="G2411" s="405" t="str">
        <f t="shared" si="301"/>
        <v>福岡支店</v>
      </c>
      <c r="H2411" s="405" t="str">
        <f t="shared" si="302"/>
        <v>福岡市博多区博多駅前１－２１－２８</v>
      </c>
      <c r="L2411" s="403" t="s">
        <v>12929</v>
      </c>
      <c r="M2411" s="403" t="s">
        <v>12930</v>
      </c>
      <c r="N2411" s="403" t="s">
        <v>6055</v>
      </c>
      <c r="O2411" s="403" t="s">
        <v>7084</v>
      </c>
      <c r="P2411" s="403" t="s">
        <v>6706</v>
      </c>
      <c r="Q2411" s="403" t="s">
        <v>12931</v>
      </c>
      <c r="R2411" s="403" t="s">
        <v>22177</v>
      </c>
      <c r="S2411" s="403" t="s">
        <v>22178</v>
      </c>
      <c r="T2411" s="403" t="s">
        <v>22179</v>
      </c>
      <c r="U2411" s="403"/>
      <c r="V2411" s="403" t="s">
        <v>7018</v>
      </c>
      <c r="W2411" s="403" t="s">
        <v>22180</v>
      </c>
      <c r="X2411" s="403" t="s">
        <v>13015</v>
      </c>
      <c r="Y2411" s="403" t="s">
        <v>22181</v>
      </c>
    </row>
    <row r="2412" spans="1:25">
      <c r="A2412" s="363">
        <f t="shared" si="303"/>
        <v>2411</v>
      </c>
      <c r="B2412" s="363" t="str">
        <f t="shared" si="296"/>
        <v>00</v>
      </c>
      <c r="C2412" s="405" t="str">
        <f t="shared" si="297"/>
        <v>第010368号</v>
      </c>
      <c r="D2412" s="405" t="str">
        <f t="shared" si="298"/>
        <v>雪印種苗（株）</v>
      </c>
      <c r="E2412" s="405" t="str">
        <f t="shared" si="299"/>
        <v/>
      </c>
      <c r="F2412" s="405" t="str">
        <f t="shared" si="300"/>
        <v>鈴木　謙治</v>
      </c>
      <c r="G2412" s="405" t="str">
        <f t="shared" si="301"/>
        <v>東京事業所</v>
      </c>
      <c r="H2412" s="405" t="str">
        <f t="shared" si="302"/>
        <v>台東区台東１－２７－１１　佐藤第２ビル２階２０１</v>
      </c>
      <c r="L2412" s="403" t="s">
        <v>12932</v>
      </c>
      <c r="M2412" s="403" t="s">
        <v>12933</v>
      </c>
      <c r="N2412" s="403" t="s">
        <v>6056</v>
      </c>
      <c r="O2412" s="403" t="s">
        <v>7083</v>
      </c>
      <c r="P2412" s="403" t="s">
        <v>22182</v>
      </c>
      <c r="Q2412" s="403" t="s">
        <v>12934</v>
      </c>
      <c r="R2412" s="403" t="s">
        <v>22183</v>
      </c>
      <c r="S2412" s="403" t="s">
        <v>22184</v>
      </c>
      <c r="T2412" s="403" t="s">
        <v>22185</v>
      </c>
      <c r="U2412" s="403"/>
      <c r="V2412" s="403" t="s">
        <v>7047</v>
      </c>
      <c r="W2412" s="403" t="s">
        <v>17915</v>
      </c>
      <c r="X2412" s="403" t="s">
        <v>17916</v>
      </c>
      <c r="Y2412" s="403" t="s">
        <v>22186</v>
      </c>
    </row>
    <row r="2413" spans="1:25">
      <c r="A2413" s="363">
        <f t="shared" si="303"/>
        <v>2412</v>
      </c>
      <c r="B2413" s="363" t="str">
        <f t="shared" si="296"/>
        <v>00</v>
      </c>
      <c r="C2413" s="405" t="str">
        <f t="shared" si="297"/>
        <v>第010398号</v>
      </c>
      <c r="D2413" s="405" t="str">
        <f t="shared" si="298"/>
        <v>西戸崎興産（株）</v>
      </c>
      <c r="E2413" s="405" t="str">
        <f t="shared" si="299"/>
        <v>代表取締役社長</v>
      </c>
      <c r="F2413" s="405" t="str">
        <f t="shared" si="300"/>
        <v>永田　誠</v>
      </c>
      <c r="G2413" s="405" t="str">
        <f t="shared" si="301"/>
        <v>主たる営業所</v>
      </c>
      <c r="H2413" s="405" t="str">
        <f t="shared" si="302"/>
        <v>福岡市東区大岳２－１－１</v>
      </c>
      <c r="L2413" s="403" t="s">
        <v>12935</v>
      </c>
      <c r="M2413" s="403" t="s">
        <v>12936</v>
      </c>
      <c r="N2413" s="403" t="s">
        <v>6057</v>
      </c>
      <c r="O2413" s="403" t="s">
        <v>7083</v>
      </c>
      <c r="P2413" s="403" t="s">
        <v>6707</v>
      </c>
      <c r="Q2413" s="403" t="s">
        <v>12937</v>
      </c>
      <c r="R2413" s="403" t="s">
        <v>22187</v>
      </c>
      <c r="S2413" s="403" t="s">
        <v>17917</v>
      </c>
      <c r="T2413" s="403" t="s">
        <v>17918</v>
      </c>
      <c r="U2413" s="403"/>
      <c r="V2413" s="403" t="s">
        <v>23024</v>
      </c>
      <c r="W2413" s="403" t="s">
        <v>23024</v>
      </c>
      <c r="X2413" s="403" t="s">
        <v>23024</v>
      </c>
      <c r="Y2413" s="403" t="s">
        <v>23024</v>
      </c>
    </row>
    <row r="2414" spans="1:25">
      <c r="A2414" s="363">
        <f t="shared" si="303"/>
        <v>2413</v>
      </c>
      <c r="B2414" s="363" t="str">
        <f t="shared" si="296"/>
        <v>00</v>
      </c>
      <c r="C2414" s="405" t="str">
        <f t="shared" si="297"/>
        <v>第010407号</v>
      </c>
      <c r="D2414" s="405" t="str">
        <f t="shared" si="298"/>
        <v>飯塚電機工業（株）</v>
      </c>
      <c r="E2414" s="405" t="str">
        <f t="shared" si="299"/>
        <v>代表取締役</v>
      </c>
      <c r="F2414" s="405" t="str">
        <f t="shared" si="300"/>
        <v>松尾　修一</v>
      </c>
      <c r="G2414" s="405" t="str">
        <f t="shared" si="301"/>
        <v>主たる営業所</v>
      </c>
      <c r="H2414" s="405" t="str">
        <f t="shared" si="302"/>
        <v>熊本市中央区十禅寺１－４－１２</v>
      </c>
      <c r="L2414" s="403" t="s">
        <v>12938</v>
      </c>
      <c r="M2414" s="403" t="s">
        <v>12939</v>
      </c>
      <c r="N2414" s="403" t="s">
        <v>6058</v>
      </c>
      <c r="O2414" s="403" t="s">
        <v>7084</v>
      </c>
      <c r="P2414" s="403" t="s">
        <v>6708</v>
      </c>
      <c r="Q2414" s="403" t="s">
        <v>12940</v>
      </c>
      <c r="R2414" s="403" t="s">
        <v>22188</v>
      </c>
      <c r="S2414" s="403" t="s">
        <v>17919</v>
      </c>
      <c r="T2414" s="403" t="s">
        <v>17920</v>
      </c>
      <c r="U2414" s="403"/>
      <c r="V2414" s="403" t="s">
        <v>23024</v>
      </c>
      <c r="W2414" s="403" t="s">
        <v>23024</v>
      </c>
      <c r="X2414" s="403" t="s">
        <v>23024</v>
      </c>
      <c r="Y2414" s="403" t="s">
        <v>23024</v>
      </c>
    </row>
    <row r="2415" spans="1:25">
      <c r="A2415" s="363">
        <f t="shared" si="303"/>
        <v>2414</v>
      </c>
      <c r="B2415" s="363" t="str">
        <f t="shared" si="296"/>
        <v>00</v>
      </c>
      <c r="C2415" s="405" t="str">
        <f t="shared" si="297"/>
        <v>第010447号</v>
      </c>
      <c r="D2415" s="405" t="str">
        <f t="shared" si="298"/>
        <v>（株）コトブキ</v>
      </c>
      <c r="E2415" s="405" t="str">
        <f t="shared" si="299"/>
        <v>代表取締役</v>
      </c>
      <c r="F2415" s="405" t="str">
        <f t="shared" si="300"/>
        <v>深澤　幸郎</v>
      </c>
      <c r="G2415" s="405" t="str">
        <f t="shared" si="301"/>
        <v>主たる営業所</v>
      </c>
      <c r="H2415" s="405" t="str">
        <f t="shared" si="302"/>
        <v>港区浜松町１－１４－５</v>
      </c>
      <c r="L2415" s="403" t="s">
        <v>12941</v>
      </c>
      <c r="M2415" s="403" t="s">
        <v>11674</v>
      </c>
      <c r="N2415" s="403" t="s">
        <v>6059</v>
      </c>
      <c r="O2415" s="403" t="s">
        <v>7084</v>
      </c>
      <c r="P2415" s="403" t="s">
        <v>6709</v>
      </c>
      <c r="Q2415" s="403" t="s">
        <v>12942</v>
      </c>
      <c r="R2415" s="403" t="s">
        <v>22189</v>
      </c>
      <c r="S2415" s="403" t="s">
        <v>17921</v>
      </c>
      <c r="T2415" s="403" t="s">
        <v>17922</v>
      </c>
      <c r="U2415" s="403"/>
      <c r="V2415" s="403" t="s">
        <v>23024</v>
      </c>
      <c r="W2415" s="403" t="s">
        <v>23024</v>
      </c>
      <c r="X2415" s="403" t="s">
        <v>23024</v>
      </c>
      <c r="Y2415" s="403" t="s">
        <v>23024</v>
      </c>
    </row>
    <row r="2416" spans="1:25">
      <c r="A2416" s="363">
        <f t="shared" si="303"/>
        <v>2415</v>
      </c>
      <c r="B2416" s="363" t="str">
        <f t="shared" si="296"/>
        <v>00</v>
      </c>
      <c r="C2416" s="405" t="str">
        <f t="shared" si="297"/>
        <v>第010547号</v>
      </c>
      <c r="D2416" s="405" t="str">
        <f t="shared" si="298"/>
        <v>富士建設工業（株）</v>
      </c>
      <c r="E2416" s="405" t="str">
        <f t="shared" si="299"/>
        <v>代表取締役</v>
      </c>
      <c r="F2416" s="405" t="str">
        <f t="shared" si="300"/>
        <v>鳴海　利彦</v>
      </c>
      <c r="G2416" s="405" t="str">
        <f t="shared" si="301"/>
        <v>主たる営業所</v>
      </c>
      <c r="H2416" s="405" t="str">
        <f t="shared" si="302"/>
        <v>新潟市北区島見町３３０７－１６</v>
      </c>
      <c r="L2416" s="403" t="s">
        <v>12943</v>
      </c>
      <c r="M2416" s="403" t="s">
        <v>12944</v>
      </c>
      <c r="N2416" s="403" t="s">
        <v>6060</v>
      </c>
      <c r="O2416" s="403" t="s">
        <v>7084</v>
      </c>
      <c r="P2416" s="403" t="s">
        <v>6710</v>
      </c>
      <c r="Q2416" s="403" t="s">
        <v>12945</v>
      </c>
      <c r="R2416" s="403" t="s">
        <v>22190</v>
      </c>
      <c r="S2416" s="403" t="s">
        <v>17923</v>
      </c>
      <c r="T2416" s="403" t="s">
        <v>17924</v>
      </c>
      <c r="U2416" s="403"/>
      <c r="V2416" s="403" t="s">
        <v>23024</v>
      </c>
      <c r="W2416" s="403" t="s">
        <v>23024</v>
      </c>
      <c r="X2416" s="403" t="s">
        <v>23024</v>
      </c>
      <c r="Y2416" s="403" t="s">
        <v>23024</v>
      </c>
    </row>
    <row r="2417" spans="1:25">
      <c r="A2417" s="363">
        <f t="shared" si="303"/>
        <v>2416</v>
      </c>
      <c r="B2417" s="363" t="str">
        <f t="shared" si="296"/>
        <v>00</v>
      </c>
      <c r="C2417" s="405" t="str">
        <f t="shared" si="297"/>
        <v>第010626号</v>
      </c>
      <c r="D2417" s="405" t="str">
        <f t="shared" si="298"/>
        <v>光伸（株）</v>
      </c>
      <c r="E2417" s="405" t="str">
        <f t="shared" si="299"/>
        <v>代表取締役社長</v>
      </c>
      <c r="F2417" s="405" t="str">
        <f t="shared" si="300"/>
        <v>川崎　義徳</v>
      </c>
      <c r="G2417" s="405" t="str">
        <f t="shared" si="301"/>
        <v>主たる営業所</v>
      </c>
      <c r="H2417" s="405" t="str">
        <f t="shared" si="302"/>
        <v>大阪市鶴見区鶴見６－９－２６</v>
      </c>
      <c r="L2417" s="403" t="s">
        <v>12946</v>
      </c>
      <c r="M2417" s="403" t="s">
        <v>11120</v>
      </c>
      <c r="N2417" s="403" t="s">
        <v>6061</v>
      </c>
      <c r="O2417" s="403" t="s">
        <v>7083</v>
      </c>
      <c r="P2417" s="403" t="s">
        <v>6711</v>
      </c>
      <c r="Q2417" s="403" t="s">
        <v>12947</v>
      </c>
      <c r="R2417" s="403" t="s">
        <v>22191</v>
      </c>
      <c r="S2417" s="403" t="s">
        <v>17925</v>
      </c>
      <c r="T2417" s="403" t="s">
        <v>17926</v>
      </c>
      <c r="U2417" s="403"/>
      <c r="V2417" s="403" t="s">
        <v>23024</v>
      </c>
      <c r="W2417" s="403" t="s">
        <v>23024</v>
      </c>
      <c r="X2417" s="403" t="s">
        <v>23024</v>
      </c>
      <c r="Y2417" s="403" t="s">
        <v>23024</v>
      </c>
    </row>
    <row r="2418" spans="1:25">
      <c r="A2418" s="363">
        <f t="shared" si="303"/>
        <v>2417</v>
      </c>
      <c r="B2418" s="363" t="str">
        <f t="shared" si="296"/>
        <v>00</v>
      </c>
      <c r="C2418" s="405" t="str">
        <f t="shared" si="297"/>
        <v>第010666号</v>
      </c>
      <c r="D2418" s="405" t="str">
        <f t="shared" si="298"/>
        <v>（株）ＩＨＩ汎用ボイラ</v>
      </c>
      <c r="E2418" s="405" t="str">
        <f t="shared" si="299"/>
        <v/>
      </c>
      <c r="F2418" s="405" t="str">
        <f t="shared" si="300"/>
        <v>田鹿　慎介</v>
      </c>
      <c r="G2418" s="405" t="str">
        <f t="shared" si="301"/>
        <v>西日本支店</v>
      </c>
      <c r="H2418" s="405" t="str">
        <f t="shared" si="302"/>
        <v>名古屋市昭和区安田通２－１２小林ビル３階</v>
      </c>
      <c r="L2418" s="403" t="s">
        <v>12948</v>
      </c>
      <c r="M2418" s="403" t="s">
        <v>12949</v>
      </c>
      <c r="N2418" s="403" t="s">
        <v>6062</v>
      </c>
      <c r="O2418" s="403" t="s">
        <v>7083</v>
      </c>
      <c r="P2418" s="403" t="s">
        <v>6712</v>
      </c>
      <c r="Q2418" s="403" t="s">
        <v>12950</v>
      </c>
      <c r="R2418" s="403" t="s">
        <v>22192</v>
      </c>
      <c r="S2418" s="403" t="s">
        <v>22193</v>
      </c>
      <c r="T2418" s="403" t="s">
        <v>22194</v>
      </c>
      <c r="U2418" s="403"/>
      <c r="V2418" s="403" t="s">
        <v>7023</v>
      </c>
      <c r="W2418" s="403" t="s">
        <v>17927</v>
      </c>
      <c r="X2418" s="403" t="s">
        <v>17928</v>
      </c>
      <c r="Y2418" s="403" t="s">
        <v>22195</v>
      </c>
    </row>
    <row r="2419" spans="1:25">
      <c r="A2419" s="363">
        <f t="shared" si="303"/>
        <v>2418</v>
      </c>
      <c r="B2419" s="363" t="str">
        <f t="shared" si="296"/>
        <v>00</v>
      </c>
      <c r="C2419" s="405" t="str">
        <f t="shared" si="297"/>
        <v>第010668号</v>
      </c>
      <c r="D2419" s="405" t="str">
        <f t="shared" si="298"/>
        <v>パナソニック環境エンジニアリング（株）</v>
      </c>
      <c r="E2419" s="405" t="str">
        <f t="shared" si="299"/>
        <v/>
      </c>
      <c r="F2419" s="405" t="str">
        <f t="shared" si="300"/>
        <v>藤原　詔司</v>
      </c>
      <c r="G2419" s="405" t="str">
        <f t="shared" si="301"/>
        <v>西日本支店</v>
      </c>
      <c r="H2419" s="405" t="str">
        <f t="shared" si="302"/>
        <v>吹田市垂水町３－２８－３３</v>
      </c>
      <c r="L2419" s="403" t="s">
        <v>12951</v>
      </c>
      <c r="M2419" s="403" t="s">
        <v>12952</v>
      </c>
      <c r="N2419" s="403" t="s">
        <v>6063</v>
      </c>
      <c r="O2419" s="403" t="s">
        <v>7084</v>
      </c>
      <c r="P2419" s="403" t="s">
        <v>6713</v>
      </c>
      <c r="Q2419" s="403" t="s">
        <v>12953</v>
      </c>
      <c r="R2419" s="403" t="s">
        <v>22196</v>
      </c>
      <c r="S2419" s="403" t="s">
        <v>17929</v>
      </c>
      <c r="T2419" s="403" t="s">
        <v>17930</v>
      </c>
      <c r="U2419" s="403"/>
      <c r="V2419" s="403" t="s">
        <v>7023</v>
      </c>
      <c r="W2419" s="403" t="s">
        <v>17931</v>
      </c>
      <c r="X2419" s="403" t="s">
        <v>12953</v>
      </c>
      <c r="Y2419" s="403" t="s">
        <v>22196</v>
      </c>
    </row>
    <row r="2420" spans="1:25">
      <c r="A2420" s="363">
        <f t="shared" si="303"/>
        <v>2419</v>
      </c>
      <c r="B2420" s="363" t="str">
        <f t="shared" si="296"/>
        <v>00</v>
      </c>
      <c r="C2420" s="405" t="str">
        <f t="shared" si="297"/>
        <v>第010669号</v>
      </c>
      <c r="D2420" s="405" t="str">
        <f t="shared" si="298"/>
        <v>（株）共和テック</v>
      </c>
      <c r="E2420" s="405" t="str">
        <f t="shared" si="299"/>
        <v>代表取締役</v>
      </c>
      <c r="F2420" s="405" t="str">
        <f t="shared" si="300"/>
        <v>山口　輝喜</v>
      </c>
      <c r="G2420" s="405" t="str">
        <f t="shared" si="301"/>
        <v>主たる営業所</v>
      </c>
      <c r="H2420" s="405" t="str">
        <f t="shared" si="302"/>
        <v>久留米市東合川３－１－１１</v>
      </c>
      <c r="L2420" s="403" t="s">
        <v>12954</v>
      </c>
      <c r="M2420" s="403" t="s">
        <v>12955</v>
      </c>
      <c r="N2420" s="403" t="s">
        <v>6064</v>
      </c>
      <c r="O2420" s="403" t="s">
        <v>7084</v>
      </c>
      <c r="P2420" s="403" t="s">
        <v>6714</v>
      </c>
      <c r="Q2420" s="403" t="s">
        <v>12956</v>
      </c>
      <c r="R2420" s="403" t="s">
        <v>22197</v>
      </c>
      <c r="S2420" s="403" t="s">
        <v>17932</v>
      </c>
      <c r="T2420" s="403" t="s">
        <v>17933</v>
      </c>
      <c r="U2420" s="403"/>
      <c r="V2420" s="403" t="s">
        <v>23024</v>
      </c>
      <c r="W2420" s="403" t="s">
        <v>23024</v>
      </c>
      <c r="X2420" s="403" t="s">
        <v>23024</v>
      </c>
      <c r="Y2420" s="403" t="s">
        <v>23024</v>
      </c>
    </row>
    <row r="2421" spans="1:25">
      <c r="A2421" s="363">
        <f t="shared" si="303"/>
        <v>2420</v>
      </c>
      <c r="B2421" s="363" t="str">
        <f t="shared" si="296"/>
        <v>00</v>
      </c>
      <c r="C2421" s="405" t="str">
        <f t="shared" si="297"/>
        <v>第010748号</v>
      </c>
      <c r="D2421" s="405" t="str">
        <f t="shared" si="298"/>
        <v>森平舞台機構（株）</v>
      </c>
      <c r="E2421" s="405" t="str">
        <f t="shared" si="299"/>
        <v>代表取締役</v>
      </c>
      <c r="F2421" s="405" t="str">
        <f t="shared" si="300"/>
        <v>森　健輔</v>
      </c>
      <c r="G2421" s="405" t="str">
        <f t="shared" si="301"/>
        <v>主たる営業所</v>
      </c>
      <c r="H2421" s="405" t="str">
        <f t="shared" si="302"/>
        <v>台東区花川戸２－１１－２</v>
      </c>
      <c r="L2421" s="403" t="s">
        <v>12957</v>
      </c>
      <c r="M2421" s="403" t="s">
        <v>12958</v>
      </c>
      <c r="N2421" s="403" t="s">
        <v>6065</v>
      </c>
      <c r="O2421" s="403" t="s">
        <v>7084</v>
      </c>
      <c r="P2421" s="403" t="s">
        <v>6715</v>
      </c>
      <c r="Q2421" s="403" t="s">
        <v>12959</v>
      </c>
      <c r="R2421" s="403" t="s">
        <v>22198</v>
      </c>
      <c r="S2421" s="403" t="s">
        <v>17934</v>
      </c>
      <c r="T2421" s="403" t="s">
        <v>17935</v>
      </c>
      <c r="U2421" s="403"/>
      <c r="V2421" s="403" t="s">
        <v>23024</v>
      </c>
      <c r="W2421" s="403" t="s">
        <v>23024</v>
      </c>
      <c r="X2421" s="403" t="s">
        <v>23024</v>
      </c>
      <c r="Y2421" s="403" t="s">
        <v>23024</v>
      </c>
    </row>
    <row r="2422" spans="1:25">
      <c r="A2422" s="363">
        <f t="shared" si="303"/>
        <v>2421</v>
      </c>
      <c r="B2422" s="363" t="str">
        <f t="shared" si="296"/>
        <v>00</v>
      </c>
      <c r="C2422" s="405" t="str">
        <f t="shared" si="297"/>
        <v>第010770号</v>
      </c>
      <c r="D2422" s="405" t="str">
        <f t="shared" si="298"/>
        <v>浅野アタカ（株）</v>
      </c>
      <c r="E2422" s="405" t="str">
        <f t="shared" si="299"/>
        <v/>
      </c>
      <c r="F2422" s="405" t="str">
        <f t="shared" si="300"/>
        <v>古賀　秀一</v>
      </c>
      <c r="G2422" s="405" t="str">
        <f t="shared" si="301"/>
        <v>九州支店</v>
      </c>
      <c r="H2422" s="405" t="str">
        <f t="shared" si="302"/>
        <v>福岡市中央区天神４－１－１１</v>
      </c>
      <c r="L2422" s="403" t="s">
        <v>12960</v>
      </c>
      <c r="M2422" s="403" t="s">
        <v>12961</v>
      </c>
      <c r="N2422" s="403" t="s">
        <v>6066</v>
      </c>
      <c r="O2422" s="403" t="s">
        <v>7084</v>
      </c>
      <c r="P2422" s="403" t="s">
        <v>6716</v>
      </c>
      <c r="Q2422" s="403" t="s">
        <v>12962</v>
      </c>
      <c r="R2422" s="403" t="s">
        <v>22199</v>
      </c>
      <c r="S2422" s="403" t="s">
        <v>22200</v>
      </c>
      <c r="T2422" s="403" t="s">
        <v>22201</v>
      </c>
      <c r="U2422" s="403"/>
      <c r="V2422" s="403" t="s">
        <v>7007</v>
      </c>
      <c r="W2422" s="403" t="s">
        <v>17936</v>
      </c>
      <c r="X2422" s="403" t="s">
        <v>12238</v>
      </c>
      <c r="Y2422" s="403" t="s">
        <v>22202</v>
      </c>
    </row>
    <row r="2423" spans="1:25">
      <c r="A2423" s="363">
        <f t="shared" si="303"/>
        <v>2422</v>
      </c>
      <c r="B2423" s="363" t="str">
        <f t="shared" si="296"/>
        <v>00</v>
      </c>
      <c r="C2423" s="405" t="str">
        <f t="shared" si="297"/>
        <v>第010911号</v>
      </c>
      <c r="D2423" s="405" t="str">
        <f t="shared" si="298"/>
        <v>（株）ＧＳユアサフィールディングス</v>
      </c>
      <c r="E2423" s="405" t="str">
        <f t="shared" si="299"/>
        <v/>
      </c>
      <c r="F2423" s="405" t="str">
        <f t="shared" si="300"/>
        <v>甫本　竜太</v>
      </c>
      <c r="G2423" s="405" t="str">
        <f t="shared" si="301"/>
        <v>大分営業所</v>
      </c>
      <c r="H2423" s="405" t="str">
        <f t="shared" si="302"/>
        <v>大分市三川上４－６－１５</v>
      </c>
      <c r="L2423" s="403" t="s">
        <v>12963</v>
      </c>
      <c r="M2423" s="403" t="s">
        <v>12964</v>
      </c>
      <c r="N2423" s="403" t="s">
        <v>6067</v>
      </c>
      <c r="O2423" s="403" t="s">
        <v>7084</v>
      </c>
      <c r="P2423" s="403" t="s">
        <v>22203</v>
      </c>
      <c r="Q2423" s="403" t="s">
        <v>12818</v>
      </c>
      <c r="R2423" s="403" t="s">
        <v>22204</v>
      </c>
      <c r="S2423" s="403" t="s">
        <v>22205</v>
      </c>
      <c r="T2423" s="403" t="s">
        <v>22206</v>
      </c>
      <c r="U2423" s="403"/>
      <c r="V2423" s="403" t="s">
        <v>7013</v>
      </c>
      <c r="W2423" s="403" t="s">
        <v>17937</v>
      </c>
      <c r="X2423" s="403" t="s">
        <v>8753</v>
      </c>
      <c r="Y2423" s="403" t="s">
        <v>22207</v>
      </c>
    </row>
    <row r="2424" spans="1:25">
      <c r="A2424" s="363">
        <f t="shared" si="303"/>
        <v>2423</v>
      </c>
      <c r="B2424" s="363" t="str">
        <f t="shared" si="296"/>
        <v>00</v>
      </c>
      <c r="C2424" s="405" t="str">
        <f t="shared" si="297"/>
        <v>第010978号</v>
      </c>
      <c r="D2424" s="405" t="str">
        <f t="shared" si="298"/>
        <v>セイコータイムクリエーション（株）</v>
      </c>
      <c r="E2424" s="405" t="str">
        <f t="shared" si="299"/>
        <v>代表取締役</v>
      </c>
      <c r="F2424" s="405" t="str">
        <f t="shared" si="300"/>
        <v>市川　剛司</v>
      </c>
      <c r="G2424" s="405" t="str">
        <f t="shared" si="301"/>
        <v>主たる営業所</v>
      </c>
      <c r="H2424" s="405" t="str">
        <f t="shared" si="302"/>
        <v>江東区福住２－４－３</v>
      </c>
      <c r="L2424" s="403" t="s">
        <v>12965</v>
      </c>
      <c r="M2424" s="403" t="s">
        <v>12966</v>
      </c>
      <c r="N2424" s="403" t="s">
        <v>6068</v>
      </c>
      <c r="O2424" s="403" t="s">
        <v>7084</v>
      </c>
      <c r="P2424" s="403" t="s">
        <v>22208</v>
      </c>
      <c r="Q2424" s="403" t="s">
        <v>12967</v>
      </c>
      <c r="R2424" s="403" t="s">
        <v>22209</v>
      </c>
      <c r="S2424" s="403" t="s">
        <v>17938</v>
      </c>
      <c r="T2424" s="403" t="s">
        <v>17939</v>
      </c>
      <c r="U2424" s="403"/>
      <c r="V2424" s="403" t="s">
        <v>23024</v>
      </c>
      <c r="W2424" s="403" t="s">
        <v>23024</v>
      </c>
      <c r="X2424" s="403" t="s">
        <v>23024</v>
      </c>
      <c r="Y2424" s="403" t="s">
        <v>23024</v>
      </c>
    </row>
    <row r="2425" spans="1:25">
      <c r="A2425" s="363">
        <f t="shared" si="303"/>
        <v>2424</v>
      </c>
      <c r="B2425" s="363" t="str">
        <f t="shared" si="296"/>
        <v>00</v>
      </c>
      <c r="C2425" s="405" t="str">
        <f t="shared" si="297"/>
        <v>第011021号</v>
      </c>
      <c r="D2425" s="405" t="str">
        <f t="shared" si="298"/>
        <v>日本海上工事（株）</v>
      </c>
      <c r="E2425" s="405" t="str">
        <f t="shared" si="299"/>
        <v/>
      </c>
      <c r="F2425" s="405" t="str">
        <f t="shared" si="300"/>
        <v>中島　英久</v>
      </c>
      <c r="G2425" s="405" t="str">
        <f t="shared" si="301"/>
        <v>九州営業所</v>
      </c>
      <c r="H2425" s="405" t="str">
        <f t="shared" si="302"/>
        <v>福岡市博多区博多駅前３－１２－１０</v>
      </c>
      <c r="L2425" s="403" t="s">
        <v>12968</v>
      </c>
      <c r="M2425" s="403" t="s">
        <v>12969</v>
      </c>
      <c r="N2425" s="403" t="s">
        <v>6069</v>
      </c>
      <c r="O2425" s="403" t="s">
        <v>7084</v>
      </c>
      <c r="P2425" s="403" t="s">
        <v>6717</v>
      </c>
      <c r="Q2425" s="403" t="s">
        <v>12970</v>
      </c>
      <c r="R2425" s="403" t="s">
        <v>22210</v>
      </c>
      <c r="S2425" s="403" t="s">
        <v>22211</v>
      </c>
      <c r="T2425" s="403" t="s">
        <v>22212</v>
      </c>
      <c r="U2425" s="403"/>
      <c r="V2425" s="403" t="s">
        <v>7012</v>
      </c>
      <c r="W2425" s="403" t="s">
        <v>17940</v>
      </c>
      <c r="X2425" s="403" t="s">
        <v>13015</v>
      </c>
      <c r="Y2425" s="403" t="s">
        <v>21107</v>
      </c>
    </row>
    <row r="2426" spans="1:25">
      <c r="A2426" s="363">
        <f t="shared" si="303"/>
        <v>2425</v>
      </c>
      <c r="B2426" s="363" t="str">
        <f t="shared" si="296"/>
        <v>00</v>
      </c>
      <c r="C2426" s="405" t="str">
        <f t="shared" si="297"/>
        <v>第011060号</v>
      </c>
      <c r="D2426" s="405" t="str">
        <f t="shared" si="298"/>
        <v>（株）塩浜工業</v>
      </c>
      <c r="E2426" s="405" t="str">
        <f t="shared" si="299"/>
        <v/>
      </c>
      <c r="F2426" s="405" t="str">
        <f t="shared" si="300"/>
        <v>上原　好一</v>
      </c>
      <c r="G2426" s="405" t="str">
        <f t="shared" si="301"/>
        <v>大阪支店</v>
      </c>
      <c r="H2426" s="405" t="str">
        <f t="shared" si="302"/>
        <v>大阪市淀川区西中島２－１４－６　新大阪第２ドイビル８階</v>
      </c>
      <c r="L2426" s="403" t="s">
        <v>12971</v>
      </c>
      <c r="M2426" s="403" t="s">
        <v>12972</v>
      </c>
      <c r="N2426" s="403" t="s">
        <v>6070</v>
      </c>
      <c r="O2426" s="403" t="s">
        <v>7084</v>
      </c>
      <c r="P2426" s="403" t="s">
        <v>6718</v>
      </c>
      <c r="Q2426" s="403" t="s">
        <v>12973</v>
      </c>
      <c r="R2426" s="403" t="s">
        <v>22213</v>
      </c>
      <c r="S2426" s="403" t="s">
        <v>22214</v>
      </c>
      <c r="T2426" s="403" t="s">
        <v>22215</v>
      </c>
      <c r="U2426" s="403"/>
      <c r="V2426" s="403" t="s">
        <v>7028</v>
      </c>
      <c r="W2426" s="403" t="s">
        <v>17941</v>
      </c>
      <c r="X2426" s="403" t="s">
        <v>17942</v>
      </c>
      <c r="Y2426" s="403" t="s">
        <v>22216</v>
      </c>
    </row>
    <row r="2427" spans="1:25">
      <c r="A2427" s="363">
        <f t="shared" si="303"/>
        <v>2426</v>
      </c>
      <c r="B2427" s="363" t="str">
        <f t="shared" si="296"/>
        <v>00</v>
      </c>
      <c r="C2427" s="405" t="str">
        <f t="shared" si="297"/>
        <v>第011166号</v>
      </c>
      <c r="D2427" s="405" t="str">
        <f t="shared" si="298"/>
        <v>（株）川北電工</v>
      </c>
      <c r="E2427" s="405" t="str">
        <f t="shared" si="299"/>
        <v>代表取締役</v>
      </c>
      <c r="F2427" s="405" t="str">
        <f t="shared" si="300"/>
        <v>田中　陽一郎</v>
      </c>
      <c r="G2427" s="405" t="str">
        <f t="shared" si="301"/>
        <v>主たる営業所</v>
      </c>
      <c r="H2427" s="405" t="str">
        <f t="shared" si="302"/>
        <v>鹿児島市東開町４－７９</v>
      </c>
      <c r="L2427" s="403" t="s">
        <v>12974</v>
      </c>
      <c r="M2427" s="403" t="s">
        <v>12975</v>
      </c>
      <c r="N2427" s="403" t="s">
        <v>6071</v>
      </c>
      <c r="O2427" s="403" t="s">
        <v>7084</v>
      </c>
      <c r="P2427" s="403" t="s">
        <v>6719</v>
      </c>
      <c r="Q2427" s="403" t="s">
        <v>12976</v>
      </c>
      <c r="R2427" s="403" t="s">
        <v>22217</v>
      </c>
      <c r="S2427" s="403" t="s">
        <v>17943</v>
      </c>
      <c r="T2427" s="403" t="s">
        <v>22218</v>
      </c>
      <c r="U2427" s="403"/>
      <c r="V2427" s="403" t="s">
        <v>23024</v>
      </c>
      <c r="W2427" s="403" t="s">
        <v>23024</v>
      </c>
      <c r="X2427" s="403" t="s">
        <v>23024</v>
      </c>
      <c r="Y2427" s="403" t="s">
        <v>23024</v>
      </c>
    </row>
    <row r="2428" spans="1:25">
      <c r="A2428" s="363">
        <f t="shared" si="303"/>
        <v>2427</v>
      </c>
      <c r="B2428" s="363" t="str">
        <f t="shared" si="296"/>
        <v>00</v>
      </c>
      <c r="C2428" s="405" t="str">
        <f t="shared" si="297"/>
        <v>第011199号</v>
      </c>
      <c r="D2428" s="405" t="str">
        <f t="shared" si="298"/>
        <v>富士産業（株）</v>
      </c>
      <c r="E2428" s="405" t="str">
        <f t="shared" si="299"/>
        <v>代表取締役</v>
      </c>
      <c r="F2428" s="405" t="str">
        <f t="shared" si="300"/>
        <v>栗田　隆志</v>
      </c>
      <c r="G2428" s="405" t="str">
        <f t="shared" si="301"/>
        <v>主たる営業所</v>
      </c>
      <c r="H2428" s="405" t="str">
        <f t="shared" si="302"/>
        <v>大阪市住之江区南港北２－１－１０</v>
      </c>
      <c r="L2428" s="403" t="s">
        <v>12977</v>
      </c>
      <c r="M2428" s="403" t="s">
        <v>12978</v>
      </c>
      <c r="N2428" s="403" t="s">
        <v>6072</v>
      </c>
      <c r="O2428" s="403" t="s">
        <v>7084</v>
      </c>
      <c r="P2428" s="403" t="s">
        <v>6720</v>
      </c>
      <c r="Q2428" s="403" t="s">
        <v>12419</v>
      </c>
      <c r="R2428" s="403" t="s">
        <v>22219</v>
      </c>
      <c r="S2428" s="403" t="s">
        <v>17944</v>
      </c>
      <c r="T2428" s="403" t="s">
        <v>17945</v>
      </c>
      <c r="U2428" s="403"/>
      <c r="V2428" s="403" t="s">
        <v>23024</v>
      </c>
      <c r="W2428" s="403" t="s">
        <v>23024</v>
      </c>
      <c r="X2428" s="403" t="s">
        <v>23024</v>
      </c>
      <c r="Y2428" s="403" t="s">
        <v>23024</v>
      </c>
    </row>
    <row r="2429" spans="1:25">
      <c r="A2429" s="363">
        <f t="shared" si="303"/>
        <v>2428</v>
      </c>
      <c r="B2429" s="363" t="str">
        <f t="shared" si="296"/>
        <v>00</v>
      </c>
      <c r="C2429" s="405" t="str">
        <f t="shared" si="297"/>
        <v>第011565号</v>
      </c>
      <c r="D2429" s="405" t="str">
        <f t="shared" si="298"/>
        <v>（株）西原環境</v>
      </c>
      <c r="E2429" s="405" t="str">
        <f t="shared" si="299"/>
        <v/>
      </c>
      <c r="F2429" s="405" t="str">
        <f t="shared" si="300"/>
        <v>仲元寺　宣明</v>
      </c>
      <c r="G2429" s="405" t="str">
        <f t="shared" si="301"/>
        <v>九州支店</v>
      </c>
      <c r="H2429" s="405" t="str">
        <f t="shared" si="302"/>
        <v>福岡市南区横手１－１２－４８</v>
      </c>
      <c r="L2429" s="403" t="s">
        <v>12979</v>
      </c>
      <c r="M2429" s="403" t="s">
        <v>12980</v>
      </c>
      <c r="N2429" s="403" t="s">
        <v>6073</v>
      </c>
      <c r="O2429" s="403" t="s">
        <v>7084</v>
      </c>
      <c r="P2429" s="403" t="s">
        <v>6721</v>
      </c>
      <c r="Q2429" s="403" t="s">
        <v>12981</v>
      </c>
      <c r="R2429" s="403" t="s">
        <v>22220</v>
      </c>
      <c r="S2429" s="403" t="s">
        <v>22221</v>
      </c>
      <c r="T2429" s="403" t="s">
        <v>22222</v>
      </c>
      <c r="U2429" s="403"/>
      <c r="V2429" s="403" t="s">
        <v>7007</v>
      </c>
      <c r="W2429" s="403" t="s">
        <v>17946</v>
      </c>
      <c r="X2429" s="403" t="s">
        <v>17834</v>
      </c>
      <c r="Y2429" s="403" t="s">
        <v>22223</v>
      </c>
    </row>
    <row r="2430" spans="1:25">
      <c r="A2430" s="363">
        <f t="shared" si="303"/>
        <v>2429</v>
      </c>
      <c r="B2430" s="363" t="str">
        <f t="shared" si="296"/>
        <v>00</v>
      </c>
      <c r="C2430" s="405" t="str">
        <f t="shared" si="297"/>
        <v>第011671号</v>
      </c>
      <c r="D2430" s="405" t="str">
        <f t="shared" si="298"/>
        <v>ＩＨＩ運搬機械（株）</v>
      </c>
      <c r="E2430" s="405" t="str">
        <f t="shared" si="299"/>
        <v/>
      </c>
      <c r="F2430" s="405" t="str">
        <f t="shared" si="300"/>
        <v>佐藤　広康</v>
      </c>
      <c r="G2430" s="405" t="str">
        <f t="shared" si="301"/>
        <v>九州営業所</v>
      </c>
      <c r="H2430" s="405" t="str">
        <f t="shared" si="302"/>
        <v>福岡市中央区渡辺通２－１－８２</v>
      </c>
      <c r="L2430" s="403" t="s">
        <v>12982</v>
      </c>
      <c r="M2430" s="403" t="s">
        <v>12983</v>
      </c>
      <c r="N2430" s="403" t="s">
        <v>6074</v>
      </c>
      <c r="O2430" s="403" t="s">
        <v>7083</v>
      </c>
      <c r="P2430" s="403" t="s">
        <v>6722</v>
      </c>
      <c r="Q2430" s="403" t="s">
        <v>12984</v>
      </c>
      <c r="R2430" s="403" t="s">
        <v>21670</v>
      </c>
      <c r="S2430" s="403" t="s">
        <v>22224</v>
      </c>
      <c r="T2430" s="403" t="s">
        <v>22225</v>
      </c>
      <c r="U2430" s="403"/>
      <c r="V2430" s="403" t="s">
        <v>7012</v>
      </c>
      <c r="W2430" s="403" t="s">
        <v>17947</v>
      </c>
      <c r="X2430" s="403" t="s">
        <v>13027</v>
      </c>
      <c r="Y2430" s="403" t="s">
        <v>20857</v>
      </c>
    </row>
    <row r="2431" spans="1:25">
      <c r="A2431" s="363">
        <f t="shared" si="303"/>
        <v>2430</v>
      </c>
      <c r="B2431" s="363" t="str">
        <f t="shared" si="296"/>
        <v>00</v>
      </c>
      <c r="C2431" s="405" t="str">
        <f t="shared" si="297"/>
        <v>第011698号</v>
      </c>
      <c r="D2431" s="405" t="str">
        <f t="shared" si="298"/>
        <v>（株）カナデビアエンジニアリング</v>
      </c>
      <c r="E2431" s="405" t="str">
        <f t="shared" si="299"/>
        <v/>
      </c>
      <c r="F2431" s="405" t="str">
        <f t="shared" si="300"/>
        <v>能地　優</v>
      </c>
      <c r="G2431" s="405" t="str">
        <f t="shared" si="301"/>
        <v>九州事業部</v>
      </c>
      <c r="H2431" s="405" t="str">
        <f t="shared" si="302"/>
        <v>玉名郡長洲町大字有明１</v>
      </c>
      <c r="L2431" s="403" t="s">
        <v>12985</v>
      </c>
      <c r="M2431" s="403" t="s">
        <v>12986</v>
      </c>
      <c r="N2431" s="403" t="s">
        <v>6075</v>
      </c>
      <c r="O2431" s="403" t="s">
        <v>7089</v>
      </c>
      <c r="P2431" s="403" t="s">
        <v>6723</v>
      </c>
      <c r="Q2431" s="403" t="s">
        <v>22226</v>
      </c>
      <c r="R2431" s="403" t="s">
        <v>22227</v>
      </c>
      <c r="S2431" s="403" t="s">
        <v>22228</v>
      </c>
      <c r="T2431" s="403" t="s">
        <v>22229</v>
      </c>
      <c r="U2431" s="403"/>
      <c r="V2431" s="403" t="s">
        <v>7048</v>
      </c>
      <c r="W2431" s="403" t="s">
        <v>22230</v>
      </c>
      <c r="X2431" s="403" t="s">
        <v>17948</v>
      </c>
      <c r="Y2431" s="403" t="s">
        <v>22231</v>
      </c>
    </row>
    <row r="2432" spans="1:25">
      <c r="A2432" s="363">
        <f t="shared" si="303"/>
        <v>2431</v>
      </c>
      <c r="B2432" s="363" t="str">
        <f t="shared" si="296"/>
        <v>00</v>
      </c>
      <c r="C2432" s="405" t="str">
        <f t="shared" si="297"/>
        <v>第011707号</v>
      </c>
      <c r="D2432" s="405" t="str">
        <f t="shared" si="298"/>
        <v>イオンディライト（株）</v>
      </c>
      <c r="E2432" s="405" t="str">
        <f t="shared" si="299"/>
        <v/>
      </c>
      <c r="F2432" s="405" t="str">
        <f t="shared" si="300"/>
        <v>辻中　昭彦</v>
      </c>
      <c r="G2432" s="405" t="str">
        <f t="shared" si="301"/>
        <v>九州支社</v>
      </c>
      <c r="H2432" s="405" t="str">
        <f t="shared" si="302"/>
        <v>福岡市博多区奈良屋町２－１</v>
      </c>
      <c r="L2432" s="403" t="s">
        <v>12987</v>
      </c>
      <c r="M2432" s="403" t="s">
        <v>12988</v>
      </c>
      <c r="N2432" s="403" t="s">
        <v>6076</v>
      </c>
      <c r="O2432" s="403" t="s">
        <v>7084</v>
      </c>
      <c r="P2432" s="403" t="s">
        <v>6724</v>
      </c>
      <c r="Q2432" s="403" t="s">
        <v>12531</v>
      </c>
      <c r="R2432" s="403" t="s">
        <v>22232</v>
      </c>
      <c r="S2432" s="403" t="s">
        <v>22233</v>
      </c>
      <c r="T2432" s="403" t="s">
        <v>22234</v>
      </c>
      <c r="U2432" s="403"/>
      <c r="V2432" s="403" t="s">
        <v>7011</v>
      </c>
      <c r="W2432" s="403" t="s">
        <v>17949</v>
      </c>
      <c r="X2432" s="403" t="s">
        <v>17727</v>
      </c>
      <c r="Y2432" s="403" t="s">
        <v>22235</v>
      </c>
    </row>
    <row r="2433" spans="1:25">
      <c r="A2433" s="363">
        <f t="shared" si="303"/>
        <v>2432</v>
      </c>
      <c r="B2433" s="363" t="str">
        <f t="shared" si="296"/>
        <v>00</v>
      </c>
      <c r="C2433" s="405" t="str">
        <f t="shared" si="297"/>
        <v>第011820号</v>
      </c>
      <c r="D2433" s="405" t="str">
        <f t="shared" si="298"/>
        <v>ミナモト通信（株）</v>
      </c>
      <c r="E2433" s="405" t="str">
        <f t="shared" si="299"/>
        <v/>
      </c>
      <c r="F2433" s="405" t="str">
        <f t="shared" si="300"/>
        <v>渡辺　貴哉</v>
      </c>
      <c r="G2433" s="405" t="str">
        <f t="shared" si="301"/>
        <v>福岡営業所</v>
      </c>
      <c r="H2433" s="405" t="str">
        <f t="shared" si="302"/>
        <v>福岡市博多区博多駅南２－９－１１</v>
      </c>
      <c r="L2433" s="403" t="s">
        <v>12989</v>
      </c>
      <c r="M2433" s="403" t="s">
        <v>12990</v>
      </c>
      <c r="N2433" s="403" t="s">
        <v>6077</v>
      </c>
      <c r="O2433" s="403" t="s">
        <v>7084</v>
      </c>
      <c r="P2433" s="403" t="s">
        <v>22236</v>
      </c>
      <c r="Q2433" s="403" t="s">
        <v>12991</v>
      </c>
      <c r="R2433" s="403" t="s">
        <v>22237</v>
      </c>
      <c r="S2433" s="403" t="s">
        <v>22238</v>
      </c>
      <c r="T2433" s="403" t="s">
        <v>22239</v>
      </c>
      <c r="U2433" s="403"/>
      <c r="V2433" s="403" t="s">
        <v>7010</v>
      </c>
      <c r="W2433" s="403" t="s">
        <v>17950</v>
      </c>
      <c r="X2433" s="403" t="s">
        <v>11975</v>
      </c>
      <c r="Y2433" s="403" t="s">
        <v>20821</v>
      </c>
    </row>
    <row r="2434" spans="1:25">
      <c r="A2434" s="363">
        <f t="shared" si="303"/>
        <v>2433</v>
      </c>
      <c r="B2434" s="363" t="str">
        <f t="shared" ref="B2434:B2497" si="304">LEFT(L2434,2)</f>
        <v>00</v>
      </c>
      <c r="C2434" s="405" t="str">
        <f t="shared" ref="C2434:C2497" si="305">IF(B2434="","","第"&amp;RIGHT(L2434,6)&amp;"号")</f>
        <v>第011839号</v>
      </c>
      <c r="D2434" s="405" t="str">
        <f t="shared" ref="D2434:D2497" si="306">N2434</f>
        <v>オリエントハウス（株）</v>
      </c>
      <c r="E2434" s="405" t="str">
        <f t="shared" ref="E2434:E2497" si="307">IF(V2434="　",O2434,"")</f>
        <v/>
      </c>
      <c r="F2434" s="405" t="str">
        <f t="shared" ref="F2434:F2497" si="308">IF(V2434="　",P2434,W2434)</f>
        <v>福田　克己</v>
      </c>
      <c r="G2434" s="405" t="str">
        <f t="shared" ref="G2434:G2497" si="309">IF(V2434="　","主たる営業所",V2434)</f>
        <v>福岡支店</v>
      </c>
      <c r="H2434" s="405" t="str">
        <f t="shared" ref="H2434:H2497" si="310">IF(V2434="　",R2434,Y2434)</f>
        <v>福岡市南区弥永２－８－１０</v>
      </c>
      <c r="L2434" s="403" t="s">
        <v>12992</v>
      </c>
      <c r="M2434" s="403" t="s">
        <v>12993</v>
      </c>
      <c r="N2434" s="403" t="s">
        <v>6078</v>
      </c>
      <c r="O2434" s="403" t="s">
        <v>7084</v>
      </c>
      <c r="P2434" s="403" t="s">
        <v>6725</v>
      </c>
      <c r="Q2434" s="403" t="s">
        <v>12994</v>
      </c>
      <c r="R2434" s="403" t="s">
        <v>22240</v>
      </c>
      <c r="S2434" s="403" t="s">
        <v>22241</v>
      </c>
      <c r="T2434" s="403" t="s">
        <v>22242</v>
      </c>
      <c r="U2434" s="403"/>
      <c r="V2434" s="403" t="s">
        <v>7018</v>
      </c>
      <c r="W2434" s="403" t="s">
        <v>17951</v>
      </c>
      <c r="X2434" s="403" t="s">
        <v>17952</v>
      </c>
      <c r="Y2434" s="403" t="s">
        <v>22243</v>
      </c>
    </row>
    <row r="2435" spans="1:25">
      <c r="A2435" s="363">
        <f t="shared" ref="A2435:A2498" si="311">IF(B2435="","",A2434+1)</f>
        <v>2434</v>
      </c>
      <c r="B2435" s="363" t="str">
        <f t="shared" si="304"/>
        <v>00</v>
      </c>
      <c r="C2435" s="405" t="str">
        <f t="shared" si="305"/>
        <v>第011915号</v>
      </c>
      <c r="D2435" s="405" t="str">
        <f t="shared" si="306"/>
        <v>東海物産（株）</v>
      </c>
      <c r="E2435" s="405" t="str">
        <f t="shared" si="307"/>
        <v>代表取締役</v>
      </c>
      <c r="F2435" s="405" t="str">
        <f t="shared" si="308"/>
        <v>青木　貴行</v>
      </c>
      <c r="G2435" s="405" t="str">
        <f t="shared" si="309"/>
        <v>主たる営業所</v>
      </c>
      <c r="H2435" s="405" t="str">
        <f t="shared" si="310"/>
        <v>四日市市高角町２９９７</v>
      </c>
      <c r="L2435" s="403" t="s">
        <v>12995</v>
      </c>
      <c r="M2435" s="403" t="s">
        <v>12996</v>
      </c>
      <c r="N2435" s="403" t="s">
        <v>6079</v>
      </c>
      <c r="O2435" s="403" t="s">
        <v>7084</v>
      </c>
      <c r="P2435" s="403" t="s">
        <v>6726</v>
      </c>
      <c r="Q2435" s="403" t="s">
        <v>12997</v>
      </c>
      <c r="R2435" s="403" t="s">
        <v>22244</v>
      </c>
      <c r="S2435" s="403" t="s">
        <v>17953</v>
      </c>
      <c r="T2435" s="403" t="s">
        <v>17954</v>
      </c>
      <c r="U2435" s="403"/>
      <c r="V2435" s="403" t="s">
        <v>23024</v>
      </c>
      <c r="W2435" s="403" t="s">
        <v>23024</v>
      </c>
      <c r="X2435" s="403" t="s">
        <v>23024</v>
      </c>
      <c r="Y2435" s="403" t="s">
        <v>23024</v>
      </c>
    </row>
    <row r="2436" spans="1:25">
      <c r="A2436" s="363">
        <f t="shared" si="311"/>
        <v>2435</v>
      </c>
      <c r="B2436" s="363" t="str">
        <f t="shared" si="304"/>
        <v>00</v>
      </c>
      <c r="C2436" s="405" t="str">
        <f t="shared" si="305"/>
        <v>第012001号</v>
      </c>
      <c r="D2436" s="405" t="str">
        <f t="shared" si="306"/>
        <v>（株）磯村</v>
      </c>
      <c r="E2436" s="405" t="str">
        <f t="shared" si="307"/>
        <v>代表取締役</v>
      </c>
      <c r="F2436" s="405" t="str">
        <f t="shared" si="308"/>
        <v>磯村　豪佑</v>
      </c>
      <c r="G2436" s="405" t="str">
        <f t="shared" si="309"/>
        <v>主たる営業所</v>
      </c>
      <c r="H2436" s="405" t="str">
        <f t="shared" si="310"/>
        <v>横浜市中区日本大通１７</v>
      </c>
      <c r="L2436" s="403" t="s">
        <v>12998</v>
      </c>
      <c r="M2436" s="403" t="s">
        <v>12999</v>
      </c>
      <c r="N2436" s="403" t="s">
        <v>6080</v>
      </c>
      <c r="O2436" s="403" t="s">
        <v>7084</v>
      </c>
      <c r="P2436" s="403" t="s">
        <v>6727</v>
      </c>
      <c r="Q2436" s="403" t="s">
        <v>13000</v>
      </c>
      <c r="R2436" s="403" t="s">
        <v>22245</v>
      </c>
      <c r="S2436" s="403" t="s">
        <v>17955</v>
      </c>
      <c r="T2436" s="403" t="s">
        <v>17956</v>
      </c>
      <c r="U2436" s="403"/>
      <c r="V2436" s="403" t="s">
        <v>23024</v>
      </c>
      <c r="W2436" s="403" t="s">
        <v>23024</v>
      </c>
      <c r="X2436" s="403" t="s">
        <v>23024</v>
      </c>
      <c r="Y2436" s="403" t="s">
        <v>23024</v>
      </c>
    </row>
    <row r="2437" spans="1:25">
      <c r="A2437" s="363">
        <f t="shared" si="311"/>
        <v>2436</v>
      </c>
      <c r="B2437" s="363" t="str">
        <f t="shared" si="304"/>
        <v>00</v>
      </c>
      <c r="C2437" s="405" t="str">
        <f t="shared" si="305"/>
        <v>第012034号</v>
      </c>
      <c r="D2437" s="405" t="str">
        <f t="shared" si="306"/>
        <v>溝江建設（株）</v>
      </c>
      <c r="E2437" s="405" t="str">
        <f t="shared" si="307"/>
        <v>代表取締役</v>
      </c>
      <c r="F2437" s="405" t="str">
        <f t="shared" si="308"/>
        <v>溝江　弘</v>
      </c>
      <c r="G2437" s="405" t="str">
        <f t="shared" si="309"/>
        <v>主たる営業所</v>
      </c>
      <c r="H2437" s="405" t="str">
        <f t="shared" si="310"/>
        <v>福岡市中央区赤坂１－９－２０</v>
      </c>
      <c r="L2437" s="403" t="s">
        <v>13001</v>
      </c>
      <c r="M2437" s="403" t="s">
        <v>13002</v>
      </c>
      <c r="N2437" s="403" t="s">
        <v>6081</v>
      </c>
      <c r="O2437" s="403" t="s">
        <v>7084</v>
      </c>
      <c r="P2437" s="403" t="s">
        <v>6728</v>
      </c>
      <c r="Q2437" s="403" t="s">
        <v>13003</v>
      </c>
      <c r="R2437" s="403" t="s">
        <v>22246</v>
      </c>
      <c r="S2437" s="403" t="s">
        <v>17957</v>
      </c>
      <c r="T2437" s="403" t="s">
        <v>17958</v>
      </c>
      <c r="U2437" s="403"/>
      <c r="V2437" s="403" t="s">
        <v>23024</v>
      </c>
      <c r="W2437" s="403" t="s">
        <v>23024</v>
      </c>
      <c r="X2437" s="403" t="s">
        <v>23024</v>
      </c>
      <c r="Y2437" s="403" t="s">
        <v>23024</v>
      </c>
    </row>
    <row r="2438" spans="1:25">
      <c r="A2438" s="363">
        <f t="shared" si="311"/>
        <v>2437</v>
      </c>
      <c r="B2438" s="363" t="str">
        <f t="shared" si="304"/>
        <v>00</v>
      </c>
      <c r="C2438" s="405" t="str">
        <f t="shared" si="305"/>
        <v>第012045号</v>
      </c>
      <c r="D2438" s="405" t="str">
        <f t="shared" si="306"/>
        <v>芦森エンジニアリング（株）</v>
      </c>
      <c r="E2438" s="405" t="str">
        <f t="shared" si="307"/>
        <v/>
      </c>
      <c r="F2438" s="405" t="str">
        <f t="shared" si="308"/>
        <v>宇留嶋　貞二</v>
      </c>
      <c r="G2438" s="405" t="str">
        <f t="shared" si="309"/>
        <v>九州営業所</v>
      </c>
      <c r="H2438" s="405" t="str">
        <f t="shared" si="310"/>
        <v>福岡市博多区博多駅東３－１－２９</v>
      </c>
      <c r="L2438" s="403" t="s">
        <v>13004</v>
      </c>
      <c r="M2438" s="403" t="s">
        <v>13005</v>
      </c>
      <c r="N2438" s="403" t="s">
        <v>6082</v>
      </c>
      <c r="O2438" s="403" t="s">
        <v>7084</v>
      </c>
      <c r="P2438" s="403" t="s">
        <v>6729</v>
      </c>
      <c r="Q2438" s="403" t="s">
        <v>13006</v>
      </c>
      <c r="R2438" s="403" t="s">
        <v>22247</v>
      </c>
      <c r="S2438" s="403" t="s">
        <v>22248</v>
      </c>
      <c r="T2438" s="403" t="s">
        <v>22249</v>
      </c>
      <c r="U2438" s="403"/>
      <c r="V2438" s="403" t="s">
        <v>7012</v>
      </c>
      <c r="W2438" s="403" t="s">
        <v>17959</v>
      </c>
      <c r="X2438" s="403" t="s">
        <v>13524</v>
      </c>
      <c r="Y2438" s="403" t="s">
        <v>22250</v>
      </c>
    </row>
    <row r="2439" spans="1:25">
      <c r="A2439" s="363">
        <f t="shared" si="311"/>
        <v>2438</v>
      </c>
      <c r="B2439" s="363" t="str">
        <f t="shared" si="304"/>
        <v>00</v>
      </c>
      <c r="C2439" s="405" t="str">
        <f t="shared" si="305"/>
        <v>第012155号</v>
      </c>
      <c r="D2439" s="405" t="str">
        <f t="shared" si="306"/>
        <v>アイム電機工業（株）</v>
      </c>
      <c r="E2439" s="405" t="str">
        <f t="shared" si="307"/>
        <v/>
      </c>
      <c r="F2439" s="405" t="str">
        <f t="shared" si="308"/>
        <v>荒木　智裕</v>
      </c>
      <c r="G2439" s="405" t="str">
        <f t="shared" si="309"/>
        <v>九州支店</v>
      </c>
      <c r="H2439" s="405" t="str">
        <f t="shared" si="310"/>
        <v>遠賀郡水巻町猪熊１０－２－１６</v>
      </c>
      <c r="L2439" s="404" t="s">
        <v>13007</v>
      </c>
      <c r="M2439" s="404" t="s">
        <v>13008</v>
      </c>
      <c r="N2439" s="404" t="s">
        <v>6083</v>
      </c>
      <c r="O2439" s="404" t="s">
        <v>7084</v>
      </c>
      <c r="P2439" s="404" t="s">
        <v>6730</v>
      </c>
      <c r="Q2439" s="404" t="s">
        <v>13009</v>
      </c>
      <c r="R2439" s="404" t="s">
        <v>22251</v>
      </c>
      <c r="S2439" s="404" t="s">
        <v>22252</v>
      </c>
      <c r="T2439" s="404" t="s">
        <v>17960</v>
      </c>
      <c r="U2439" s="404"/>
      <c r="V2439" s="404" t="s">
        <v>7007</v>
      </c>
      <c r="W2439" s="404" t="s">
        <v>17961</v>
      </c>
      <c r="X2439" s="404" t="s">
        <v>17962</v>
      </c>
      <c r="Y2439" s="404" t="s">
        <v>22253</v>
      </c>
    </row>
    <row r="2440" spans="1:25">
      <c r="A2440" s="363">
        <f t="shared" si="311"/>
        <v>2439</v>
      </c>
      <c r="B2440" s="363" t="str">
        <f t="shared" si="304"/>
        <v>00</v>
      </c>
      <c r="C2440" s="405" t="str">
        <f t="shared" si="305"/>
        <v>第012163号</v>
      </c>
      <c r="D2440" s="405" t="str">
        <f t="shared" si="306"/>
        <v>（株）塩月工業</v>
      </c>
      <c r="E2440" s="405" t="str">
        <f t="shared" si="307"/>
        <v>代表取締役</v>
      </c>
      <c r="F2440" s="405" t="str">
        <f t="shared" si="308"/>
        <v>塩月　啓司</v>
      </c>
      <c r="G2440" s="405" t="str">
        <f t="shared" si="309"/>
        <v>主たる営業所</v>
      </c>
      <c r="H2440" s="405" t="str">
        <f t="shared" si="310"/>
        <v>春日市大土居３－１４５－１</v>
      </c>
      <c r="L2440" s="402" t="s">
        <v>13010</v>
      </c>
      <c r="M2440" s="402" t="s">
        <v>13011</v>
      </c>
      <c r="N2440" s="402" t="s">
        <v>6084</v>
      </c>
      <c r="O2440" s="402" t="s">
        <v>7084</v>
      </c>
      <c r="P2440" s="402" t="s">
        <v>6731</v>
      </c>
      <c r="Q2440" s="402" t="s">
        <v>13012</v>
      </c>
      <c r="R2440" s="402" t="s">
        <v>22254</v>
      </c>
      <c r="S2440" s="402" t="s">
        <v>17963</v>
      </c>
      <c r="T2440" s="402" t="s">
        <v>17964</v>
      </c>
      <c r="U2440" s="402"/>
      <c r="V2440" s="403" t="s">
        <v>23024</v>
      </c>
      <c r="W2440" s="403" t="s">
        <v>23024</v>
      </c>
      <c r="X2440" s="403" t="s">
        <v>23024</v>
      </c>
      <c r="Y2440" s="403" t="s">
        <v>23024</v>
      </c>
    </row>
    <row r="2441" spans="1:25">
      <c r="A2441" s="363">
        <f t="shared" si="311"/>
        <v>2440</v>
      </c>
      <c r="B2441" s="363" t="str">
        <f t="shared" si="304"/>
        <v>00</v>
      </c>
      <c r="C2441" s="405" t="str">
        <f t="shared" si="305"/>
        <v>第012174号</v>
      </c>
      <c r="D2441" s="405" t="str">
        <f t="shared" si="306"/>
        <v>（株）サンコービルド</v>
      </c>
      <c r="E2441" s="405" t="str">
        <f t="shared" si="307"/>
        <v/>
      </c>
      <c r="F2441" s="405" t="str">
        <f t="shared" si="308"/>
        <v>柳井　雅晴</v>
      </c>
      <c r="G2441" s="405" t="str">
        <f t="shared" si="309"/>
        <v>大分支店</v>
      </c>
      <c r="H2441" s="405" t="str">
        <f t="shared" si="310"/>
        <v>大分市花津留２－１５－２４</v>
      </c>
      <c r="L2441" s="403" t="s">
        <v>13013</v>
      </c>
      <c r="M2441" s="403" t="s">
        <v>13014</v>
      </c>
      <c r="N2441" s="403" t="s">
        <v>6085</v>
      </c>
      <c r="O2441" s="403" t="s">
        <v>7084</v>
      </c>
      <c r="P2441" s="403" t="s">
        <v>6732</v>
      </c>
      <c r="Q2441" s="403" t="s">
        <v>13015</v>
      </c>
      <c r="R2441" s="403" t="s">
        <v>22255</v>
      </c>
      <c r="S2441" s="403" t="s">
        <v>22256</v>
      </c>
      <c r="T2441" s="403" t="s">
        <v>22257</v>
      </c>
      <c r="U2441" s="403"/>
      <c r="V2441" s="403" t="s">
        <v>7009</v>
      </c>
      <c r="W2441" s="403" t="s">
        <v>17965</v>
      </c>
      <c r="X2441" s="403" t="s">
        <v>7383</v>
      </c>
      <c r="Y2441" s="403" t="s">
        <v>22258</v>
      </c>
    </row>
    <row r="2442" spans="1:25">
      <c r="A2442" s="363">
        <f t="shared" si="311"/>
        <v>2441</v>
      </c>
      <c r="B2442" s="363" t="str">
        <f t="shared" si="304"/>
        <v>00</v>
      </c>
      <c r="C2442" s="405" t="str">
        <f t="shared" si="305"/>
        <v>第012176号</v>
      </c>
      <c r="D2442" s="405" t="str">
        <f t="shared" si="306"/>
        <v>金剛（株）</v>
      </c>
      <c r="E2442" s="405" t="str">
        <f t="shared" si="307"/>
        <v/>
      </c>
      <c r="F2442" s="405" t="str">
        <f t="shared" si="308"/>
        <v>吉村　昭寛</v>
      </c>
      <c r="G2442" s="405" t="str">
        <f t="shared" si="309"/>
        <v>九州支店</v>
      </c>
      <c r="H2442" s="405" t="str">
        <f t="shared" si="310"/>
        <v>福岡市博多区博多駅前２－２０－１５　第７岡部ビル９Ｆ</v>
      </c>
      <c r="L2442" s="403" t="s">
        <v>13016</v>
      </c>
      <c r="M2442" s="403" t="s">
        <v>13017</v>
      </c>
      <c r="N2442" s="403" t="s">
        <v>6086</v>
      </c>
      <c r="O2442" s="403" t="s">
        <v>7084</v>
      </c>
      <c r="P2442" s="403" t="s">
        <v>6733</v>
      </c>
      <c r="Q2442" s="403" t="s">
        <v>13018</v>
      </c>
      <c r="R2442" s="403" t="s">
        <v>22259</v>
      </c>
      <c r="S2442" s="403" t="s">
        <v>22260</v>
      </c>
      <c r="T2442" s="403" t="s">
        <v>22261</v>
      </c>
      <c r="U2442" s="403"/>
      <c r="V2442" s="403" t="s">
        <v>7007</v>
      </c>
      <c r="W2442" s="403" t="s">
        <v>17966</v>
      </c>
      <c r="X2442" s="403" t="s">
        <v>13015</v>
      </c>
      <c r="Y2442" s="403" t="s">
        <v>22262</v>
      </c>
    </row>
    <row r="2443" spans="1:25">
      <c r="A2443" s="363">
        <f t="shared" si="311"/>
        <v>2442</v>
      </c>
      <c r="B2443" s="363" t="str">
        <f t="shared" si="304"/>
        <v>00</v>
      </c>
      <c r="C2443" s="405" t="str">
        <f t="shared" si="305"/>
        <v>第012187号</v>
      </c>
      <c r="D2443" s="405" t="str">
        <f t="shared" si="306"/>
        <v>（株）ジャクエツ</v>
      </c>
      <c r="E2443" s="405" t="str">
        <f t="shared" si="307"/>
        <v>代表取締役</v>
      </c>
      <c r="F2443" s="405" t="str">
        <f t="shared" si="308"/>
        <v>徳本　達郎</v>
      </c>
      <c r="G2443" s="405" t="str">
        <f t="shared" si="309"/>
        <v>主たる営業所</v>
      </c>
      <c r="H2443" s="405" t="str">
        <f t="shared" si="310"/>
        <v>敦賀市若葉町２－１７７０</v>
      </c>
      <c r="L2443" s="403" t="s">
        <v>13019</v>
      </c>
      <c r="M2443" s="403" t="s">
        <v>13020</v>
      </c>
      <c r="N2443" s="403" t="s">
        <v>6087</v>
      </c>
      <c r="O2443" s="403" t="s">
        <v>7084</v>
      </c>
      <c r="P2443" s="403" t="s">
        <v>6734</v>
      </c>
      <c r="Q2443" s="403" t="s">
        <v>13021</v>
      </c>
      <c r="R2443" s="403" t="s">
        <v>22263</v>
      </c>
      <c r="S2443" s="403" t="s">
        <v>17967</v>
      </c>
      <c r="T2443" s="403" t="s">
        <v>17968</v>
      </c>
      <c r="U2443" s="403"/>
      <c r="V2443" s="403" t="s">
        <v>23024</v>
      </c>
      <c r="W2443" s="403" t="s">
        <v>23024</v>
      </c>
      <c r="X2443" s="403" t="s">
        <v>23024</v>
      </c>
      <c r="Y2443" s="403" t="s">
        <v>23024</v>
      </c>
    </row>
    <row r="2444" spans="1:25">
      <c r="A2444" s="363">
        <f t="shared" si="311"/>
        <v>2443</v>
      </c>
      <c r="B2444" s="363" t="str">
        <f t="shared" si="304"/>
        <v>00</v>
      </c>
      <c r="C2444" s="405" t="str">
        <f t="shared" si="305"/>
        <v>第012220号</v>
      </c>
      <c r="D2444" s="405" t="str">
        <f t="shared" si="306"/>
        <v>開成工業（株）</v>
      </c>
      <c r="E2444" s="405" t="str">
        <f t="shared" si="307"/>
        <v>代表取締役</v>
      </c>
      <c r="F2444" s="405" t="str">
        <f t="shared" si="308"/>
        <v>谷冨　安博</v>
      </c>
      <c r="G2444" s="405" t="str">
        <f t="shared" si="309"/>
        <v>主たる営業所</v>
      </c>
      <c r="H2444" s="405" t="str">
        <f t="shared" si="310"/>
        <v>熊本市北区植木町石川４５０－１</v>
      </c>
      <c r="L2444" s="403" t="s">
        <v>13022</v>
      </c>
      <c r="M2444" s="403" t="s">
        <v>13023</v>
      </c>
      <c r="N2444" s="403" t="s">
        <v>6088</v>
      </c>
      <c r="O2444" s="403" t="s">
        <v>7084</v>
      </c>
      <c r="P2444" s="403" t="s">
        <v>6735</v>
      </c>
      <c r="Q2444" s="403" t="s">
        <v>13024</v>
      </c>
      <c r="R2444" s="403" t="s">
        <v>22264</v>
      </c>
      <c r="S2444" s="403" t="s">
        <v>17969</v>
      </c>
      <c r="T2444" s="403" t="s">
        <v>17970</v>
      </c>
      <c r="U2444" s="403"/>
      <c r="V2444" s="403" t="s">
        <v>23024</v>
      </c>
      <c r="W2444" s="403" t="s">
        <v>23024</v>
      </c>
      <c r="X2444" s="403" t="s">
        <v>23024</v>
      </c>
      <c r="Y2444" s="403" t="s">
        <v>23024</v>
      </c>
    </row>
    <row r="2445" spans="1:25">
      <c r="A2445" s="363">
        <f t="shared" si="311"/>
        <v>2444</v>
      </c>
      <c r="B2445" s="363" t="str">
        <f t="shared" si="304"/>
        <v>00</v>
      </c>
      <c r="C2445" s="405" t="str">
        <f t="shared" si="305"/>
        <v>第013046号</v>
      </c>
      <c r="D2445" s="405" t="str">
        <f t="shared" si="306"/>
        <v>（株）ニシコー</v>
      </c>
      <c r="E2445" s="405" t="str">
        <f t="shared" si="307"/>
        <v>代表取締役社長</v>
      </c>
      <c r="F2445" s="405" t="str">
        <f t="shared" si="308"/>
        <v>園田　利美津</v>
      </c>
      <c r="G2445" s="405" t="str">
        <f t="shared" si="309"/>
        <v>主たる営業所</v>
      </c>
      <c r="H2445" s="405" t="str">
        <f t="shared" si="310"/>
        <v>福岡市中央区渡辺通２－９－２２</v>
      </c>
      <c r="L2445" s="403" t="s">
        <v>13025</v>
      </c>
      <c r="M2445" s="403" t="s">
        <v>13026</v>
      </c>
      <c r="N2445" s="403" t="s">
        <v>6089</v>
      </c>
      <c r="O2445" s="403" t="s">
        <v>7083</v>
      </c>
      <c r="P2445" s="403" t="s">
        <v>6736</v>
      </c>
      <c r="Q2445" s="403" t="s">
        <v>13027</v>
      </c>
      <c r="R2445" s="403" t="s">
        <v>22265</v>
      </c>
      <c r="S2445" s="403" t="s">
        <v>17971</v>
      </c>
      <c r="T2445" s="403" t="s">
        <v>17972</v>
      </c>
      <c r="U2445" s="403"/>
      <c r="V2445" s="403" t="s">
        <v>23024</v>
      </c>
      <c r="W2445" s="403" t="s">
        <v>23024</v>
      </c>
      <c r="X2445" s="403" t="s">
        <v>23024</v>
      </c>
      <c r="Y2445" s="403" t="s">
        <v>23024</v>
      </c>
    </row>
    <row r="2446" spans="1:25">
      <c r="A2446" s="363">
        <f t="shared" si="311"/>
        <v>2445</v>
      </c>
      <c r="B2446" s="363" t="str">
        <f t="shared" si="304"/>
        <v>00</v>
      </c>
      <c r="C2446" s="405" t="str">
        <f t="shared" si="305"/>
        <v>第013062号</v>
      </c>
      <c r="D2446" s="405" t="str">
        <f t="shared" si="306"/>
        <v>西南電気（株）</v>
      </c>
      <c r="E2446" s="405" t="str">
        <f t="shared" si="307"/>
        <v>代表取締役</v>
      </c>
      <c r="F2446" s="405" t="str">
        <f t="shared" si="308"/>
        <v>甲斐　祐二</v>
      </c>
      <c r="G2446" s="405" t="str">
        <f t="shared" si="309"/>
        <v>主たる営業所</v>
      </c>
      <c r="H2446" s="405" t="str">
        <f t="shared" si="310"/>
        <v>延岡市塩浜町４－１６４０－３１</v>
      </c>
      <c r="L2446" s="403" t="s">
        <v>13028</v>
      </c>
      <c r="M2446" s="403" t="s">
        <v>13029</v>
      </c>
      <c r="N2446" s="403" t="s">
        <v>6090</v>
      </c>
      <c r="O2446" s="403" t="s">
        <v>7084</v>
      </c>
      <c r="P2446" s="403" t="s">
        <v>6737</v>
      </c>
      <c r="Q2446" s="403" t="s">
        <v>13030</v>
      </c>
      <c r="R2446" s="403" t="s">
        <v>22266</v>
      </c>
      <c r="S2446" s="403" t="s">
        <v>17973</v>
      </c>
      <c r="T2446" s="403" t="s">
        <v>17974</v>
      </c>
      <c r="U2446" s="403"/>
      <c r="V2446" s="403" t="s">
        <v>23024</v>
      </c>
      <c r="W2446" s="403" t="s">
        <v>23024</v>
      </c>
      <c r="X2446" s="403" t="s">
        <v>23024</v>
      </c>
      <c r="Y2446" s="403" t="s">
        <v>23024</v>
      </c>
    </row>
    <row r="2447" spans="1:25">
      <c r="A2447" s="363">
        <f t="shared" si="311"/>
        <v>2446</v>
      </c>
      <c r="B2447" s="363" t="str">
        <f t="shared" si="304"/>
        <v>00</v>
      </c>
      <c r="C2447" s="405" t="str">
        <f t="shared" si="305"/>
        <v>第013069号</v>
      </c>
      <c r="D2447" s="405" t="str">
        <f t="shared" si="306"/>
        <v>タニコー（株）</v>
      </c>
      <c r="E2447" s="405" t="str">
        <f t="shared" si="307"/>
        <v/>
      </c>
      <c r="F2447" s="405" t="str">
        <f t="shared" si="308"/>
        <v>岩尾　淳</v>
      </c>
      <c r="G2447" s="405" t="str">
        <f t="shared" si="309"/>
        <v>大分営業所</v>
      </c>
      <c r="H2447" s="405" t="str">
        <f t="shared" si="310"/>
        <v>大分市下郡中央３－６－２</v>
      </c>
      <c r="L2447" s="403" t="s">
        <v>13031</v>
      </c>
      <c r="M2447" s="403" t="s">
        <v>13032</v>
      </c>
      <c r="N2447" s="403" t="s">
        <v>6091</v>
      </c>
      <c r="O2447" s="403" t="s">
        <v>7084</v>
      </c>
      <c r="P2447" s="403" t="s">
        <v>6738</v>
      </c>
      <c r="Q2447" s="403" t="s">
        <v>13033</v>
      </c>
      <c r="R2447" s="403" t="s">
        <v>22267</v>
      </c>
      <c r="S2447" s="403" t="s">
        <v>22268</v>
      </c>
      <c r="T2447" s="403" t="s">
        <v>22269</v>
      </c>
      <c r="U2447" s="403"/>
      <c r="V2447" s="403" t="s">
        <v>7013</v>
      </c>
      <c r="W2447" s="403" t="s">
        <v>17975</v>
      </c>
      <c r="X2447" s="403" t="s">
        <v>8335</v>
      </c>
      <c r="Y2447" s="403" t="s">
        <v>22270</v>
      </c>
    </row>
    <row r="2448" spans="1:25">
      <c r="A2448" s="363">
        <f t="shared" si="311"/>
        <v>2447</v>
      </c>
      <c r="B2448" s="363" t="str">
        <f t="shared" si="304"/>
        <v>00</v>
      </c>
      <c r="C2448" s="405" t="str">
        <f t="shared" si="305"/>
        <v>第013195号</v>
      </c>
      <c r="D2448" s="405" t="str">
        <f t="shared" si="306"/>
        <v>（株）東芝</v>
      </c>
      <c r="E2448" s="405" t="str">
        <f t="shared" si="307"/>
        <v/>
      </c>
      <c r="F2448" s="405" t="str">
        <f t="shared" si="308"/>
        <v>大岩　愼治</v>
      </c>
      <c r="G2448" s="405" t="str">
        <f t="shared" si="309"/>
        <v>九州支社</v>
      </c>
      <c r="H2448" s="405" t="str">
        <f t="shared" si="310"/>
        <v>福岡市中央区長浜２－４－１</v>
      </c>
      <c r="L2448" s="403" t="s">
        <v>13034</v>
      </c>
      <c r="M2448" s="403" t="s">
        <v>22271</v>
      </c>
      <c r="N2448" s="403" t="s">
        <v>22272</v>
      </c>
      <c r="O2448" s="403" t="s">
        <v>22273</v>
      </c>
      <c r="P2448" s="403" t="s">
        <v>6739</v>
      </c>
      <c r="Q2448" s="403" t="s">
        <v>12413</v>
      </c>
      <c r="R2448" s="403" t="s">
        <v>21431</v>
      </c>
      <c r="S2448" s="403" t="s">
        <v>22274</v>
      </c>
      <c r="T2448" s="403" t="s">
        <v>22275</v>
      </c>
      <c r="U2448" s="403"/>
      <c r="V2448" s="403" t="s">
        <v>7011</v>
      </c>
      <c r="W2448" s="403" t="s">
        <v>22276</v>
      </c>
      <c r="X2448" s="403" t="s">
        <v>17976</v>
      </c>
      <c r="Y2448" s="403" t="s">
        <v>21434</v>
      </c>
    </row>
    <row r="2449" spans="1:25">
      <c r="A2449" s="363">
        <f t="shared" si="311"/>
        <v>2448</v>
      </c>
      <c r="B2449" s="363" t="str">
        <f t="shared" si="304"/>
        <v>00</v>
      </c>
      <c r="C2449" s="405" t="str">
        <f t="shared" si="305"/>
        <v>第013209号</v>
      </c>
      <c r="D2449" s="405" t="str">
        <f t="shared" si="306"/>
        <v>オリエント産業（株）</v>
      </c>
      <c r="E2449" s="405" t="str">
        <f t="shared" si="307"/>
        <v/>
      </c>
      <c r="F2449" s="405" t="str">
        <f t="shared" si="308"/>
        <v>平賀　伸一</v>
      </c>
      <c r="G2449" s="405" t="str">
        <f t="shared" si="309"/>
        <v>大分支店</v>
      </c>
      <c r="H2449" s="405" t="str">
        <f t="shared" si="310"/>
        <v>大分市広瀬町２－１－３６</v>
      </c>
      <c r="L2449" s="403" t="s">
        <v>13035</v>
      </c>
      <c r="M2449" s="403" t="s">
        <v>13036</v>
      </c>
      <c r="N2449" s="403" t="s">
        <v>6092</v>
      </c>
      <c r="O2449" s="403" t="s">
        <v>7084</v>
      </c>
      <c r="P2449" s="403" t="s">
        <v>6740</v>
      </c>
      <c r="Q2449" s="403" t="s">
        <v>13037</v>
      </c>
      <c r="R2449" s="403" t="s">
        <v>22277</v>
      </c>
      <c r="S2449" s="403" t="s">
        <v>22278</v>
      </c>
      <c r="T2449" s="403" t="s">
        <v>22279</v>
      </c>
      <c r="U2449" s="403"/>
      <c r="V2449" s="403" t="s">
        <v>7009</v>
      </c>
      <c r="W2449" s="403" t="s">
        <v>17977</v>
      </c>
      <c r="X2449" s="403" t="s">
        <v>17978</v>
      </c>
      <c r="Y2449" s="403" t="s">
        <v>22280</v>
      </c>
    </row>
    <row r="2450" spans="1:25">
      <c r="A2450" s="363">
        <f t="shared" si="311"/>
        <v>2449</v>
      </c>
      <c r="B2450" s="363" t="str">
        <f t="shared" si="304"/>
        <v>00</v>
      </c>
      <c r="C2450" s="405" t="str">
        <f t="shared" si="305"/>
        <v>第013242号</v>
      </c>
      <c r="D2450" s="405" t="str">
        <f t="shared" si="306"/>
        <v>（株）オーツボ</v>
      </c>
      <c r="E2450" s="405" t="str">
        <f t="shared" si="307"/>
        <v>代表取締役</v>
      </c>
      <c r="F2450" s="405" t="str">
        <f t="shared" si="308"/>
        <v>大坪　とも子</v>
      </c>
      <c r="G2450" s="405" t="str">
        <f t="shared" si="309"/>
        <v>主たる営業所</v>
      </c>
      <c r="H2450" s="405" t="str">
        <f t="shared" si="310"/>
        <v>柳川市大和町徳益７１１－２</v>
      </c>
      <c r="L2450" s="403" t="s">
        <v>13038</v>
      </c>
      <c r="M2450" s="403" t="s">
        <v>13039</v>
      </c>
      <c r="N2450" s="403" t="s">
        <v>6093</v>
      </c>
      <c r="O2450" s="403" t="s">
        <v>7084</v>
      </c>
      <c r="P2450" s="403" t="s">
        <v>6741</v>
      </c>
      <c r="Q2450" s="403" t="s">
        <v>13040</v>
      </c>
      <c r="R2450" s="403" t="s">
        <v>22281</v>
      </c>
      <c r="S2450" s="403" t="s">
        <v>17979</v>
      </c>
      <c r="T2450" s="403" t="s">
        <v>17980</v>
      </c>
      <c r="U2450" s="403"/>
      <c r="V2450" s="403" t="s">
        <v>23024</v>
      </c>
      <c r="W2450" s="403" t="s">
        <v>23024</v>
      </c>
      <c r="X2450" s="403" t="s">
        <v>23024</v>
      </c>
      <c r="Y2450" s="403" t="s">
        <v>23024</v>
      </c>
    </row>
    <row r="2451" spans="1:25">
      <c r="A2451" s="363">
        <f t="shared" si="311"/>
        <v>2450</v>
      </c>
      <c r="B2451" s="363" t="str">
        <f t="shared" si="304"/>
        <v>00</v>
      </c>
      <c r="C2451" s="405" t="str">
        <f t="shared" si="305"/>
        <v>第013415号</v>
      </c>
      <c r="D2451" s="405" t="str">
        <f t="shared" si="306"/>
        <v>小柳建設（株）</v>
      </c>
      <c r="E2451" s="405" t="str">
        <f t="shared" si="307"/>
        <v>代表取締役</v>
      </c>
      <c r="F2451" s="405" t="str">
        <f t="shared" si="308"/>
        <v>小柳　卓蔵</v>
      </c>
      <c r="G2451" s="405" t="str">
        <f t="shared" si="309"/>
        <v>主たる営業所</v>
      </c>
      <c r="H2451" s="405" t="str">
        <f t="shared" si="310"/>
        <v>三条市東三条１－２１－５</v>
      </c>
      <c r="L2451" s="403" t="s">
        <v>13041</v>
      </c>
      <c r="M2451" s="403" t="s">
        <v>13042</v>
      </c>
      <c r="N2451" s="403" t="s">
        <v>6094</v>
      </c>
      <c r="O2451" s="403" t="s">
        <v>7084</v>
      </c>
      <c r="P2451" s="403" t="s">
        <v>6742</v>
      </c>
      <c r="Q2451" s="403" t="s">
        <v>13043</v>
      </c>
      <c r="R2451" s="403" t="s">
        <v>22282</v>
      </c>
      <c r="S2451" s="403" t="s">
        <v>17981</v>
      </c>
      <c r="T2451" s="403" t="s">
        <v>17982</v>
      </c>
      <c r="U2451" s="403"/>
      <c r="V2451" s="403" t="s">
        <v>23024</v>
      </c>
      <c r="W2451" s="403" t="s">
        <v>23024</v>
      </c>
      <c r="X2451" s="403" t="s">
        <v>23024</v>
      </c>
      <c r="Y2451" s="403" t="s">
        <v>23024</v>
      </c>
    </row>
    <row r="2452" spans="1:25">
      <c r="A2452" s="363">
        <f t="shared" si="311"/>
        <v>2451</v>
      </c>
      <c r="B2452" s="363" t="str">
        <f t="shared" si="304"/>
        <v>00</v>
      </c>
      <c r="C2452" s="405" t="str">
        <f t="shared" si="305"/>
        <v>第013558号</v>
      </c>
      <c r="D2452" s="405" t="str">
        <f t="shared" si="306"/>
        <v>（株）アサヒファシリティズ</v>
      </c>
      <c r="E2452" s="405" t="str">
        <f t="shared" si="307"/>
        <v/>
      </c>
      <c r="F2452" s="405" t="str">
        <f t="shared" si="308"/>
        <v>前畑　達実</v>
      </c>
      <c r="G2452" s="405" t="str">
        <f t="shared" si="309"/>
        <v>九州支店</v>
      </c>
      <c r="H2452" s="405" t="str">
        <f t="shared" si="310"/>
        <v>福岡市博多区博多駅前２－２－１</v>
      </c>
      <c r="L2452" s="403" t="s">
        <v>13044</v>
      </c>
      <c r="M2452" s="403" t="s">
        <v>13045</v>
      </c>
      <c r="N2452" s="403" t="s">
        <v>6095</v>
      </c>
      <c r="O2452" s="403" t="s">
        <v>7089</v>
      </c>
      <c r="P2452" s="403" t="s">
        <v>6743</v>
      </c>
      <c r="Q2452" s="403" t="s">
        <v>12923</v>
      </c>
      <c r="R2452" s="403" t="s">
        <v>22283</v>
      </c>
      <c r="S2452" s="403" t="s">
        <v>22284</v>
      </c>
      <c r="T2452" s="403" t="s">
        <v>22285</v>
      </c>
      <c r="U2452" s="403"/>
      <c r="V2452" s="403" t="s">
        <v>7007</v>
      </c>
      <c r="W2452" s="403" t="s">
        <v>17983</v>
      </c>
      <c r="X2452" s="403" t="s">
        <v>13015</v>
      </c>
      <c r="Y2452" s="403" t="s">
        <v>22286</v>
      </c>
    </row>
    <row r="2453" spans="1:25">
      <c r="A2453" s="363">
        <f t="shared" si="311"/>
        <v>2452</v>
      </c>
      <c r="B2453" s="363" t="str">
        <f t="shared" si="304"/>
        <v>00</v>
      </c>
      <c r="C2453" s="405" t="str">
        <f t="shared" si="305"/>
        <v>第013727号</v>
      </c>
      <c r="D2453" s="405" t="str">
        <f t="shared" si="306"/>
        <v>（株）有電社</v>
      </c>
      <c r="E2453" s="405" t="str">
        <f t="shared" si="307"/>
        <v/>
      </c>
      <c r="F2453" s="405" t="str">
        <f t="shared" si="308"/>
        <v>松本　勇</v>
      </c>
      <c r="G2453" s="405" t="str">
        <f t="shared" si="309"/>
        <v>九州支店</v>
      </c>
      <c r="H2453" s="405" t="str">
        <f t="shared" si="310"/>
        <v>福岡市中央区天神４－６－７</v>
      </c>
      <c r="L2453" s="403" t="s">
        <v>13046</v>
      </c>
      <c r="M2453" s="403" t="s">
        <v>13047</v>
      </c>
      <c r="N2453" s="403" t="s">
        <v>6096</v>
      </c>
      <c r="O2453" s="403" t="s">
        <v>7084</v>
      </c>
      <c r="P2453" s="403" t="s">
        <v>22287</v>
      </c>
      <c r="Q2453" s="403" t="s">
        <v>13048</v>
      </c>
      <c r="R2453" s="403" t="s">
        <v>22288</v>
      </c>
      <c r="S2453" s="403" t="s">
        <v>22289</v>
      </c>
      <c r="T2453" s="403" t="s">
        <v>22290</v>
      </c>
      <c r="U2453" s="403"/>
      <c r="V2453" s="403" t="s">
        <v>7007</v>
      </c>
      <c r="W2453" s="403" t="s">
        <v>17984</v>
      </c>
      <c r="X2453" s="403" t="s">
        <v>17517</v>
      </c>
      <c r="Y2453" s="403" t="s">
        <v>22291</v>
      </c>
    </row>
    <row r="2454" spans="1:25">
      <c r="A2454" s="363">
        <f t="shared" si="311"/>
        <v>2453</v>
      </c>
      <c r="B2454" s="363" t="str">
        <f t="shared" si="304"/>
        <v>00</v>
      </c>
      <c r="C2454" s="405" t="str">
        <f t="shared" si="305"/>
        <v>第013759号</v>
      </c>
      <c r="D2454" s="405" t="str">
        <f t="shared" si="306"/>
        <v>月島ジェイテクノメンテサービス（株）</v>
      </c>
      <c r="E2454" s="405" t="str">
        <f t="shared" si="307"/>
        <v/>
      </c>
      <c r="F2454" s="405" t="str">
        <f t="shared" si="308"/>
        <v>青木　勝幸</v>
      </c>
      <c r="G2454" s="405" t="str">
        <f t="shared" si="309"/>
        <v>九州支店</v>
      </c>
      <c r="H2454" s="405" t="str">
        <f t="shared" si="310"/>
        <v>福岡市中央区荒戸２－１－５</v>
      </c>
      <c r="L2454" s="403" t="s">
        <v>13049</v>
      </c>
      <c r="M2454" s="403" t="s">
        <v>13050</v>
      </c>
      <c r="N2454" s="403" t="s">
        <v>6097</v>
      </c>
      <c r="O2454" s="403" t="s">
        <v>7084</v>
      </c>
      <c r="P2454" s="403" t="s">
        <v>6744</v>
      </c>
      <c r="Q2454" s="403" t="s">
        <v>13051</v>
      </c>
      <c r="R2454" s="403" t="s">
        <v>22292</v>
      </c>
      <c r="S2454" s="403" t="s">
        <v>22293</v>
      </c>
      <c r="T2454" s="403" t="s">
        <v>22294</v>
      </c>
      <c r="U2454" s="403"/>
      <c r="V2454" s="403" t="s">
        <v>7007</v>
      </c>
      <c r="W2454" s="403" t="s">
        <v>17985</v>
      </c>
      <c r="X2454" s="403" t="s">
        <v>17575</v>
      </c>
      <c r="Y2454" s="403" t="s">
        <v>20956</v>
      </c>
    </row>
    <row r="2455" spans="1:25">
      <c r="A2455" s="363">
        <f t="shared" si="311"/>
        <v>2454</v>
      </c>
      <c r="B2455" s="363" t="str">
        <f t="shared" si="304"/>
        <v>00</v>
      </c>
      <c r="C2455" s="405" t="str">
        <f t="shared" si="305"/>
        <v>第013776号</v>
      </c>
      <c r="D2455" s="405" t="str">
        <f t="shared" si="306"/>
        <v>日米電子（株）</v>
      </c>
      <c r="E2455" s="405" t="str">
        <f t="shared" si="307"/>
        <v>代表取締役社長</v>
      </c>
      <c r="F2455" s="405" t="str">
        <f t="shared" si="308"/>
        <v>湯淺　米男</v>
      </c>
      <c r="G2455" s="405" t="str">
        <f t="shared" si="309"/>
        <v>主たる営業所</v>
      </c>
      <c r="H2455" s="405" t="str">
        <f t="shared" si="310"/>
        <v>福岡市中央区大宮１－３－１０</v>
      </c>
      <c r="L2455" s="403" t="s">
        <v>13052</v>
      </c>
      <c r="M2455" s="403" t="s">
        <v>13053</v>
      </c>
      <c r="N2455" s="403" t="s">
        <v>6098</v>
      </c>
      <c r="O2455" s="403" t="s">
        <v>7083</v>
      </c>
      <c r="P2455" s="403" t="s">
        <v>6745</v>
      </c>
      <c r="Q2455" s="403" t="s">
        <v>13054</v>
      </c>
      <c r="R2455" s="403" t="s">
        <v>22295</v>
      </c>
      <c r="S2455" s="403" t="s">
        <v>17986</v>
      </c>
      <c r="T2455" s="403" t="s">
        <v>17987</v>
      </c>
      <c r="U2455" s="403"/>
      <c r="V2455" s="403" t="s">
        <v>23024</v>
      </c>
      <c r="W2455" s="403" t="s">
        <v>23024</v>
      </c>
      <c r="X2455" s="403" t="s">
        <v>23024</v>
      </c>
      <c r="Y2455" s="403" t="s">
        <v>23024</v>
      </c>
    </row>
    <row r="2456" spans="1:25">
      <c r="A2456" s="363">
        <f t="shared" si="311"/>
        <v>2455</v>
      </c>
      <c r="B2456" s="363" t="str">
        <f t="shared" si="304"/>
        <v>00</v>
      </c>
      <c r="C2456" s="405" t="str">
        <f t="shared" si="305"/>
        <v>第014021号</v>
      </c>
      <c r="D2456" s="405" t="str">
        <f t="shared" si="306"/>
        <v>（株）くちき</v>
      </c>
      <c r="E2456" s="405" t="str">
        <f t="shared" si="307"/>
        <v>代表取締役</v>
      </c>
      <c r="F2456" s="405" t="str">
        <f t="shared" si="308"/>
        <v>朽木　大貴</v>
      </c>
      <c r="G2456" s="405" t="str">
        <f t="shared" si="309"/>
        <v>主たる営業所</v>
      </c>
      <c r="H2456" s="405" t="str">
        <f t="shared" si="310"/>
        <v>宮崎市大字跡江３８６－４</v>
      </c>
      <c r="L2456" s="403" t="s">
        <v>13055</v>
      </c>
      <c r="M2456" s="403" t="s">
        <v>13056</v>
      </c>
      <c r="N2456" s="403" t="s">
        <v>6099</v>
      </c>
      <c r="O2456" s="403" t="s">
        <v>7084</v>
      </c>
      <c r="P2456" s="403" t="s">
        <v>6746</v>
      </c>
      <c r="Q2456" s="403" t="s">
        <v>13057</v>
      </c>
      <c r="R2456" s="403" t="s">
        <v>22296</v>
      </c>
      <c r="S2456" s="403" t="s">
        <v>17988</v>
      </c>
      <c r="T2456" s="403" t="s">
        <v>17989</v>
      </c>
      <c r="U2456" s="403"/>
      <c r="V2456" s="403" t="s">
        <v>23024</v>
      </c>
      <c r="W2456" s="403" t="s">
        <v>23024</v>
      </c>
      <c r="X2456" s="403" t="s">
        <v>23024</v>
      </c>
      <c r="Y2456" s="403" t="s">
        <v>23024</v>
      </c>
    </row>
    <row r="2457" spans="1:25">
      <c r="A2457" s="363">
        <f t="shared" si="311"/>
        <v>2456</v>
      </c>
      <c r="B2457" s="363" t="str">
        <f t="shared" si="304"/>
        <v>00</v>
      </c>
      <c r="C2457" s="405" t="str">
        <f t="shared" si="305"/>
        <v>第014194号</v>
      </c>
      <c r="D2457" s="405" t="str">
        <f t="shared" si="306"/>
        <v>（株）協和製作所</v>
      </c>
      <c r="E2457" s="405" t="str">
        <f t="shared" si="307"/>
        <v>代表取締役</v>
      </c>
      <c r="F2457" s="405" t="str">
        <f t="shared" si="308"/>
        <v>藤井　道博</v>
      </c>
      <c r="G2457" s="405" t="str">
        <f t="shared" si="309"/>
        <v>主たる営業所</v>
      </c>
      <c r="H2457" s="405" t="str">
        <f t="shared" si="310"/>
        <v>佐賀市高木瀬西６－９－１</v>
      </c>
      <c r="L2457" s="403" t="s">
        <v>13058</v>
      </c>
      <c r="M2457" s="403" t="s">
        <v>13059</v>
      </c>
      <c r="N2457" s="403" t="s">
        <v>6100</v>
      </c>
      <c r="O2457" s="403" t="s">
        <v>7084</v>
      </c>
      <c r="P2457" s="403" t="s">
        <v>6747</v>
      </c>
      <c r="Q2457" s="403" t="s">
        <v>12485</v>
      </c>
      <c r="R2457" s="403" t="s">
        <v>22297</v>
      </c>
      <c r="S2457" s="403" t="s">
        <v>17990</v>
      </c>
      <c r="T2457" s="403" t="s">
        <v>17991</v>
      </c>
      <c r="U2457" s="403"/>
      <c r="V2457" s="403" t="s">
        <v>23024</v>
      </c>
      <c r="W2457" s="403" t="s">
        <v>23024</v>
      </c>
      <c r="X2457" s="403" t="s">
        <v>23024</v>
      </c>
      <c r="Y2457" s="403" t="s">
        <v>23024</v>
      </c>
    </row>
    <row r="2458" spans="1:25">
      <c r="A2458" s="363">
        <f t="shared" si="311"/>
        <v>2457</v>
      </c>
      <c r="B2458" s="363" t="str">
        <f t="shared" si="304"/>
        <v>00</v>
      </c>
      <c r="C2458" s="405" t="str">
        <f t="shared" si="305"/>
        <v>第014280号</v>
      </c>
      <c r="D2458" s="405" t="str">
        <f t="shared" si="306"/>
        <v>パナソニックＥＷエンジニアリング（株）</v>
      </c>
      <c r="E2458" s="405" t="str">
        <f t="shared" si="307"/>
        <v/>
      </c>
      <c r="F2458" s="405" t="str">
        <f t="shared" si="308"/>
        <v>菊森　慎吾</v>
      </c>
      <c r="G2458" s="405" t="str">
        <f t="shared" si="309"/>
        <v>九州支店</v>
      </c>
      <c r="H2458" s="405" t="str">
        <f t="shared" si="310"/>
        <v>福岡市中央区薬院３－１－２４</v>
      </c>
      <c r="L2458" s="403" t="s">
        <v>13060</v>
      </c>
      <c r="M2458" s="403" t="s">
        <v>13061</v>
      </c>
      <c r="N2458" s="403" t="s">
        <v>6101</v>
      </c>
      <c r="O2458" s="403" t="s">
        <v>7084</v>
      </c>
      <c r="P2458" s="403" t="s">
        <v>22298</v>
      </c>
      <c r="Q2458" s="403" t="s">
        <v>13062</v>
      </c>
      <c r="R2458" s="403" t="s">
        <v>22299</v>
      </c>
      <c r="S2458" s="403" t="s">
        <v>22300</v>
      </c>
      <c r="T2458" s="403" t="s">
        <v>22301</v>
      </c>
      <c r="U2458" s="403"/>
      <c r="V2458" s="403" t="s">
        <v>7007</v>
      </c>
      <c r="W2458" s="403" t="s">
        <v>17992</v>
      </c>
      <c r="X2458" s="403" t="s">
        <v>12026</v>
      </c>
      <c r="Y2458" s="403" t="s">
        <v>22302</v>
      </c>
    </row>
    <row r="2459" spans="1:25">
      <c r="A2459" s="363">
        <f t="shared" si="311"/>
        <v>2458</v>
      </c>
      <c r="B2459" s="363" t="str">
        <f t="shared" si="304"/>
        <v>00</v>
      </c>
      <c r="C2459" s="405" t="str">
        <f t="shared" si="305"/>
        <v>第014301号</v>
      </c>
      <c r="D2459" s="405" t="str">
        <f t="shared" si="306"/>
        <v>（株）筑豊製作所</v>
      </c>
      <c r="E2459" s="405" t="str">
        <f t="shared" si="307"/>
        <v/>
      </c>
      <c r="F2459" s="405" t="str">
        <f t="shared" si="308"/>
        <v>岡田　裕志</v>
      </c>
      <c r="G2459" s="405" t="str">
        <f t="shared" si="309"/>
        <v>北九州支店</v>
      </c>
      <c r="H2459" s="405" t="str">
        <f t="shared" si="310"/>
        <v>北九州市戸畑区中原４６－１２７</v>
      </c>
      <c r="L2459" s="403" t="s">
        <v>13063</v>
      </c>
      <c r="M2459" s="403" t="s">
        <v>13064</v>
      </c>
      <c r="N2459" s="403" t="s">
        <v>6102</v>
      </c>
      <c r="O2459" s="403" t="s">
        <v>7084</v>
      </c>
      <c r="P2459" s="403" t="s">
        <v>6748</v>
      </c>
      <c r="Q2459" s="403" t="s">
        <v>13065</v>
      </c>
      <c r="R2459" s="403" t="s">
        <v>22303</v>
      </c>
      <c r="S2459" s="403" t="s">
        <v>22304</v>
      </c>
      <c r="T2459" s="403" t="s">
        <v>22305</v>
      </c>
      <c r="U2459" s="403"/>
      <c r="V2459" s="403" t="s">
        <v>7049</v>
      </c>
      <c r="W2459" s="403" t="s">
        <v>17993</v>
      </c>
      <c r="X2459" s="403" t="s">
        <v>13433</v>
      </c>
      <c r="Y2459" s="403" t="s">
        <v>22306</v>
      </c>
    </row>
    <row r="2460" spans="1:25">
      <c r="A2460" s="363">
        <f t="shared" si="311"/>
        <v>2459</v>
      </c>
      <c r="B2460" s="363" t="str">
        <f t="shared" si="304"/>
        <v>00</v>
      </c>
      <c r="C2460" s="405" t="str">
        <f t="shared" si="305"/>
        <v>第014324号</v>
      </c>
      <c r="D2460" s="405" t="str">
        <f t="shared" si="306"/>
        <v>（株）ウォーターデザイン</v>
      </c>
      <c r="E2460" s="405" t="str">
        <f t="shared" si="307"/>
        <v>代表取締役</v>
      </c>
      <c r="F2460" s="405" t="str">
        <f t="shared" si="308"/>
        <v>荒川　展幸</v>
      </c>
      <c r="G2460" s="405" t="str">
        <f t="shared" si="309"/>
        <v>主たる営業所</v>
      </c>
      <c r="H2460" s="405" t="str">
        <f t="shared" si="310"/>
        <v>港区新橋６－９－２</v>
      </c>
      <c r="L2460" s="403" t="s">
        <v>13066</v>
      </c>
      <c r="M2460" s="403" t="s">
        <v>13067</v>
      </c>
      <c r="N2460" s="403" t="s">
        <v>6103</v>
      </c>
      <c r="O2460" s="403" t="s">
        <v>7084</v>
      </c>
      <c r="P2460" s="403" t="s">
        <v>6749</v>
      </c>
      <c r="Q2460" s="403" t="s">
        <v>13068</v>
      </c>
      <c r="R2460" s="403" t="s">
        <v>22307</v>
      </c>
      <c r="S2460" s="403" t="s">
        <v>17994</v>
      </c>
      <c r="T2460" s="403" t="s">
        <v>17995</v>
      </c>
      <c r="U2460" s="403"/>
      <c r="V2460" s="403" t="s">
        <v>23024</v>
      </c>
      <c r="W2460" s="403" t="s">
        <v>23024</v>
      </c>
      <c r="X2460" s="403" t="s">
        <v>23024</v>
      </c>
      <c r="Y2460" s="403" t="s">
        <v>23024</v>
      </c>
    </row>
    <row r="2461" spans="1:25">
      <c r="A2461" s="363">
        <f t="shared" si="311"/>
        <v>2460</v>
      </c>
      <c r="B2461" s="363" t="str">
        <f t="shared" si="304"/>
        <v>00</v>
      </c>
      <c r="C2461" s="405" t="str">
        <f t="shared" si="305"/>
        <v>第014503号</v>
      </c>
      <c r="D2461" s="405" t="str">
        <f t="shared" si="306"/>
        <v>（株）博電舎</v>
      </c>
      <c r="E2461" s="405" t="str">
        <f t="shared" si="307"/>
        <v>代表取締役</v>
      </c>
      <c r="F2461" s="405" t="str">
        <f t="shared" si="308"/>
        <v>谷井　一博</v>
      </c>
      <c r="G2461" s="405" t="str">
        <f t="shared" si="309"/>
        <v>主たる営業所</v>
      </c>
      <c r="H2461" s="405" t="str">
        <f t="shared" si="310"/>
        <v>大阪市福島区海老江８－９－９</v>
      </c>
      <c r="L2461" s="403" t="s">
        <v>13069</v>
      </c>
      <c r="M2461" s="403" t="s">
        <v>13070</v>
      </c>
      <c r="N2461" s="403" t="s">
        <v>6104</v>
      </c>
      <c r="O2461" s="403" t="s">
        <v>7084</v>
      </c>
      <c r="P2461" s="403" t="s">
        <v>6750</v>
      </c>
      <c r="Q2461" s="403" t="s">
        <v>13071</v>
      </c>
      <c r="R2461" s="403" t="s">
        <v>22308</v>
      </c>
      <c r="S2461" s="403" t="s">
        <v>17996</v>
      </c>
      <c r="T2461" s="403" t="s">
        <v>17997</v>
      </c>
      <c r="U2461" s="403"/>
      <c r="V2461" s="403" t="s">
        <v>23024</v>
      </c>
      <c r="W2461" s="403" t="s">
        <v>23024</v>
      </c>
      <c r="X2461" s="403" t="s">
        <v>23024</v>
      </c>
      <c r="Y2461" s="403" t="s">
        <v>23024</v>
      </c>
    </row>
    <row r="2462" spans="1:25">
      <c r="A2462" s="363">
        <f t="shared" si="311"/>
        <v>2461</v>
      </c>
      <c r="B2462" s="363" t="str">
        <f t="shared" si="304"/>
        <v>00</v>
      </c>
      <c r="C2462" s="405" t="str">
        <f t="shared" si="305"/>
        <v>第014530号</v>
      </c>
      <c r="D2462" s="405" t="str">
        <f t="shared" si="306"/>
        <v>（株）久保工務店</v>
      </c>
      <c r="E2462" s="405" t="str">
        <f t="shared" si="307"/>
        <v>代表取締役</v>
      </c>
      <c r="F2462" s="405" t="str">
        <f t="shared" si="308"/>
        <v>久保　珠美</v>
      </c>
      <c r="G2462" s="405" t="str">
        <f t="shared" si="309"/>
        <v>主たる営業所</v>
      </c>
      <c r="H2462" s="405" t="str">
        <f t="shared" si="310"/>
        <v>鹿児島市高麗町３７－２１</v>
      </c>
      <c r="L2462" s="403" t="s">
        <v>13072</v>
      </c>
      <c r="M2462" s="403" t="s">
        <v>13073</v>
      </c>
      <c r="N2462" s="403" t="s">
        <v>6105</v>
      </c>
      <c r="O2462" s="403" t="s">
        <v>7084</v>
      </c>
      <c r="P2462" s="403" t="s">
        <v>6751</v>
      </c>
      <c r="Q2462" s="403" t="s">
        <v>13074</v>
      </c>
      <c r="R2462" s="403" t="s">
        <v>22309</v>
      </c>
      <c r="S2462" s="403" t="s">
        <v>17998</v>
      </c>
      <c r="T2462" s="403" t="s">
        <v>17999</v>
      </c>
      <c r="U2462" s="403"/>
      <c r="V2462" s="403" t="s">
        <v>23024</v>
      </c>
      <c r="W2462" s="403" t="s">
        <v>23024</v>
      </c>
      <c r="X2462" s="403" t="s">
        <v>23024</v>
      </c>
      <c r="Y2462" s="403" t="s">
        <v>23024</v>
      </c>
    </row>
    <row r="2463" spans="1:25">
      <c r="A2463" s="363">
        <f t="shared" si="311"/>
        <v>2462</v>
      </c>
      <c r="B2463" s="363" t="str">
        <f t="shared" si="304"/>
        <v>00</v>
      </c>
      <c r="C2463" s="405" t="str">
        <f t="shared" si="305"/>
        <v>第014564号</v>
      </c>
      <c r="D2463" s="405" t="str">
        <f t="shared" si="306"/>
        <v>表示灯（株）</v>
      </c>
      <c r="E2463" s="405" t="str">
        <f t="shared" si="307"/>
        <v/>
      </c>
      <c r="F2463" s="405" t="str">
        <f t="shared" si="308"/>
        <v>深澤　惣悟</v>
      </c>
      <c r="G2463" s="405" t="str">
        <f t="shared" si="309"/>
        <v>福岡支社</v>
      </c>
      <c r="H2463" s="405" t="str">
        <f t="shared" si="310"/>
        <v>福岡市中央区天神１－６－８</v>
      </c>
      <c r="L2463" s="403" t="s">
        <v>13075</v>
      </c>
      <c r="M2463" s="403" t="s">
        <v>13076</v>
      </c>
      <c r="N2463" s="403" t="s">
        <v>6106</v>
      </c>
      <c r="O2463" s="403" t="s">
        <v>7084</v>
      </c>
      <c r="P2463" s="403" t="s">
        <v>6752</v>
      </c>
      <c r="Q2463" s="403" t="s">
        <v>13077</v>
      </c>
      <c r="R2463" s="403" t="s">
        <v>22310</v>
      </c>
      <c r="S2463" s="403" t="s">
        <v>22311</v>
      </c>
      <c r="T2463" s="403" t="s">
        <v>22312</v>
      </c>
      <c r="U2463" s="403"/>
      <c r="V2463" s="403" t="s">
        <v>7050</v>
      </c>
      <c r="W2463" s="403" t="s">
        <v>18000</v>
      </c>
      <c r="X2463" s="403" t="s">
        <v>17517</v>
      </c>
      <c r="Y2463" s="403" t="s">
        <v>22313</v>
      </c>
    </row>
    <row r="2464" spans="1:25">
      <c r="A2464" s="363">
        <f t="shared" si="311"/>
        <v>2463</v>
      </c>
      <c r="B2464" s="363" t="str">
        <f t="shared" si="304"/>
        <v>00</v>
      </c>
      <c r="C2464" s="405" t="str">
        <f t="shared" si="305"/>
        <v>第014596号</v>
      </c>
      <c r="D2464" s="405" t="str">
        <f t="shared" si="306"/>
        <v>日本昇降機（株）</v>
      </c>
      <c r="E2464" s="405" t="str">
        <f t="shared" si="307"/>
        <v/>
      </c>
      <c r="F2464" s="405" t="str">
        <f t="shared" si="308"/>
        <v>川口　政秋</v>
      </c>
      <c r="G2464" s="405" t="str">
        <f t="shared" si="309"/>
        <v>大分営業所</v>
      </c>
      <c r="H2464" s="405" t="str">
        <f t="shared" si="310"/>
        <v>大分市大津町１－２０－３８</v>
      </c>
      <c r="L2464" s="403" t="s">
        <v>13078</v>
      </c>
      <c r="M2464" s="403" t="s">
        <v>13079</v>
      </c>
      <c r="N2464" s="403" t="s">
        <v>6107</v>
      </c>
      <c r="O2464" s="403" t="s">
        <v>7084</v>
      </c>
      <c r="P2464" s="403" t="s">
        <v>22314</v>
      </c>
      <c r="Q2464" s="403" t="s">
        <v>13080</v>
      </c>
      <c r="R2464" s="403" t="s">
        <v>22315</v>
      </c>
      <c r="S2464" s="403" t="s">
        <v>22316</v>
      </c>
      <c r="T2464" s="403" t="s">
        <v>22317</v>
      </c>
      <c r="U2464" s="403"/>
      <c r="V2464" s="403" t="s">
        <v>7013</v>
      </c>
      <c r="W2464" s="403" t="s">
        <v>18001</v>
      </c>
      <c r="X2464" s="403" t="s">
        <v>11046</v>
      </c>
      <c r="Y2464" s="403" t="s">
        <v>22318</v>
      </c>
    </row>
    <row r="2465" spans="1:25">
      <c r="A2465" s="363">
        <f t="shared" si="311"/>
        <v>2464</v>
      </c>
      <c r="B2465" s="363" t="str">
        <f t="shared" si="304"/>
        <v>00</v>
      </c>
      <c r="C2465" s="405" t="str">
        <f t="shared" si="305"/>
        <v>第014699号</v>
      </c>
      <c r="D2465" s="405" t="str">
        <f t="shared" si="306"/>
        <v>日本メンテナスエンジニヤリング（株）</v>
      </c>
      <c r="E2465" s="405" t="str">
        <f t="shared" si="307"/>
        <v>代表取締役社長</v>
      </c>
      <c r="F2465" s="405" t="str">
        <f t="shared" si="308"/>
        <v>松尾　康人</v>
      </c>
      <c r="G2465" s="405" t="str">
        <f t="shared" si="309"/>
        <v>主たる営業所</v>
      </c>
      <c r="H2465" s="405" t="str">
        <f t="shared" si="310"/>
        <v>大阪市北区同心１－７－１４</v>
      </c>
      <c r="L2465" s="403" t="s">
        <v>13081</v>
      </c>
      <c r="M2465" s="403" t="s">
        <v>13082</v>
      </c>
      <c r="N2465" s="403" t="s">
        <v>6108</v>
      </c>
      <c r="O2465" s="403" t="s">
        <v>7083</v>
      </c>
      <c r="P2465" s="403" t="s">
        <v>22319</v>
      </c>
      <c r="Q2465" s="403" t="s">
        <v>13083</v>
      </c>
      <c r="R2465" s="403" t="s">
        <v>22320</v>
      </c>
      <c r="S2465" s="403" t="s">
        <v>18002</v>
      </c>
      <c r="T2465" s="403" t="s">
        <v>18003</v>
      </c>
      <c r="U2465" s="403"/>
      <c r="V2465" s="403" t="s">
        <v>23024</v>
      </c>
      <c r="W2465" s="403" t="s">
        <v>23024</v>
      </c>
      <c r="X2465" s="403" t="s">
        <v>23024</v>
      </c>
      <c r="Y2465" s="403" t="s">
        <v>23024</v>
      </c>
    </row>
    <row r="2466" spans="1:25">
      <c r="A2466" s="363">
        <f t="shared" si="311"/>
        <v>2465</v>
      </c>
      <c r="B2466" s="363" t="str">
        <f t="shared" si="304"/>
        <v>00</v>
      </c>
      <c r="C2466" s="405" t="str">
        <f t="shared" si="305"/>
        <v>第014708号</v>
      </c>
      <c r="D2466" s="405" t="str">
        <f t="shared" si="306"/>
        <v>ＮＥＣプラットフォームズ（株）</v>
      </c>
      <c r="E2466" s="405" t="str">
        <f t="shared" si="307"/>
        <v/>
      </c>
      <c r="F2466" s="405" t="str">
        <f t="shared" si="308"/>
        <v>福田　幹士</v>
      </c>
      <c r="G2466" s="405" t="str">
        <f t="shared" si="309"/>
        <v>西日本支社</v>
      </c>
      <c r="H2466" s="405" t="str">
        <f t="shared" si="310"/>
        <v>福岡市博多区博多駅前２－２０－１　大博多ビル４Ｆ</v>
      </c>
      <c r="L2466" s="403" t="s">
        <v>13084</v>
      </c>
      <c r="M2466" s="403" t="s">
        <v>13085</v>
      </c>
      <c r="N2466" s="403" t="s">
        <v>6109</v>
      </c>
      <c r="O2466" s="403" t="s">
        <v>7084</v>
      </c>
      <c r="P2466" s="403" t="s">
        <v>6753</v>
      </c>
      <c r="Q2466" s="403" t="s">
        <v>13086</v>
      </c>
      <c r="R2466" s="403" t="s">
        <v>22321</v>
      </c>
      <c r="S2466" s="403" t="s">
        <v>22322</v>
      </c>
      <c r="T2466" s="403" t="s">
        <v>22323</v>
      </c>
      <c r="U2466" s="403"/>
      <c r="V2466" s="403" t="s">
        <v>7036</v>
      </c>
      <c r="W2466" s="403" t="s">
        <v>18004</v>
      </c>
      <c r="X2466" s="403" t="s">
        <v>13015</v>
      </c>
      <c r="Y2466" s="403" t="s">
        <v>22324</v>
      </c>
    </row>
    <row r="2467" spans="1:25">
      <c r="A2467" s="363">
        <f t="shared" si="311"/>
        <v>2466</v>
      </c>
      <c r="B2467" s="363" t="str">
        <f t="shared" si="304"/>
        <v>00</v>
      </c>
      <c r="C2467" s="405" t="str">
        <f t="shared" si="305"/>
        <v>第014742号</v>
      </c>
      <c r="D2467" s="405" t="str">
        <f t="shared" si="306"/>
        <v>（株）大島造船所</v>
      </c>
      <c r="E2467" s="405" t="str">
        <f t="shared" si="307"/>
        <v/>
      </c>
      <c r="F2467" s="405" t="str">
        <f t="shared" si="308"/>
        <v>松山　善博</v>
      </c>
      <c r="G2467" s="405" t="str">
        <f t="shared" si="309"/>
        <v>九州営業所</v>
      </c>
      <c r="H2467" s="405" t="str">
        <f t="shared" si="310"/>
        <v>福岡市博多区博多駅前１－４－１</v>
      </c>
      <c r="L2467" s="403" t="s">
        <v>13087</v>
      </c>
      <c r="M2467" s="403" t="s">
        <v>13088</v>
      </c>
      <c r="N2467" s="403" t="s">
        <v>6110</v>
      </c>
      <c r="O2467" s="403" t="s">
        <v>7083</v>
      </c>
      <c r="P2467" s="403" t="s">
        <v>22325</v>
      </c>
      <c r="Q2467" s="403" t="s">
        <v>13089</v>
      </c>
      <c r="R2467" s="403" t="s">
        <v>22326</v>
      </c>
      <c r="S2467" s="403" t="s">
        <v>22327</v>
      </c>
      <c r="T2467" s="403" t="s">
        <v>22328</v>
      </c>
      <c r="U2467" s="403"/>
      <c r="V2467" s="403" t="s">
        <v>7012</v>
      </c>
      <c r="W2467" s="403" t="s">
        <v>22329</v>
      </c>
      <c r="X2467" s="403" t="s">
        <v>13015</v>
      </c>
      <c r="Y2467" s="403" t="s">
        <v>21011</v>
      </c>
    </row>
    <row r="2468" spans="1:25">
      <c r="A2468" s="363">
        <f t="shared" si="311"/>
        <v>2467</v>
      </c>
      <c r="B2468" s="363" t="str">
        <f t="shared" si="304"/>
        <v>00</v>
      </c>
      <c r="C2468" s="405" t="str">
        <f t="shared" si="305"/>
        <v>第014919号</v>
      </c>
      <c r="D2468" s="405" t="str">
        <f t="shared" si="306"/>
        <v>テクノシステム（株）</v>
      </c>
      <c r="E2468" s="405" t="str">
        <f t="shared" si="307"/>
        <v>代表取締役</v>
      </c>
      <c r="F2468" s="405" t="str">
        <f t="shared" si="308"/>
        <v>梅田　公平</v>
      </c>
      <c r="G2468" s="405" t="str">
        <f t="shared" si="309"/>
        <v>主たる営業所</v>
      </c>
      <c r="H2468" s="405" t="str">
        <f t="shared" si="310"/>
        <v>福岡市博多区井相田３－７－１２</v>
      </c>
      <c r="L2468" s="403" t="s">
        <v>13090</v>
      </c>
      <c r="M2468" s="403" t="s">
        <v>13091</v>
      </c>
      <c r="N2468" s="403" t="s">
        <v>6111</v>
      </c>
      <c r="O2468" s="403" t="s">
        <v>7084</v>
      </c>
      <c r="P2468" s="403" t="s">
        <v>6754</v>
      </c>
      <c r="Q2468" s="403" t="s">
        <v>13092</v>
      </c>
      <c r="R2468" s="403" t="s">
        <v>22330</v>
      </c>
      <c r="S2468" s="403" t="s">
        <v>18005</v>
      </c>
      <c r="T2468" s="403" t="s">
        <v>18006</v>
      </c>
      <c r="U2468" s="403"/>
      <c r="V2468" s="403" t="s">
        <v>23024</v>
      </c>
      <c r="W2468" s="403" t="s">
        <v>23024</v>
      </c>
      <c r="X2468" s="403" t="s">
        <v>23024</v>
      </c>
      <c r="Y2468" s="403" t="s">
        <v>23024</v>
      </c>
    </row>
    <row r="2469" spans="1:25">
      <c r="A2469" s="363">
        <f t="shared" si="311"/>
        <v>2468</v>
      </c>
      <c r="B2469" s="363" t="str">
        <f t="shared" si="304"/>
        <v>00</v>
      </c>
      <c r="C2469" s="405" t="str">
        <f t="shared" si="305"/>
        <v>第015026号</v>
      </c>
      <c r="D2469" s="405" t="str">
        <f t="shared" si="306"/>
        <v>鎌田バイオ・エンジニアリング（株）</v>
      </c>
      <c r="E2469" s="405" t="str">
        <f t="shared" si="307"/>
        <v>代表取締役</v>
      </c>
      <c r="F2469" s="405" t="str">
        <f t="shared" si="308"/>
        <v>鎌田　博文</v>
      </c>
      <c r="G2469" s="405" t="str">
        <f t="shared" si="309"/>
        <v>主たる営業所</v>
      </c>
      <c r="H2469" s="405" t="str">
        <f t="shared" si="310"/>
        <v>福岡市博多区博多駅南３－２５－１</v>
      </c>
      <c r="L2469" s="403" t="s">
        <v>13093</v>
      </c>
      <c r="M2469" s="403" t="s">
        <v>13094</v>
      </c>
      <c r="N2469" s="403" t="s">
        <v>6112</v>
      </c>
      <c r="O2469" s="403" t="s">
        <v>7084</v>
      </c>
      <c r="P2469" s="403" t="s">
        <v>6755</v>
      </c>
      <c r="Q2469" s="403" t="s">
        <v>11975</v>
      </c>
      <c r="R2469" s="403" t="s">
        <v>22331</v>
      </c>
      <c r="S2469" s="403" t="s">
        <v>18007</v>
      </c>
      <c r="T2469" s="403" t="s">
        <v>18008</v>
      </c>
      <c r="U2469" s="403"/>
      <c r="V2469" s="403" t="s">
        <v>23024</v>
      </c>
      <c r="W2469" s="403" t="s">
        <v>23024</v>
      </c>
      <c r="X2469" s="403" t="s">
        <v>23024</v>
      </c>
      <c r="Y2469" s="403" t="s">
        <v>23024</v>
      </c>
    </row>
    <row r="2470" spans="1:25">
      <c r="A2470" s="363">
        <f t="shared" si="311"/>
        <v>2469</v>
      </c>
      <c r="B2470" s="363" t="str">
        <f t="shared" si="304"/>
        <v>00</v>
      </c>
      <c r="C2470" s="405" t="str">
        <f t="shared" si="305"/>
        <v>第015226号</v>
      </c>
      <c r="D2470" s="405" t="str">
        <f t="shared" si="306"/>
        <v>ゼニヤ海洋サービス（株）</v>
      </c>
      <c r="E2470" s="405" t="str">
        <f t="shared" si="307"/>
        <v/>
      </c>
      <c r="F2470" s="405" t="str">
        <f t="shared" si="308"/>
        <v>原口　勇一郎</v>
      </c>
      <c r="G2470" s="405" t="str">
        <f t="shared" si="309"/>
        <v>九州営業所</v>
      </c>
      <c r="H2470" s="405" t="str">
        <f t="shared" si="310"/>
        <v>福岡市東区舞松原２－５－２２</v>
      </c>
      <c r="L2470" s="403" t="s">
        <v>13095</v>
      </c>
      <c r="M2470" s="403" t="s">
        <v>13096</v>
      </c>
      <c r="N2470" s="403" t="s">
        <v>6113</v>
      </c>
      <c r="O2470" s="403" t="s">
        <v>7083</v>
      </c>
      <c r="P2470" s="403" t="s">
        <v>6756</v>
      </c>
      <c r="Q2470" s="403" t="s">
        <v>13097</v>
      </c>
      <c r="R2470" s="403" t="s">
        <v>22332</v>
      </c>
      <c r="S2470" s="403" t="s">
        <v>22333</v>
      </c>
      <c r="T2470" s="403" t="s">
        <v>22334</v>
      </c>
      <c r="U2470" s="403"/>
      <c r="V2470" s="403" t="s">
        <v>7012</v>
      </c>
      <c r="W2470" s="403" t="s">
        <v>18009</v>
      </c>
      <c r="X2470" s="403" t="s">
        <v>18010</v>
      </c>
      <c r="Y2470" s="403" t="s">
        <v>22335</v>
      </c>
    </row>
    <row r="2471" spans="1:25">
      <c r="A2471" s="363">
        <f t="shared" si="311"/>
        <v>2470</v>
      </c>
      <c r="B2471" s="363" t="str">
        <f t="shared" si="304"/>
        <v>00</v>
      </c>
      <c r="C2471" s="405" t="str">
        <f t="shared" si="305"/>
        <v>第015244号</v>
      </c>
      <c r="D2471" s="405" t="str">
        <f t="shared" si="306"/>
        <v>文化シヤッターサービス（株）</v>
      </c>
      <c r="E2471" s="405" t="str">
        <f t="shared" si="307"/>
        <v/>
      </c>
      <c r="F2471" s="405" t="str">
        <f t="shared" si="308"/>
        <v>三浦　悟</v>
      </c>
      <c r="G2471" s="405" t="str">
        <f t="shared" si="309"/>
        <v>九州サービス支店</v>
      </c>
      <c r="H2471" s="405" t="str">
        <f t="shared" si="310"/>
        <v>福岡市博多区元町１－７－８　ＭＦビル２－１０２</v>
      </c>
      <c r="L2471" s="403" t="s">
        <v>13098</v>
      </c>
      <c r="M2471" s="403" t="s">
        <v>13099</v>
      </c>
      <c r="N2471" s="403" t="s">
        <v>6114</v>
      </c>
      <c r="O2471" s="403" t="s">
        <v>7084</v>
      </c>
      <c r="P2471" s="403" t="s">
        <v>6757</v>
      </c>
      <c r="Q2471" s="403" t="s">
        <v>13100</v>
      </c>
      <c r="R2471" s="403" t="s">
        <v>22336</v>
      </c>
      <c r="S2471" s="403" t="s">
        <v>22337</v>
      </c>
      <c r="T2471" s="403" t="s">
        <v>22338</v>
      </c>
      <c r="U2471" s="403"/>
      <c r="V2471" s="403" t="s">
        <v>7051</v>
      </c>
      <c r="W2471" s="403" t="s">
        <v>22339</v>
      </c>
      <c r="X2471" s="403" t="s">
        <v>18011</v>
      </c>
      <c r="Y2471" s="403" t="s">
        <v>22340</v>
      </c>
    </row>
    <row r="2472" spans="1:25">
      <c r="A2472" s="363">
        <f t="shared" si="311"/>
        <v>2471</v>
      </c>
      <c r="B2472" s="363" t="str">
        <f t="shared" si="304"/>
        <v>00</v>
      </c>
      <c r="C2472" s="405" t="str">
        <f t="shared" si="305"/>
        <v>第015344号</v>
      </c>
      <c r="D2472" s="405" t="str">
        <f t="shared" si="306"/>
        <v>日鉄防食（株）</v>
      </c>
      <c r="E2472" s="405" t="str">
        <f t="shared" si="307"/>
        <v/>
      </c>
      <c r="F2472" s="405" t="str">
        <f t="shared" si="308"/>
        <v>長嶺　安孝</v>
      </c>
      <c r="G2472" s="405" t="str">
        <f t="shared" si="309"/>
        <v>九州沖縄営業所</v>
      </c>
      <c r="H2472" s="405" t="str">
        <f t="shared" si="310"/>
        <v>那覇市泉崎１－４－１６</v>
      </c>
      <c r="L2472" s="403" t="s">
        <v>13101</v>
      </c>
      <c r="M2472" s="403" t="s">
        <v>13102</v>
      </c>
      <c r="N2472" s="403" t="s">
        <v>6115</v>
      </c>
      <c r="O2472" s="403" t="s">
        <v>7083</v>
      </c>
      <c r="P2472" s="403" t="s">
        <v>6758</v>
      </c>
      <c r="Q2472" s="403" t="s">
        <v>13103</v>
      </c>
      <c r="R2472" s="403" t="s">
        <v>22341</v>
      </c>
      <c r="S2472" s="403" t="s">
        <v>22342</v>
      </c>
      <c r="T2472" s="403" t="s">
        <v>22343</v>
      </c>
      <c r="U2472" s="403"/>
      <c r="V2472" s="403" t="s">
        <v>7052</v>
      </c>
      <c r="W2472" s="403" t="s">
        <v>18012</v>
      </c>
      <c r="X2472" s="403" t="s">
        <v>18013</v>
      </c>
      <c r="Y2472" s="403" t="s">
        <v>22344</v>
      </c>
    </row>
    <row r="2473" spans="1:25">
      <c r="A2473" s="363">
        <f t="shared" si="311"/>
        <v>2472</v>
      </c>
      <c r="B2473" s="363" t="str">
        <f t="shared" si="304"/>
        <v>00</v>
      </c>
      <c r="C2473" s="405" t="str">
        <f t="shared" si="305"/>
        <v>第015477号</v>
      </c>
      <c r="D2473" s="405" t="str">
        <f t="shared" si="306"/>
        <v>（株）コモンテックス</v>
      </c>
      <c r="E2473" s="405" t="str">
        <f t="shared" si="307"/>
        <v>代表取締役</v>
      </c>
      <c r="F2473" s="405" t="str">
        <f t="shared" si="308"/>
        <v>鈴木　洋康</v>
      </c>
      <c r="G2473" s="405" t="str">
        <f t="shared" si="309"/>
        <v>主たる営業所</v>
      </c>
      <c r="H2473" s="405" t="str">
        <f t="shared" si="310"/>
        <v>新潟市中央区女池神明２－３－１２</v>
      </c>
      <c r="L2473" s="403" t="s">
        <v>13104</v>
      </c>
      <c r="M2473" s="403" t="s">
        <v>13105</v>
      </c>
      <c r="N2473" s="403" t="s">
        <v>6116</v>
      </c>
      <c r="O2473" s="403" t="s">
        <v>7084</v>
      </c>
      <c r="P2473" s="403" t="s">
        <v>6759</v>
      </c>
      <c r="Q2473" s="403" t="s">
        <v>13106</v>
      </c>
      <c r="R2473" s="403" t="s">
        <v>22345</v>
      </c>
      <c r="S2473" s="403" t="s">
        <v>18014</v>
      </c>
      <c r="T2473" s="403" t="s">
        <v>18015</v>
      </c>
      <c r="U2473" s="403"/>
      <c r="V2473" s="403" t="s">
        <v>23024</v>
      </c>
      <c r="W2473" s="403" t="s">
        <v>23024</v>
      </c>
      <c r="X2473" s="403" t="s">
        <v>23024</v>
      </c>
      <c r="Y2473" s="403" t="s">
        <v>23024</v>
      </c>
    </row>
    <row r="2474" spans="1:25">
      <c r="A2474" s="363">
        <f t="shared" si="311"/>
        <v>2473</v>
      </c>
      <c r="B2474" s="363" t="str">
        <f t="shared" si="304"/>
        <v>00</v>
      </c>
      <c r="C2474" s="405" t="str">
        <f t="shared" si="305"/>
        <v>第015525号</v>
      </c>
      <c r="D2474" s="405" t="str">
        <f t="shared" si="306"/>
        <v>飯田鉄工（株）</v>
      </c>
      <c r="E2474" s="405" t="str">
        <f t="shared" si="307"/>
        <v>代表取締役</v>
      </c>
      <c r="F2474" s="405" t="str">
        <f t="shared" si="308"/>
        <v>飯田　康雄</v>
      </c>
      <c r="G2474" s="405" t="str">
        <f t="shared" si="309"/>
        <v>主たる営業所</v>
      </c>
      <c r="H2474" s="405" t="str">
        <f t="shared" si="310"/>
        <v>笛吹市境川町石橋１３１４</v>
      </c>
      <c r="L2474" s="403" t="s">
        <v>13107</v>
      </c>
      <c r="M2474" s="403" t="s">
        <v>13108</v>
      </c>
      <c r="N2474" s="403" t="s">
        <v>6117</v>
      </c>
      <c r="O2474" s="403" t="s">
        <v>7084</v>
      </c>
      <c r="P2474" s="403" t="s">
        <v>6760</v>
      </c>
      <c r="Q2474" s="403" t="s">
        <v>13109</v>
      </c>
      <c r="R2474" s="403" t="s">
        <v>22346</v>
      </c>
      <c r="S2474" s="403" t="s">
        <v>18016</v>
      </c>
      <c r="T2474" s="403" t="s">
        <v>18017</v>
      </c>
      <c r="U2474" s="403"/>
      <c r="V2474" s="403" t="s">
        <v>23024</v>
      </c>
      <c r="W2474" s="403" t="s">
        <v>23024</v>
      </c>
      <c r="X2474" s="403" t="s">
        <v>23024</v>
      </c>
      <c r="Y2474" s="403" t="s">
        <v>23024</v>
      </c>
    </row>
    <row r="2475" spans="1:25">
      <c r="A2475" s="363">
        <f t="shared" si="311"/>
        <v>2474</v>
      </c>
      <c r="B2475" s="363" t="str">
        <f t="shared" si="304"/>
        <v>00</v>
      </c>
      <c r="C2475" s="405" t="str">
        <f t="shared" si="305"/>
        <v>第015582号</v>
      </c>
      <c r="D2475" s="405" t="str">
        <f t="shared" si="306"/>
        <v>協和機電工業（株）</v>
      </c>
      <c r="E2475" s="405" t="str">
        <f t="shared" si="307"/>
        <v/>
      </c>
      <c r="F2475" s="405" t="str">
        <f t="shared" si="308"/>
        <v>多良　栄真</v>
      </c>
      <c r="G2475" s="405" t="str">
        <f t="shared" si="309"/>
        <v>福岡支店</v>
      </c>
      <c r="H2475" s="405" t="str">
        <f t="shared" si="310"/>
        <v>福岡市博多区博多駅前１－６－１６</v>
      </c>
      <c r="L2475" s="403" t="s">
        <v>13110</v>
      </c>
      <c r="M2475" s="403" t="s">
        <v>13111</v>
      </c>
      <c r="N2475" s="403" t="s">
        <v>6118</v>
      </c>
      <c r="O2475" s="403" t="s">
        <v>7084</v>
      </c>
      <c r="P2475" s="403" t="s">
        <v>6761</v>
      </c>
      <c r="Q2475" s="403" t="s">
        <v>13112</v>
      </c>
      <c r="R2475" s="403" t="s">
        <v>22347</v>
      </c>
      <c r="S2475" s="403" t="s">
        <v>22348</v>
      </c>
      <c r="T2475" s="403" t="s">
        <v>22349</v>
      </c>
      <c r="U2475" s="403"/>
      <c r="V2475" s="403" t="s">
        <v>7018</v>
      </c>
      <c r="W2475" s="403" t="s">
        <v>18018</v>
      </c>
      <c r="X2475" s="403" t="s">
        <v>13015</v>
      </c>
      <c r="Y2475" s="403" t="s">
        <v>21182</v>
      </c>
    </row>
    <row r="2476" spans="1:25">
      <c r="A2476" s="363">
        <f t="shared" si="311"/>
        <v>2475</v>
      </c>
      <c r="B2476" s="363" t="str">
        <f t="shared" si="304"/>
        <v>00</v>
      </c>
      <c r="C2476" s="405" t="str">
        <f t="shared" si="305"/>
        <v>第015673号</v>
      </c>
      <c r="D2476" s="405" t="str">
        <f t="shared" si="306"/>
        <v>近畿工業（株）</v>
      </c>
      <c r="E2476" s="405" t="str">
        <f t="shared" si="307"/>
        <v>代表取締役</v>
      </c>
      <c r="F2476" s="405" t="str">
        <f t="shared" si="308"/>
        <v>中邨　義英</v>
      </c>
      <c r="G2476" s="405" t="str">
        <f t="shared" si="309"/>
        <v>主たる営業所</v>
      </c>
      <c r="H2476" s="405" t="str">
        <f t="shared" si="310"/>
        <v>大阪市北区東天満２－６－５</v>
      </c>
      <c r="L2476" s="403" t="s">
        <v>13114</v>
      </c>
      <c r="M2476" s="403" t="s">
        <v>13115</v>
      </c>
      <c r="N2476" s="403" t="s">
        <v>6120</v>
      </c>
      <c r="O2476" s="403" t="s">
        <v>7084</v>
      </c>
      <c r="P2476" s="403" t="s">
        <v>6763</v>
      </c>
      <c r="Q2476" s="403" t="s">
        <v>13116</v>
      </c>
      <c r="R2476" s="403" t="s">
        <v>22350</v>
      </c>
      <c r="S2476" s="403" t="s">
        <v>18021</v>
      </c>
      <c r="T2476" s="403" t="s">
        <v>18022</v>
      </c>
      <c r="U2476" s="403"/>
      <c r="V2476" s="403" t="s">
        <v>23024</v>
      </c>
      <c r="W2476" s="403" t="s">
        <v>23024</v>
      </c>
      <c r="X2476" s="403" t="s">
        <v>23024</v>
      </c>
      <c r="Y2476" s="403" t="s">
        <v>23024</v>
      </c>
    </row>
    <row r="2477" spans="1:25">
      <c r="A2477" s="363">
        <f t="shared" si="311"/>
        <v>2476</v>
      </c>
      <c r="B2477" s="363" t="str">
        <f t="shared" si="304"/>
        <v>00</v>
      </c>
      <c r="C2477" s="405" t="str">
        <f t="shared" si="305"/>
        <v>第015755号</v>
      </c>
      <c r="D2477" s="405" t="str">
        <f t="shared" si="306"/>
        <v>ＮＥＣフィールディング（株）</v>
      </c>
      <c r="E2477" s="405" t="str">
        <f t="shared" si="307"/>
        <v/>
      </c>
      <c r="F2477" s="405" t="str">
        <f t="shared" si="308"/>
        <v>小林　紀征</v>
      </c>
      <c r="G2477" s="405" t="str">
        <f t="shared" si="309"/>
        <v>大分支店</v>
      </c>
      <c r="H2477" s="405" t="str">
        <f t="shared" si="310"/>
        <v>大分市都町１－２－１９　大分都町第一生命ビルディング４階</v>
      </c>
      <c r="L2477" s="403" t="s">
        <v>13117</v>
      </c>
      <c r="M2477" s="403" t="s">
        <v>13118</v>
      </c>
      <c r="N2477" s="403" t="s">
        <v>6121</v>
      </c>
      <c r="O2477" s="403" t="s">
        <v>7084</v>
      </c>
      <c r="P2477" s="403" t="s">
        <v>6764</v>
      </c>
      <c r="Q2477" s="403" t="s">
        <v>12262</v>
      </c>
      <c r="R2477" s="403" t="s">
        <v>22351</v>
      </c>
      <c r="S2477" s="403" t="s">
        <v>22352</v>
      </c>
      <c r="T2477" s="403" t="s">
        <v>22353</v>
      </c>
      <c r="U2477" s="403"/>
      <c r="V2477" s="403" t="s">
        <v>7009</v>
      </c>
      <c r="W2477" s="403" t="s">
        <v>18023</v>
      </c>
      <c r="X2477" s="403" t="s">
        <v>8737</v>
      </c>
      <c r="Y2477" s="403" t="s">
        <v>22354</v>
      </c>
    </row>
    <row r="2478" spans="1:25">
      <c r="A2478" s="363">
        <f t="shared" si="311"/>
        <v>2477</v>
      </c>
      <c r="B2478" s="363" t="str">
        <f t="shared" si="304"/>
        <v>00</v>
      </c>
      <c r="C2478" s="405" t="str">
        <f t="shared" si="305"/>
        <v>第015762号</v>
      </c>
      <c r="D2478" s="405" t="str">
        <f t="shared" si="306"/>
        <v>（株）北洋建設</v>
      </c>
      <c r="E2478" s="405" t="str">
        <f t="shared" si="307"/>
        <v>代表取締役</v>
      </c>
      <c r="F2478" s="405" t="str">
        <f t="shared" si="308"/>
        <v>脇山　章太</v>
      </c>
      <c r="G2478" s="405" t="str">
        <f t="shared" si="309"/>
        <v>主たる営業所</v>
      </c>
      <c r="H2478" s="405" t="str">
        <f t="shared" si="310"/>
        <v>福岡市博多区板付４－６－３３</v>
      </c>
      <c r="L2478" s="403" t="s">
        <v>13119</v>
      </c>
      <c r="M2478" s="403" t="s">
        <v>13120</v>
      </c>
      <c r="N2478" s="403" t="s">
        <v>6122</v>
      </c>
      <c r="O2478" s="403" t="s">
        <v>7084</v>
      </c>
      <c r="P2478" s="403" t="s">
        <v>6765</v>
      </c>
      <c r="Q2478" s="403" t="s">
        <v>13121</v>
      </c>
      <c r="R2478" s="403" t="s">
        <v>22355</v>
      </c>
      <c r="S2478" s="403" t="s">
        <v>18024</v>
      </c>
      <c r="T2478" s="403" t="s">
        <v>18025</v>
      </c>
      <c r="U2478" s="403"/>
      <c r="V2478" s="403" t="s">
        <v>23024</v>
      </c>
      <c r="W2478" s="403" t="s">
        <v>23024</v>
      </c>
      <c r="X2478" s="403" t="s">
        <v>23024</v>
      </c>
      <c r="Y2478" s="403" t="s">
        <v>23024</v>
      </c>
    </row>
    <row r="2479" spans="1:25">
      <c r="A2479" s="363">
        <f t="shared" si="311"/>
        <v>2478</v>
      </c>
      <c r="B2479" s="363" t="str">
        <f t="shared" si="304"/>
        <v>00</v>
      </c>
      <c r="C2479" s="405" t="str">
        <f t="shared" si="305"/>
        <v>第015794号</v>
      </c>
      <c r="D2479" s="405" t="str">
        <f t="shared" si="306"/>
        <v>（株）正興電機製作所</v>
      </c>
      <c r="E2479" s="405" t="str">
        <f t="shared" si="307"/>
        <v>代表取締役社長</v>
      </c>
      <c r="F2479" s="405" t="str">
        <f t="shared" si="308"/>
        <v>添田　英俊</v>
      </c>
      <c r="G2479" s="405" t="str">
        <f t="shared" si="309"/>
        <v>主たる営業所</v>
      </c>
      <c r="H2479" s="405" t="str">
        <f t="shared" si="310"/>
        <v>福岡市博多区東光２－７－２５</v>
      </c>
      <c r="L2479" s="403" t="s">
        <v>13122</v>
      </c>
      <c r="M2479" s="403" t="s">
        <v>13123</v>
      </c>
      <c r="N2479" s="403" t="s">
        <v>6123</v>
      </c>
      <c r="O2479" s="403" t="s">
        <v>7083</v>
      </c>
      <c r="P2479" s="403" t="s">
        <v>6766</v>
      </c>
      <c r="Q2479" s="403" t="s">
        <v>13124</v>
      </c>
      <c r="R2479" s="403" t="s">
        <v>22356</v>
      </c>
      <c r="S2479" s="403" t="s">
        <v>18026</v>
      </c>
      <c r="T2479" s="403" t="s">
        <v>18027</v>
      </c>
      <c r="U2479" s="403"/>
      <c r="V2479" s="403" t="s">
        <v>23024</v>
      </c>
      <c r="W2479" s="403" t="s">
        <v>23024</v>
      </c>
      <c r="X2479" s="403" t="s">
        <v>23024</v>
      </c>
      <c r="Y2479" s="403" t="s">
        <v>23024</v>
      </c>
    </row>
    <row r="2480" spans="1:25">
      <c r="A2480" s="363">
        <f t="shared" si="311"/>
        <v>2479</v>
      </c>
      <c r="B2480" s="363" t="str">
        <f t="shared" si="304"/>
        <v>00</v>
      </c>
      <c r="C2480" s="405" t="str">
        <f t="shared" si="305"/>
        <v>第015811号</v>
      </c>
      <c r="D2480" s="405" t="str">
        <f t="shared" si="306"/>
        <v>森松工業（株）</v>
      </c>
      <c r="E2480" s="405" t="str">
        <f t="shared" si="307"/>
        <v/>
      </c>
      <c r="F2480" s="405" t="str">
        <f t="shared" si="308"/>
        <v>神尾　哲</v>
      </c>
      <c r="G2480" s="405" t="str">
        <f t="shared" si="309"/>
        <v>福岡支店</v>
      </c>
      <c r="H2480" s="405" t="str">
        <f t="shared" si="310"/>
        <v>福岡市中央区大手門３－４－２２　ＯＭビル２Ｆ</v>
      </c>
      <c r="L2480" s="403" t="s">
        <v>13125</v>
      </c>
      <c r="M2480" s="403" t="s">
        <v>13126</v>
      </c>
      <c r="N2480" s="403" t="s">
        <v>6124</v>
      </c>
      <c r="O2480" s="403" t="s">
        <v>7084</v>
      </c>
      <c r="P2480" s="403" t="s">
        <v>6767</v>
      </c>
      <c r="Q2480" s="403" t="s">
        <v>13127</v>
      </c>
      <c r="R2480" s="403" t="s">
        <v>22357</v>
      </c>
      <c r="S2480" s="403" t="s">
        <v>22358</v>
      </c>
      <c r="T2480" s="403" t="s">
        <v>22359</v>
      </c>
      <c r="U2480" s="403"/>
      <c r="V2480" s="403" t="s">
        <v>7018</v>
      </c>
      <c r="W2480" s="403" t="s">
        <v>18028</v>
      </c>
      <c r="X2480" s="403" t="s">
        <v>17595</v>
      </c>
      <c r="Y2480" s="403" t="s">
        <v>22360</v>
      </c>
    </row>
    <row r="2481" spans="1:25">
      <c r="A2481" s="363">
        <f t="shared" si="311"/>
        <v>2480</v>
      </c>
      <c r="B2481" s="363" t="str">
        <f t="shared" si="304"/>
        <v>00</v>
      </c>
      <c r="C2481" s="405" t="str">
        <f t="shared" si="305"/>
        <v>第015942号</v>
      </c>
      <c r="D2481" s="405" t="str">
        <f t="shared" si="306"/>
        <v>（株）テクアノーツ</v>
      </c>
      <c r="E2481" s="405" t="str">
        <f t="shared" si="307"/>
        <v/>
      </c>
      <c r="F2481" s="405" t="str">
        <f t="shared" si="308"/>
        <v>吉田　祐二郎</v>
      </c>
      <c r="G2481" s="405" t="str">
        <f t="shared" si="309"/>
        <v>九州事業所</v>
      </c>
      <c r="H2481" s="405" t="str">
        <f t="shared" si="310"/>
        <v>熊本市東区東野４－１－３</v>
      </c>
      <c r="L2481" s="403" t="s">
        <v>13128</v>
      </c>
      <c r="M2481" s="403" t="s">
        <v>13129</v>
      </c>
      <c r="N2481" s="403" t="s">
        <v>6125</v>
      </c>
      <c r="O2481" s="403" t="s">
        <v>7084</v>
      </c>
      <c r="P2481" s="403" t="s">
        <v>6768</v>
      </c>
      <c r="Q2481" s="403" t="s">
        <v>13130</v>
      </c>
      <c r="R2481" s="403" t="s">
        <v>22361</v>
      </c>
      <c r="S2481" s="403" t="s">
        <v>22362</v>
      </c>
      <c r="T2481" s="403" t="s">
        <v>22363</v>
      </c>
      <c r="U2481" s="403"/>
      <c r="V2481" s="403" t="s">
        <v>7046</v>
      </c>
      <c r="W2481" s="403" t="s">
        <v>18029</v>
      </c>
      <c r="X2481" s="403" t="s">
        <v>18030</v>
      </c>
      <c r="Y2481" s="403" t="s">
        <v>22364</v>
      </c>
    </row>
    <row r="2482" spans="1:25">
      <c r="A2482" s="363">
        <f t="shared" si="311"/>
        <v>2481</v>
      </c>
      <c r="B2482" s="363" t="str">
        <f t="shared" si="304"/>
        <v>00</v>
      </c>
      <c r="C2482" s="405" t="str">
        <f t="shared" si="305"/>
        <v>第015975号</v>
      </c>
      <c r="D2482" s="405" t="str">
        <f t="shared" si="306"/>
        <v>（株）トーケミ</v>
      </c>
      <c r="E2482" s="405" t="str">
        <f t="shared" si="307"/>
        <v/>
      </c>
      <c r="F2482" s="405" t="str">
        <f t="shared" si="308"/>
        <v>嶋崎　慶一</v>
      </c>
      <c r="G2482" s="405" t="str">
        <f t="shared" si="309"/>
        <v>西部支店</v>
      </c>
      <c r="H2482" s="405" t="str">
        <f t="shared" si="310"/>
        <v>福岡市博多区東光２－１７－１７</v>
      </c>
      <c r="L2482" s="403" t="s">
        <v>13131</v>
      </c>
      <c r="M2482" s="403" t="s">
        <v>13132</v>
      </c>
      <c r="N2482" s="403" t="s">
        <v>6126</v>
      </c>
      <c r="O2482" s="403" t="s">
        <v>7084</v>
      </c>
      <c r="P2482" s="403" t="s">
        <v>6769</v>
      </c>
      <c r="Q2482" s="403" t="s">
        <v>13133</v>
      </c>
      <c r="R2482" s="403" t="s">
        <v>22365</v>
      </c>
      <c r="S2482" s="403" t="s">
        <v>22366</v>
      </c>
      <c r="T2482" s="403" t="s">
        <v>22367</v>
      </c>
      <c r="U2482" s="403"/>
      <c r="V2482" s="403" t="s">
        <v>7008</v>
      </c>
      <c r="W2482" s="403" t="s">
        <v>18031</v>
      </c>
      <c r="X2482" s="403" t="s">
        <v>13124</v>
      </c>
      <c r="Y2482" s="403" t="s">
        <v>22368</v>
      </c>
    </row>
    <row r="2483" spans="1:25">
      <c r="A2483" s="363">
        <f t="shared" si="311"/>
        <v>2482</v>
      </c>
      <c r="B2483" s="363" t="str">
        <f t="shared" si="304"/>
        <v>00</v>
      </c>
      <c r="C2483" s="405" t="str">
        <f t="shared" si="305"/>
        <v>第015995号</v>
      </c>
      <c r="D2483" s="405" t="str">
        <f t="shared" si="306"/>
        <v>イノチオアグリ（株）</v>
      </c>
      <c r="E2483" s="405" t="str">
        <f t="shared" si="307"/>
        <v>代表取締役</v>
      </c>
      <c r="F2483" s="405" t="str">
        <f t="shared" si="308"/>
        <v>石黒　信生</v>
      </c>
      <c r="G2483" s="405" t="str">
        <f t="shared" si="309"/>
        <v>主たる営業所</v>
      </c>
      <c r="H2483" s="405" t="str">
        <f t="shared" si="310"/>
        <v>豊橋市向草間町字北新切９５</v>
      </c>
      <c r="L2483" s="403" t="s">
        <v>13134</v>
      </c>
      <c r="M2483" s="403" t="s">
        <v>13135</v>
      </c>
      <c r="N2483" s="403" t="s">
        <v>6127</v>
      </c>
      <c r="O2483" s="403" t="s">
        <v>7084</v>
      </c>
      <c r="P2483" s="403" t="s">
        <v>6770</v>
      </c>
      <c r="Q2483" s="403" t="s">
        <v>13136</v>
      </c>
      <c r="R2483" s="403" t="s">
        <v>22369</v>
      </c>
      <c r="S2483" s="403" t="s">
        <v>18032</v>
      </c>
      <c r="T2483" s="403" t="s">
        <v>18033</v>
      </c>
      <c r="U2483" s="403"/>
      <c r="V2483" s="403" t="s">
        <v>23024</v>
      </c>
      <c r="W2483" s="403" t="s">
        <v>23024</v>
      </c>
      <c r="X2483" s="403" t="s">
        <v>23024</v>
      </c>
      <c r="Y2483" s="403" t="s">
        <v>23024</v>
      </c>
    </row>
    <row r="2484" spans="1:25">
      <c r="A2484" s="363">
        <f t="shared" si="311"/>
        <v>2483</v>
      </c>
      <c r="B2484" s="363" t="str">
        <f t="shared" si="304"/>
        <v>00</v>
      </c>
      <c r="C2484" s="405" t="str">
        <f t="shared" si="305"/>
        <v>第016063号</v>
      </c>
      <c r="D2484" s="405" t="str">
        <f t="shared" si="306"/>
        <v>共栄環境開発（株）</v>
      </c>
      <c r="E2484" s="405" t="str">
        <f t="shared" si="307"/>
        <v>代表取締役</v>
      </c>
      <c r="F2484" s="405" t="str">
        <f t="shared" si="308"/>
        <v>久留須　智子</v>
      </c>
      <c r="G2484" s="405" t="str">
        <f t="shared" si="309"/>
        <v>主たる営業所</v>
      </c>
      <c r="H2484" s="405" t="str">
        <f t="shared" si="310"/>
        <v>大牟田市汐屋町５－１５</v>
      </c>
      <c r="L2484" s="403" t="s">
        <v>13137</v>
      </c>
      <c r="M2484" s="403" t="s">
        <v>13138</v>
      </c>
      <c r="N2484" s="403" t="s">
        <v>6128</v>
      </c>
      <c r="O2484" s="403" t="s">
        <v>7084</v>
      </c>
      <c r="P2484" s="403" t="s">
        <v>6771</v>
      </c>
      <c r="Q2484" s="403" t="s">
        <v>13139</v>
      </c>
      <c r="R2484" s="403" t="s">
        <v>22370</v>
      </c>
      <c r="S2484" s="403" t="s">
        <v>18034</v>
      </c>
      <c r="T2484" s="403" t="s">
        <v>18035</v>
      </c>
      <c r="U2484" s="403"/>
      <c r="V2484" s="403" t="s">
        <v>23024</v>
      </c>
      <c r="W2484" s="403" t="s">
        <v>23024</v>
      </c>
      <c r="X2484" s="403" t="s">
        <v>23024</v>
      </c>
      <c r="Y2484" s="403" t="s">
        <v>23024</v>
      </c>
    </row>
    <row r="2485" spans="1:25">
      <c r="A2485" s="363">
        <f t="shared" si="311"/>
        <v>2484</v>
      </c>
      <c r="B2485" s="363" t="str">
        <f t="shared" si="304"/>
        <v>00</v>
      </c>
      <c r="C2485" s="405" t="str">
        <f t="shared" si="305"/>
        <v>第016182号</v>
      </c>
      <c r="D2485" s="405" t="str">
        <f t="shared" si="306"/>
        <v>（株）日本電子</v>
      </c>
      <c r="E2485" s="405" t="str">
        <f t="shared" si="307"/>
        <v>代表取締役</v>
      </c>
      <c r="F2485" s="405" t="str">
        <f t="shared" si="308"/>
        <v>梅本　享祐</v>
      </c>
      <c r="G2485" s="405" t="str">
        <f t="shared" si="309"/>
        <v>主たる営業所</v>
      </c>
      <c r="H2485" s="405" t="str">
        <f t="shared" si="310"/>
        <v>福岡市南区折立町５－５９</v>
      </c>
      <c r="L2485" s="403" t="s">
        <v>13140</v>
      </c>
      <c r="M2485" s="403" t="s">
        <v>13141</v>
      </c>
      <c r="N2485" s="403" t="s">
        <v>6129</v>
      </c>
      <c r="O2485" s="403" t="s">
        <v>7084</v>
      </c>
      <c r="P2485" s="403" t="s">
        <v>6772</v>
      </c>
      <c r="Q2485" s="403" t="s">
        <v>13142</v>
      </c>
      <c r="R2485" s="403" t="s">
        <v>22371</v>
      </c>
      <c r="S2485" s="403" t="s">
        <v>18036</v>
      </c>
      <c r="T2485" s="403" t="s">
        <v>18037</v>
      </c>
      <c r="U2485" s="403"/>
      <c r="V2485" s="403" t="s">
        <v>23024</v>
      </c>
      <c r="W2485" s="403" t="s">
        <v>23024</v>
      </c>
      <c r="X2485" s="403" t="s">
        <v>23024</v>
      </c>
      <c r="Y2485" s="403" t="s">
        <v>23024</v>
      </c>
    </row>
    <row r="2486" spans="1:25">
      <c r="A2486" s="363">
        <f t="shared" si="311"/>
        <v>2485</v>
      </c>
      <c r="B2486" s="363" t="str">
        <f t="shared" si="304"/>
        <v>00</v>
      </c>
      <c r="C2486" s="405" t="str">
        <f t="shared" si="305"/>
        <v>第016275号</v>
      </c>
      <c r="D2486" s="405" t="str">
        <f t="shared" si="306"/>
        <v>旭防災設備（株）</v>
      </c>
      <c r="E2486" s="405" t="str">
        <f t="shared" si="307"/>
        <v/>
      </c>
      <c r="F2486" s="405" t="str">
        <f t="shared" si="308"/>
        <v>扇　慎二郎</v>
      </c>
      <c r="G2486" s="405" t="str">
        <f t="shared" si="309"/>
        <v>九州支店</v>
      </c>
      <c r="H2486" s="405" t="str">
        <f t="shared" si="310"/>
        <v>福岡市博多区東比恵３－１６－１４</v>
      </c>
      <c r="L2486" s="403" t="s">
        <v>13143</v>
      </c>
      <c r="M2486" s="403" t="s">
        <v>13144</v>
      </c>
      <c r="N2486" s="403" t="s">
        <v>6130</v>
      </c>
      <c r="O2486" s="403" t="s">
        <v>7084</v>
      </c>
      <c r="P2486" s="403" t="s">
        <v>6773</v>
      </c>
      <c r="Q2486" s="403" t="s">
        <v>13145</v>
      </c>
      <c r="R2486" s="403" t="s">
        <v>22372</v>
      </c>
      <c r="S2486" s="403" t="s">
        <v>22373</v>
      </c>
      <c r="T2486" s="403" t="s">
        <v>22374</v>
      </c>
      <c r="U2486" s="403"/>
      <c r="V2486" s="403" t="s">
        <v>7007</v>
      </c>
      <c r="W2486" s="403" t="s">
        <v>18038</v>
      </c>
      <c r="X2486" s="403" t="s">
        <v>13787</v>
      </c>
      <c r="Y2486" s="403" t="s">
        <v>22375</v>
      </c>
    </row>
    <row r="2487" spans="1:25">
      <c r="A2487" s="363">
        <f t="shared" si="311"/>
        <v>2486</v>
      </c>
      <c r="B2487" s="363" t="str">
        <f t="shared" si="304"/>
        <v>00</v>
      </c>
      <c r="C2487" s="405" t="str">
        <f t="shared" si="305"/>
        <v>第016284号</v>
      </c>
      <c r="D2487" s="405" t="str">
        <f t="shared" si="306"/>
        <v>西日本オートメーション（株）</v>
      </c>
      <c r="E2487" s="405" t="str">
        <f t="shared" si="307"/>
        <v>代表取締役</v>
      </c>
      <c r="F2487" s="405" t="str">
        <f t="shared" si="308"/>
        <v>小貫　順</v>
      </c>
      <c r="G2487" s="405" t="str">
        <f t="shared" si="309"/>
        <v>主たる営業所</v>
      </c>
      <c r="H2487" s="405" t="str">
        <f t="shared" si="310"/>
        <v>福岡市博多区堅粕４－２３－１２</v>
      </c>
      <c r="L2487" s="403" t="s">
        <v>13146</v>
      </c>
      <c r="M2487" s="403" t="s">
        <v>13147</v>
      </c>
      <c r="N2487" s="403" t="s">
        <v>6131</v>
      </c>
      <c r="O2487" s="403" t="s">
        <v>7084</v>
      </c>
      <c r="P2487" s="403" t="s">
        <v>6774</v>
      </c>
      <c r="Q2487" s="403" t="s">
        <v>13148</v>
      </c>
      <c r="R2487" s="403" t="s">
        <v>22376</v>
      </c>
      <c r="S2487" s="403" t="s">
        <v>18039</v>
      </c>
      <c r="T2487" s="403" t="s">
        <v>18040</v>
      </c>
      <c r="U2487" s="403"/>
      <c r="V2487" s="403" t="s">
        <v>23024</v>
      </c>
      <c r="W2487" s="403" t="s">
        <v>23024</v>
      </c>
      <c r="X2487" s="403" t="s">
        <v>23024</v>
      </c>
      <c r="Y2487" s="403" t="s">
        <v>23024</v>
      </c>
    </row>
    <row r="2488" spans="1:25">
      <c r="A2488" s="363">
        <f t="shared" si="311"/>
        <v>2487</v>
      </c>
      <c r="B2488" s="363" t="str">
        <f t="shared" si="304"/>
        <v>00</v>
      </c>
      <c r="C2488" s="405" t="str">
        <f t="shared" si="305"/>
        <v>第016335号</v>
      </c>
      <c r="D2488" s="405" t="str">
        <f t="shared" si="306"/>
        <v>綿半ソリューションズ（株）</v>
      </c>
      <c r="E2488" s="405" t="str">
        <f t="shared" si="307"/>
        <v/>
      </c>
      <c r="F2488" s="405" t="str">
        <f t="shared" si="308"/>
        <v>今井　博</v>
      </c>
      <c r="G2488" s="405" t="str">
        <f t="shared" si="309"/>
        <v>九州営業部</v>
      </c>
      <c r="H2488" s="405" t="str">
        <f t="shared" si="310"/>
        <v>福岡市博多区博多駅前１－６－１６　西鉄博多駅前ビル６階</v>
      </c>
      <c r="L2488" s="403" t="s">
        <v>13149</v>
      </c>
      <c r="M2488" s="403" t="s">
        <v>13150</v>
      </c>
      <c r="N2488" s="403" t="s">
        <v>6132</v>
      </c>
      <c r="O2488" s="403" t="s">
        <v>7084</v>
      </c>
      <c r="P2488" s="403" t="s">
        <v>6775</v>
      </c>
      <c r="Q2488" s="403" t="s">
        <v>13151</v>
      </c>
      <c r="R2488" s="403" t="s">
        <v>22377</v>
      </c>
      <c r="S2488" s="403" t="s">
        <v>22378</v>
      </c>
      <c r="T2488" s="403" t="s">
        <v>22379</v>
      </c>
      <c r="U2488" s="403"/>
      <c r="V2488" s="403" t="s">
        <v>7053</v>
      </c>
      <c r="W2488" s="403" t="s">
        <v>18041</v>
      </c>
      <c r="X2488" s="403" t="s">
        <v>13015</v>
      </c>
      <c r="Y2488" s="403" t="s">
        <v>22380</v>
      </c>
    </row>
    <row r="2489" spans="1:25">
      <c r="A2489" s="363">
        <f t="shared" si="311"/>
        <v>2488</v>
      </c>
      <c r="B2489" s="363" t="str">
        <f t="shared" si="304"/>
        <v>00</v>
      </c>
      <c r="C2489" s="405" t="str">
        <f t="shared" si="305"/>
        <v>第016391号</v>
      </c>
      <c r="D2489" s="405" t="str">
        <f t="shared" si="306"/>
        <v>住友電工システムソリューション（株）</v>
      </c>
      <c r="E2489" s="405" t="str">
        <f t="shared" si="307"/>
        <v/>
      </c>
      <c r="F2489" s="405" t="str">
        <f t="shared" si="308"/>
        <v>棚田　昌一</v>
      </c>
      <c r="G2489" s="405" t="str">
        <f t="shared" si="309"/>
        <v>大阪支社</v>
      </c>
      <c r="H2489" s="405" t="str">
        <f t="shared" si="310"/>
        <v>大阪市西区土佐堀２－２－４</v>
      </c>
      <c r="L2489" s="403" t="s">
        <v>13152</v>
      </c>
      <c r="M2489" s="403" t="s">
        <v>13153</v>
      </c>
      <c r="N2489" s="403" t="s">
        <v>6133</v>
      </c>
      <c r="O2489" s="403" t="s">
        <v>7083</v>
      </c>
      <c r="P2489" s="403" t="s">
        <v>6776</v>
      </c>
      <c r="Q2489" s="403" t="s">
        <v>13154</v>
      </c>
      <c r="R2489" s="403" t="s">
        <v>22381</v>
      </c>
      <c r="S2489" s="403" t="s">
        <v>22382</v>
      </c>
      <c r="T2489" s="403" t="s">
        <v>22383</v>
      </c>
      <c r="U2489" s="403"/>
      <c r="V2489" s="403" t="s">
        <v>7032</v>
      </c>
      <c r="W2489" s="403" t="s">
        <v>18042</v>
      </c>
      <c r="X2489" s="403" t="s">
        <v>13006</v>
      </c>
      <c r="Y2489" s="403" t="s">
        <v>22384</v>
      </c>
    </row>
    <row r="2490" spans="1:25">
      <c r="A2490" s="363">
        <f t="shared" si="311"/>
        <v>2489</v>
      </c>
      <c r="B2490" s="363" t="str">
        <f t="shared" si="304"/>
        <v>00</v>
      </c>
      <c r="C2490" s="405" t="str">
        <f t="shared" si="305"/>
        <v>第016738号</v>
      </c>
      <c r="D2490" s="405" t="str">
        <f t="shared" si="306"/>
        <v>（株）ウォーターテック</v>
      </c>
      <c r="E2490" s="405" t="str">
        <f t="shared" si="307"/>
        <v/>
      </c>
      <c r="F2490" s="405" t="str">
        <f t="shared" si="308"/>
        <v>川越　敏彦</v>
      </c>
      <c r="G2490" s="405" t="str">
        <f t="shared" si="309"/>
        <v>西日本支店</v>
      </c>
      <c r="H2490" s="405" t="str">
        <f t="shared" si="310"/>
        <v>福岡市博多区博多駅前１－１８－６</v>
      </c>
      <c r="L2490" s="403" t="s">
        <v>13155</v>
      </c>
      <c r="M2490" s="403" t="s">
        <v>13156</v>
      </c>
      <c r="N2490" s="403" t="s">
        <v>6134</v>
      </c>
      <c r="O2490" s="403" t="s">
        <v>7084</v>
      </c>
      <c r="P2490" s="403" t="s">
        <v>6777</v>
      </c>
      <c r="Q2490" s="403" t="s">
        <v>12262</v>
      </c>
      <c r="R2490" s="403" t="s">
        <v>22385</v>
      </c>
      <c r="S2490" s="403" t="s">
        <v>22386</v>
      </c>
      <c r="T2490" s="403" t="s">
        <v>22387</v>
      </c>
      <c r="U2490" s="403"/>
      <c r="V2490" s="403" t="s">
        <v>7023</v>
      </c>
      <c r="W2490" s="403" t="s">
        <v>18043</v>
      </c>
      <c r="X2490" s="403" t="s">
        <v>13015</v>
      </c>
      <c r="Y2490" s="403" t="s">
        <v>22388</v>
      </c>
    </row>
    <row r="2491" spans="1:25">
      <c r="A2491" s="363">
        <f t="shared" si="311"/>
        <v>2490</v>
      </c>
      <c r="B2491" s="363" t="str">
        <f t="shared" si="304"/>
        <v>00</v>
      </c>
      <c r="C2491" s="405" t="str">
        <f t="shared" si="305"/>
        <v>第016997号</v>
      </c>
      <c r="D2491" s="405" t="str">
        <f t="shared" si="306"/>
        <v>リュウテック昇降機（株）</v>
      </c>
      <c r="E2491" s="405" t="str">
        <f t="shared" si="307"/>
        <v>代表取締役</v>
      </c>
      <c r="F2491" s="405" t="str">
        <f t="shared" si="308"/>
        <v>赤星　隆幸</v>
      </c>
      <c r="G2491" s="405" t="str">
        <f t="shared" si="309"/>
        <v>主たる営業所</v>
      </c>
      <c r="H2491" s="405" t="str">
        <f t="shared" si="310"/>
        <v>福岡市博多区東那珂３－５－３３</v>
      </c>
      <c r="L2491" s="403" t="s">
        <v>13157</v>
      </c>
      <c r="M2491" s="403" t="s">
        <v>13158</v>
      </c>
      <c r="N2491" s="403" t="s">
        <v>6135</v>
      </c>
      <c r="O2491" s="403" t="s">
        <v>7084</v>
      </c>
      <c r="P2491" s="403" t="s">
        <v>6778</v>
      </c>
      <c r="Q2491" s="403" t="s">
        <v>13159</v>
      </c>
      <c r="R2491" s="403" t="s">
        <v>22389</v>
      </c>
      <c r="S2491" s="403" t="s">
        <v>18044</v>
      </c>
      <c r="T2491" s="403" t="s">
        <v>18045</v>
      </c>
      <c r="U2491" s="403"/>
      <c r="V2491" s="403" t="s">
        <v>23024</v>
      </c>
      <c r="W2491" s="403" t="s">
        <v>23024</v>
      </c>
      <c r="X2491" s="403" t="s">
        <v>23024</v>
      </c>
      <c r="Y2491" s="403" t="s">
        <v>23024</v>
      </c>
    </row>
    <row r="2492" spans="1:25">
      <c r="A2492" s="363">
        <f t="shared" si="311"/>
        <v>2491</v>
      </c>
      <c r="B2492" s="363" t="str">
        <f t="shared" si="304"/>
        <v>00</v>
      </c>
      <c r="C2492" s="405" t="str">
        <f t="shared" si="305"/>
        <v>第017064号</v>
      </c>
      <c r="D2492" s="405" t="str">
        <f t="shared" si="306"/>
        <v>（株）クリタス</v>
      </c>
      <c r="E2492" s="405" t="str">
        <f t="shared" si="307"/>
        <v>代表取締役</v>
      </c>
      <c r="F2492" s="405" t="str">
        <f t="shared" si="308"/>
        <v>鎌田　裕久</v>
      </c>
      <c r="G2492" s="405" t="str">
        <f t="shared" si="309"/>
        <v>主たる営業所</v>
      </c>
      <c r="H2492" s="405" t="str">
        <f t="shared" si="310"/>
        <v>豊島区南池袋１－１１－２２</v>
      </c>
      <c r="L2492" s="403" t="s">
        <v>13160</v>
      </c>
      <c r="M2492" s="403" t="s">
        <v>13161</v>
      </c>
      <c r="N2492" s="403" t="s">
        <v>6136</v>
      </c>
      <c r="O2492" s="403" t="s">
        <v>7084</v>
      </c>
      <c r="P2492" s="403" t="s">
        <v>6779</v>
      </c>
      <c r="Q2492" s="403" t="s">
        <v>13162</v>
      </c>
      <c r="R2492" s="403" t="s">
        <v>22390</v>
      </c>
      <c r="S2492" s="403" t="s">
        <v>18046</v>
      </c>
      <c r="T2492" s="403" t="s">
        <v>18047</v>
      </c>
      <c r="U2492" s="403"/>
      <c r="V2492" s="403" t="s">
        <v>23024</v>
      </c>
      <c r="W2492" s="403" t="s">
        <v>23024</v>
      </c>
      <c r="X2492" s="403" t="s">
        <v>23024</v>
      </c>
      <c r="Y2492" s="403" t="s">
        <v>23024</v>
      </c>
    </row>
    <row r="2493" spans="1:25">
      <c r="A2493" s="363">
        <f t="shared" si="311"/>
        <v>2492</v>
      </c>
      <c r="B2493" s="363" t="str">
        <f t="shared" si="304"/>
        <v>00</v>
      </c>
      <c r="C2493" s="405" t="str">
        <f t="shared" si="305"/>
        <v>第017091号</v>
      </c>
      <c r="D2493" s="405" t="str">
        <f t="shared" si="306"/>
        <v>（株）安成工務店</v>
      </c>
      <c r="E2493" s="405" t="str">
        <f t="shared" si="307"/>
        <v>代表取締役</v>
      </c>
      <c r="F2493" s="405" t="str">
        <f t="shared" si="308"/>
        <v>安成　信次</v>
      </c>
      <c r="G2493" s="405" t="str">
        <f t="shared" si="309"/>
        <v>主たる営業所</v>
      </c>
      <c r="H2493" s="405" t="str">
        <f t="shared" si="310"/>
        <v>下関市綾羅木新町３－７－１</v>
      </c>
      <c r="L2493" s="403" t="s">
        <v>13163</v>
      </c>
      <c r="M2493" s="403" t="s">
        <v>13164</v>
      </c>
      <c r="N2493" s="403" t="s">
        <v>6137</v>
      </c>
      <c r="O2493" s="403" t="s">
        <v>7084</v>
      </c>
      <c r="P2493" s="403" t="s">
        <v>6780</v>
      </c>
      <c r="Q2493" s="403" t="s">
        <v>13165</v>
      </c>
      <c r="R2493" s="403" t="s">
        <v>22391</v>
      </c>
      <c r="S2493" s="403" t="s">
        <v>18048</v>
      </c>
      <c r="T2493" s="403" t="s">
        <v>18049</v>
      </c>
      <c r="U2493" s="403"/>
      <c r="V2493" s="403" t="s">
        <v>23024</v>
      </c>
      <c r="W2493" s="403" t="s">
        <v>23024</v>
      </c>
      <c r="X2493" s="403" t="s">
        <v>23024</v>
      </c>
      <c r="Y2493" s="403" t="s">
        <v>23024</v>
      </c>
    </row>
    <row r="2494" spans="1:25">
      <c r="A2494" s="363">
        <f t="shared" si="311"/>
        <v>2493</v>
      </c>
      <c r="B2494" s="363" t="str">
        <f t="shared" si="304"/>
        <v>00</v>
      </c>
      <c r="C2494" s="405" t="str">
        <f t="shared" si="305"/>
        <v>第017149号</v>
      </c>
      <c r="D2494" s="405" t="str">
        <f t="shared" si="306"/>
        <v>メタウォーター（株）</v>
      </c>
      <c r="E2494" s="405" t="str">
        <f t="shared" si="307"/>
        <v/>
      </c>
      <c r="F2494" s="405" t="str">
        <f t="shared" si="308"/>
        <v>片江　生馬</v>
      </c>
      <c r="G2494" s="405" t="str">
        <f t="shared" si="309"/>
        <v>九州営業部</v>
      </c>
      <c r="H2494" s="405" t="str">
        <f t="shared" si="310"/>
        <v>福岡市博多区店屋町５－１８</v>
      </c>
      <c r="L2494" s="403" t="s">
        <v>13166</v>
      </c>
      <c r="M2494" s="403" t="s">
        <v>13167</v>
      </c>
      <c r="N2494" s="403" t="s">
        <v>6138</v>
      </c>
      <c r="O2494" s="403" t="s">
        <v>7083</v>
      </c>
      <c r="P2494" s="403" t="s">
        <v>6781</v>
      </c>
      <c r="Q2494" s="403" t="s">
        <v>12041</v>
      </c>
      <c r="R2494" s="403" t="s">
        <v>22392</v>
      </c>
      <c r="S2494" s="403" t="s">
        <v>22393</v>
      </c>
      <c r="T2494" s="403" t="s">
        <v>22394</v>
      </c>
      <c r="U2494" s="403"/>
      <c r="V2494" s="403" t="s">
        <v>7053</v>
      </c>
      <c r="W2494" s="403" t="s">
        <v>18050</v>
      </c>
      <c r="X2494" s="403" t="s">
        <v>17522</v>
      </c>
      <c r="Y2494" s="403" t="s">
        <v>20792</v>
      </c>
    </row>
    <row r="2495" spans="1:25">
      <c r="A2495" s="363">
        <f t="shared" si="311"/>
        <v>2494</v>
      </c>
      <c r="B2495" s="363" t="str">
        <f t="shared" si="304"/>
        <v>00</v>
      </c>
      <c r="C2495" s="405" t="str">
        <f t="shared" si="305"/>
        <v>第017250号</v>
      </c>
      <c r="D2495" s="405" t="str">
        <f t="shared" si="306"/>
        <v>（株）ウチダテクノ</v>
      </c>
      <c r="E2495" s="405" t="str">
        <f t="shared" si="307"/>
        <v>代表取締役</v>
      </c>
      <c r="F2495" s="405" t="str">
        <f t="shared" si="308"/>
        <v>五木田　行男</v>
      </c>
      <c r="G2495" s="405" t="str">
        <f t="shared" si="309"/>
        <v>主たる営業所</v>
      </c>
      <c r="H2495" s="405" t="str">
        <f t="shared" si="310"/>
        <v>江東区木場２－１７－１６ビサイド木場１階</v>
      </c>
      <c r="L2495" s="403" t="s">
        <v>13168</v>
      </c>
      <c r="M2495" s="403" t="s">
        <v>13169</v>
      </c>
      <c r="N2495" s="403" t="s">
        <v>6139</v>
      </c>
      <c r="O2495" s="403" t="s">
        <v>7084</v>
      </c>
      <c r="P2495" s="403" t="s">
        <v>6782</v>
      </c>
      <c r="Q2495" s="403" t="s">
        <v>13170</v>
      </c>
      <c r="R2495" s="403" t="s">
        <v>22395</v>
      </c>
      <c r="S2495" s="403" t="s">
        <v>18051</v>
      </c>
      <c r="T2495" s="403" t="s">
        <v>18052</v>
      </c>
      <c r="U2495" s="403"/>
      <c r="V2495" s="403" t="s">
        <v>23024</v>
      </c>
      <c r="W2495" s="403" t="s">
        <v>23024</v>
      </c>
      <c r="X2495" s="403" t="s">
        <v>23024</v>
      </c>
      <c r="Y2495" s="403" t="s">
        <v>23024</v>
      </c>
    </row>
    <row r="2496" spans="1:25">
      <c r="A2496" s="363">
        <f t="shared" si="311"/>
        <v>2495</v>
      </c>
      <c r="B2496" s="363" t="str">
        <f t="shared" si="304"/>
        <v>00</v>
      </c>
      <c r="C2496" s="405" t="str">
        <f t="shared" si="305"/>
        <v>第017411号</v>
      </c>
      <c r="D2496" s="405" t="str">
        <f t="shared" si="306"/>
        <v>富士通ネットワークソリューションズ（株）</v>
      </c>
      <c r="E2496" s="405" t="str">
        <f t="shared" si="307"/>
        <v/>
      </c>
      <c r="F2496" s="405" t="str">
        <f t="shared" si="308"/>
        <v>藤原　秀聡</v>
      </c>
      <c r="G2496" s="405" t="str">
        <f t="shared" si="309"/>
        <v>九州事業所</v>
      </c>
      <c r="H2496" s="405" t="str">
        <f t="shared" si="310"/>
        <v>福岡市博多区東比恵１－５－１３</v>
      </c>
      <c r="L2496" s="403" t="s">
        <v>13171</v>
      </c>
      <c r="M2496" s="403" t="s">
        <v>13172</v>
      </c>
      <c r="N2496" s="403" t="s">
        <v>6140</v>
      </c>
      <c r="O2496" s="403" t="s">
        <v>7083</v>
      </c>
      <c r="P2496" s="403" t="s">
        <v>22396</v>
      </c>
      <c r="Q2496" s="403" t="s">
        <v>12600</v>
      </c>
      <c r="R2496" s="403" t="s">
        <v>21701</v>
      </c>
      <c r="S2496" s="403" t="s">
        <v>22397</v>
      </c>
      <c r="T2496" s="403">
        <v>0</v>
      </c>
      <c r="U2496" s="403"/>
      <c r="V2496" s="403" t="s">
        <v>7046</v>
      </c>
      <c r="W2496" s="403" t="s">
        <v>18053</v>
      </c>
      <c r="X2496" s="403" t="s">
        <v>13787</v>
      </c>
      <c r="Y2496" s="403" t="s">
        <v>21705</v>
      </c>
    </row>
    <row r="2497" spans="1:25">
      <c r="A2497" s="363">
        <f t="shared" si="311"/>
        <v>2496</v>
      </c>
      <c r="B2497" s="363" t="str">
        <f t="shared" si="304"/>
        <v>00</v>
      </c>
      <c r="C2497" s="405" t="str">
        <f t="shared" si="305"/>
        <v>第017528号</v>
      </c>
      <c r="D2497" s="405" t="str">
        <f t="shared" si="306"/>
        <v>丸島産業（株）</v>
      </c>
      <c r="E2497" s="405" t="str">
        <f t="shared" si="307"/>
        <v>取締役社長</v>
      </c>
      <c r="F2497" s="405" t="str">
        <f t="shared" si="308"/>
        <v>服部　勝哉</v>
      </c>
      <c r="G2497" s="405" t="str">
        <f t="shared" si="309"/>
        <v>主たる営業所</v>
      </c>
      <c r="H2497" s="405" t="str">
        <f t="shared" si="310"/>
        <v>大阪市中央区谷町５－３－１７</v>
      </c>
      <c r="L2497" s="403" t="s">
        <v>13173</v>
      </c>
      <c r="M2497" s="403" t="s">
        <v>13174</v>
      </c>
      <c r="N2497" s="403" t="s">
        <v>6141</v>
      </c>
      <c r="O2497" s="403" t="s">
        <v>7089</v>
      </c>
      <c r="P2497" s="403" t="s">
        <v>6783</v>
      </c>
      <c r="Q2497" s="403" t="s">
        <v>13175</v>
      </c>
      <c r="R2497" s="403" t="s">
        <v>21494</v>
      </c>
      <c r="S2497" s="403" t="s">
        <v>18054</v>
      </c>
      <c r="T2497" s="403" t="s">
        <v>18055</v>
      </c>
      <c r="U2497" s="403"/>
      <c r="V2497" s="403" t="s">
        <v>23024</v>
      </c>
      <c r="W2497" s="403" t="s">
        <v>23024</v>
      </c>
      <c r="X2497" s="403" t="s">
        <v>23024</v>
      </c>
      <c r="Y2497" s="403" t="s">
        <v>23024</v>
      </c>
    </row>
    <row r="2498" spans="1:25">
      <c r="A2498" s="363">
        <f t="shared" si="311"/>
        <v>2497</v>
      </c>
      <c r="B2498" s="363" t="str">
        <f t="shared" ref="B2498:B2561" si="312">LEFT(L2498,2)</f>
        <v>00</v>
      </c>
      <c r="C2498" s="405" t="str">
        <f t="shared" ref="C2498:C2561" si="313">IF(B2498="","","第"&amp;RIGHT(L2498,6)&amp;"号")</f>
        <v>第017534号</v>
      </c>
      <c r="D2498" s="405" t="str">
        <f t="shared" ref="D2498:D2561" si="314">N2498</f>
        <v>（株）創電</v>
      </c>
      <c r="E2498" s="405" t="str">
        <f t="shared" ref="E2498:E2561" si="315">IF(V2498="　",O2498,"")</f>
        <v>代表取締役</v>
      </c>
      <c r="F2498" s="405" t="str">
        <f t="shared" ref="F2498:F2561" si="316">IF(V2498="　",P2498,W2498)</f>
        <v>南崎　裕樹</v>
      </c>
      <c r="G2498" s="405" t="str">
        <f t="shared" ref="G2498:G2561" si="317">IF(V2498="　","主たる営業所",V2498)</f>
        <v>主たる営業所</v>
      </c>
      <c r="H2498" s="405" t="str">
        <f t="shared" ref="H2498:H2561" si="318">IF(V2498="　",R2498,Y2498)</f>
        <v>福岡市中央区白金２－１１－９　ＣＲ福岡ビル２Ｆ</v>
      </c>
      <c r="L2498" s="403" t="s">
        <v>13176</v>
      </c>
      <c r="M2498" s="403" t="s">
        <v>13177</v>
      </c>
      <c r="N2498" s="403" t="s">
        <v>6142</v>
      </c>
      <c r="O2498" s="403" t="s">
        <v>7084</v>
      </c>
      <c r="P2498" s="403" t="s">
        <v>6784</v>
      </c>
      <c r="Q2498" s="403" t="s">
        <v>12238</v>
      </c>
      <c r="R2498" s="403" t="s">
        <v>22398</v>
      </c>
      <c r="S2498" s="403" t="s">
        <v>22399</v>
      </c>
      <c r="T2498" s="403" t="s">
        <v>22400</v>
      </c>
      <c r="U2498" s="403"/>
      <c r="V2498" s="403" t="s">
        <v>23024</v>
      </c>
      <c r="W2498" s="403" t="s">
        <v>23024</v>
      </c>
      <c r="X2498" s="403" t="s">
        <v>23024</v>
      </c>
      <c r="Y2498" s="403" t="s">
        <v>23024</v>
      </c>
    </row>
    <row r="2499" spans="1:25">
      <c r="A2499" s="363">
        <f t="shared" ref="A2499:A2562" si="319">IF(B2499="","",A2498+1)</f>
        <v>2498</v>
      </c>
      <c r="B2499" s="363" t="str">
        <f t="shared" si="312"/>
        <v>00</v>
      </c>
      <c r="C2499" s="405" t="str">
        <f t="shared" si="313"/>
        <v>第017607号</v>
      </c>
      <c r="D2499" s="405" t="str">
        <f t="shared" si="314"/>
        <v>（株）エフワンエヌ</v>
      </c>
      <c r="E2499" s="405" t="str">
        <f t="shared" si="315"/>
        <v/>
      </c>
      <c r="F2499" s="405" t="str">
        <f t="shared" si="316"/>
        <v>岡永　行雄</v>
      </c>
      <c r="G2499" s="405" t="str">
        <f t="shared" si="317"/>
        <v>九州支店</v>
      </c>
      <c r="H2499" s="405" t="str">
        <f t="shared" si="318"/>
        <v>福岡市博多区井相田３－６－３０</v>
      </c>
      <c r="L2499" s="403" t="s">
        <v>13178</v>
      </c>
      <c r="M2499" s="403" t="s">
        <v>13179</v>
      </c>
      <c r="N2499" s="403" t="s">
        <v>6143</v>
      </c>
      <c r="O2499" s="403" t="s">
        <v>7084</v>
      </c>
      <c r="P2499" s="403" t="s">
        <v>6785</v>
      </c>
      <c r="Q2499" s="403" t="s">
        <v>13180</v>
      </c>
      <c r="R2499" s="403" t="s">
        <v>22401</v>
      </c>
      <c r="S2499" s="403" t="s">
        <v>22402</v>
      </c>
      <c r="T2499" s="403" t="s">
        <v>22403</v>
      </c>
      <c r="U2499" s="403"/>
      <c r="V2499" s="403" t="s">
        <v>7007</v>
      </c>
      <c r="W2499" s="403" t="s">
        <v>18056</v>
      </c>
      <c r="X2499" s="403" t="s">
        <v>13092</v>
      </c>
      <c r="Y2499" s="403" t="s">
        <v>22404</v>
      </c>
    </row>
    <row r="2500" spans="1:25">
      <c r="A2500" s="363">
        <f t="shared" si="319"/>
        <v>2499</v>
      </c>
      <c r="B2500" s="363" t="str">
        <f t="shared" si="312"/>
        <v>00</v>
      </c>
      <c r="C2500" s="405" t="str">
        <f t="shared" si="313"/>
        <v>第017622号</v>
      </c>
      <c r="D2500" s="405" t="str">
        <f t="shared" si="314"/>
        <v>（株）前澤エンジニアリングサービス</v>
      </c>
      <c r="E2500" s="405" t="str">
        <f t="shared" si="315"/>
        <v/>
      </c>
      <c r="F2500" s="405" t="str">
        <f t="shared" si="316"/>
        <v>石塚　一博</v>
      </c>
      <c r="G2500" s="405" t="str">
        <f t="shared" si="317"/>
        <v>九州営業所</v>
      </c>
      <c r="H2500" s="405" t="str">
        <f t="shared" si="318"/>
        <v>福岡市中央区天神１－１５－６</v>
      </c>
      <c r="L2500" s="403" t="s">
        <v>13181</v>
      </c>
      <c r="M2500" s="403" t="s">
        <v>13182</v>
      </c>
      <c r="N2500" s="403" t="s">
        <v>6144</v>
      </c>
      <c r="O2500" s="403" t="s">
        <v>7084</v>
      </c>
      <c r="P2500" s="403" t="s">
        <v>6786</v>
      </c>
      <c r="Q2500" s="403" t="s">
        <v>12008</v>
      </c>
      <c r="R2500" s="403" t="s">
        <v>20878</v>
      </c>
      <c r="S2500" s="403" t="s">
        <v>22405</v>
      </c>
      <c r="T2500" s="403" t="s">
        <v>22406</v>
      </c>
      <c r="U2500" s="403"/>
      <c r="V2500" s="403" t="s">
        <v>7012</v>
      </c>
      <c r="W2500" s="403" t="s">
        <v>18057</v>
      </c>
      <c r="X2500" s="403" t="s">
        <v>17517</v>
      </c>
      <c r="Y2500" s="403" t="s">
        <v>20882</v>
      </c>
    </row>
    <row r="2501" spans="1:25">
      <c r="A2501" s="363">
        <f t="shared" si="319"/>
        <v>2500</v>
      </c>
      <c r="B2501" s="363" t="str">
        <f t="shared" si="312"/>
        <v>00</v>
      </c>
      <c r="C2501" s="405" t="str">
        <f t="shared" si="313"/>
        <v>第017674号</v>
      </c>
      <c r="D2501" s="405" t="str">
        <f t="shared" si="314"/>
        <v>三機アクアテック（株）</v>
      </c>
      <c r="E2501" s="405" t="str">
        <f t="shared" si="315"/>
        <v/>
      </c>
      <c r="F2501" s="405" t="str">
        <f t="shared" si="316"/>
        <v>松尾　規文</v>
      </c>
      <c r="G2501" s="405" t="str">
        <f t="shared" si="317"/>
        <v>九州営業所</v>
      </c>
      <c r="H2501" s="405" t="str">
        <f t="shared" si="318"/>
        <v>福岡市中央区天神１－１４－１８</v>
      </c>
      <c r="L2501" s="403" t="s">
        <v>13183</v>
      </c>
      <c r="M2501" s="403" t="s">
        <v>13184</v>
      </c>
      <c r="N2501" s="403" t="s">
        <v>6145</v>
      </c>
      <c r="O2501" s="403" t="s">
        <v>7083</v>
      </c>
      <c r="P2501" s="403" t="s">
        <v>6787</v>
      </c>
      <c r="Q2501" s="403" t="s">
        <v>13185</v>
      </c>
      <c r="R2501" s="403" t="s">
        <v>22407</v>
      </c>
      <c r="S2501" s="403" t="s">
        <v>22408</v>
      </c>
      <c r="T2501" s="403" t="s">
        <v>22409</v>
      </c>
      <c r="U2501" s="403"/>
      <c r="V2501" s="403" t="s">
        <v>7012</v>
      </c>
      <c r="W2501" s="403" t="s">
        <v>18058</v>
      </c>
      <c r="X2501" s="403" t="s">
        <v>17517</v>
      </c>
      <c r="Y2501" s="403" t="s">
        <v>21360</v>
      </c>
    </row>
    <row r="2502" spans="1:25">
      <c r="A2502" s="363">
        <f t="shared" si="319"/>
        <v>2501</v>
      </c>
      <c r="B2502" s="363" t="str">
        <f t="shared" si="312"/>
        <v>00</v>
      </c>
      <c r="C2502" s="405" t="str">
        <f t="shared" si="313"/>
        <v>第017765号</v>
      </c>
      <c r="D2502" s="405" t="str">
        <f t="shared" si="314"/>
        <v>島津システムソリューションズ（株）</v>
      </c>
      <c r="E2502" s="405" t="str">
        <f t="shared" si="315"/>
        <v/>
      </c>
      <c r="F2502" s="405" t="str">
        <f t="shared" si="316"/>
        <v>梶原　雄吾</v>
      </c>
      <c r="G2502" s="405" t="str">
        <f t="shared" si="317"/>
        <v>福岡支店</v>
      </c>
      <c r="H2502" s="405" t="str">
        <f t="shared" si="318"/>
        <v>福岡市博多区冷泉町４－２０島津博多ビル２階</v>
      </c>
      <c r="L2502" s="404" t="s">
        <v>13186</v>
      </c>
      <c r="M2502" s="404" t="s">
        <v>13187</v>
      </c>
      <c r="N2502" s="404" t="s">
        <v>6146</v>
      </c>
      <c r="O2502" s="404" t="s">
        <v>7084</v>
      </c>
      <c r="P2502" s="404" t="s">
        <v>6788</v>
      </c>
      <c r="Q2502" s="404" t="s">
        <v>13188</v>
      </c>
      <c r="R2502" s="404" t="s">
        <v>22410</v>
      </c>
      <c r="S2502" s="404" t="s">
        <v>22411</v>
      </c>
      <c r="T2502" s="404" t="s">
        <v>22412</v>
      </c>
      <c r="U2502" s="404"/>
      <c r="V2502" s="404" t="s">
        <v>7018</v>
      </c>
      <c r="W2502" s="404" t="s">
        <v>18059</v>
      </c>
      <c r="X2502" s="404" t="s">
        <v>17756</v>
      </c>
      <c r="Y2502" s="404" t="s">
        <v>22413</v>
      </c>
    </row>
    <row r="2503" spans="1:25">
      <c r="A2503" s="363">
        <f t="shared" si="319"/>
        <v>2502</v>
      </c>
      <c r="B2503" s="363" t="str">
        <f t="shared" si="312"/>
        <v>00</v>
      </c>
      <c r="C2503" s="405" t="str">
        <f t="shared" si="313"/>
        <v>第017835号</v>
      </c>
      <c r="D2503" s="405" t="str">
        <f t="shared" si="314"/>
        <v>東海鋼管（株）</v>
      </c>
      <c r="E2503" s="405" t="str">
        <f t="shared" si="315"/>
        <v/>
      </c>
      <c r="F2503" s="405" t="str">
        <f t="shared" si="316"/>
        <v>岡田　学</v>
      </c>
      <c r="G2503" s="405" t="str">
        <f t="shared" si="317"/>
        <v>福岡営業所</v>
      </c>
      <c r="H2503" s="405" t="str">
        <f t="shared" si="318"/>
        <v>福岡市博多区博多駅南４－３－９　３０４号室</v>
      </c>
      <c r="L2503" s="402" t="s">
        <v>13189</v>
      </c>
      <c r="M2503" s="402" t="s">
        <v>13190</v>
      </c>
      <c r="N2503" s="402" t="s">
        <v>6147</v>
      </c>
      <c r="O2503" s="402" t="s">
        <v>7084</v>
      </c>
      <c r="P2503" s="402" t="s">
        <v>6789</v>
      </c>
      <c r="Q2503" s="402" t="s">
        <v>13191</v>
      </c>
      <c r="R2503" s="402" t="s">
        <v>22414</v>
      </c>
      <c r="S2503" s="402" t="s">
        <v>22415</v>
      </c>
      <c r="T2503" s="402" t="s">
        <v>22416</v>
      </c>
      <c r="U2503" s="402"/>
      <c r="V2503" s="402" t="s">
        <v>7010</v>
      </c>
      <c r="W2503" s="402" t="s">
        <v>18060</v>
      </c>
      <c r="X2503" s="402" t="s">
        <v>11975</v>
      </c>
      <c r="Y2503" s="402" t="s">
        <v>22417</v>
      </c>
    </row>
    <row r="2504" spans="1:25">
      <c r="A2504" s="363">
        <f t="shared" si="319"/>
        <v>2503</v>
      </c>
      <c r="B2504" s="363" t="str">
        <f t="shared" si="312"/>
        <v>00</v>
      </c>
      <c r="C2504" s="405" t="str">
        <f t="shared" si="313"/>
        <v>第017925号</v>
      </c>
      <c r="D2504" s="405" t="str">
        <f t="shared" si="314"/>
        <v>シンク・エンジニアリング（株）</v>
      </c>
      <c r="E2504" s="405" t="str">
        <f t="shared" si="315"/>
        <v>代表取締役</v>
      </c>
      <c r="F2504" s="405" t="str">
        <f t="shared" si="316"/>
        <v>岡村　勝也</v>
      </c>
      <c r="G2504" s="405" t="str">
        <f t="shared" si="317"/>
        <v>主たる営業所</v>
      </c>
      <c r="H2504" s="405" t="str">
        <f t="shared" si="318"/>
        <v>目黒区自由が丘３－１６－１５</v>
      </c>
      <c r="L2504" s="403" t="s">
        <v>13192</v>
      </c>
      <c r="M2504" s="403" t="s">
        <v>13193</v>
      </c>
      <c r="N2504" s="403" t="s">
        <v>6148</v>
      </c>
      <c r="O2504" s="403" t="s">
        <v>7084</v>
      </c>
      <c r="P2504" s="403" t="s">
        <v>6790</v>
      </c>
      <c r="Q2504" s="403" t="s">
        <v>13194</v>
      </c>
      <c r="R2504" s="403" t="s">
        <v>22418</v>
      </c>
      <c r="S2504" s="403" t="s">
        <v>18061</v>
      </c>
      <c r="T2504" s="403" t="s">
        <v>18062</v>
      </c>
      <c r="U2504" s="403"/>
      <c r="V2504" s="403" t="s">
        <v>23024</v>
      </c>
      <c r="W2504" s="403" t="s">
        <v>23024</v>
      </c>
      <c r="X2504" s="403" t="s">
        <v>23024</v>
      </c>
      <c r="Y2504" s="403" t="s">
        <v>23024</v>
      </c>
    </row>
    <row r="2505" spans="1:25">
      <c r="A2505" s="363">
        <f t="shared" si="319"/>
        <v>2504</v>
      </c>
      <c r="B2505" s="363" t="str">
        <f t="shared" si="312"/>
        <v>00</v>
      </c>
      <c r="C2505" s="405" t="str">
        <f t="shared" si="313"/>
        <v>第017929号</v>
      </c>
      <c r="D2505" s="405" t="str">
        <f t="shared" si="314"/>
        <v>タカオ（株）</v>
      </c>
      <c r="E2505" s="405" t="str">
        <f t="shared" si="315"/>
        <v>代表取締役</v>
      </c>
      <c r="F2505" s="405" t="str">
        <f t="shared" si="316"/>
        <v>高尾　典秀</v>
      </c>
      <c r="G2505" s="405" t="str">
        <f t="shared" si="317"/>
        <v>主たる営業所</v>
      </c>
      <c r="H2505" s="405" t="str">
        <f t="shared" si="318"/>
        <v>福山市御幸町中津原１７８７－１</v>
      </c>
      <c r="L2505" s="403" t="s">
        <v>13195</v>
      </c>
      <c r="M2505" s="403" t="s">
        <v>13196</v>
      </c>
      <c r="N2505" s="403" t="s">
        <v>6149</v>
      </c>
      <c r="O2505" s="403" t="s">
        <v>7084</v>
      </c>
      <c r="P2505" s="403" t="s">
        <v>6791</v>
      </c>
      <c r="Q2505" s="403" t="s">
        <v>13197</v>
      </c>
      <c r="R2505" s="403" t="s">
        <v>22419</v>
      </c>
      <c r="S2505" s="403" t="s">
        <v>18063</v>
      </c>
      <c r="T2505" s="403" t="s">
        <v>18064</v>
      </c>
      <c r="U2505" s="403"/>
      <c r="V2505" s="403" t="s">
        <v>23024</v>
      </c>
      <c r="W2505" s="403" t="s">
        <v>23024</v>
      </c>
      <c r="X2505" s="403" t="s">
        <v>23024</v>
      </c>
      <c r="Y2505" s="403" t="s">
        <v>23024</v>
      </c>
    </row>
    <row r="2506" spans="1:25">
      <c r="A2506" s="363">
        <f t="shared" si="319"/>
        <v>2505</v>
      </c>
      <c r="B2506" s="363" t="str">
        <f t="shared" si="312"/>
        <v>00</v>
      </c>
      <c r="C2506" s="405" t="str">
        <f t="shared" si="313"/>
        <v>第018193号</v>
      </c>
      <c r="D2506" s="405" t="str">
        <f t="shared" si="314"/>
        <v>東和スポーツ施設（株）</v>
      </c>
      <c r="E2506" s="405" t="str">
        <f t="shared" si="315"/>
        <v>代表取締役</v>
      </c>
      <c r="F2506" s="405" t="str">
        <f t="shared" si="316"/>
        <v>川谷　真輝</v>
      </c>
      <c r="G2506" s="405" t="str">
        <f t="shared" si="317"/>
        <v>主たる営業所</v>
      </c>
      <c r="H2506" s="405" t="str">
        <f t="shared" si="318"/>
        <v>京都市左京区北白川下池田町７９－１</v>
      </c>
      <c r="L2506" s="403" t="s">
        <v>13198</v>
      </c>
      <c r="M2506" s="403" t="s">
        <v>13199</v>
      </c>
      <c r="N2506" s="403" t="s">
        <v>6150</v>
      </c>
      <c r="O2506" s="403" t="s">
        <v>7084</v>
      </c>
      <c r="P2506" s="403" t="s">
        <v>6792</v>
      </c>
      <c r="Q2506" s="403" t="s">
        <v>13200</v>
      </c>
      <c r="R2506" s="403" t="s">
        <v>22420</v>
      </c>
      <c r="S2506" s="403" t="s">
        <v>18065</v>
      </c>
      <c r="T2506" s="403" t="s">
        <v>18066</v>
      </c>
      <c r="U2506" s="403"/>
      <c r="V2506" s="403" t="s">
        <v>23024</v>
      </c>
      <c r="W2506" s="403" t="s">
        <v>23024</v>
      </c>
      <c r="X2506" s="403" t="s">
        <v>23024</v>
      </c>
      <c r="Y2506" s="403" t="s">
        <v>23024</v>
      </c>
    </row>
    <row r="2507" spans="1:25">
      <c r="A2507" s="363">
        <f t="shared" si="319"/>
        <v>2506</v>
      </c>
      <c r="B2507" s="363" t="str">
        <f t="shared" si="312"/>
        <v>00</v>
      </c>
      <c r="C2507" s="405" t="str">
        <f t="shared" si="313"/>
        <v>第018263号</v>
      </c>
      <c r="D2507" s="405" t="str">
        <f t="shared" si="314"/>
        <v>ＮＴＴ西日本（株）</v>
      </c>
      <c r="E2507" s="405" t="str">
        <f t="shared" si="315"/>
        <v/>
      </c>
      <c r="F2507" s="405" t="str">
        <f t="shared" si="316"/>
        <v>谷　奈生絵</v>
      </c>
      <c r="G2507" s="405" t="str">
        <f t="shared" si="317"/>
        <v>大分支店</v>
      </c>
      <c r="H2507" s="405" t="str">
        <f t="shared" si="318"/>
        <v>大分市長浜町３－１５－７</v>
      </c>
      <c r="L2507" s="403" t="s">
        <v>13201</v>
      </c>
      <c r="M2507" s="403" t="s">
        <v>22421</v>
      </c>
      <c r="N2507" s="403" t="s">
        <v>22422</v>
      </c>
      <c r="O2507" s="403" t="s">
        <v>7083</v>
      </c>
      <c r="P2507" s="403" t="s">
        <v>6793</v>
      </c>
      <c r="Q2507" s="403" t="s">
        <v>13202</v>
      </c>
      <c r="R2507" s="403" t="s">
        <v>22423</v>
      </c>
      <c r="S2507" s="403" t="s">
        <v>22424</v>
      </c>
      <c r="T2507" s="403" t="s">
        <v>22425</v>
      </c>
      <c r="U2507" s="403"/>
      <c r="V2507" s="403" t="s">
        <v>7009</v>
      </c>
      <c r="W2507" s="403" t="s">
        <v>18067</v>
      </c>
      <c r="X2507" s="403" t="s">
        <v>18068</v>
      </c>
      <c r="Y2507" s="403" t="s">
        <v>22426</v>
      </c>
    </row>
    <row r="2508" spans="1:25">
      <c r="A2508" s="363">
        <f t="shared" si="319"/>
        <v>2507</v>
      </c>
      <c r="B2508" s="363" t="str">
        <f t="shared" si="312"/>
        <v>00</v>
      </c>
      <c r="C2508" s="405" t="str">
        <f t="shared" si="313"/>
        <v>第018264号</v>
      </c>
      <c r="D2508" s="405" t="str">
        <f t="shared" si="314"/>
        <v>ＮＴＴドコモビジネス（株）</v>
      </c>
      <c r="E2508" s="405" t="str">
        <f t="shared" si="315"/>
        <v/>
      </c>
      <c r="F2508" s="405" t="str">
        <f t="shared" si="316"/>
        <v>吉田　優子</v>
      </c>
      <c r="G2508" s="405" t="str">
        <f t="shared" si="317"/>
        <v>九州支社</v>
      </c>
      <c r="H2508" s="405" t="str">
        <f t="shared" si="318"/>
        <v>福岡市中央区渡辺通２－６－１</v>
      </c>
      <c r="L2508" s="403" t="s">
        <v>13203</v>
      </c>
      <c r="M2508" s="403" t="s">
        <v>22427</v>
      </c>
      <c r="N2508" s="403" t="s">
        <v>22428</v>
      </c>
      <c r="O2508" s="403" t="s">
        <v>7083</v>
      </c>
      <c r="P2508" s="403" t="s">
        <v>6794</v>
      </c>
      <c r="Q2508" s="403" t="s">
        <v>13204</v>
      </c>
      <c r="R2508" s="403" t="s">
        <v>22429</v>
      </c>
      <c r="S2508" s="403" t="s">
        <v>22430</v>
      </c>
      <c r="T2508" s="403" t="s">
        <v>22431</v>
      </c>
      <c r="U2508" s="403"/>
      <c r="V2508" s="403" t="s">
        <v>7011</v>
      </c>
      <c r="W2508" s="403" t="s">
        <v>18069</v>
      </c>
      <c r="X2508" s="403" t="s">
        <v>13027</v>
      </c>
      <c r="Y2508" s="403" t="s">
        <v>22432</v>
      </c>
    </row>
    <row r="2509" spans="1:25">
      <c r="A2509" s="363">
        <f t="shared" si="319"/>
        <v>2508</v>
      </c>
      <c r="B2509" s="363" t="str">
        <f t="shared" si="312"/>
        <v>00</v>
      </c>
      <c r="C2509" s="405" t="str">
        <f t="shared" si="313"/>
        <v>第018294号</v>
      </c>
      <c r="D2509" s="405" t="str">
        <f t="shared" si="314"/>
        <v>ＮＴＴインフラネット（株）</v>
      </c>
      <c r="E2509" s="405" t="str">
        <f t="shared" si="315"/>
        <v>代表取締役社長</v>
      </c>
      <c r="F2509" s="405" t="str">
        <f t="shared" si="316"/>
        <v>上原　一郎</v>
      </c>
      <c r="G2509" s="405" t="str">
        <f t="shared" si="317"/>
        <v>主たる営業所</v>
      </c>
      <c r="H2509" s="405" t="str">
        <f t="shared" si="318"/>
        <v>中央区東日本橋１－８－１</v>
      </c>
      <c r="L2509" s="403" t="s">
        <v>13205</v>
      </c>
      <c r="M2509" s="403" t="s">
        <v>13206</v>
      </c>
      <c r="N2509" s="403" t="s">
        <v>22433</v>
      </c>
      <c r="O2509" s="403" t="s">
        <v>7083</v>
      </c>
      <c r="P2509" s="403" t="s">
        <v>6795</v>
      </c>
      <c r="Q2509" s="403" t="s">
        <v>11925</v>
      </c>
      <c r="R2509" s="403" t="s">
        <v>22434</v>
      </c>
      <c r="S2509" s="403" t="s">
        <v>18070</v>
      </c>
      <c r="T2509" s="403">
        <v>0</v>
      </c>
      <c r="U2509" s="403"/>
      <c r="V2509" s="403" t="s">
        <v>23024</v>
      </c>
      <c r="W2509" s="403" t="s">
        <v>23024</v>
      </c>
      <c r="X2509" s="403" t="s">
        <v>23024</v>
      </c>
      <c r="Y2509" s="403" t="s">
        <v>23024</v>
      </c>
    </row>
    <row r="2510" spans="1:25">
      <c r="A2510" s="363">
        <f t="shared" si="319"/>
        <v>2509</v>
      </c>
      <c r="B2510" s="363" t="str">
        <f t="shared" si="312"/>
        <v>00</v>
      </c>
      <c r="C2510" s="405" t="str">
        <f t="shared" si="313"/>
        <v>第018330号</v>
      </c>
      <c r="D2510" s="405" t="str">
        <f t="shared" si="314"/>
        <v>（株）豊国エンジニアリング</v>
      </c>
      <c r="E2510" s="405" t="str">
        <f t="shared" si="315"/>
        <v/>
      </c>
      <c r="F2510" s="405" t="str">
        <f t="shared" si="316"/>
        <v>釘崎　勇二</v>
      </c>
      <c r="G2510" s="405" t="str">
        <f t="shared" si="317"/>
        <v>九州営業所</v>
      </c>
      <c r="H2510" s="405" t="str">
        <f t="shared" si="318"/>
        <v>久留米市東合川新町１１－２８</v>
      </c>
      <c r="L2510" s="403" t="s">
        <v>13207</v>
      </c>
      <c r="M2510" s="403" t="s">
        <v>13208</v>
      </c>
      <c r="N2510" s="403" t="s">
        <v>6151</v>
      </c>
      <c r="O2510" s="403" t="s">
        <v>7084</v>
      </c>
      <c r="P2510" s="403" t="s">
        <v>6796</v>
      </c>
      <c r="Q2510" s="403" t="s">
        <v>12087</v>
      </c>
      <c r="R2510" s="403" t="s">
        <v>22435</v>
      </c>
      <c r="S2510" s="403" t="s">
        <v>22436</v>
      </c>
      <c r="T2510" s="403" t="s">
        <v>22437</v>
      </c>
      <c r="U2510" s="403"/>
      <c r="V2510" s="403" t="s">
        <v>7012</v>
      </c>
      <c r="W2510" s="403" t="s">
        <v>18071</v>
      </c>
      <c r="X2510" s="403" t="s">
        <v>17581</v>
      </c>
      <c r="Y2510" s="403" t="s">
        <v>20974</v>
      </c>
    </row>
    <row r="2511" spans="1:25">
      <c r="A2511" s="363">
        <f t="shared" si="319"/>
        <v>2510</v>
      </c>
      <c r="B2511" s="363" t="str">
        <f t="shared" si="312"/>
        <v>00</v>
      </c>
      <c r="C2511" s="405" t="str">
        <f t="shared" si="313"/>
        <v>第018367号</v>
      </c>
      <c r="D2511" s="405" t="str">
        <f t="shared" si="314"/>
        <v>日水産業（株）</v>
      </c>
      <c r="E2511" s="405" t="str">
        <f t="shared" si="315"/>
        <v/>
      </c>
      <c r="F2511" s="405" t="str">
        <f t="shared" si="316"/>
        <v>竹田　強</v>
      </c>
      <c r="G2511" s="405" t="str">
        <f t="shared" si="317"/>
        <v>関西事業所</v>
      </c>
      <c r="H2511" s="405" t="str">
        <f t="shared" si="318"/>
        <v>堺市中区伏尾４</v>
      </c>
      <c r="L2511" s="403" t="s">
        <v>13209</v>
      </c>
      <c r="M2511" s="403" t="s">
        <v>13210</v>
      </c>
      <c r="N2511" s="403" t="s">
        <v>6152</v>
      </c>
      <c r="O2511" s="403" t="s">
        <v>7084</v>
      </c>
      <c r="P2511" s="403" t="s">
        <v>6797</v>
      </c>
      <c r="Q2511" s="403" t="s">
        <v>13211</v>
      </c>
      <c r="R2511" s="403" t="s">
        <v>22438</v>
      </c>
      <c r="S2511" s="403" t="s">
        <v>22439</v>
      </c>
      <c r="T2511" s="403" t="s">
        <v>22440</v>
      </c>
      <c r="U2511" s="403"/>
      <c r="V2511" s="403" t="s">
        <v>7054</v>
      </c>
      <c r="W2511" s="403" t="s">
        <v>18072</v>
      </c>
      <c r="X2511" s="403" t="s">
        <v>18073</v>
      </c>
      <c r="Y2511" s="403" t="s">
        <v>22441</v>
      </c>
    </row>
    <row r="2512" spans="1:25">
      <c r="A2512" s="363">
        <f t="shared" si="319"/>
        <v>2511</v>
      </c>
      <c r="B2512" s="363" t="str">
        <f t="shared" si="312"/>
        <v>00</v>
      </c>
      <c r="C2512" s="405" t="str">
        <f t="shared" si="313"/>
        <v>第018582号</v>
      </c>
      <c r="D2512" s="405" t="str">
        <f t="shared" si="314"/>
        <v>ＵＢＥマシナリー（株）</v>
      </c>
      <c r="E2512" s="405" t="str">
        <f t="shared" si="315"/>
        <v/>
      </c>
      <c r="F2512" s="405" t="str">
        <f t="shared" si="316"/>
        <v>福田　充</v>
      </c>
      <c r="G2512" s="405" t="str">
        <f t="shared" si="317"/>
        <v>九州支店</v>
      </c>
      <c r="H2512" s="405" t="str">
        <f t="shared" si="318"/>
        <v>福岡市中央区天神１－２－１２</v>
      </c>
      <c r="L2512" s="403" t="s">
        <v>13212</v>
      </c>
      <c r="M2512" s="403" t="s">
        <v>13213</v>
      </c>
      <c r="N2512" s="403" t="s">
        <v>6153</v>
      </c>
      <c r="O2512" s="403" t="s">
        <v>7083</v>
      </c>
      <c r="P2512" s="403" t="s">
        <v>6798</v>
      </c>
      <c r="Q2512" s="403" t="s">
        <v>13214</v>
      </c>
      <c r="R2512" s="403" t="s">
        <v>22442</v>
      </c>
      <c r="S2512" s="403" t="s">
        <v>22443</v>
      </c>
      <c r="T2512" s="403" t="s">
        <v>22444</v>
      </c>
      <c r="U2512" s="403"/>
      <c r="V2512" s="403" t="s">
        <v>7007</v>
      </c>
      <c r="W2512" s="403" t="s">
        <v>18074</v>
      </c>
      <c r="X2512" s="403" t="s">
        <v>17517</v>
      </c>
      <c r="Y2512" s="403" t="s">
        <v>22445</v>
      </c>
    </row>
    <row r="2513" spans="1:25">
      <c r="A2513" s="363">
        <f t="shared" si="319"/>
        <v>2512</v>
      </c>
      <c r="B2513" s="363" t="str">
        <f t="shared" si="312"/>
        <v>00</v>
      </c>
      <c r="C2513" s="405" t="str">
        <f t="shared" si="313"/>
        <v>第018711号</v>
      </c>
      <c r="D2513" s="405" t="str">
        <f t="shared" si="314"/>
        <v>日軽エンジニアリング（株）</v>
      </c>
      <c r="E2513" s="405" t="str">
        <f t="shared" si="315"/>
        <v/>
      </c>
      <c r="F2513" s="405" t="str">
        <f t="shared" si="316"/>
        <v>黒瀬　英彰</v>
      </c>
      <c r="G2513" s="405" t="str">
        <f t="shared" si="317"/>
        <v>九州支店</v>
      </c>
      <c r="H2513" s="405" t="str">
        <f t="shared" si="318"/>
        <v>福岡市博多区博多駅前３－８－１０</v>
      </c>
      <c r="L2513" s="403" t="s">
        <v>13215</v>
      </c>
      <c r="M2513" s="403" t="s">
        <v>13216</v>
      </c>
      <c r="N2513" s="403" t="s">
        <v>6154</v>
      </c>
      <c r="O2513" s="403" t="s">
        <v>7084</v>
      </c>
      <c r="P2513" s="403" t="s">
        <v>6799</v>
      </c>
      <c r="Q2513" s="403" t="s">
        <v>13217</v>
      </c>
      <c r="R2513" s="403" t="s">
        <v>22446</v>
      </c>
      <c r="S2513" s="403" t="s">
        <v>22447</v>
      </c>
      <c r="T2513" s="403" t="s">
        <v>22448</v>
      </c>
      <c r="U2513" s="403"/>
      <c r="V2513" s="403" t="s">
        <v>7007</v>
      </c>
      <c r="W2513" s="403" t="s">
        <v>22449</v>
      </c>
      <c r="X2513" s="403" t="s">
        <v>13015</v>
      </c>
      <c r="Y2513" s="403" t="s">
        <v>22450</v>
      </c>
    </row>
    <row r="2514" spans="1:25">
      <c r="A2514" s="363">
        <f t="shared" si="319"/>
        <v>2513</v>
      </c>
      <c r="B2514" s="363" t="str">
        <f t="shared" si="312"/>
        <v>00</v>
      </c>
      <c r="C2514" s="405" t="str">
        <f t="shared" si="313"/>
        <v>第018747号</v>
      </c>
      <c r="D2514" s="405" t="str">
        <f t="shared" si="314"/>
        <v>横河ソリューションサービス（株）</v>
      </c>
      <c r="E2514" s="405" t="str">
        <f t="shared" si="315"/>
        <v/>
      </c>
      <c r="F2514" s="405" t="str">
        <f t="shared" si="316"/>
        <v>芦田　一郎</v>
      </c>
      <c r="G2514" s="405" t="str">
        <f t="shared" si="317"/>
        <v>九州支店</v>
      </c>
      <c r="H2514" s="405" t="str">
        <f t="shared" si="318"/>
        <v>福岡市博多区御供所町３－２１</v>
      </c>
      <c r="L2514" s="403" t="s">
        <v>13218</v>
      </c>
      <c r="M2514" s="403" t="s">
        <v>13219</v>
      </c>
      <c r="N2514" s="403" t="s">
        <v>6155</v>
      </c>
      <c r="O2514" s="403" t="s">
        <v>7084</v>
      </c>
      <c r="P2514" s="403" t="s">
        <v>22451</v>
      </c>
      <c r="Q2514" s="403" t="s">
        <v>13220</v>
      </c>
      <c r="R2514" s="403" t="s">
        <v>22452</v>
      </c>
      <c r="S2514" s="403" t="s">
        <v>22453</v>
      </c>
      <c r="T2514" s="403" t="s">
        <v>22454</v>
      </c>
      <c r="U2514" s="403"/>
      <c r="V2514" s="403" t="s">
        <v>7007</v>
      </c>
      <c r="W2514" s="403" t="s">
        <v>22455</v>
      </c>
      <c r="X2514" s="403" t="s">
        <v>18075</v>
      </c>
      <c r="Y2514" s="403" t="s">
        <v>22456</v>
      </c>
    </row>
    <row r="2515" spans="1:25">
      <c r="A2515" s="363">
        <f t="shared" si="319"/>
        <v>2514</v>
      </c>
      <c r="B2515" s="363" t="str">
        <f t="shared" si="312"/>
        <v>00</v>
      </c>
      <c r="C2515" s="405" t="str">
        <f t="shared" si="313"/>
        <v>第018798号</v>
      </c>
      <c r="D2515" s="405" t="str">
        <f t="shared" si="314"/>
        <v>エヌ・ティ・ティ・データ・カスタマサービス（株）</v>
      </c>
      <c r="E2515" s="405" t="str">
        <f t="shared" si="315"/>
        <v/>
      </c>
      <c r="F2515" s="405" t="str">
        <f t="shared" si="316"/>
        <v>久保田　浩二</v>
      </c>
      <c r="G2515" s="405" t="str">
        <f t="shared" si="317"/>
        <v>九州支社</v>
      </c>
      <c r="H2515" s="405" t="str">
        <f t="shared" si="318"/>
        <v>福岡市博多区博多駅前１－１７－２１</v>
      </c>
      <c r="L2515" s="403" t="s">
        <v>13221</v>
      </c>
      <c r="M2515" s="403" t="s">
        <v>13222</v>
      </c>
      <c r="N2515" s="403" t="s">
        <v>6156</v>
      </c>
      <c r="O2515" s="403" t="s">
        <v>7084</v>
      </c>
      <c r="P2515" s="403" t="s">
        <v>6800</v>
      </c>
      <c r="Q2515" s="403" t="s">
        <v>13223</v>
      </c>
      <c r="R2515" s="403" t="s">
        <v>22457</v>
      </c>
      <c r="S2515" s="403" t="s">
        <v>22458</v>
      </c>
      <c r="T2515" s="403" t="s">
        <v>22459</v>
      </c>
      <c r="U2515" s="403"/>
      <c r="V2515" s="403" t="s">
        <v>7011</v>
      </c>
      <c r="W2515" s="403" t="s">
        <v>18076</v>
      </c>
      <c r="X2515" s="403" t="s">
        <v>13015</v>
      </c>
      <c r="Y2515" s="403" t="s">
        <v>22460</v>
      </c>
    </row>
    <row r="2516" spans="1:25">
      <c r="A2516" s="363">
        <f t="shared" si="319"/>
        <v>2515</v>
      </c>
      <c r="B2516" s="363" t="str">
        <f t="shared" si="312"/>
        <v>00</v>
      </c>
      <c r="C2516" s="405" t="str">
        <f t="shared" si="313"/>
        <v>第018805号</v>
      </c>
      <c r="D2516" s="405" t="str">
        <f t="shared" si="314"/>
        <v>（株）トータルメディア開発研究所</v>
      </c>
      <c r="E2516" s="405" t="str">
        <f t="shared" si="315"/>
        <v>代表取締役</v>
      </c>
      <c r="F2516" s="405" t="str">
        <f t="shared" si="316"/>
        <v>山村　健一郎</v>
      </c>
      <c r="G2516" s="405" t="str">
        <f t="shared" si="317"/>
        <v>主たる営業所</v>
      </c>
      <c r="H2516" s="405" t="str">
        <f t="shared" si="318"/>
        <v>千代田区紀尾井町３－２３</v>
      </c>
      <c r="L2516" s="403" t="s">
        <v>13224</v>
      </c>
      <c r="M2516" s="403" t="s">
        <v>13225</v>
      </c>
      <c r="N2516" s="403" t="s">
        <v>6157</v>
      </c>
      <c r="O2516" s="403" t="s">
        <v>7084</v>
      </c>
      <c r="P2516" s="403" t="s">
        <v>6801</v>
      </c>
      <c r="Q2516" s="403" t="s">
        <v>13226</v>
      </c>
      <c r="R2516" s="403" t="s">
        <v>22461</v>
      </c>
      <c r="S2516" s="403" t="s">
        <v>18077</v>
      </c>
      <c r="T2516" s="403" t="s">
        <v>18078</v>
      </c>
      <c r="U2516" s="403"/>
      <c r="V2516" s="403" t="s">
        <v>23024</v>
      </c>
      <c r="W2516" s="403" t="s">
        <v>23024</v>
      </c>
      <c r="X2516" s="403" t="s">
        <v>23024</v>
      </c>
      <c r="Y2516" s="403" t="s">
        <v>23024</v>
      </c>
    </row>
    <row r="2517" spans="1:25">
      <c r="A2517" s="363">
        <f t="shared" si="319"/>
        <v>2516</v>
      </c>
      <c r="B2517" s="363" t="str">
        <f t="shared" si="312"/>
        <v>00</v>
      </c>
      <c r="C2517" s="405" t="str">
        <f t="shared" si="313"/>
        <v>第019159号</v>
      </c>
      <c r="D2517" s="405" t="str">
        <f t="shared" si="314"/>
        <v>阪神動力機械（株）</v>
      </c>
      <c r="E2517" s="405" t="str">
        <f t="shared" si="315"/>
        <v>代表取締役</v>
      </c>
      <c r="F2517" s="405" t="str">
        <f t="shared" si="316"/>
        <v>田中　渉</v>
      </c>
      <c r="G2517" s="405" t="str">
        <f t="shared" si="317"/>
        <v>主たる営業所</v>
      </c>
      <c r="H2517" s="405" t="str">
        <f t="shared" si="318"/>
        <v>大阪市此花区四貫島２－２６－７</v>
      </c>
      <c r="L2517" s="403" t="s">
        <v>13227</v>
      </c>
      <c r="M2517" s="403" t="s">
        <v>13228</v>
      </c>
      <c r="N2517" s="403" t="s">
        <v>6158</v>
      </c>
      <c r="O2517" s="403" t="s">
        <v>7084</v>
      </c>
      <c r="P2517" s="403" t="s">
        <v>6802</v>
      </c>
      <c r="Q2517" s="403" t="s">
        <v>13229</v>
      </c>
      <c r="R2517" s="403" t="s">
        <v>22462</v>
      </c>
      <c r="S2517" s="403" t="s">
        <v>18079</v>
      </c>
      <c r="T2517" s="403" t="s">
        <v>18080</v>
      </c>
      <c r="U2517" s="403"/>
      <c r="V2517" s="403" t="s">
        <v>23024</v>
      </c>
      <c r="W2517" s="403" t="s">
        <v>23024</v>
      </c>
      <c r="X2517" s="403" t="s">
        <v>23024</v>
      </c>
      <c r="Y2517" s="403" t="s">
        <v>23024</v>
      </c>
    </row>
    <row r="2518" spans="1:25">
      <c r="A2518" s="363">
        <f t="shared" si="319"/>
        <v>2517</v>
      </c>
      <c r="B2518" s="363" t="str">
        <f t="shared" si="312"/>
        <v>00</v>
      </c>
      <c r="C2518" s="405" t="str">
        <f t="shared" si="313"/>
        <v>第019176号</v>
      </c>
      <c r="D2518" s="405" t="str">
        <f t="shared" si="314"/>
        <v>九昭電設工業（株）</v>
      </c>
      <c r="E2518" s="405" t="str">
        <f t="shared" si="315"/>
        <v>代表取締役</v>
      </c>
      <c r="F2518" s="405" t="str">
        <f t="shared" si="316"/>
        <v>池上　秀一</v>
      </c>
      <c r="G2518" s="405" t="str">
        <f t="shared" si="317"/>
        <v>主たる営業所</v>
      </c>
      <c r="H2518" s="405" t="str">
        <f t="shared" si="318"/>
        <v>北九州市小倉北区西港町３０－４</v>
      </c>
      <c r="L2518" s="403" t="s">
        <v>13230</v>
      </c>
      <c r="M2518" s="403" t="s">
        <v>13231</v>
      </c>
      <c r="N2518" s="403" t="s">
        <v>6159</v>
      </c>
      <c r="O2518" s="403" t="s">
        <v>7084</v>
      </c>
      <c r="P2518" s="403" t="s">
        <v>6803</v>
      </c>
      <c r="Q2518" s="403" t="s">
        <v>13232</v>
      </c>
      <c r="R2518" s="403" t="s">
        <v>22463</v>
      </c>
      <c r="S2518" s="403" t="s">
        <v>22464</v>
      </c>
      <c r="T2518" s="403" t="s">
        <v>22465</v>
      </c>
      <c r="U2518" s="403"/>
      <c r="V2518" s="403" t="s">
        <v>23024</v>
      </c>
      <c r="W2518" s="403" t="s">
        <v>23024</v>
      </c>
      <c r="X2518" s="403" t="s">
        <v>23024</v>
      </c>
      <c r="Y2518" s="403" t="s">
        <v>23024</v>
      </c>
    </row>
    <row r="2519" spans="1:25">
      <c r="A2519" s="363">
        <f t="shared" si="319"/>
        <v>2518</v>
      </c>
      <c r="B2519" s="363" t="str">
        <f t="shared" si="312"/>
        <v>00</v>
      </c>
      <c r="C2519" s="405" t="str">
        <f t="shared" si="313"/>
        <v>第019228号</v>
      </c>
      <c r="D2519" s="405" t="str">
        <f t="shared" si="314"/>
        <v>（株）カワサキマシンシステムズ</v>
      </c>
      <c r="E2519" s="405" t="str">
        <f t="shared" si="315"/>
        <v/>
      </c>
      <c r="F2519" s="405" t="str">
        <f t="shared" si="316"/>
        <v>下重　透</v>
      </c>
      <c r="G2519" s="405" t="str">
        <f t="shared" si="317"/>
        <v>統括本部ガスタービンサービス本部西部事業所</v>
      </c>
      <c r="H2519" s="405" t="str">
        <f t="shared" si="318"/>
        <v>明石市川崎町１－１</v>
      </c>
      <c r="L2519" s="403" t="s">
        <v>13233</v>
      </c>
      <c r="M2519" s="403" t="s">
        <v>13234</v>
      </c>
      <c r="N2519" s="403" t="s">
        <v>6160</v>
      </c>
      <c r="O2519" s="403" t="s">
        <v>7084</v>
      </c>
      <c r="P2519" s="403" t="s">
        <v>22466</v>
      </c>
      <c r="Q2519" s="403" t="s">
        <v>12790</v>
      </c>
      <c r="R2519" s="403" t="s">
        <v>21008</v>
      </c>
      <c r="S2519" s="403" t="s">
        <v>22467</v>
      </c>
      <c r="T2519" s="403" t="s">
        <v>22468</v>
      </c>
      <c r="U2519" s="403"/>
      <c r="V2519" s="403" t="s">
        <v>7055</v>
      </c>
      <c r="W2519" s="403" t="s">
        <v>18081</v>
      </c>
      <c r="X2519" s="403" t="s">
        <v>18082</v>
      </c>
      <c r="Y2519" s="403" t="s">
        <v>22469</v>
      </c>
    </row>
    <row r="2520" spans="1:25">
      <c r="A2520" s="363">
        <f t="shared" si="319"/>
        <v>2519</v>
      </c>
      <c r="B2520" s="363" t="str">
        <f t="shared" si="312"/>
        <v>00</v>
      </c>
      <c r="C2520" s="405" t="str">
        <f t="shared" si="313"/>
        <v>第019238号</v>
      </c>
      <c r="D2520" s="405" t="str">
        <f t="shared" si="314"/>
        <v>（株）旺計社</v>
      </c>
      <c r="E2520" s="405" t="str">
        <f t="shared" si="315"/>
        <v/>
      </c>
      <c r="F2520" s="405" t="str">
        <f t="shared" si="316"/>
        <v>上田　学</v>
      </c>
      <c r="G2520" s="405" t="str">
        <f t="shared" si="317"/>
        <v>大分支店</v>
      </c>
      <c r="H2520" s="405" t="str">
        <f t="shared" si="318"/>
        <v>大分市下郡東１－７－２</v>
      </c>
      <c r="L2520" s="403" t="s">
        <v>13235</v>
      </c>
      <c r="M2520" s="403" t="s">
        <v>13236</v>
      </c>
      <c r="N2520" s="403" t="s">
        <v>6161</v>
      </c>
      <c r="O2520" s="403" t="s">
        <v>7084</v>
      </c>
      <c r="P2520" s="403" t="s">
        <v>6804</v>
      </c>
      <c r="Q2520" s="403" t="s">
        <v>13232</v>
      </c>
      <c r="R2520" s="403" t="s">
        <v>22470</v>
      </c>
      <c r="S2520" s="403" t="s">
        <v>22471</v>
      </c>
      <c r="T2520" s="403" t="s">
        <v>22472</v>
      </c>
      <c r="U2520" s="403"/>
      <c r="V2520" s="403" t="s">
        <v>7009</v>
      </c>
      <c r="W2520" s="403" t="s">
        <v>18083</v>
      </c>
      <c r="X2520" s="403" t="s">
        <v>18084</v>
      </c>
      <c r="Y2520" s="403" t="s">
        <v>22473</v>
      </c>
    </row>
    <row r="2521" spans="1:25">
      <c r="A2521" s="363">
        <f t="shared" si="319"/>
        <v>2520</v>
      </c>
      <c r="B2521" s="363" t="str">
        <f t="shared" si="312"/>
        <v>00</v>
      </c>
      <c r="C2521" s="405" t="str">
        <f t="shared" si="313"/>
        <v>第019258号</v>
      </c>
      <c r="D2521" s="405" t="str">
        <f t="shared" si="314"/>
        <v>第二建設（株）</v>
      </c>
      <c r="E2521" s="405" t="str">
        <f t="shared" si="315"/>
        <v>代表取締役</v>
      </c>
      <c r="F2521" s="405" t="str">
        <f t="shared" si="316"/>
        <v>入江　健太郎</v>
      </c>
      <c r="G2521" s="405" t="str">
        <f t="shared" si="317"/>
        <v>主たる営業所</v>
      </c>
      <c r="H2521" s="405" t="str">
        <f t="shared" si="318"/>
        <v>岡山市北区大和町１－１－３０</v>
      </c>
      <c r="L2521" s="403" t="s">
        <v>13237</v>
      </c>
      <c r="M2521" s="403" t="s">
        <v>13238</v>
      </c>
      <c r="N2521" s="403" t="s">
        <v>6162</v>
      </c>
      <c r="O2521" s="403" t="s">
        <v>7084</v>
      </c>
      <c r="P2521" s="403" t="s">
        <v>6805</v>
      </c>
      <c r="Q2521" s="403" t="s">
        <v>13239</v>
      </c>
      <c r="R2521" s="403" t="s">
        <v>22474</v>
      </c>
      <c r="S2521" s="403" t="s">
        <v>18085</v>
      </c>
      <c r="T2521" s="403" t="s">
        <v>18086</v>
      </c>
      <c r="U2521" s="403"/>
      <c r="V2521" s="403" t="s">
        <v>23024</v>
      </c>
      <c r="W2521" s="403" t="s">
        <v>23024</v>
      </c>
      <c r="X2521" s="403" t="s">
        <v>23024</v>
      </c>
      <c r="Y2521" s="403" t="s">
        <v>23024</v>
      </c>
    </row>
    <row r="2522" spans="1:25">
      <c r="A2522" s="363">
        <f t="shared" si="319"/>
        <v>2521</v>
      </c>
      <c r="B2522" s="363" t="str">
        <f t="shared" si="312"/>
        <v>00</v>
      </c>
      <c r="C2522" s="405" t="str">
        <f t="shared" si="313"/>
        <v>第019264号</v>
      </c>
      <c r="D2522" s="405" t="str">
        <f t="shared" si="314"/>
        <v>（株）興電舎</v>
      </c>
      <c r="E2522" s="405" t="str">
        <f t="shared" si="315"/>
        <v/>
      </c>
      <c r="F2522" s="405" t="str">
        <f t="shared" si="316"/>
        <v>杉本　裕二</v>
      </c>
      <c r="G2522" s="405" t="str">
        <f t="shared" si="317"/>
        <v>大分支店</v>
      </c>
      <c r="H2522" s="405" t="str">
        <f t="shared" si="318"/>
        <v>大分市大分市三佐６－２－６８</v>
      </c>
      <c r="L2522" s="403" t="s">
        <v>13240</v>
      </c>
      <c r="M2522" s="403" t="s">
        <v>11532</v>
      </c>
      <c r="N2522" s="403" t="s">
        <v>6163</v>
      </c>
      <c r="O2522" s="403" t="s">
        <v>7084</v>
      </c>
      <c r="P2522" s="403" t="s">
        <v>6806</v>
      </c>
      <c r="Q2522" s="403" t="s">
        <v>13241</v>
      </c>
      <c r="R2522" s="403" t="s">
        <v>22475</v>
      </c>
      <c r="S2522" s="403" t="s">
        <v>22476</v>
      </c>
      <c r="T2522" s="403" t="s">
        <v>22477</v>
      </c>
      <c r="U2522" s="403"/>
      <c r="V2522" s="403" t="s">
        <v>7009</v>
      </c>
      <c r="W2522" s="403" t="s">
        <v>18087</v>
      </c>
      <c r="X2522" s="403" t="s">
        <v>7413</v>
      </c>
      <c r="Y2522" s="403" t="s">
        <v>22478</v>
      </c>
    </row>
    <row r="2523" spans="1:25">
      <c r="A2523" s="363">
        <f t="shared" si="319"/>
        <v>2522</v>
      </c>
      <c r="B2523" s="363" t="str">
        <f t="shared" si="312"/>
        <v>00</v>
      </c>
      <c r="C2523" s="405" t="str">
        <f t="shared" si="313"/>
        <v>第019285号</v>
      </c>
      <c r="D2523" s="405" t="str">
        <f t="shared" si="314"/>
        <v>アマノ（株）</v>
      </c>
      <c r="E2523" s="405" t="str">
        <f t="shared" si="315"/>
        <v>代表取締役</v>
      </c>
      <c r="F2523" s="405" t="str">
        <f t="shared" si="316"/>
        <v>山崎　学</v>
      </c>
      <c r="G2523" s="405" t="str">
        <f t="shared" si="317"/>
        <v>主たる営業所</v>
      </c>
      <c r="H2523" s="405" t="str">
        <f t="shared" si="318"/>
        <v>横浜市港北区大豆戸町２７５</v>
      </c>
      <c r="L2523" s="403" t="s">
        <v>13242</v>
      </c>
      <c r="M2523" s="403" t="s">
        <v>13243</v>
      </c>
      <c r="N2523" s="403" t="s">
        <v>6164</v>
      </c>
      <c r="O2523" s="403" t="s">
        <v>7084</v>
      </c>
      <c r="P2523" s="403" t="s">
        <v>6807</v>
      </c>
      <c r="Q2523" s="403" t="s">
        <v>13244</v>
      </c>
      <c r="R2523" s="403" t="s">
        <v>22479</v>
      </c>
      <c r="S2523" s="403" t="s">
        <v>18088</v>
      </c>
      <c r="T2523" s="403" t="s">
        <v>18089</v>
      </c>
      <c r="U2523" s="403"/>
      <c r="V2523" s="403" t="s">
        <v>23024</v>
      </c>
      <c r="W2523" s="403" t="s">
        <v>23024</v>
      </c>
      <c r="X2523" s="403" t="s">
        <v>23024</v>
      </c>
      <c r="Y2523" s="403" t="s">
        <v>23024</v>
      </c>
    </row>
    <row r="2524" spans="1:25">
      <c r="A2524" s="363">
        <f t="shared" si="319"/>
        <v>2523</v>
      </c>
      <c r="B2524" s="363" t="str">
        <f t="shared" si="312"/>
        <v>00</v>
      </c>
      <c r="C2524" s="405" t="str">
        <f t="shared" si="313"/>
        <v>第019337号</v>
      </c>
      <c r="D2524" s="405" t="str">
        <f t="shared" si="314"/>
        <v>（株）エヌケーエス</v>
      </c>
      <c r="E2524" s="405" t="str">
        <f t="shared" si="315"/>
        <v>代表取締役</v>
      </c>
      <c r="F2524" s="405" t="str">
        <f t="shared" si="316"/>
        <v>半田　勝彦</v>
      </c>
      <c r="G2524" s="405" t="str">
        <f t="shared" si="317"/>
        <v>主たる営業所</v>
      </c>
      <c r="H2524" s="405" t="str">
        <f t="shared" si="318"/>
        <v>大阪市淀川区新高１－８－１７</v>
      </c>
      <c r="L2524" s="403" t="s">
        <v>13245</v>
      </c>
      <c r="M2524" s="403" t="s">
        <v>13246</v>
      </c>
      <c r="N2524" s="403" t="s">
        <v>6165</v>
      </c>
      <c r="O2524" s="403" t="s">
        <v>7084</v>
      </c>
      <c r="P2524" s="403" t="s">
        <v>6808</v>
      </c>
      <c r="Q2524" s="403" t="s">
        <v>13247</v>
      </c>
      <c r="R2524" s="403" t="s">
        <v>22480</v>
      </c>
      <c r="S2524" s="403" t="s">
        <v>18090</v>
      </c>
      <c r="T2524" s="403" t="s">
        <v>18091</v>
      </c>
      <c r="U2524" s="403"/>
      <c r="V2524" s="403" t="s">
        <v>23024</v>
      </c>
      <c r="W2524" s="403" t="s">
        <v>23024</v>
      </c>
      <c r="X2524" s="403" t="s">
        <v>23024</v>
      </c>
      <c r="Y2524" s="403" t="s">
        <v>23024</v>
      </c>
    </row>
    <row r="2525" spans="1:25">
      <c r="A2525" s="363">
        <f t="shared" si="319"/>
        <v>2524</v>
      </c>
      <c r="B2525" s="363" t="str">
        <f t="shared" si="312"/>
        <v>00</v>
      </c>
      <c r="C2525" s="405" t="str">
        <f t="shared" si="313"/>
        <v>第019557号</v>
      </c>
      <c r="D2525" s="405" t="str">
        <f t="shared" si="314"/>
        <v>渡辺パイプ（株）</v>
      </c>
      <c r="E2525" s="405" t="str">
        <f t="shared" si="315"/>
        <v>代表取締役</v>
      </c>
      <c r="F2525" s="405" t="str">
        <f t="shared" si="316"/>
        <v>渡辺　圭祐</v>
      </c>
      <c r="G2525" s="405" t="str">
        <f t="shared" si="317"/>
        <v>主たる営業所</v>
      </c>
      <c r="H2525" s="405" t="str">
        <f t="shared" si="318"/>
        <v>千代田区大手町１－３－２</v>
      </c>
      <c r="L2525" s="403" t="s">
        <v>13248</v>
      </c>
      <c r="M2525" s="403" t="s">
        <v>13249</v>
      </c>
      <c r="N2525" s="403" t="s">
        <v>6166</v>
      </c>
      <c r="O2525" s="403" t="s">
        <v>7084</v>
      </c>
      <c r="P2525" s="403" t="s">
        <v>6809</v>
      </c>
      <c r="Q2525" s="403" t="s">
        <v>13250</v>
      </c>
      <c r="R2525" s="403" t="s">
        <v>22481</v>
      </c>
      <c r="S2525" s="403" t="s">
        <v>18092</v>
      </c>
      <c r="T2525" s="403" t="s">
        <v>18093</v>
      </c>
      <c r="U2525" s="403"/>
      <c r="V2525" s="403" t="s">
        <v>23024</v>
      </c>
      <c r="W2525" s="403" t="s">
        <v>23024</v>
      </c>
      <c r="X2525" s="403" t="s">
        <v>23024</v>
      </c>
      <c r="Y2525" s="403" t="s">
        <v>23024</v>
      </c>
    </row>
    <row r="2526" spans="1:25">
      <c r="A2526" s="363">
        <f t="shared" si="319"/>
        <v>2525</v>
      </c>
      <c r="B2526" s="363" t="str">
        <f t="shared" si="312"/>
        <v>00</v>
      </c>
      <c r="C2526" s="405" t="str">
        <f t="shared" si="313"/>
        <v>第019623号</v>
      </c>
      <c r="D2526" s="405" t="str">
        <f t="shared" si="314"/>
        <v>東芝ＥＩコントロールシステム（株）</v>
      </c>
      <c r="E2526" s="405" t="str">
        <f t="shared" si="315"/>
        <v/>
      </c>
      <c r="F2526" s="405" t="str">
        <f t="shared" si="316"/>
        <v>佐々木　正広</v>
      </c>
      <c r="G2526" s="405" t="str">
        <f t="shared" si="317"/>
        <v>九州営業所</v>
      </c>
      <c r="H2526" s="405" t="str">
        <f t="shared" si="318"/>
        <v>北九州市小倉北区堺町２－１－１</v>
      </c>
      <c r="L2526" s="403" t="s">
        <v>13251</v>
      </c>
      <c r="M2526" s="403" t="s">
        <v>13252</v>
      </c>
      <c r="N2526" s="403" t="s">
        <v>6167</v>
      </c>
      <c r="O2526" s="403" t="s">
        <v>7084</v>
      </c>
      <c r="P2526" s="403" t="s">
        <v>6810</v>
      </c>
      <c r="Q2526" s="403" t="s">
        <v>13253</v>
      </c>
      <c r="R2526" s="403" t="s">
        <v>21434</v>
      </c>
      <c r="S2526" s="403" t="s">
        <v>22482</v>
      </c>
      <c r="T2526" s="403" t="s">
        <v>22483</v>
      </c>
      <c r="U2526" s="403"/>
      <c r="V2526" s="403" t="s">
        <v>7012</v>
      </c>
      <c r="W2526" s="403" t="s">
        <v>22484</v>
      </c>
      <c r="X2526" s="403" t="s">
        <v>18094</v>
      </c>
      <c r="Y2526" s="403" t="s">
        <v>22485</v>
      </c>
    </row>
    <row r="2527" spans="1:25">
      <c r="A2527" s="363">
        <f t="shared" si="319"/>
        <v>2526</v>
      </c>
      <c r="B2527" s="363" t="str">
        <f t="shared" si="312"/>
        <v>00</v>
      </c>
      <c r="C2527" s="405" t="str">
        <f t="shared" si="313"/>
        <v>第019748号</v>
      </c>
      <c r="D2527" s="405" t="str">
        <f t="shared" si="314"/>
        <v>ダイキンエアテクノ（株）</v>
      </c>
      <c r="E2527" s="405" t="str">
        <f t="shared" si="315"/>
        <v/>
      </c>
      <c r="F2527" s="405" t="str">
        <f t="shared" si="316"/>
        <v>原田　享</v>
      </c>
      <c r="G2527" s="405" t="str">
        <f t="shared" si="317"/>
        <v>大分営業所</v>
      </c>
      <c r="H2527" s="405" t="str">
        <f t="shared" si="318"/>
        <v>大分市鶴崎１８１０－３</v>
      </c>
      <c r="L2527" s="403" t="s">
        <v>13254</v>
      </c>
      <c r="M2527" s="403" t="s">
        <v>13255</v>
      </c>
      <c r="N2527" s="403" t="s">
        <v>6168</v>
      </c>
      <c r="O2527" s="403" t="s">
        <v>7084</v>
      </c>
      <c r="P2527" s="403" t="s">
        <v>6811</v>
      </c>
      <c r="Q2527" s="403" t="s">
        <v>13256</v>
      </c>
      <c r="R2527" s="403" t="s">
        <v>22486</v>
      </c>
      <c r="S2527" s="403" t="s">
        <v>22487</v>
      </c>
      <c r="T2527" s="403" t="s">
        <v>22488</v>
      </c>
      <c r="U2527" s="403"/>
      <c r="V2527" s="403" t="s">
        <v>7013</v>
      </c>
      <c r="W2527" s="403" t="s">
        <v>18095</v>
      </c>
      <c r="X2527" s="403" t="s">
        <v>7484</v>
      </c>
      <c r="Y2527" s="403" t="s">
        <v>22489</v>
      </c>
    </row>
    <row r="2528" spans="1:25">
      <c r="A2528" s="363">
        <f t="shared" si="319"/>
        <v>2527</v>
      </c>
      <c r="B2528" s="363" t="str">
        <f t="shared" si="312"/>
        <v>00</v>
      </c>
      <c r="C2528" s="405" t="str">
        <f t="shared" si="313"/>
        <v>第019760号</v>
      </c>
      <c r="D2528" s="405" t="str">
        <f t="shared" si="314"/>
        <v>アイテック（株）</v>
      </c>
      <c r="E2528" s="405" t="str">
        <f t="shared" si="315"/>
        <v>代表取締役</v>
      </c>
      <c r="F2528" s="405" t="str">
        <f t="shared" si="316"/>
        <v>前田　幸貴</v>
      </c>
      <c r="G2528" s="405" t="str">
        <f t="shared" si="317"/>
        <v>主たる営業所</v>
      </c>
      <c r="H2528" s="405" t="str">
        <f t="shared" si="318"/>
        <v>大阪市北区梅田１－１３－１　大阪梅田ツインタワーズ・サウス</v>
      </c>
      <c r="L2528" s="403" t="s">
        <v>13257</v>
      </c>
      <c r="M2528" s="403" t="s">
        <v>13258</v>
      </c>
      <c r="N2528" s="403" t="s">
        <v>6169</v>
      </c>
      <c r="O2528" s="403" t="s">
        <v>7084</v>
      </c>
      <c r="P2528" s="403" t="s">
        <v>22490</v>
      </c>
      <c r="Q2528" s="403" t="s">
        <v>12834</v>
      </c>
      <c r="R2528" s="403" t="s">
        <v>22491</v>
      </c>
      <c r="S2528" s="403" t="s">
        <v>18096</v>
      </c>
      <c r="T2528" s="403" t="s">
        <v>18097</v>
      </c>
      <c r="U2528" s="403"/>
      <c r="V2528" s="403" t="s">
        <v>23024</v>
      </c>
      <c r="W2528" s="403" t="s">
        <v>23024</v>
      </c>
      <c r="X2528" s="403" t="s">
        <v>23024</v>
      </c>
      <c r="Y2528" s="403" t="s">
        <v>23024</v>
      </c>
    </row>
    <row r="2529" spans="1:25">
      <c r="A2529" s="363">
        <f t="shared" si="319"/>
        <v>2528</v>
      </c>
      <c r="B2529" s="363" t="str">
        <f t="shared" si="312"/>
        <v>00</v>
      </c>
      <c r="C2529" s="405" t="str">
        <f t="shared" si="313"/>
        <v>第019777号</v>
      </c>
      <c r="D2529" s="405" t="str">
        <f t="shared" si="314"/>
        <v>酒井工業（株）</v>
      </c>
      <c r="E2529" s="405" t="str">
        <f t="shared" si="315"/>
        <v>代表取締役</v>
      </c>
      <c r="F2529" s="405" t="str">
        <f t="shared" si="316"/>
        <v>仲辻　浩一</v>
      </c>
      <c r="G2529" s="405" t="str">
        <f t="shared" si="317"/>
        <v>主たる営業所</v>
      </c>
      <c r="H2529" s="405" t="str">
        <f t="shared" si="318"/>
        <v>京都市南区東九条中御霊町５３－４</v>
      </c>
      <c r="L2529" s="403" t="s">
        <v>13259</v>
      </c>
      <c r="M2529" s="403" t="s">
        <v>13260</v>
      </c>
      <c r="N2529" s="403" t="s">
        <v>6170</v>
      </c>
      <c r="O2529" s="403" t="s">
        <v>7084</v>
      </c>
      <c r="P2529" s="403" t="s">
        <v>6812</v>
      </c>
      <c r="Q2529" s="403" t="s">
        <v>13261</v>
      </c>
      <c r="R2529" s="403" t="s">
        <v>22492</v>
      </c>
      <c r="S2529" s="403" t="s">
        <v>18098</v>
      </c>
      <c r="T2529" s="403" t="s">
        <v>18099</v>
      </c>
      <c r="U2529" s="403"/>
      <c r="V2529" s="403" t="s">
        <v>23024</v>
      </c>
      <c r="W2529" s="403" t="s">
        <v>23024</v>
      </c>
      <c r="X2529" s="403" t="s">
        <v>23024</v>
      </c>
      <c r="Y2529" s="403" t="s">
        <v>23024</v>
      </c>
    </row>
    <row r="2530" spans="1:25">
      <c r="A2530" s="363">
        <f t="shared" si="319"/>
        <v>2529</v>
      </c>
      <c r="B2530" s="363" t="str">
        <f t="shared" si="312"/>
        <v>00</v>
      </c>
      <c r="C2530" s="405" t="str">
        <f t="shared" si="313"/>
        <v>第019796号</v>
      </c>
      <c r="D2530" s="405" t="str">
        <f t="shared" si="314"/>
        <v>（株）フジタ</v>
      </c>
      <c r="E2530" s="405" t="str">
        <f t="shared" si="315"/>
        <v/>
      </c>
      <c r="F2530" s="405" t="str">
        <f t="shared" si="316"/>
        <v>吉村　康男</v>
      </c>
      <c r="G2530" s="405" t="str">
        <f t="shared" si="317"/>
        <v>九州支店</v>
      </c>
      <c r="H2530" s="405" t="str">
        <f t="shared" si="318"/>
        <v>福岡市中央区舞鶴３－９－３９</v>
      </c>
      <c r="L2530" s="403" t="s">
        <v>13262</v>
      </c>
      <c r="M2530" s="403" t="s">
        <v>13263</v>
      </c>
      <c r="N2530" s="403" t="s">
        <v>6171</v>
      </c>
      <c r="O2530" s="403" t="s">
        <v>7084</v>
      </c>
      <c r="P2530" s="403" t="s">
        <v>6813</v>
      </c>
      <c r="Q2530" s="403" t="s">
        <v>13264</v>
      </c>
      <c r="R2530" s="403" t="s">
        <v>22493</v>
      </c>
      <c r="S2530" s="403" t="s">
        <v>22494</v>
      </c>
      <c r="T2530" s="403" t="s">
        <v>22495</v>
      </c>
      <c r="U2530" s="403"/>
      <c r="V2530" s="403" t="s">
        <v>7007</v>
      </c>
      <c r="W2530" s="403" t="s">
        <v>18100</v>
      </c>
      <c r="X2530" s="403" t="s">
        <v>13037</v>
      </c>
      <c r="Y2530" s="403" t="s">
        <v>22496</v>
      </c>
    </row>
    <row r="2531" spans="1:25">
      <c r="A2531" s="363">
        <f t="shared" si="319"/>
        <v>2530</v>
      </c>
      <c r="B2531" s="363" t="str">
        <f t="shared" si="312"/>
        <v>00</v>
      </c>
      <c r="C2531" s="405" t="str">
        <f t="shared" si="313"/>
        <v>第019854号</v>
      </c>
      <c r="D2531" s="405" t="str">
        <f t="shared" si="314"/>
        <v>旭イノベックス（株）</v>
      </c>
      <c r="E2531" s="405" t="str">
        <f t="shared" si="315"/>
        <v/>
      </c>
      <c r="F2531" s="405" t="str">
        <f t="shared" si="316"/>
        <v>土田　智雄</v>
      </c>
      <c r="G2531" s="405" t="str">
        <f t="shared" si="317"/>
        <v>九州営業所</v>
      </c>
      <c r="H2531" s="405" t="str">
        <f t="shared" si="318"/>
        <v>福岡市西区姪浜駅南４－１２－１２　ワコービル２　２階</v>
      </c>
      <c r="L2531" s="403" t="s">
        <v>13265</v>
      </c>
      <c r="M2531" s="403" t="s">
        <v>13266</v>
      </c>
      <c r="N2531" s="403" t="s">
        <v>6172</v>
      </c>
      <c r="O2531" s="403" t="s">
        <v>7084</v>
      </c>
      <c r="P2531" s="403" t="s">
        <v>6814</v>
      </c>
      <c r="Q2531" s="403" t="s">
        <v>13267</v>
      </c>
      <c r="R2531" s="403" t="s">
        <v>22497</v>
      </c>
      <c r="S2531" s="403" t="s">
        <v>22498</v>
      </c>
      <c r="T2531" s="403" t="s">
        <v>22499</v>
      </c>
      <c r="U2531" s="403"/>
      <c r="V2531" s="403" t="s">
        <v>7012</v>
      </c>
      <c r="W2531" s="403" t="s">
        <v>18101</v>
      </c>
      <c r="X2531" s="403" t="s">
        <v>18102</v>
      </c>
      <c r="Y2531" s="403" t="s">
        <v>22500</v>
      </c>
    </row>
    <row r="2532" spans="1:25">
      <c r="A2532" s="363">
        <f t="shared" si="319"/>
        <v>2531</v>
      </c>
      <c r="B2532" s="363" t="str">
        <f t="shared" si="312"/>
        <v>00</v>
      </c>
      <c r="C2532" s="405" t="str">
        <f t="shared" si="313"/>
        <v>第019920号</v>
      </c>
      <c r="D2532" s="405" t="str">
        <f t="shared" si="314"/>
        <v>パナソニック建設エンジニアリング（株）</v>
      </c>
      <c r="E2532" s="405" t="str">
        <f t="shared" si="315"/>
        <v/>
      </c>
      <c r="F2532" s="405" t="str">
        <f t="shared" si="316"/>
        <v>手塚　啓貴</v>
      </c>
      <c r="G2532" s="405" t="str">
        <f t="shared" si="317"/>
        <v>西日本支店</v>
      </c>
      <c r="H2532" s="405" t="str">
        <f t="shared" si="318"/>
        <v>福岡市中央区薬院３－１－２４</v>
      </c>
      <c r="L2532" s="403" t="s">
        <v>13268</v>
      </c>
      <c r="M2532" s="403" t="s">
        <v>13269</v>
      </c>
      <c r="N2532" s="403" t="s">
        <v>6173</v>
      </c>
      <c r="O2532" s="403" t="s">
        <v>7084</v>
      </c>
      <c r="P2532" s="403" t="s">
        <v>6815</v>
      </c>
      <c r="Q2532" s="403" t="s">
        <v>12153</v>
      </c>
      <c r="R2532" s="403" t="s">
        <v>22149</v>
      </c>
      <c r="S2532" s="403" t="s">
        <v>22501</v>
      </c>
      <c r="T2532" s="403" t="s">
        <v>22502</v>
      </c>
      <c r="U2532" s="403"/>
      <c r="V2532" s="403" t="s">
        <v>7023</v>
      </c>
      <c r="W2532" s="403" t="s">
        <v>18103</v>
      </c>
      <c r="X2532" s="403" t="s">
        <v>18104</v>
      </c>
      <c r="Y2532" s="403" t="s">
        <v>22302</v>
      </c>
    </row>
    <row r="2533" spans="1:25">
      <c r="A2533" s="363">
        <f t="shared" si="319"/>
        <v>2532</v>
      </c>
      <c r="B2533" s="363" t="str">
        <f t="shared" si="312"/>
        <v>00</v>
      </c>
      <c r="C2533" s="405" t="str">
        <f t="shared" si="313"/>
        <v>第019966号</v>
      </c>
      <c r="D2533" s="405" t="str">
        <f t="shared" si="314"/>
        <v>ボンドエンジニアリング（株）</v>
      </c>
      <c r="E2533" s="405" t="str">
        <f t="shared" si="315"/>
        <v/>
      </c>
      <c r="F2533" s="405" t="str">
        <f t="shared" si="316"/>
        <v>鶴田　重昭</v>
      </c>
      <c r="G2533" s="405" t="str">
        <f t="shared" si="317"/>
        <v>福岡支店</v>
      </c>
      <c r="H2533" s="405" t="str">
        <f t="shared" si="318"/>
        <v>福岡市南区清水３－１５－１５</v>
      </c>
      <c r="L2533" s="403" t="s">
        <v>13270</v>
      </c>
      <c r="M2533" s="403" t="s">
        <v>13271</v>
      </c>
      <c r="N2533" s="403" t="s">
        <v>6174</v>
      </c>
      <c r="O2533" s="403" t="s">
        <v>7083</v>
      </c>
      <c r="P2533" s="403" t="s">
        <v>22503</v>
      </c>
      <c r="Q2533" s="403" t="s">
        <v>13272</v>
      </c>
      <c r="R2533" s="403" t="s">
        <v>22504</v>
      </c>
      <c r="S2533" s="403" t="s">
        <v>22505</v>
      </c>
      <c r="T2533" s="403" t="s">
        <v>22506</v>
      </c>
      <c r="U2533" s="403"/>
      <c r="V2533" s="403" t="s">
        <v>7018</v>
      </c>
      <c r="W2533" s="403" t="s">
        <v>18105</v>
      </c>
      <c r="X2533" s="403" t="s">
        <v>12137</v>
      </c>
      <c r="Y2533" s="403" t="s">
        <v>22507</v>
      </c>
    </row>
    <row r="2534" spans="1:25">
      <c r="A2534" s="363">
        <f t="shared" si="319"/>
        <v>2533</v>
      </c>
      <c r="B2534" s="363" t="str">
        <f t="shared" si="312"/>
        <v>00</v>
      </c>
      <c r="C2534" s="405" t="str">
        <f t="shared" si="313"/>
        <v>第020001号</v>
      </c>
      <c r="D2534" s="405" t="str">
        <f t="shared" si="314"/>
        <v>（株）ＩＨＩ原動機</v>
      </c>
      <c r="E2534" s="405" t="str">
        <f t="shared" si="315"/>
        <v>代表取締役</v>
      </c>
      <c r="F2534" s="405" t="str">
        <f t="shared" si="316"/>
        <v>保坂　知洋</v>
      </c>
      <c r="G2534" s="405" t="str">
        <f t="shared" si="317"/>
        <v>主たる営業所</v>
      </c>
      <c r="H2534" s="405" t="str">
        <f t="shared" si="318"/>
        <v>千代田区外神田２－１４－５</v>
      </c>
      <c r="L2534" s="403" t="s">
        <v>13273</v>
      </c>
      <c r="M2534" s="403" t="s">
        <v>13274</v>
      </c>
      <c r="N2534" s="403" t="s">
        <v>6175</v>
      </c>
      <c r="O2534" s="403" t="s">
        <v>7084</v>
      </c>
      <c r="P2534" s="403" t="s">
        <v>22508</v>
      </c>
      <c r="Q2534" s="403" t="s">
        <v>12199</v>
      </c>
      <c r="R2534" s="403" t="s">
        <v>22509</v>
      </c>
      <c r="S2534" s="403" t="s">
        <v>18106</v>
      </c>
      <c r="T2534" s="403" t="s">
        <v>18107</v>
      </c>
      <c r="U2534" s="403"/>
      <c r="V2534" s="403" t="s">
        <v>23024</v>
      </c>
      <c r="W2534" s="403" t="s">
        <v>23024</v>
      </c>
      <c r="X2534" s="403" t="s">
        <v>23024</v>
      </c>
      <c r="Y2534" s="403" t="s">
        <v>23024</v>
      </c>
    </row>
    <row r="2535" spans="1:25">
      <c r="A2535" s="363">
        <f t="shared" si="319"/>
        <v>2534</v>
      </c>
      <c r="B2535" s="363" t="str">
        <f t="shared" si="312"/>
        <v>00</v>
      </c>
      <c r="C2535" s="405" t="str">
        <f t="shared" si="313"/>
        <v>第020165号</v>
      </c>
      <c r="D2535" s="405" t="str">
        <f t="shared" si="314"/>
        <v>荏原冷熱システム（株）</v>
      </c>
      <c r="E2535" s="405" t="str">
        <f t="shared" si="315"/>
        <v/>
      </c>
      <c r="F2535" s="405" t="str">
        <f t="shared" si="316"/>
        <v>吉田　和宏</v>
      </c>
      <c r="G2535" s="405" t="str">
        <f t="shared" si="317"/>
        <v>九州支店</v>
      </c>
      <c r="H2535" s="405" t="str">
        <f t="shared" si="318"/>
        <v>糟屋郡粕屋町仲原２６４８</v>
      </c>
      <c r="L2535" s="403" t="s">
        <v>13275</v>
      </c>
      <c r="M2535" s="403" t="s">
        <v>13276</v>
      </c>
      <c r="N2535" s="403" t="s">
        <v>6176</v>
      </c>
      <c r="O2535" s="403" t="s">
        <v>7084</v>
      </c>
      <c r="P2535" s="403" t="s">
        <v>6816</v>
      </c>
      <c r="Q2535" s="403" t="s">
        <v>12869</v>
      </c>
      <c r="R2535" s="403" t="s">
        <v>21157</v>
      </c>
      <c r="S2535" s="403" t="s">
        <v>22510</v>
      </c>
      <c r="T2535" s="403" t="s">
        <v>22511</v>
      </c>
      <c r="U2535" s="403"/>
      <c r="V2535" s="403" t="s">
        <v>7007</v>
      </c>
      <c r="W2535" s="403" t="s">
        <v>18108</v>
      </c>
      <c r="X2535" s="403" t="s">
        <v>18109</v>
      </c>
      <c r="Y2535" s="403" t="s">
        <v>22512</v>
      </c>
    </row>
    <row r="2536" spans="1:25">
      <c r="A2536" s="363">
        <f t="shared" si="319"/>
        <v>2535</v>
      </c>
      <c r="B2536" s="363" t="str">
        <f t="shared" si="312"/>
        <v>00</v>
      </c>
      <c r="C2536" s="405" t="str">
        <f t="shared" si="313"/>
        <v>第020220号</v>
      </c>
      <c r="D2536" s="405" t="str">
        <f t="shared" si="314"/>
        <v>東急建設（株）</v>
      </c>
      <c r="E2536" s="405" t="str">
        <f t="shared" si="315"/>
        <v/>
      </c>
      <c r="F2536" s="405" t="str">
        <f t="shared" si="316"/>
        <v>三嶋　昭</v>
      </c>
      <c r="G2536" s="405" t="str">
        <f t="shared" si="317"/>
        <v>九州支店</v>
      </c>
      <c r="H2536" s="405" t="str">
        <f t="shared" si="318"/>
        <v>福岡市博多区祇園町２－１</v>
      </c>
      <c r="L2536" s="403" t="s">
        <v>13277</v>
      </c>
      <c r="M2536" s="403" t="s">
        <v>13278</v>
      </c>
      <c r="N2536" s="403" t="s">
        <v>6177</v>
      </c>
      <c r="O2536" s="403" t="s">
        <v>7089</v>
      </c>
      <c r="P2536" s="403" t="s">
        <v>6817</v>
      </c>
      <c r="Q2536" s="403" t="s">
        <v>13279</v>
      </c>
      <c r="R2536" s="403" t="s">
        <v>22513</v>
      </c>
      <c r="S2536" s="403" t="s">
        <v>22514</v>
      </c>
      <c r="T2536" s="403" t="s">
        <v>22515</v>
      </c>
      <c r="U2536" s="403"/>
      <c r="V2536" s="403" t="s">
        <v>7007</v>
      </c>
      <c r="W2536" s="403" t="s">
        <v>18110</v>
      </c>
      <c r="X2536" s="403" t="s">
        <v>18111</v>
      </c>
      <c r="Y2536" s="403" t="s">
        <v>21424</v>
      </c>
    </row>
    <row r="2537" spans="1:25">
      <c r="A2537" s="363">
        <f t="shared" si="319"/>
        <v>2536</v>
      </c>
      <c r="B2537" s="363" t="str">
        <f t="shared" si="312"/>
        <v>00</v>
      </c>
      <c r="C2537" s="405" t="str">
        <f t="shared" si="313"/>
        <v>第020263号</v>
      </c>
      <c r="D2537" s="405" t="str">
        <f t="shared" si="314"/>
        <v>（株）日本シューター</v>
      </c>
      <c r="E2537" s="405" t="str">
        <f t="shared" si="315"/>
        <v>代表取締役</v>
      </c>
      <c r="F2537" s="405" t="str">
        <f t="shared" si="316"/>
        <v>田中　康之</v>
      </c>
      <c r="G2537" s="405" t="str">
        <f t="shared" si="317"/>
        <v>主たる営業所</v>
      </c>
      <c r="H2537" s="405" t="str">
        <f t="shared" si="318"/>
        <v>千代田区神田駿河台２－９</v>
      </c>
      <c r="L2537" s="403" t="s">
        <v>13280</v>
      </c>
      <c r="M2537" s="403" t="s">
        <v>13281</v>
      </c>
      <c r="N2537" s="403" t="s">
        <v>6178</v>
      </c>
      <c r="O2537" s="403" t="s">
        <v>7084</v>
      </c>
      <c r="P2537" s="403" t="s">
        <v>6662</v>
      </c>
      <c r="Q2537" s="403" t="s">
        <v>13282</v>
      </c>
      <c r="R2537" s="403" t="s">
        <v>22516</v>
      </c>
      <c r="S2537" s="403" t="s">
        <v>18112</v>
      </c>
      <c r="T2537" s="403" t="s">
        <v>18113</v>
      </c>
      <c r="U2537" s="403"/>
      <c r="V2537" s="403" t="s">
        <v>23024</v>
      </c>
      <c r="W2537" s="403" t="s">
        <v>23024</v>
      </c>
      <c r="X2537" s="403" t="s">
        <v>23024</v>
      </c>
      <c r="Y2537" s="403" t="s">
        <v>23024</v>
      </c>
    </row>
    <row r="2538" spans="1:25">
      <c r="A2538" s="363">
        <f t="shared" si="319"/>
        <v>2537</v>
      </c>
      <c r="B2538" s="363" t="str">
        <f t="shared" si="312"/>
        <v>00</v>
      </c>
      <c r="C2538" s="405" t="str">
        <f t="shared" si="313"/>
        <v>第020330号</v>
      </c>
      <c r="D2538" s="405" t="str">
        <f t="shared" si="314"/>
        <v>（株）安藤・間</v>
      </c>
      <c r="E2538" s="405" t="str">
        <f t="shared" si="315"/>
        <v/>
      </c>
      <c r="F2538" s="405" t="str">
        <f t="shared" si="316"/>
        <v>黒田　二郎</v>
      </c>
      <c r="G2538" s="405" t="str">
        <f t="shared" si="317"/>
        <v>九州支店</v>
      </c>
      <c r="H2538" s="405" t="str">
        <f t="shared" si="318"/>
        <v>福岡市中央区大名１－８－１０</v>
      </c>
      <c r="L2538" s="403" t="s">
        <v>13283</v>
      </c>
      <c r="M2538" s="403" t="s">
        <v>13284</v>
      </c>
      <c r="N2538" s="403" t="s">
        <v>6179</v>
      </c>
      <c r="O2538" s="403" t="s">
        <v>7083</v>
      </c>
      <c r="P2538" s="403" t="s">
        <v>6818</v>
      </c>
      <c r="Q2538" s="403" t="s">
        <v>13285</v>
      </c>
      <c r="R2538" s="403" t="s">
        <v>20961</v>
      </c>
      <c r="S2538" s="403" t="s">
        <v>22517</v>
      </c>
      <c r="T2538" s="403" t="s">
        <v>22518</v>
      </c>
      <c r="U2538" s="403"/>
      <c r="V2538" s="403" t="s">
        <v>7007</v>
      </c>
      <c r="W2538" s="403" t="s">
        <v>18114</v>
      </c>
      <c r="X2538" s="403" t="s">
        <v>13390</v>
      </c>
      <c r="Y2538" s="403" t="s">
        <v>22519</v>
      </c>
    </row>
    <row r="2539" spans="1:25">
      <c r="A2539" s="363">
        <f t="shared" si="319"/>
        <v>2538</v>
      </c>
      <c r="B2539" s="363" t="str">
        <f t="shared" si="312"/>
        <v>00</v>
      </c>
      <c r="C2539" s="405" t="str">
        <f t="shared" si="313"/>
        <v>第020352号</v>
      </c>
      <c r="D2539" s="405" t="str">
        <f t="shared" si="314"/>
        <v>コウフ・フィールド（株）</v>
      </c>
      <c r="E2539" s="405" t="str">
        <f t="shared" si="315"/>
        <v>代表取締役</v>
      </c>
      <c r="F2539" s="405" t="str">
        <f t="shared" si="316"/>
        <v>加治木　英隆</v>
      </c>
      <c r="G2539" s="405" t="str">
        <f t="shared" si="317"/>
        <v>主たる営業所</v>
      </c>
      <c r="H2539" s="405" t="str">
        <f t="shared" si="318"/>
        <v>福岡市博多区東那珂２－１９－２５</v>
      </c>
      <c r="L2539" s="403" t="s">
        <v>13286</v>
      </c>
      <c r="M2539" s="403" t="s">
        <v>13287</v>
      </c>
      <c r="N2539" s="403" t="s">
        <v>6180</v>
      </c>
      <c r="O2539" s="403" t="s">
        <v>7084</v>
      </c>
      <c r="P2539" s="403" t="s">
        <v>6819</v>
      </c>
      <c r="Q2539" s="403" t="s">
        <v>13159</v>
      </c>
      <c r="R2539" s="403" t="s">
        <v>22520</v>
      </c>
      <c r="S2539" s="403" t="s">
        <v>18115</v>
      </c>
      <c r="T2539" s="403" t="s">
        <v>18116</v>
      </c>
      <c r="U2539" s="403"/>
      <c r="V2539" s="403" t="s">
        <v>23024</v>
      </c>
      <c r="W2539" s="403" t="s">
        <v>23024</v>
      </c>
      <c r="X2539" s="403" t="s">
        <v>23024</v>
      </c>
      <c r="Y2539" s="403" t="s">
        <v>23024</v>
      </c>
    </row>
    <row r="2540" spans="1:25">
      <c r="A2540" s="363">
        <f t="shared" si="319"/>
        <v>2539</v>
      </c>
      <c r="B2540" s="363" t="str">
        <f t="shared" si="312"/>
        <v>00</v>
      </c>
      <c r="C2540" s="405" t="str">
        <f t="shared" si="313"/>
        <v>第020353号</v>
      </c>
      <c r="D2540" s="405" t="str">
        <f t="shared" si="314"/>
        <v>（株）環境施設</v>
      </c>
      <c r="E2540" s="405" t="str">
        <f t="shared" si="315"/>
        <v>代表取締役</v>
      </c>
      <c r="F2540" s="405" t="str">
        <f t="shared" si="316"/>
        <v>田中　直継</v>
      </c>
      <c r="G2540" s="405" t="str">
        <f t="shared" si="317"/>
        <v>主たる営業所</v>
      </c>
      <c r="H2540" s="405" t="str">
        <f t="shared" si="318"/>
        <v>福岡市西区小戸３－５０－２０</v>
      </c>
      <c r="L2540" s="403" t="s">
        <v>13288</v>
      </c>
      <c r="M2540" s="403" t="s">
        <v>13289</v>
      </c>
      <c r="N2540" s="403" t="s">
        <v>6181</v>
      </c>
      <c r="O2540" s="403" t="s">
        <v>7084</v>
      </c>
      <c r="P2540" s="403" t="s">
        <v>6820</v>
      </c>
      <c r="Q2540" s="403" t="s">
        <v>13290</v>
      </c>
      <c r="R2540" s="403" t="s">
        <v>22521</v>
      </c>
      <c r="S2540" s="403" t="s">
        <v>18117</v>
      </c>
      <c r="T2540" s="403" t="s">
        <v>18118</v>
      </c>
      <c r="U2540" s="403"/>
      <c r="V2540" s="403" t="s">
        <v>23024</v>
      </c>
      <c r="W2540" s="403" t="s">
        <v>23024</v>
      </c>
      <c r="X2540" s="403" t="s">
        <v>23024</v>
      </c>
      <c r="Y2540" s="403" t="s">
        <v>23024</v>
      </c>
    </row>
    <row r="2541" spans="1:25">
      <c r="A2541" s="363">
        <f t="shared" si="319"/>
        <v>2540</v>
      </c>
      <c r="B2541" s="363" t="str">
        <f t="shared" si="312"/>
        <v>00</v>
      </c>
      <c r="C2541" s="405" t="str">
        <f t="shared" si="313"/>
        <v>第020607号</v>
      </c>
      <c r="D2541" s="405" t="str">
        <f t="shared" si="314"/>
        <v>（株）森本組</v>
      </c>
      <c r="E2541" s="405" t="str">
        <f t="shared" si="315"/>
        <v/>
      </c>
      <c r="F2541" s="405" t="str">
        <f t="shared" si="316"/>
        <v>安達　将嗣</v>
      </c>
      <c r="G2541" s="405" t="str">
        <f t="shared" si="317"/>
        <v>九州支店</v>
      </c>
      <c r="H2541" s="405" t="str">
        <f t="shared" si="318"/>
        <v>福岡市博多区博多駅前２－１１－１６</v>
      </c>
      <c r="L2541" s="403" t="s">
        <v>13291</v>
      </c>
      <c r="M2541" s="403" t="s">
        <v>13292</v>
      </c>
      <c r="N2541" s="403" t="s">
        <v>6182</v>
      </c>
      <c r="O2541" s="403" t="s">
        <v>7084</v>
      </c>
      <c r="P2541" s="403" t="s">
        <v>6821</v>
      </c>
      <c r="Q2541" s="403" t="s">
        <v>13293</v>
      </c>
      <c r="R2541" s="403" t="s">
        <v>22522</v>
      </c>
      <c r="S2541" s="403" t="s">
        <v>22523</v>
      </c>
      <c r="T2541" s="403" t="s">
        <v>22524</v>
      </c>
      <c r="U2541" s="403"/>
      <c r="V2541" s="403" t="s">
        <v>7007</v>
      </c>
      <c r="W2541" s="403" t="s">
        <v>18119</v>
      </c>
      <c r="X2541" s="403" t="s">
        <v>13015</v>
      </c>
      <c r="Y2541" s="403" t="s">
        <v>22525</v>
      </c>
    </row>
    <row r="2542" spans="1:25">
      <c r="A2542" s="363">
        <f t="shared" si="319"/>
        <v>2541</v>
      </c>
      <c r="B2542" s="363" t="str">
        <f t="shared" si="312"/>
        <v>00</v>
      </c>
      <c r="C2542" s="405" t="str">
        <f t="shared" si="313"/>
        <v>第020670号</v>
      </c>
      <c r="D2542" s="405" t="str">
        <f t="shared" si="314"/>
        <v>四国環境整備興業（株）</v>
      </c>
      <c r="E2542" s="405" t="str">
        <f t="shared" si="315"/>
        <v>代表取締役</v>
      </c>
      <c r="F2542" s="405" t="str">
        <f t="shared" si="316"/>
        <v>青野　通久</v>
      </c>
      <c r="G2542" s="405" t="str">
        <f t="shared" si="317"/>
        <v>主たる営業所</v>
      </c>
      <c r="H2542" s="405" t="str">
        <f t="shared" si="318"/>
        <v>今治市国分１－１－１８</v>
      </c>
      <c r="L2542" s="403" t="s">
        <v>13294</v>
      </c>
      <c r="M2542" s="403" t="s">
        <v>13295</v>
      </c>
      <c r="N2542" s="403" t="s">
        <v>6183</v>
      </c>
      <c r="O2542" s="403" t="s">
        <v>7084</v>
      </c>
      <c r="P2542" s="403" t="s">
        <v>6822</v>
      </c>
      <c r="Q2542" s="403" t="s">
        <v>13296</v>
      </c>
      <c r="R2542" s="403" t="s">
        <v>22526</v>
      </c>
      <c r="S2542" s="403" t="s">
        <v>18120</v>
      </c>
      <c r="T2542" s="403" t="s">
        <v>18121</v>
      </c>
      <c r="U2542" s="403"/>
      <c r="V2542" s="403" t="s">
        <v>23024</v>
      </c>
      <c r="W2542" s="403" t="s">
        <v>23024</v>
      </c>
      <c r="X2542" s="403" t="s">
        <v>23024</v>
      </c>
      <c r="Y2542" s="403" t="s">
        <v>23024</v>
      </c>
    </row>
    <row r="2543" spans="1:25">
      <c r="A2543" s="363">
        <f t="shared" si="319"/>
        <v>2542</v>
      </c>
      <c r="B2543" s="363" t="str">
        <f t="shared" si="312"/>
        <v>00</v>
      </c>
      <c r="C2543" s="405" t="str">
        <f t="shared" si="313"/>
        <v>第020699号</v>
      </c>
      <c r="D2543" s="405" t="str">
        <f t="shared" si="314"/>
        <v>三菱重工冷熱（株）</v>
      </c>
      <c r="E2543" s="405" t="str">
        <f t="shared" si="315"/>
        <v/>
      </c>
      <c r="F2543" s="405" t="str">
        <f t="shared" si="316"/>
        <v>森口　賢一</v>
      </c>
      <c r="G2543" s="405" t="str">
        <f t="shared" si="317"/>
        <v>九州支社</v>
      </c>
      <c r="H2543" s="405" t="str">
        <f t="shared" si="318"/>
        <v>福岡市博多区榎田１－３－６２</v>
      </c>
      <c r="L2543" s="403" t="s">
        <v>22527</v>
      </c>
      <c r="M2543" s="403" t="s">
        <v>22528</v>
      </c>
      <c r="N2543" s="403" t="s">
        <v>22529</v>
      </c>
      <c r="O2543" s="403" t="s">
        <v>7084</v>
      </c>
      <c r="P2543" s="403" t="s">
        <v>22530</v>
      </c>
      <c r="Q2543" s="403" t="s">
        <v>12262</v>
      </c>
      <c r="R2543" s="403" t="s">
        <v>22531</v>
      </c>
      <c r="S2543" s="403" t="s">
        <v>22532</v>
      </c>
      <c r="T2543" s="403" t="s">
        <v>22533</v>
      </c>
      <c r="U2543" s="403"/>
      <c r="V2543" s="403" t="s">
        <v>7011</v>
      </c>
      <c r="W2543" s="403" t="s">
        <v>22534</v>
      </c>
      <c r="X2543" s="403" t="s">
        <v>22535</v>
      </c>
      <c r="Y2543" s="403" t="s">
        <v>22536</v>
      </c>
    </row>
    <row r="2544" spans="1:25">
      <c r="A2544" s="363">
        <f t="shared" si="319"/>
        <v>2543</v>
      </c>
      <c r="B2544" s="363" t="str">
        <f t="shared" si="312"/>
        <v>00</v>
      </c>
      <c r="C2544" s="405" t="str">
        <f t="shared" si="313"/>
        <v>第020744号</v>
      </c>
      <c r="D2544" s="405" t="str">
        <f t="shared" si="314"/>
        <v>八江グリーンポート（株）</v>
      </c>
      <c r="E2544" s="405" t="str">
        <f t="shared" si="315"/>
        <v>代表取締役</v>
      </c>
      <c r="F2544" s="405" t="str">
        <f t="shared" si="316"/>
        <v>八江　一弘</v>
      </c>
      <c r="G2544" s="405" t="str">
        <f t="shared" si="317"/>
        <v>主たる営業所</v>
      </c>
      <c r="H2544" s="405" t="str">
        <f t="shared" si="318"/>
        <v>諫早市厚生町３－１８</v>
      </c>
      <c r="L2544" s="403" t="s">
        <v>13297</v>
      </c>
      <c r="M2544" s="403" t="s">
        <v>13298</v>
      </c>
      <c r="N2544" s="403" t="s">
        <v>6184</v>
      </c>
      <c r="O2544" s="403" t="s">
        <v>7084</v>
      </c>
      <c r="P2544" s="403" t="s">
        <v>6823</v>
      </c>
      <c r="Q2544" s="403" t="s">
        <v>13299</v>
      </c>
      <c r="R2544" s="403" t="s">
        <v>22537</v>
      </c>
      <c r="S2544" s="403" t="s">
        <v>18122</v>
      </c>
      <c r="T2544" s="403" t="s">
        <v>18123</v>
      </c>
      <c r="U2544" s="403"/>
      <c r="V2544" s="403" t="s">
        <v>23024</v>
      </c>
      <c r="W2544" s="403" t="s">
        <v>23024</v>
      </c>
      <c r="X2544" s="403" t="s">
        <v>23024</v>
      </c>
      <c r="Y2544" s="403" t="s">
        <v>23024</v>
      </c>
    </row>
    <row r="2545" spans="1:25">
      <c r="A2545" s="363">
        <f t="shared" si="319"/>
        <v>2544</v>
      </c>
      <c r="B2545" s="363" t="str">
        <f t="shared" si="312"/>
        <v>00</v>
      </c>
      <c r="C2545" s="405" t="str">
        <f t="shared" si="313"/>
        <v>第020834号</v>
      </c>
      <c r="D2545" s="405" t="str">
        <f t="shared" si="314"/>
        <v>（株）前田産業</v>
      </c>
      <c r="E2545" s="405" t="str">
        <f t="shared" si="315"/>
        <v>代表取締役</v>
      </c>
      <c r="F2545" s="405" t="str">
        <f t="shared" si="316"/>
        <v>前田　一美</v>
      </c>
      <c r="G2545" s="405" t="str">
        <f t="shared" si="317"/>
        <v>主たる営業所</v>
      </c>
      <c r="H2545" s="405" t="str">
        <f t="shared" si="318"/>
        <v>熊本市南区野田３－１３－１</v>
      </c>
      <c r="L2545" s="403" t="s">
        <v>13300</v>
      </c>
      <c r="M2545" s="403" t="s">
        <v>13301</v>
      </c>
      <c r="N2545" s="403" t="s">
        <v>6185</v>
      </c>
      <c r="O2545" s="403" t="s">
        <v>7084</v>
      </c>
      <c r="P2545" s="403" t="s">
        <v>22538</v>
      </c>
      <c r="Q2545" s="403" t="s">
        <v>13302</v>
      </c>
      <c r="R2545" s="403" t="s">
        <v>22539</v>
      </c>
      <c r="S2545" s="403" t="s">
        <v>18124</v>
      </c>
      <c r="T2545" s="403" t="s">
        <v>18125</v>
      </c>
      <c r="U2545" s="403"/>
      <c r="V2545" s="403" t="s">
        <v>23024</v>
      </c>
      <c r="W2545" s="403" t="s">
        <v>23024</v>
      </c>
      <c r="X2545" s="403" t="s">
        <v>23024</v>
      </c>
      <c r="Y2545" s="403" t="s">
        <v>23024</v>
      </c>
    </row>
    <row r="2546" spans="1:25">
      <c r="A2546" s="363">
        <f t="shared" si="319"/>
        <v>2545</v>
      </c>
      <c r="B2546" s="363" t="str">
        <f t="shared" si="312"/>
        <v>00</v>
      </c>
      <c r="C2546" s="405" t="str">
        <f t="shared" si="313"/>
        <v>第020838号</v>
      </c>
      <c r="D2546" s="405" t="str">
        <f t="shared" si="314"/>
        <v>（株）ＧＳユアサ</v>
      </c>
      <c r="E2546" s="405" t="str">
        <f t="shared" si="315"/>
        <v/>
      </c>
      <c r="F2546" s="405" t="str">
        <f t="shared" si="316"/>
        <v>仁田　経之</v>
      </c>
      <c r="G2546" s="405" t="str">
        <f t="shared" si="317"/>
        <v>九州支社</v>
      </c>
      <c r="H2546" s="405" t="str">
        <f t="shared" si="318"/>
        <v>福岡市中央区天神２－１２－１</v>
      </c>
      <c r="L2546" s="403" t="s">
        <v>13303</v>
      </c>
      <c r="M2546" s="403" t="s">
        <v>13304</v>
      </c>
      <c r="N2546" s="403" t="s">
        <v>6186</v>
      </c>
      <c r="O2546" s="403" t="s">
        <v>7089</v>
      </c>
      <c r="P2546" s="403" t="s">
        <v>6824</v>
      </c>
      <c r="Q2546" s="403" t="s">
        <v>22540</v>
      </c>
      <c r="R2546" s="403" t="s">
        <v>22541</v>
      </c>
      <c r="S2546" s="403" t="s">
        <v>22542</v>
      </c>
      <c r="T2546" s="403" t="s">
        <v>22543</v>
      </c>
      <c r="U2546" s="403"/>
      <c r="V2546" s="403" t="s">
        <v>7011</v>
      </c>
      <c r="W2546" s="403" t="s">
        <v>18126</v>
      </c>
      <c r="X2546" s="403" t="s">
        <v>17517</v>
      </c>
      <c r="Y2546" s="403" t="s">
        <v>22544</v>
      </c>
    </row>
    <row r="2547" spans="1:25">
      <c r="A2547" s="363">
        <f t="shared" si="319"/>
        <v>2546</v>
      </c>
      <c r="B2547" s="363" t="str">
        <f t="shared" si="312"/>
        <v>00</v>
      </c>
      <c r="C2547" s="405" t="str">
        <f t="shared" si="313"/>
        <v>第021005号</v>
      </c>
      <c r="D2547" s="405" t="str">
        <f t="shared" si="314"/>
        <v>新明和アクアテクサービス（株）</v>
      </c>
      <c r="E2547" s="405" t="str">
        <f t="shared" si="315"/>
        <v/>
      </c>
      <c r="F2547" s="405" t="str">
        <f t="shared" si="316"/>
        <v>奥村　卓也</v>
      </c>
      <c r="G2547" s="405" t="str">
        <f t="shared" si="317"/>
        <v>九州センター</v>
      </c>
      <c r="H2547" s="405" t="str">
        <f t="shared" si="318"/>
        <v>福岡市博多区半道橋１－２－１</v>
      </c>
      <c r="L2547" s="403" t="s">
        <v>13305</v>
      </c>
      <c r="M2547" s="403" t="s">
        <v>13306</v>
      </c>
      <c r="N2547" s="403" t="s">
        <v>6187</v>
      </c>
      <c r="O2547" s="403" t="s">
        <v>7084</v>
      </c>
      <c r="P2547" s="403" t="s">
        <v>22545</v>
      </c>
      <c r="Q2547" s="403" t="s">
        <v>13307</v>
      </c>
      <c r="R2547" s="403" t="s">
        <v>22546</v>
      </c>
      <c r="S2547" s="403" t="s">
        <v>22547</v>
      </c>
      <c r="T2547" s="403" t="s">
        <v>22548</v>
      </c>
      <c r="U2547" s="403"/>
      <c r="V2547" s="403" t="s">
        <v>7056</v>
      </c>
      <c r="W2547" s="403" t="s">
        <v>18127</v>
      </c>
      <c r="X2547" s="403" t="s">
        <v>18128</v>
      </c>
      <c r="Y2547" s="403" t="s">
        <v>22549</v>
      </c>
    </row>
    <row r="2548" spans="1:25">
      <c r="A2548" s="363">
        <f t="shared" si="319"/>
        <v>2547</v>
      </c>
      <c r="B2548" s="363" t="str">
        <f t="shared" si="312"/>
        <v>00</v>
      </c>
      <c r="C2548" s="405" t="str">
        <f t="shared" si="313"/>
        <v>第021027号</v>
      </c>
      <c r="D2548" s="405" t="str">
        <f t="shared" si="314"/>
        <v>ユニアデックス（株）</v>
      </c>
      <c r="E2548" s="405" t="str">
        <f t="shared" si="315"/>
        <v/>
      </c>
      <c r="F2548" s="405" t="str">
        <f t="shared" si="316"/>
        <v>山田　竜郎</v>
      </c>
      <c r="G2548" s="405" t="str">
        <f t="shared" si="317"/>
        <v>九州支店</v>
      </c>
      <c r="H2548" s="405" t="str">
        <f t="shared" si="318"/>
        <v>福岡市博多区博多駅前１－１－１</v>
      </c>
      <c r="L2548" s="403" t="s">
        <v>13308</v>
      </c>
      <c r="M2548" s="403" t="s">
        <v>13309</v>
      </c>
      <c r="N2548" s="403" t="s">
        <v>6188</v>
      </c>
      <c r="O2548" s="403" t="s">
        <v>7083</v>
      </c>
      <c r="P2548" s="403" t="s">
        <v>6825</v>
      </c>
      <c r="Q2548" s="403" t="s">
        <v>12494</v>
      </c>
      <c r="R2548" s="403" t="s">
        <v>22550</v>
      </c>
      <c r="S2548" s="403" t="s">
        <v>22551</v>
      </c>
      <c r="T2548" s="403" t="s">
        <v>22552</v>
      </c>
      <c r="U2548" s="403"/>
      <c r="V2548" s="403" t="s">
        <v>7007</v>
      </c>
      <c r="W2548" s="403" t="s">
        <v>18129</v>
      </c>
      <c r="X2548" s="403" t="s">
        <v>13015</v>
      </c>
      <c r="Y2548" s="403" t="s">
        <v>22553</v>
      </c>
    </row>
    <row r="2549" spans="1:25">
      <c r="A2549" s="363">
        <f t="shared" si="319"/>
        <v>2548</v>
      </c>
      <c r="B2549" s="363" t="str">
        <f t="shared" si="312"/>
        <v>00</v>
      </c>
      <c r="C2549" s="405" t="str">
        <f t="shared" si="313"/>
        <v>第021060号</v>
      </c>
      <c r="D2549" s="405" t="str">
        <f t="shared" si="314"/>
        <v>（株）プランテック</v>
      </c>
      <c r="E2549" s="405" t="str">
        <f t="shared" si="315"/>
        <v>代表取締役</v>
      </c>
      <c r="F2549" s="405" t="str">
        <f t="shared" si="316"/>
        <v>勝井　基明</v>
      </c>
      <c r="G2549" s="405" t="str">
        <f t="shared" si="317"/>
        <v>主たる営業所</v>
      </c>
      <c r="H2549" s="405" t="str">
        <f t="shared" si="318"/>
        <v>大阪市西区京町堀１－６－１７</v>
      </c>
      <c r="L2549" s="403" t="s">
        <v>13310</v>
      </c>
      <c r="M2549" s="403" t="s">
        <v>13311</v>
      </c>
      <c r="N2549" s="403" t="s">
        <v>6189</v>
      </c>
      <c r="O2549" s="403" t="s">
        <v>7084</v>
      </c>
      <c r="P2549" s="403" t="s">
        <v>6826</v>
      </c>
      <c r="Q2549" s="403" t="s">
        <v>13312</v>
      </c>
      <c r="R2549" s="403" t="s">
        <v>22554</v>
      </c>
      <c r="S2549" s="403" t="s">
        <v>18130</v>
      </c>
      <c r="T2549" s="403" t="s">
        <v>18131</v>
      </c>
      <c r="U2549" s="403"/>
      <c r="V2549" s="403" t="s">
        <v>23024</v>
      </c>
      <c r="W2549" s="403" t="s">
        <v>23024</v>
      </c>
      <c r="X2549" s="403" t="s">
        <v>23024</v>
      </c>
      <c r="Y2549" s="403" t="s">
        <v>23024</v>
      </c>
    </row>
    <row r="2550" spans="1:25">
      <c r="A2550" s="363">
        <f t="shared" si="319"/>
        <v>2549</v>
      </c>
      <c r="B2550" s="363" t="str">
        <f t="shared" si="312"/>
        <v>00</v>
      </c>
      <c r="C2550" s="405" t="str">
        <f t="shared" si="313"/>
        <v>第021135号</v>
      </c>
      <c r="D2550" s="405" t="str">
        <f t="shared" si="314"/>
        <v>ＪＦＥ環境テクノロジー（株）</v>
      </c>
      <c r="E2550" s="405" t="str">
        <f t="shared" si="315"/>
        <v>代表取締役</v>
      </c>
      <c r="F2550" s="405" t="str">
        <f t="shared" si="316"/>
        <v>秋山　裕久</v>
      </c>
      <c r="G2550" s="405" t="str">
        <f t="shared" si="317"/>
        <v>主たる営業所</v>
      </c>
      <c r="H2550" s="405" t="str">
        <f t="shared" si="318"/>
        <v>千葉市美浜区中瀬２－６－１</v>
      </c>
      <c r="L2550" s="403" t="s">
        <v>13313</v>
      </c>
      <c r="M2550" s="403" t="s">
        <v>13314</v>
      </c>
      <c r="N2550" s="403" t="s">
        <v>6190</v>
      </c>
      <c r="O2550" s="403" t="s">
        <v>7084</v>
      </c>
      <c r="P2550" s="403" t="s">
        <v>6827</v>
      </c>
      <c r="Q2550" s="403" t="s">
        <v>13315</v>
      </c>
      <c r="R2550" s="403" t="s">
        <v>22134</v>
      </c>
      <c r="S2550" s="403" t="s">
        <v>18132</v>
      </c>
      <c r="T2550" s="403" t="s">
        <v>18133</v>
      </c>
      <c r="U2550" s="403"/>
      <c r="V2550" s="403" t="s">
        <v>23024</v>
      </c>
      <c r="W2550" s="403" t="s">
        <v>23024</v>
      </c>
      <c r="X2550" s="403" t="s">
        <v>23024</v>
      </c>
      <c r="Y2550" s="403" t="s">
        <v>23024</v>
      </c>
    </row>
    <row r="2551" spans="1:25">
      <c r="A2551" s="363">
        <f t="shared" si="319"/>
        <v>2550</v>
      </c>
      <c r="B2551" s="363" t="str">
        <f t="shared" si="312"/>
        <v>00</v>
      </c>
      <c r="C2551" s="405" t="str">
        <f t="shared" si="313"/>
        <v>第021141号</v>
      </c>
      <c r="D2551" s="405" t="str">
        <f t="shared" si="314"/>
        <v>古河産機システムズ（株）</v>
      </c>
      <c r="E2551" s="405" t="str">
        <f t="shared" si="315"/>
        <v/>
      </c>
      <c r="F2551" s="405" t="str">
        <f t="shared" si="316"/>
        <v>宮下　学</v>
      </c>
      <c r="G2551" s="405" t="str">
        <f t="shared" si="317"/>
        <v>九州支店</v>
      </c>
      <c r="H2551" s="405" t="str">
        <f t="shared" si="318"/>
        <v>福岡市中央区大名２－１１－１３</v>
      </c>
      <c r="L2551" s="403" t="s">
        <v>13316</v>
      </c>
      <c r="M2551" s="403" t="s">
        <v>13317</v>
      </c>
      <c r="N2551" s="403" t="s">
        <v>6191</v>
      </c>
      <c r="O2551" s="403" t="s">
        <v>7083</v>
      </c>
      <c r="P2551" s="403" t="s">
        <v>6828</v>
      </c>
      <c r="Q2551" s="403" t="s">
        <v>13318</v>
      </c>
      <c r="R2551" s="403" t="s">
        <v>22555</v>
      </c>
      <c r="S2551" s="403" t="s">
        <v>22556</v>
      </c>
      <c r="T2551" s="403" t="s">
        <v>22557</v>
      </c>
      <c r="U2551" s="403"/>
      <c r="V2551" s="403" t="s">
        <v>7007</v>
      </c>
      <c r="W2551" s="403" t="s">
        <v>18134</v>
      </c>
      <c r="X2551" s="403" t="s">
        <v>13390</v>
      </c>
      <c r="Y2551" s="403" t="s">
        <v>22558</v>
      </c>
    </row>
    <row r="2552" spans="1:25">
      <c r="A2552" s="363">
        <f t="shared" si="319"/>
        <v>2551</v>
      </c>
      <c r="B2552" s="363" t="str">
        <f t="shared" si="312"/>
        <v>00</v>
      </c>
      <c r="C2552" s="405" t="str">
        <f t="shared" si="313"/>
        <v>第021292号</v>
      </c>
      <c r="D2552" s="405" t="str">
        <f t="shared" si="314"/>
        <v>日本建設（株）</v>
      </c>
      <c r="E2552" s="405" t="str">
        <f t="shared" si="315"/>
        <v/>
      </c>
      <c r="F2552" s="405" t="str">
        <f t="shared" si="316"/>
        <v>野下　建</v>
      </c>
      <c r="G2552" s="405" t="str">
        <f t="shared" si="317"/>
        <v>福岡支店</v>
      </c>
      <c r="H2552" s="405" t="str">
        <f t="shared" si="318"/>
        <v>福岡市博多区博多駅前１－３１－１７</v>
      </c>
      <c r="L2552" s="403" t="s">
        <v>13319</v>
      </c>
      <c r="M2552" s="403" t="s">
        <v>13320</v>
      </c>
      <c r="N2552" s="403" t="s">
        <v>6192</v>
      </c>
      <c r="O2552" s="403" t="s">
        <v>7083</v>
      </c>
      <c r="P2552" s="403" t="s">
        <v>22559</v>
      </c>
      <c r="Q2552" s="403" t="s">
        <v>13321</v>
      </c>
      <c r="R2552" s="403" t="s">
        <v>22560</v>
      </c>
      <c r="S2552" s="403" t="s">
        <v>22561</v>
      </c>
      <c r="T2552" s="403" t="s">
        <v>22562</v>
      </c>
      <c r="U2552" s="403"/>
      <c r="V2552" s="403" t="s">
        <v>7018</v>
      </c>
      <c r="W2552" s="403" t="s">
        <v>18135</v>
      </c>
      <c r="X2552" s="403" t="s">
        <v>13015</v>
      </c>
      <c r="Y2552" s="403" t="s">
        <v>22255</v>
      </c>
    </row>
    <row r="2553" spans="1:25">
      <c r="A2553" s="363">
        <f t="shared" si="319"/>
        <v>2552</v>
      </c>
      <c r="B2553" s="363" t="str">
        <f t="shared" si="312"/>
        <v>00</v>
      </c>
      <c r="C2553" s="405" t="str">
        <f t="shared" si="313"/>
        <v>第021384号</v>
      </c>
      <c r="D2553" s="405" t="str">
        <f t="shared" si="314"/>
        <v>（株）ダイキアクシス</v>
      </c>
      <c r="E2553" s="405" t="str">
        <f t="shared" si="315"/>
        <v/>
      </c>
      <c r="F2553" s="405" t="str">
        <f t="shared" si="316"/>
        <v>山下　隆一</v>
      </c>
      <c r="G2553" s="405" t="str">
        <f t="shared" si="317"/>
        <v>福岡支店</v>
      </c>
      <c r="H2553" s="405" t="str">
        <f t="shared" si="318"/>
        <v>福岡市博多区博多駅東３－４－２３</v>
      </c>
      <c r="L2553" s="403" t="s">
        <v>13322</v>
      </c>
      <c r="M2553" s="403" t="s">
        <v>13323</v>
      </c>
      <c r="N2553" s="403" t="s">
        <v>6193</v>
      </c>
      <c r="O2553" s="403" t="s">
        <v>7083</v>
      </c>
      <c r="P2553" s="403" t="s">
        <v>6829</v>
      </c>
      <c r="Q2553" s="403" t="s">
        <v>13324</v>
      </c>
      <c r="R2553" s="403" t="s">
        <v>22563</v>
      </c>
      <c r="S2553" s="403" t="s">
        <v>22564</v>
      </c>
      <c r="T2553" s="403" t="s">
        <v>22565</v>
      </c>
      <c r="U2553" s="403"/>
      <c r="V2553" s="403" t="s">
        <v>7018</v>
      </c>
      <c r="W2553" s="403" t="s">
        <v>18136</v>
      </c>
      <c r="X2553" s="403" t="s">
        <v>13524</v>
      </c>
      <c r="Y2553" s="403" t="s">
        <v>22566</v>
      </c>
    </row>
    <row r="2554" spans="1:25">
      <c r="A2554" s="363">
        <f t="shared" si="319"/>
        <v>2553</v>
      </c>
      <c r="B2554" s="363" t="str">
        <f t="shared" si="312"/>
        <v>00</v>
      </c>
      <c r="C2554" s="405" t="str">
        <f t="shared" si="313"/>
        <v>第021515号</v>
      </c>
      <c r="D2554" s="405" t="str">
        <f t="shared" si="314"/>
        <v>（株）金剛組</v>
      </c>
      <c r="E2554" s="405" t="str">
        <f t="shared" si="315"/>
        <v>代表取締役社長</v>
      </c>
      <c r="F2554" s="405" t="str">
        <f t="shared" si="316"/>
        <v>大槻　純一郎</v>
      </c>
      <c r="G2554" s="405" t="str">
        <f t="shared" si="317"/>
        <v>主たる営業所</v>
      </c>
      <c r="H2554" s="405" t="str">
        <f t="shared" si="318"/>
        <v>大阪市天王寺区四天王寺１－１４－２９</v>
      </c>
      <c r="L2554" s="403" t="s">
        <v>13325</v>
      </c>
      <c r="M2554" s="403" t="s">
        <v>13326</v>
      </c>
      <c r="N2554" s="403" t="s">
        <v>6194</v>
      </c>
      <c r="O2554" s="403" t="s">
        <v>7083</v>
      </c>
      <c r="P2554" s="403" t="s">
        <v>6830</v>
      </c>
      <c r="Q2554" s="403" t="s">
        <v>13327</v>
      </c>
      <c r="R2554" s="403" t="s">
        <v>22567</v>
      </c>
      <c r="S2554" s="403" t="s">
        <v>18137</v>
      </c>
      <c r="T2554" s="403" t="s">
        <v>18138</v>
      </c>
      <c r="U2554" s="403"/>
      <c r="V2554" s="403" t="s">
        <v>23024</v>
      </c>
      <c r="W2554" s="403" t="s">
        <v>23024</v>
      </c>
      <c r="X2554" s="403" t="s">
        <v>23024</v>
      </c>
      <c r="Y2554" s="403" t="s">
        <v>23024</v>
      </c>
    </row>
    <row r="2555" spans="1:25">
      <c r="A2555" s="363">
        <f t="shared" si="319"/>
        <v>2554</v>
      </c>
      <c r="B2555" s="363" t="str">
        <f t="shared" si="312"/>
        <v>00</v>
      </c>
      <c r="C2555" s="405" t="str">
        <f t="shared" si="313"/>
        <v>第021520号</v>
      </c>
      <c r="D2555" s="405" t="str">
        <f t="shared" si="314"/>
        <v>極東サービス（株）</v>
      </c>
      <c r="E2555" s="405" t="str">
        <f t="shared" si="315"/>
        <v/>
      </c>
      <c r="F2555" s="405" t="str">
        <f t="shared" si="316"/>
        <v>早坂　翔太</v>
      </c>
      <c r="G2555" s="405" t="str">
        <f t="shared" si="317"/>
        <v>九州出張所</v>
      </c>
      <c r="H2555" s="405" t="str">
        <f t="shared" si="318"/>
        <v>福岡市南区高木１－４－１０</v>
      </c>
      <c r="L2555" s="403" t="s">
        <v>13328</v>
      </c>
      <c r="M2555" s="403" t="s">
        <v>13329</v>
      </c>
      <c r="N2555" s="403" t="s">
        <v>6195</v>
      </c>
      <c r="O2555" s="403" t="s">
        <v>7084</v>
      </c>
      <c r="P2555" s="403" t="s">
        <v>6831</v>
      </c>
      <c r="Q2555" s="403" t="s">
        <v>13330</v>
      </c>
      <c r="R2555" s="403" t="s">
        <v>22568</v>
      </c>
      <c r="S2555" s="403" t="s">
        <v>22569</v>
      </c>
      <c r="T2555" s="403" t="s">
        <v>22570</v>
      </c>
      <c r="U2555" s="403"/>
      <c r="V2555" s="403" t="s">
        <v>7057</v>
      </c>
      <c r="W2555" s="403" t="s">
        <v>22571</v>
      </c>
      <c r="X2555" s="403" t="s">
        <v>18139</v>
      </c>
      <c r="Y2555" s="403" t="s">
        <v>22572</v>
      </c>
    </row>
    <row r="2556" spans="1:25">
      <c r="A2556" s="363">
        <f t="shared" si="319"/>
        <v>2555</v>
      </c>
      <c r="B2556" s="363" t="str">
        <f t="shared" si="312"/>
        <v>00</v>
      </c>
      <c r="C2556" s="405" t="str">
        <f t="shared" si="313"/>
        <v>第021572号</v>
      </c>
      <c r="D2556" s="405" t="str">
        <f t="shared" si="314"/>
        <v>（株）東洋システム</v>
      </c>
      <c r="E2556" s="405" t="str">
        <f t="shared" si="315"/>
        <v>代表取締役</v>
      </c>
      <c r="F2556" s="405" t="str">
        <f t="shared" si="316"/>
        <v>山田　浩之</v>
      </c>
      <c r="G2556" s="405" t="str">
        <f t="shared" si="317"/>
        <v>主たる営業所</v>
      </c>
      <c r="H2556" s="405" t="str">
        <f t="shared" si="318"/>
        <v>福岡市城南区鳥飼５－１３－３１</v>
      </c>
      <c r="L2556" s="403" t="s">
        <v>13331</v>
      </c>
      <c r="M2556" s="403" t="s">
        <v>13332</v>
      </c>
      <c r="N2556" s="403" t="s">
        <v>6196</v>
      </c>
      <c r="O2556" s="403" t="s">
        <v>7084</v>
      </c>
      <c r="P2556" s="403" t="s">
        <v>6832</v>
      </c>
      <c r="Q2556" s="403" t="s">
        <v>13333</v>
      </c>
      <c r="R2556" s="403" t="s">
        <v>22573</v>
      </c>
      <c r="S2556" s="403" t="s">
        <v>18140</v>
      </c>
      <c r="T2556" s="403" t="s">
        <v>18141</v>
      </c>
      <c r="U2556" s="403"/>
      <c r="V2556" s="403" t="s">
        <v>23024</v>
      </c>
      <c r="W2556" s="403" t="s">
        <v>23024</v>
      </c>
      <c r="X2556" s="403" t="s">
        <v>23024</v>
      </c>
      <c r="Y2556" s="403" t="s">
        <v>23024</v>
      </c>
    </row>
    <row r="2557" spans="1:25">
      <c r="A2557" s="363">
        <f t="shared" si="319"/>
        <v>2556</v>
      </c>
      <c r="B2557" s="363" t="str">
        <f t="shared" si="312"/>
        <v>00</v>
      </c>
      <c r="C2557" s="405" t="str">
        <f t="shared" si="313"/>
        <v>第021698号</v>
      </c>
      <c r="D2557" s="405" t="str">
        <f t="shared" si="314"/>
        <v>荏原環境プラント（株）</v>
      </c>
      <c r="E2557" s="405" t="str">
        <f t="shared" si="315"/>
        <v/>
      </c>
      <c r="F2557" s="405" t="str">
        <f t="shared" si="316"/>
        <v>濱田　智一</v>
      </c>
      <c r="G2557" s="405" t="str">
        <f t="shared" si="317"/>
        <v>九州支店</v>
      </c>
      <c r="H2557" s="405" t="str">
        <f t="shared" si="318"/>
        <v>福岡市博多区美野島１－２－８</v>
      </c>
      <c r="L2557" s="403" t="s">
        <v>13334</v>
      </c>
      <c r="M2557" s="403" t="s">
        <v>13335</v>
      </c>
      <c r="N2557" s="403" t="s">
        <v>6197</v>
      </c>
      <c r="O2557" s="403" t="s">
        <v>7083</v>
      </c>
      <c r="P2557" s="403" t="s">
        <v>22574</v>
      </c>
      <c r="Q2557" s="403" t="s">
        <v>12869</v>
      </c>
      <c r="R2557" s="403" t="s">
        <v>21157</v>
      </c>
      <c r="S2557" s="403" t="s">
        <v>22575</v>
      </c>
      <c r="T2557" s="403" t="s">
        <v>22576</v>
      </c>
      <c r="U2557" s="403"/>
      <c r="V2557" s="403" t="s">
        <v>7007</v>
      </c>
      <c r="W2557" s="403" t="s">
        <v>22577</v>
      </c>
      <c r="X2557" s="403" t="s">
        <v>17633</v>
      </c>
      <c r="Y2557" s="403" t="s">
        <v>21757</v>
      </c>
    </row>
    <row r="2558" spans="1:25">
      <c r="A2558" s="363">
        <f t="shared" si="319"/>
        <v>2557</v>
      </c>
      <c r="B2558" s="363" t="str">
        <f t="shared" si="312"/>
        <v>00</v>
      </c>
      <c r="C2558" s="405" t="str">
        <f t="shared" si="313"/>
        <v>第021715号</v>
      </c>
      <c r="D2558" s="405" t="str">
        <f t="shared" si="314"/>
        <v>日鉄エンジニアリング（株）</v>
      </c>
      <c r="E2558" s="405" t="str">
        <f t="shared" si="315"/>
        <v/>
      </c>
      <c r="F2558" s="405" t="str">
        <f t="shared" si="316"/>
        <v>杉山　敏和</v>
      </c>
      <c r="G2558" s="405" t="str">
        <f t="shared" si="317"/>
        <v>九州支社</v>
      </c>
      <c r="H2558" s="405" t="str">
        <f t="shared" si="318"/>
        <v>福岡市博多区店屋町５－１８</v>
      </c>
      <c r="L2558" s="403" t="s">
        <v>13336</v>
      </c>
      <c r="M2558" s="403" t="s">
        <v>13337</v>
      </c>
      <c r="N2558" s="403" t="s">
        <v>6198</v>
      </c>
      <c r="O2558" s="403" t="s">
        <v>7083</v>
      </c>
      <c r="P2558" s="403" t="s">
        <v>6833</v>
      </c>
      <c r="Q2558" s="403" t="s">
        <v>13338</v>
      </c>
      <c r="R2558" s="403" t="s">
        <v>22578</v>
      </c>
      <c r="S2558" s="403" t="s">
        <v>22579</v>
      </c>
      <c r="T2558" s="403" t="s">
        <v>22580</v>
      </c>
      <c r="U2558" s="403"/>
      <c r="V2558" s="403" t="s">
        <v>7011</v>
      </c>
      <c r="W2558" s="403" t="s">
        <v>18142</v>
      </c>
      <c r="X2558" s="403" t="s">
        <v>17522</v>
      </c>
      <c r="Y2558" s="403" t="s">
        <v>20792</v>
      </c>
    </row>
    <row r="2559" spans="1:25">
      <c r="A2559" s="363">
        <f t="shared" si="319"/>
        <v>2558</v>
      </c>
      <c r="B2559" s="363" t="str">
        <f t="shared" si="312"/>
        <v>00</v>
      </c>
      <c r="C2559" s="405" t="str">
        <f t="shared" si="313"/>
        <v>第021737号</v>
      </c>
      <c r="D2559" s="405" t="str">
        <f t="shared" si="314"/>
        <v>（株）ナガワ</v>
      </c>
      <c r="E2559" s="405" t="str">
        <f t="shared" si="315"/>
        <v/>
      </c>
      <c r="F2559" s="405" t="str">
        <f t="shared" si="316"/>
        <v>三村　竜輝</v>
      </c>
      <c r="G2559" s="405" t="str">
        <f t="shared" si="317"/>
        <v>福岡営業所</v>
      </c>
      <c r="H2559" s="405" t="str">
        <f t="shared" si="318"/>
        <v>福岡市中央区舞鶴３－９－３９</v>
      </c>
      <c r="L2559" s="403" t="s">
        <v>13339</v>
      </c>
      <c r="M2559" s="403" t="s">
        <v>13340</v>
      </c>
      <c r="N2559" s="403" t="s">
        <v>6199</v>
      </c>
      <c r="O2559" s="403" t="s">
        <v>7084</v>
      </c>
      <c r="P2559" s="403" t="s">
        <v>6834</v>
      </c>
      <c r="Q2559" s="403" t="s">
        <v>12271</v>
      </c>
      <c r="R2559" s="403" t="s">
        <v>22581</v>
      </c>
      <c r="S2559" s="403" t="s">
        <v>22582</v>
      </c>
      <c r="T2559" s="403">
        <v>0</v>
      </c>
      <c r="U2559" s="403"/>
      <c r="V2559" s="403" t="s">
        <v>7010</v>
      </c>
      <c r="W2559" s="403" t="s">
        <v>18143</v>
      </c>
      <c r="X2559" s="403" t="s">
        <v>13037</v>
      </c>
      <c r="Y2559" s="403" t="s">
        <v>22496</v>
      </c>
    </row>
    <row r="2560" spans="1:25">
      <c r="A2560" s="363">
        <f t="shared" si="319"/>
        <v>2559</v>
      </c>
      <c r="B2560" s="363" t="str">
        <f t="shared" si="312"/>
        <v>00</v>
      </c>
      <c r="C2560" s="405" t="str">
        <f t="shared" si="313"/>
        <v>第021910号</v>
      </c>
      <c r="D2560" s="405" t="str">
        <f t="shared" si="314"/>
        <v>住友重機械エンバイロメント（株）</v>
      </c>
      <c r="E2560" s="405" t="str">
        <f t="shared" si="315"/>
        <v/>
      </c>
      <c r="F2560" s="405" t="str">
        <f t="shared" si="316"/>
        <v>下薗　博文</v>
      </c>
      <c r="G2560" s="405" t="str">
        <f t="shared" si="317"/>
        <v>福岡支店</v>
      </c>
      <c r="H2560" s="405" t="str">
        <f t="shared" si="318"/>
        <v>福岡市博多区店屋町８－３０</v>
      </c>
      <c r="L2560" s="403" t="s">
        <v>13341</v>
      </c>
      <c r="M2560" s="403" t="s">
        <v>13342</v>
      </c>
      <c r="N2560" s="403" t="s">
        <v>6200</v>
      </c>
      <c r="O2560" s="403" t="s">
        <v>7083</v>
      </c>
      <c r="P2560" s="403" t="s">
        <v>6835</v>
      </c>
      <c r="Q2560" s="403" t="s">
        <v>13343</v>
      </c>
      <c r="R2560" s="403" t="s">
        <v>22583</v>
      </c>
      <c r="S2560" s="403" t="s">
        <v>22584</v>
      </c>
      <c r="T2560" s="403" t="s">
        <v>22585</v>
      </c>
      <c r="U2560" s="403"/>
      <c r="V2560" s="403" t="s">
        <v>7018</v>
      </c>
      <c r="W2560" s="403" t="s">
        <v>18144</v>
      </c>
      <c r="X2560" s="403" t="s">
        <v>17522</v>
      </c>
      <c r="Y2560" s="403" t="s">
        <v>22106</v>
      </c>
    </row>
    <row r="2561" spans="1:25">
      <c r="A2561" s="363">
        <f t="shared" si="319"/>
        <v>2560</v>
      </c>
      <c r="B2561" s="363" t="str">
        <f t="shared" si="312"/>
        <v>00</v>
      </c>
      <c r="C2561" s="405" t="str">
        <f t="shared" si="313"/>
        <v>第022100号</v>
      </c>
      <c r="D2561" s="405" t="str">
        <f t="shared" si="314"/>
        <v>安川オートメーション・ドライブ（株）</v>
      </c>
      <c r="E2561" s="405" t="str">
        <f t="shared" si="315"/>
        <v/>
      </c>
      <c r="F2561" s="405" t="str">
        <f t="shared" si="316"/>
        <v>吉田　武史</v>
      </c>
      <c r="G2561" s="405" t="str">
        <f t="shared" si="317"/>
        <v>九州支店</v>
      </c>
      <c r="H2561" s="405" t="str">
        <f t="shared" si="318"/>
        <v>北九州市小倉北区大手町１２－１</v>
      </c>
      <c r="L2561" s="403" t="s">
        <v>13344</v>
      </c>
      <c r="M2561" s="403" t="s">
        <v>13345</v>
      </c>
      <c r="N2561" s="403" t="s">
        <v>6201</v>
      </c>
      <c r="O2561" s="403" t="s">
        <v>7084</v>
      </c>
      <c r="P2561" s="403" t="s">
        <v>6836</v>
      </c>
      <c r="Q2561" s="403" t="s">
        <v>13346</v>
      </c>
      <c r="R2561" s="403" t="s">
        <v>22586</v>
      </c>
      <c r="S2561" s="403" t="s">
        <v>22587</v>
      </c>
      <c r="T2561" s="403" t="s">
        <v>18145</v>
      </c>
      <c r="U2561" s="403"/>
      <c r="V2561" s="403" t="s">
        <v>7007</v>
      </c>
      <c r="W2561" s="403" t="s">
        <v>18146</v>
      </c>
      <c r="X2561" s="403" t="s">
        <v>18147</v>
      </c>
      <c r="Y2561" s="403" t="s">
        <v>22588</v>
      </c>
    </row>
    <row r="2562" spans="1:25">
      <c r="A2562" s="363">
        <f t="shared" si="319"/>
        <v>2561</v>
      </c>
      <c r="B2562" s="363" t="str">
        <f t="shared" ref="B2562:B2625" si="320">LEFT(L2562,2)</f>
        <v>00</v>
      </c>
      <c r="C2562" s="405" t="str">
        <f t="shared" ref="C2562:C2625" si="321">IF(B2562="","","第"&amp;RIGHT(L2562,6)&amp;"号")</f>
        <v>第022187号</v>
      </c>
      <c r="D2562" s="405" t="str">
        <f t="shared" ref="D2562:D2625" si="322">N2562</f>
        <v>ＪＦＥテクノス（株）</v>
      </c>
      <c r="E2562" s="405" t="str">
        <f t="shared" ref="E2562:E2625" si="323">IF(V2562="　",O2562,"")</f>
        <v>代表取締役</v>
      </c>
      <c r="F2562" s="405" t="str">
        <f t="shared" ref="F2562:F2625" si="324">IF(V2562="　",P2562,W2562)</f>
        <v>能登　隆</v>
      </c>
      <c r="G2562" s="405" t="str">
        <f t="shared" ref="G2562:G2625" si="325">IF(V2562="　","主たる営業所",V2562)</f>
        <v>主たる営業所</v>
      </c>
      <c r="H2562" s="405" t="str">
        <f t="shared" ref="H2562:H2625" si="326">IF(V2562="　",R2562,Y2562)</f>
        <v>横浜市鶴見区末広町２－１</v>
      </c>
      <c r="L2562" s="403" t="s">
        <v>13347</v>
      </c>
      <c r="M2562" s="403" t="s">
        <v>13348</v>
      </c>
      <c r="N2562" s="403" t="s">
        <v>6202</v>
      </c>
      <c r="O2562" s="403" t="s">
        <v>7084</v>
      </c>
      <c r="P2562" s="403" t="s">
        <v>6837</v>
      </c>
      <c r="Q2562" s="403" t="s">
        <v>13349</v>
      </c>
      <c r="R2562" s="403" t="s">
        <v>21762</v>
      </c>
      <c r="S2562" s="403" t="s">
        <v>18148</v>
      </c>
      <c r="T2562" s="403" t="s">
        <v>18149</v>
      </c>
      <c r="U2562" s="403"/>
      <c r="V2562" s="403" t="s">
        <v>23024</v>
      </c>
      <c r="W2562" s="403" t="s">
        <v>23024</v>
      </c>
      <c r="X2562" s="403" t="s">
        <v>23024</v>
      </c>
      <c r="Y2562" s="403" t="s">
        <v>23024</v>
      </c>
    </row>
    <row r="2563" spans="1:25">
      <c r="A2563" s="363">
        <f t="shared" ref="A2563:A2626" si="327">IF(B2563="","",A2562+1)</f>
        <v>2562</v>
      </c>
      <c r="B2563" s="363" t="str">
        <f t="shared" si="320"/>
        <v>00</v>
      </c>
      <c r="C2563" s="405" t="str">
        <f t="shared" si="321"/>
        <v>第022214号</v>
      </c>
      <c r="D2563" s="405" t="str">
        <f t="shared" si="322"/>
        <v>三和シヤッター工業（株）</v>
      </c>
      <c r="E2563" s="405" t="str">
        <f t="shared" si="323"/>
        <v/>
      </c>
      <c r="F2563" s="405" t="str">
        <f t="shared" si="324"/>
        <v>黒木　真人</v>
      </c>
      <c r="G2563" s="405" t="str">
        <f t="shared" si="325"/>
        <v>大分営業所</v>
      </c>
      <c r="H2563" s="405" t="str">
        <f t="shared" si="326"/>
        <v>大分市下郡東１－８－１６</v>
      </c>
      <c r="L2563" s="403" t="s">
        <v>13350</v>
      </c>
      <c r="M2563" s="403" t="s">
        <v>13351</v>
      </c>
      <c r="N2563" s="403" t="s">
        <v>6203</v>
      </c>
      <c r="O2563" s="403" t="s">
        <v>7084</v>
      </c>
      <c r="P2563" s="403" t="s">
        <v>6838</v>
      </c>
      <c r="Q2563" s="403" t="s">
        <v>13352</v>
      </c>
      <c r="R2563" s="403" t="s">
        <v>22589</v>
      </c>
      <c r="S2563" s="403" t="s">
        <v>22590</v>
      </c>
      <c r="T2563" s="403" t="s">
        <v>22591</v>
      </c>
      <c r="U2563" s="403"/>
      <c r="V2563" s="403" t="s">
        <v>7013</v>
      </c>
      <c r="W2563" s="403" t="s">
        <v>22592</v>
      </c>
      <c r="X2563" s="403" t="s">
        <v>18084</v>
      </c>
      <c r="Y2563" s="403" t="s">
        <v>22593</v>
      </c>
    </row>
    <row r="2564" spans="1:25">
      <c r="A2564" s="363">
        <f t="shared" si="327"/>
        <v>2563</v>
      </c>
      <c r="B2564" s="363" t="str">
        <f t="shared" si="320"/>
        <v>00</v>
      </c>
      <c r="C2564" s="405" t="str">
        <f t="shared" si="321"/>
        <v>第022223号</v>
      </c>
      <c r="D2564" s="405" t="str">
        <f t="shared" si="322"/>
        <v>（株）横河ブリッジ</v>
      </c>
      <c r="E2564" s="405" t="str">
        <f t="shared" si="323"/>
        <v/>
      </c>
      <c r="F2564" s="405" t="str">
        <f t="shared" si="324"/>
        <v>小畠　貴浩</v>
      </c>
      <c r="G2564" s="405" t="str">
        <f t="shared" si="325"/>
        <v>福岡営業所</v>
      </c>
      <c r="H2564" s="405" t="str">
        <f t="shared" si="326"/>
        <v>福岡市博多区博多駅東１－１７－２５</v>
      </c>
      <c r="L2564" s="403" t="s">
        <v>13353</v>
      </c>
      <c r="M2564" s="403" t="s">
        <v>13354</v>
      </c>
      <c r="N2564" s="403" t="s">
        <v>6204</v>
      </c>
      <c r="O2564" s="403" t="s">
        <v>7084</v>
      </c>
      <c r="P2564" s="403" t="s">
        <v>6839</v>
      </c>
      <c r="Q2564" s="403" t="s">
        <v>13355</v>
      </c>
      <c r="R2564" s="403" t="s">
        <v>22594</v>
      </c>
      <c r="S2564" s="403" t="s">
        <v>22595</v>
      </c>
      <c r="T2564" s="403" t="s">
        <v>22596</v>
      </c>
      <c r="U2564" s="403"/>
      <c r="V2564" s="403" t="s">
        <v>7010</v>
      </c>
      <c r="W2564" s="403" t="s">
        <v>18150</v>
      </c>
      <c r="X2564" s="403" t="s">
        <v>13524</v>
      </c>
      <c r="Y2564" s="403" t="s">
        <v>22597</v>
      </c>
    </row>
    <row r="2565" spans="1:25">
      <c r="A2565" s="363">
        <f t="shared" si="327"/>
        <v>2564</v>
      </c>
      <c r="B2565" s="363" t="str">
        <f t="shared" si="320"/>
        <v>00</v>
      </c>
      <c r="C2565" s="405" t="str">
        <f t="shared" si="321"/>
        <v>第022258号</v>
      </c>
      <c r="D2565" s="405" t="str">
        <f t="shared" si="322"/>
        <v>メタウォーターサービス（株）</v>
      </c>
      <c r="E2565" s="405" t="str">
        <f t="shared" si="323"/>
        <v/>
      </c>
      <c r="F2565" s="405" t="str">
        <f t="shared" si="324"/>
        <v>鬼頭　伸郎</v>
      </c>
      <c r="G2565" s="405" t="str">
        <f t="shared" si="325"/>
        <v>事業推進本部　西日本営業部</v>
      </c>
      <c r="H2565" s="405" t="str">
        <f t="shared" si="326"/>
        <v>大阪市北区小松原町２－４　大阪富国生命ビル</v>
      </c>
      <c r="L2565" s="404" t="s">
        <v>13356</v>
      </c>
      <c r="M2565" s="404" t="s">
        <v>13357</v>
      </c>
      <c r="N2565" s="404" t="s">
        <v>6205</v>
      </c>
      <c r="O2565" s="404" t="s">
        <v>7084</v>
      </c>
      <c r="P2565" s="404" t="s">
        <v>22598</v>
      </c>
      <c r="Q2565" s="404" t="s">
        <v>12041</v>
      </c>
      <c r="R2565" s="404" t="s">
        <v>22392</v>
      </c>
      <c r="S2565" s="404" t="s">
        <v>22599</v>
      </c>
      <c r="T2565" s="404" t="s">
        <v>22600</v>
      </c>
      <c r="U2565" s="404"/>
      <c r="V2565" s="404" t="s">
        <v>7058</v>
      </c>
      <c r="W2565" s="404" t="s">
        <v>18151</v>
      </c>
      <c r="X2565" s="404" t="s">
        <v>18152</v>
      </c>
      <c r="Y2565" s="404" t="s">
        <v>22601</v>
      </c>
    </row>
    <row r="2566" spans="1:25">
      <c r="A2566" s="363">
        <f t="shared" si="327"/>
        <v>2565</v>
      </c>
      <c r="B2566" s="363" t="str">
        <f t="shared" si="320"/>
        <v>00</v>
      </c>
      <c r="C2566" s="405" t="str">
        <f t="shared" si="321"/>
        <v>第022376号</v>
      </c>
      <c r="D2566" s="405" t="str">
        <f t="shared" si="322"/>
        <v>協栄工業（株）</v>
      </c>
      <c r="E2566" s="405" t="str">
        <f t="shared" si="323"/>
        <v>代表取締役</v>
      </c>
      <c r="F2566" s="405" t="str">
        <f t="shared" si="324"/>
        <v>纐纈　孝義</v>
      </c>
      <c r="G2566" s="405" t="str">
        <f t="shared" si="325"/>
        <v>主たる営業所</v>
      </c>
      <c r="H2566" s="405" t="str">
        <f t="shared" si="326"/>
        <v>戸田市本町２－１０－１</v>
      </c>
      <c r="L2566" s="402" t="s">
        <v>13358</v>
      </c>
      <c r="M2566" s="402" t="s">
        <v>9492</v>
      </c>
      <c r="N2566" s="402" t="s">
        <v>3023</v>
      </c>
      <c r="O2566" s="402" t="s">
        <v>7084</v>
      </c>
      <c r="P2566" s="402" t="s">
        <v>6840</v>
      </c>
      <c r="Q2566" s="402" t="s">
        <v>13359</v>
      </c>
      <c r="R2566" s="402" t="s">
        <v>22602</v>
      </c>
      <c r="S2566" s="402" t="s">
        <v>18153</v>
      </c>
      <c r="T2566" s="402" t="s">
        <v>18154</v>
      </c>
      <c r="U2566" s="402"/>
      <c r="V2566" s="403" t="s">
        <v>23024</v>
      </c>
      <c r="W2566" s="403" t="s">
        <v>23024</v>
      </c>
      <c r="X2566" s="403" t="s">
        <v>23024</v>
      </c>
      <c r="Y2566" s="403" t="s">
        <v>23024</v>
      </c>
    </row>
    <row r="2567" spans="1:25">
      <c r="A2567" s="363">
        <f t="shared" si="327"/>
        <v>2566</v>
      </c>
      <c r="B2567" s="363" t="str">
        <f t="shared" si="320"/>
        <v>00</v>
      </c>
      <c r="C2567" s="405" t="str">
        <f t="shared" si="321"/>
        <v>第022421号</v>
      </c>
      <c r="D2567" s="405" t="str">
        <f t="shared" si="322"/>
        <v>（株）前川製作所</v>
      </c>
      <c r="E2567" s="405" t="str">
        <f t="shared" si="323"/>
        <v>代表取締役社長執行役員</v>
      </c>
      <c r="F2567" s="405" t="str">
        <f t="shared" si="324"/>
        <v>前川　真</v>
      </c>
      <c r="G2567" s="405" t="str">
        <f t="shared" si="325"/>
        <v>主たる営業所</v>
      </c>
      <c r="H2567" s="405" t="str">
        <f t="shared" si="326"/>
        <v>江東区牡丹３－１４－１５</v>
      </c>
      <c r="L2567" s="403" t="s">
        <v>13360</v>
      </c>
      <c r="M2567" s="403" t="s">
        <v>13361</v>
      </c>
      <c r="N2567" s="403" t="s">
        <v>6206</v>
      </c>
      <c r="O2567" s="403" t="s">
        <v>7094</v>
      </c>
      <c r="P2567" s="403" t="s">
        <v>6841</v>
      </c>
      <c r="Q2567" s="403" t="s">
        <v>13362</v>
      </c>
      <c r="R2567" s="403" t="s">
        <v>22603</v>
      </c>
      <c r="S2567" s="403" t="s">
        <v>18155</v>
      </c>
      <c r="T2567" s="403" t="s">
        <v>18156</v>
      </c>
      <c r="U2567" s="403"/>
      <c r="V2567" s="403" t="s">
        <v>23024</v>
      </c>
      <c r="W2567" s="403" t="s">
        <v>23024</v>
      </c>
      <c r="X2567" s="403" t="s">
        <v>23024</v>
      </c>
      <c r="Y2567" s="403" t="s">
        <v>23024</v>
      </c>
    </row>
    <row r="2568" spans="1:25">
      <c r="A2568" s="363">
        <f t="shared" si="327"/>
        <v>2567</v>
      </c>
      <c r="B2568" s="363" t="str">
        <f t="shared" si="320"/>
        <v>00</v>
      </c>
      <c r="C2568" s="405" t="str">
        <f t="shared" si="321"/>
        <v>第022487号</v>
      </c>
      <c r="D2568" s="405" t="str">
        <f t="shared" si="322"/>
        <v>（株）ＳＮＣ</v>
      </c>
      <c r="E2568" s="405" t="str">
        <f t="shared" si="323"/>
        <v/>
      </c>
      <c r="F2568" s="405" t="str">
        <f t="shared" si="324"/>
        <v>衛藤　誠</v>
      </c>
      <c r="G2568" s="405" t="str">
        <f t="shared" si="325"/>
        <v>大分営業所</v>
      </c>
      <c r="H2568" s="405" t="str">
        <f t="shared" si="326"/>
        <v>大分市花江川３－３５</v>
      </c>
      <c r="L2568" s="403" t="s">
        <v>13363</v>
      </c>
      <c r="M2568" s="403" t="s">
        <v>13364</v>
      </c>
      <c r="N2568" s="403" t="s">
        <v>6207</v>
      </c>
      <c r="O2568" s="403" t="s">
        <v>7084</v>
      </c>
      <c r="P2568" s="403" t="s">
        <v>6842</v>
      </c>
      <c r="Q2568" s="403" t="s">
        <v>13365</v>
      </c>
      <c r="R2568" s="403" t="s">
        <v>22604</v>
      </c>
      <c r="S2568" s="403" t="s">
        <v>22605</v>
      </c>
      <c r="T2568" s="403" t="s">
        <v>22606</v>
      </c>
      <c r="U2568" s="403"/>
      <c r="V2568" s="403" t="s">
        <v>7013</v>
      </c>
      <c r="W2568" s="403" t="s">
        <v>18157</v>
      </c>
      <c r="X2568" s="403" t="s">
        <v>11389</v>
      </c>
      <c r="Y2568" s="403" t="s">
        <v>22607</v>
      </c>
    </row>
    <row r="2569" spans="1:25">
      <c r="A2569" s="363">
        <f t="shared" si="327"/>
        <v>2568</v>
      </c>
      <c r="B2569" s="363" t="str">
        <f t="shared" si="320"/>
        <v>00</v>
      </c>
      <c r="C2569" s="405" t="str">
        <f t="shared" si="321"/>
        <v>第022513号</v>
      </c>
      <c r="D2569" s="405" t="str">
        <f t="shared" si="322"/>
        <v>（株）森川鑿泉工業所</v>
      </c>
      <c r="E2569" s="405" t="str">
        <f t="shared" si="323"/>
        <v>代表取締役</v>
      </c>
      <c r="F2569" s="405" t="str">
        <f t="shared" si="324"/>
        <v>森川　俊英</v>
      </c>
      <c r="G2569" s="405" t="str">
        <f t="shared" si="325"/>
        <v>主たる営業所</v>
      </c>
      <c r="H2569" s="405" t="str">
        <f t="shared" si="326"/>
        <v>摂津市千里丘１－６－１７</v>
      </c>
      <c r="L2569" s="403" t="s">
        <v>13366</v>
      </c>
      <c r="M2569" s="403" t="s">
        <v>13367</v>
      </c>
      <c r="N2569" s="403" t="s">
        <v>6208</v>
      </c>
      <c r="O2569" s="403" t="s">
        <v>7084</v>
      </c>
      <c r="P2569" s="403" t="s">
        <v>6843</v>
      </c>
      <c r="Q2569" s="403" t="s">
        <v>13368</v>
      </c>
      <c r="R2569" s="403" t="s">
        <v>22608</v>
      </c>
      <c r="S2569" s="403" t="s">
        <v>18158</v>
      </c>
      <c r="T2569" s="403" t="s">
        <v>18159</v>
      </c>
      <c r="U2569" s="403"/>
      <c r="V2569" s="403" t="s">
        <v>23024</v>
      </c>
      <c r="W2569" s="403" t="s">
        <v>23024</v>
      </c>
      <c r="X2569" s="403" t="s">
        <v>23024</v>
      </c>
      <c r="Y2569" s="403" t="s">
        <v>23024</v>
      </c>
    </row>
    <row r="2570" spans="1:25">
      <c r="A2570" s="363">
        <f t="shared" si="327"/>
        <v>2569</v>
      </c>
      <c r="B2570" s="363" t="str">
        <f t="shared" si="320"/>
        <v>00</v>
      </c>
      <c r="C2570" s="405" t="str">
        <f t="shared" si="321"/>
        <v>第022530号</v>
      </c>
      <c r="D2570" s="405" t="str">
        <f t="shared" si="322"/>
        <v>（株）ベルテクノ</v>
      </c>
      <c r="E2570" s="405" t="str">
        <f t="shared" si="323"/>
        <v>代表取締役</v>
      </c>
      <c r="F2570" s="405" t="str">
        <f t="shared" si="324"/>
        <v>加藤　芳朗</v>
      </c>
      <c r="G2570" s="405" t="str">
        <f t="shared" si="325"/>
        <v>主たる営業所</v>
      </c>
      <c r="H2570" s="405" t="str">
        <f t="shared" si="326"/>
        <v>名古屋市中区錦３－５－２７</v>
      </c>
      <c r="L2570" s="403" t="s">
        <v>13369</v>
      </c>
      <c r="M2570" s="403" t="s">
        <v>13370</v>
      </c>
      <c r="N2570" s="403" t="s">
        <v>6209</v>
      </c>
      <c r="O2570" s="403" t="s">
        <v>7084</v>
      </c>
      <c r="P2570" s="403" t="s">
        <v>22609</v>
      </c>
      <c r="Q2570" s="403" t="s">
        <v>13371</v>
      </c>
      <c r="R2570" s="403" t="s">
        <v>22610</v>
      </c>
      <c r="S2570" s="403" t="s">
        <v>18160</v>
      </c>
      <c r="T2570" s="403" t="s">
        <v>18161</v>
      </c>
      <c r="U2570" s="403"/>
      <c r="V2570" s="403" t="s">
        <v>23024</v>
      </c>
      <c r="W2570" s="403" t="s">
        <v>23024</v>
      </c>
      <c r="X2570" s="403" t="s">
        <v>23024</v>
      </c>
      <c r="Y2570" s="403" t="s">
        <v>23024</v>
      </c>
    </row>
    <row r="2571" spans="1:25">
      <c r="A2571" s="363">
        <f t="shared" si="327"/>
        <v>2570</v>
      </c>
      <c r="B2571" s="363" t="str">
        <f t="shared" si="320"/>
        <v>00</v>
      </c>
      <c r="C2571" s="405" t="str">
        <f t="shared" si="321"/>
        <v>第022585号</v>
      </c>
      <c r="D2571" s="405" t="str">
        <f t="shared" si="322"/>
        <v>アクアインテック（株）</v>
      </c>
      <c r="E2571" s="405" t="str">
        <f t="shared" si="323"/>
        <v/>
      </c>
      <c r="F2571" s="405" t="str">
        <f t="shared" si="324"/>
        <v>澤田　友則</v>
      </c>
      <c r="G2571" s="405" t="str">
        <f t="shared" si="325"/>
        <v>大阪営業所</v>
      </c>
      <c r="H2571" s="405" t="str">
        <f t="shared" si="326"/>
        <v>大阪市淀川区宮原４－３－１２　新大阪明幸ビル</v>
      </c>
      <c r="L2571" s="403" t="s">
        <v>13372</v>
      </c>
      <c r="M2571" s="403" t="s">
        <v>13373</v>
      </c>
      <c r="N2571" s="403" t="s">
        <v>6210</v>
      </c>
      <c r="O2571" s="403" t="s">
        <v>7084</v>
      </c>
      <c r="P2571" s="403" t="s">
        <v>22611</v>
      </c>
      <c r="Q2571" s="403" t="s">
        <v>22612</v>
      </c>
      <c r="R2571" s="403" t="s">
        <v>22613</v>
      </c>
      <c r="S2571" s="403" t="s">
        <v>22614</v>
      </c>
      <c r="T2571" s="403" t="s">
        <v>22615</v>
      </c>
      <c r="U2571" s="403"/>
      <c r="V2571" s="403" t="s">
        <v>7022</v>
      </c>
      <c r="W2571" s="403" t="s">
        <v>22616</v>
      </c>
      <c r="X2571" s="403" t="s">
        <v>11993</v>
      </c>
      <c r="Y2571" s="403" t="s">
        <v>22617</v>
      </c>
    </row>
    <row r="2572" spans="1:25">
      <c r="A2572" s="363">
        <f t="shared" si="327"/>
        <v>2571</v>
      </c>
      <c r="B2572" s="363" t="str">
        <f t="shared" si="320"/>
        <v>00</v>
      </c>
      <c r="C2572" s="405" t="str">
        <f t="shared" si="321"/>
        <v>第022664号</v>
      </c>
      <c r="D2572" s="405" t="str">
        <f t="shared" si="322"/>
        <v>テスコ（株）</v>
      </c>
      <c r="E2572" s="405" t="str">
        <f t="shared" si="323"/>
        <v>代表取締役</v>
      </c>
      <c r="F2572" s="405" t="str">
        <f t="shared" si="324"/>
        <v>高橋　博文</v>
      </c>
      <c r="G2572" s="405" t="str">
        <f t="shared" si="325"/>
        <v>主たる営業所</v>
      </c>
      <c r="H2572" s="405" t="str">
        <f t="shared" si="326"/>
        <v>千代田区西神田１－４－５</v>
      </c>
      <c r="L2572" s="403" t="s">
        <v>13374</v>
      </c>
      <c r="M2572" s="403" t="s">
        <v>13375</v>
      </c>
      <c r="N2572" s="403" t="s">
        <v>6211</v>
      </c>
      <c r="O2572" s="403" t="s">
        <v>7084</v>
      </c>
      <c r="P2572" s="403" t="s">
        <v>6844</v>
      </c>
      <c r="Q2572" s="403" t="s">
        <v>13376</v>
      </c>
      <c r="R2572" s="403" t="s">
        <v>21259</v>
      </c>
      <c r="S2572" s="403" t="s">
        <v>18162</v>
      </c>
      <c r="T2572" s="403" t="s">
        <v>18163</v>
      </c>
      <c r="U2572" s="403"/>
      <c r="V2572" s="403" t="s">
        <v>23024</v>
      </c>
      <c r="W2572" s="403" t="s">
        <v>23024</v>
      </c>
      <c r="X2572" s="403" t="s">
        <v>23024</v>
      </c>
      <c r="Y2572" s="403" t="s">
        <v>23024</v>
      </c>
    </row>
    <row r="2573" spans="1:25">
      <c r="A2573" s="363">
        <f t="shared" si="327"/>
        <v>2572</v>
      </c>
      <c r="B2573" s="363" t="str">
        <f t="shared" si="320"/>
        <v>00</v>
      </c>
      <c r="C2573" s="405" t="str">
        <f t="shared" si="321"/>
        <v>第022703号</v>
      </c>
      <c r="D2573" s="405" t="str">
        <f t="shared" si="322"/>
        <v>東伸エンジニアリング（株）</v>
      </c>
      <c r="E2573" s="405" t="str">
        <f t="shared" si="323"/>
        <v/>
      </c>
      <c r="F2573" s="405" t="str">
        <f t="shared" si="324"/>
        <v>右田　育男</v>
      </c>
      <c r="G2573" s="405" t="str">
        <f t="shared" si="325"/>
        <v>別府支店</v>
      </c>
      <c r="H2573" s="405" t="str">
        <f t="shared" si="326"/>
        <v>別府市田の湯町３－７</v>
      </c>
      <c r="L2573" s="403" t="s">
        <v>13377</v>
      </c>
      <c r="M2573" s="403" t="s">
        <v>13378</v>
      </c>
      <c r="N2573" s="403" t="s">
        <v>6212</v>
      </c>
      <c r="O2573" s="403" t="s">
        <v>7084</v>
      </c>
      <c r="P2573" s="403" t="s">
        <v>6845</v>
      </c>
      <c r="Q2573" s="403" t="s">
        <v>22618</v>
      </c>
      <c r="R2573" s="403" t="s">
        <v>22619</v>
      </c>
      <c r="S2573" s="403" t="s">
        <v>22620</v>
      </c>
      <c r="T2573" s="403" t="s">
        <v>22621</v>
      </c>
      <c r="U2573" s="403"/>
      <c r="V2573" s="403" t="s">
        <v>7059</v>
      </c>
      <c r="W2573" s="403" t="s">
        <v>18164</v>
      </c>
      <c r="X2573" s="403" t="s">
        <v>18165</v>
      </c>
      <c r="Y2573" s="403" t="s">
        <v>22622</v>
      </c>
    </row>
    <row r="2574" spans="1:25">
      <c r="A2574" s="363">
        <f t="shared" si="327"/>
        <v>2573</v>
      </c>
      <c r="B2574" s="363" t="str">
        <f t="shared" si="320"/>
        <v>00</v>
      </c>
      <c r="C2574" s="405" t="str">
        <f t="shared" si="321"/>
        <v>第022769号</v>
      </c>
      <c r="D2574" s="405" t="str">
        <f t="shared" si="322"/>
        <v>（株）サン電工社</v>
      </c>
      <c r="E2574" s="405" t="str">
        <f t="shared" si="323"/>
        <v>代表取締役</v>
      </c>
      <c r="F2574" s="405" t="str">
        <f t="shared" si="324"/>
        <v>土井　隆太郎</v>
      </c>
      <c r="G2574" s="405" t="str">
        <f t="shared" si="325"/>
        <v>主たる営業所</v>
      </c>
      <c r="H2574" s="405" t="str">
        <f t="shared" si="326"/>
        <v>福岡市中央区鳥飼２－６－５１</v>
      </c>
      <c r="L2574" s="403" t="s">
        <v>13379</v>
      </c>
      <c r="M2574" s="403" t="s">
        <v>13380</v>
      </c>
      <c r="N2574" s="403" t="s">
        <v>6213</v>
      </c>
      <c r="O2574" s="403" t="s">
        <v>7084</v>
      </c>
      <c r="P2574" s="403" t="s">
        <v>6846</v>
      </c>
      <c r="Q2574" s="403" t="s">
        <v>13381</v>
      </c>
      <c r="R2574" s="403" t="s">
        <v>22623</v>
      </c>
      <c r="S2574" s="403" t="s">
        <v>18166</v>
      </c>
      <c r="T2574" s="403" t="s">
        <v>18167</v>
      </c>
      <c r="U2574" s="403"/>
      <c r="V2574" s="403" t="s">
        <v>23024</v>
      </c>
      <c r="W2574" s="403" t="s">
        <v>23024</v>
      </c>
      <c r="X2574" s="403" t="s">
        <v>23024</v>
      </c>
      <c r="Y2574" s="403" t="s">
        <v>23024</v>
      </c>
    </row>
    <row r="2575" spans="1:25">
      <c r="A2575" s="363">
        <f t="shared" si="327"/>
        <v>2574</v>
      </c>
      <c r="B2575" s="363" t="str">
        <f t="shared" si="320"/>
        <v>00</v>
      </c>
      <c r="C2575" s="405" t="str">
        <f t="shared" si="321"/>
        <v>第023013号</v>
      </c>
      <c r="D2575" s="405" t="str">
        <f t="shared" si="322"/>
        <v>（株）横河ＮＳエンジニアリング</v>
      </c>
      <c r="E2575" s="405" t="str">
        <f t="shared" si="323"/>
        <v/>
      </c>
      <c r="F2575" s="405" t="str">
        <f t="shared" si="324"/>
        <v>高瀬　直弘</v>
      </c>
      <c r="G2575" s="405" t="str">
        <f t="shared" si="325"/>
        <v>大阪営業部</v>
      </c>
      <c r="H2575" s="405" t="str">
        <f t="shared" si="326"/>
        <v>大阪市中央区本町４－３－９</v>
      </c>
      <c r="L2575" s="403" t="s">
        <v>13382</v>
      </c>
      <c r="M2575" s="403" t="s">
        <v>13383</v>
      </c>
      <c r="N2575" s="403" t="s">
        <v>6214</v>
      </c>
      <c r="O2575" s="403" t="s">
        <v>7084</v>
      </c>
      <c r="P2575" s="403" t="s">
        <v>22624</v>
      </c>
      <c r="Q2575" s="403" t="s">
        <v>13384</v>
      </c>
      <c r="R2575" s="403" t="s">
        <v>22625</v>
      </c>
      <c r="S2575" s="403" t="s">
        <v>22626</v>
      </c>
      <c r="T2575" s="403" t="s">
        <v>22627</v>
      </c>
      <c r="U2575" s="403"/>
      <c r="V2575" s="403" t="s">
        <v>7060</v>
      </c>
      <c r="W2575" s="403" t="s">
        <v>18168</v>
      </c>
      <c r="X2575" s="403" t="s">
        <v>12301</v>
      </c>
      <c r="Y2575" s="403" t="s">
        <v>22628</v>
      </c>
    </row>
    <row r="2576" spans="1:25">
      <c r="A2576" s="363">
        <f t="shared" si="327"/>
        <v>2575</v>
      </c>
      <c r="B2576" s="363" t="str">
        <f t="shared" si="320"/>
        <v>00</v>
      </c>
      <c r="C2576" s="405" t="str">
        <f t="shared" si="321"/>
        <v>第023117号</v>
      </c>
      <c r="D2576" s="405" t="str">
        <f t="shared" si="322"/>
        <v>八光海運（株）</v>
      </c>
      <c r="E2576" s="405" t="str">
        <f t="shared" si="323"/>
        <v/>
      </c>
      <c r="F2576" s="405" t="str">
        <f t="shared" si="324"/>
        <v>内山　朋之</v>
      </c>
      <c r="G2576" s="405" t="str">
        <f t="shared" si="325"/>
        <v>熊本支店</v>
      </c>
      <c r="H2576" s="405" t="str">
        <f t="shared" si="326"/>
        <v>上天草市大矢野町登立３３５５－１</v>
      </c>
      <c r="L2576" s="403" t="s">
        <v>13385</v>
      </c>
      <c r="M2576" s="403" t="s">
        <v>13386</v>
      </c>
      <c r="N2576" s="403" t="s">
        <v>6215</v>
      </c>
      <c r="O2576" s="403" t="s">
        <v>7084</v>
      </c>
      <c r="P2576" s="403" t="s">
        <v>6847</v>
      </c>
      <c r="Q2576" s="403" t="s">
        <v>13387</v>
      </c>
      <c r="R2576" s="403" t="s">
        <v>22629</v>
      </c>
      <c r="S2576" s="403" t="s">
        <v>22630</v>
      </c>
      <c r="T2576" s="403" t="s">
        <v>22631</v>
      </c>
      <c r="U2576" s="403"/>
      <c r="V2576" s="403" t="s">
        <v>7061</v>
      </c>
      <c r="W2576" s="403" t="s">
        <v>18169</v>
      </c>
      <c r="X2576" s="403" t="s">
        <v>18170</v>
      </c>
      <c r="Y2576" s="403" t="s">
        <v>22632</v>
      </c>
    </row>
    <row r="2577" spans="1:25">
      <c r="A2577" s="363">
        <f t="shared" si="327"/>
        <v>2576</v>
      </c>
      <c r="B2577" s="363" t="str">
        <f t="shared" si="320"/>
        <v>00</v>
      </c>
      <c r="C2577" s="405" t="str">
        <f t="shared" si="321"/>
        <v>第023183号</v>
      </c>
      <c r="D2577" s="405" t="str">
        <f t="shared" si="322"/>
        <v>（株）西鉄グリーン土木</v>
      </c>
      <c r="E2577" s="405" t="str">
        <f t="shared" si="323"/>
        <v>代表取締役</v>
      </c>
      <c r="F2577" s="405" t="str">
        <f t="shared" si="324"/>
        <v>財部　幸司</v>
      </c>
      <c r="G2577" s="405" t="str">
        <f t="shared" si="325"/>
        <v>主たる営業所</v>
      </c>
      <c r="H2577" s="405" t="str">
        <f t="shared" si="326"/>
        <v>福岡市中央区大名１－４－１</v>
      </c>
      <c r="L2577" s="403" t="s">
        <v>13388</v>
      </c>
      <c r="M2577" s="403" t="s">
        <v>13389</v>
      </c>
      <c r="N2577" s="403" t="s">
        <v>6216</v>
      </c>
      <c r="O2577" s="403" t="s">
        <v>7084</v>
      </c>
      <c r="P2577" s="403" t="s">
        <v>6848</v>
      </c>
      <c r="Q2577" s="403" t="s">
        <v>13390</v>
      </c>
      <c r="R2577" s="403" t="s">
        <v>22633</v>
      </c>
      <c r="S2577" s="403" t="s">
        <v>18171</v>
      </c>
      <c r="T2577" s="403" t="s">
        <v>18172</v>
      </c>
      <c r="U2577" s="403"/>
      <c r="V2577" s="403" t="s">
        <v>23024</v>
      </c>
      <c r="W2577" s="403" t="s">
        <v>23024</v>
      </c>
      <c r="X2577" s="403" t="s">
        <v>23024</v>
      </c>
      <c r="Y2577" s="403" t="s">
        <v>23024</v>
      </c>
    </row>
    <row r="2578" spans="1:25">
      <c r="A2578" s="363">
        <f t="shared" si="327"/>
        <v>2577</v>
      </c>
      <c r="B2578" s="363" t="str">
        <f t="shared" si="320"/>
        <v>00</v>
      </c>
      <c r="C2578" s="405" t="str">
        <f t="shared" si="321"/>
        <v>第023294号</v>
      </c>
      <c r="D2578" s="405" t="str">
        <f t="shared" si="322"/>
        <v>ネットワンシステムズ（株）</v>
      </c>
      <c r="E2578" s="405" t="str">
        <f t="shared" si="323"/>
        <v>代表取締役</v>
      </c>
      <c r="F2578" s="405" t="str">
        <f t="shared" si="324"/>
        <v>竹下　隆史</v>
      </c>
      <c r="G2578" s="405" t="str">
        <f t="shared" si="325"/>
        <v>主たる営業所</v>
      </c>
      <c r="H2578" s="405" t="str">
        <f t="shared" si="326"/>
        <v>千代田区丸の内２－７－２　ＪＰタワー</v>
      </c>
      <c r="L2578" s="403" t="s">
        <v>13391</v>
      </c>
      <c r="M2578" s="403" t="s">
        <v>13392</v>
      </c>
      <c r="N2578" s="403" t="s">
        <v>6217</v>
      </c>
      <c r="O2578" s="403" t="s">
        <v>7084</v>
      </c>
      <c r="P2578" s="403" t="s">
        <v>6849</v>
      </c>
      <c r="Q2578" s="403" t="s">
        <v>13393</v>
      </c>
      <c r="R2578" s="403" t="s">
        <v>22634</v>
      </c>
      <c r="S2578" s="403" t="s">
        <v>18173</v>
      </c>
      <c r="T2578" s="403" t="s">
        <v>18174</v>
      </c>
      <c r="U2578" s="403"/>
      <c r="V2578" s="403" t="s">
        <v>23024</v>
      </c>
      <c r="W2578" s="403" t="s">
        <v>23024</v>
      </c>
      <c r="X2578" s="403" t="s">
        <v>23024</v>
      </c>
      <c r="Y2578" s="403" t="s">
        <v>23024</v>
      </c>
    </row>
    <row r="2579" spans="1:25">
      <c r="A2579" s="363">
        <f t="shared" si="327"/>
        <v>2578</v>
      </c>
      <c r="B2579" s="363" t="str">
        <f t="shared" si="320"/>
        <v>00</v>
      </c>
      <c r="C2579" s="405" t="str">
        <f t="shared" si="321"/>
        <v>第023300号</v>
      </c>
      <c r="D2579" s="405" t="str">
        <f t="shared" si="322"/>
        <v>パナソニック産機システムズ（株）</v>
      </c>
      <c r="E2579" s="405" t="str">
        <f t="shared" si="323"/>
        <v/>
      </c>
      <c r="F2579" s="405" t="str">
        <f t="shared" si="324"/>
        <v>古賀　昌弘</v>
      </c>
      <c r="G2579" s="405" t="str">
        <f t="shared" si="325"/>
        <v>九州支店</v>
      </c>
      <c r="H2579" s="405" t="str">
        <f t="shared" si="326"/>
        <v>福岡市博多区博多駅南４－６－２３</v>
      </c>
      <c r="L2579" s="403" t="s">
        <v>13394</v>
      </c>
      <c r="M2579" s="403" t="s">
        <v>13395</v>
      </c>
      <c r="N2579" s="403" t="s">
        <v>6218</v>
      </c>
      <c r="O2579" s="403" t="s">
        <v>7084</v>
      </c>
      <c r="P2579" s="403" t="s">
        <v>6850</v>
      </c>
      <c r="Q2579" s="403" t="s">
        <v>13396</v>
      </c>
      <c r="R2579" s="403" t="s">
        <v>22635</v>
      </c>
      <c r="S2579" s="403" t="s">
        <v>22636</v>
      </c>
      <c r="T2579" s="403" t="s">
        <v>22637</v>
      </c>
      <c r="U2579" s="403"/>
      <c r="V2579" s="403" t="s">
        <v>7007</v>
      </c>
      <c r="W2579" s="403" t="s">
        <v>18175</v>
      </c>
      <c r="X2579" s="403" t="s">
        <v>11975</v>
      </c>
      <c r="Y2579" s="403" t="s">
        <v>22638</v>
      </c>
    </row>
    <row r="2580" spans="1:25">
      <c r="A2580" s="363">
        <f t="shared" si="327"/>
        <v>2579</v>
      </c>
      <c r="B2580" s="363" t="str">
        <f t="shared" si="320"/>
        <v>00</v>
      </c>
      <c r="C2580" s="405" t="str">
        <f t="shared" si="321"/>
        <v>第023337号</v>
      </c>
      <c r="D2580" s="405" t="str">
        <f t="shared" si="322"/>
        <v>日本鉄塔工業（株）</v>
      </c>
      <c r="E2580" s="405" t="str">
        <f t="shared" si="323"/>
        <v/>
      </c>
      <c r="F2580" s="405" t="str">
        <f t="shared" si="324"/>
        <v>天野　賢一</v>
      </c>
      <c r="G2580" s="405" t="str">
        <f t="shared" si="325"/>
        <v>北九州営業所</v>
      </c>
      <c r="H2580" s="405" t="str">
        <f t="shared" si="326"/>
        <v>北九州市若松区北浜１－７－１</v>
      </c>
      <c r="L2580" s="403" t="s">
        <v>13397</v>
      </c>
      <c r="M2580" s="403" t="s">
        <v>13398</v>
      </c>
      <c r="N2580" s="403" t="s">
        <v>6219</v>
      </c>
      <c r="O2580" s="403" t="s">
        <v>7083</v>
      </c>
      <c r="P2580" s="403" t="s">
        <v>6851</v>
      </c>
      <c r="Q2580" s="403" t="s">
        <v>13399</v>
      </c>
      <c r="R2580" s="403" t="s">
        <v>22639</v>
      </c>
      <c r="S2580" s="403" t="s">
        <v>22640</v>
      </c>
      <c r="T2580" s="403" t="s">
        <v>22641</v>
      </c>
      <c r="U2580" s="403"/>
      <c r="V2580" s="403" t="s">
        <v>7062</v>
      </c>
      <c r="W2580" s="403" t="s">
        <v>18176</v>
      </c>
      <c r="X2580" s="403" t="s">
        <v>13399</v>
      </c>
      <c r="Y2580" s="403" t="s">
        <v>22639</v>
      </c>
    </row>
    <row r="2581" spans="1:25">
      <c r="A2581" s="363">
        <f t="shared" si="327"/>
        <v>2580</v>
      </c>
      <c r="B2581" s="363" t="str">
        <f t="shared" si="320"/>
        <v>00</v>
      </c>
      <c r="C2581" s="405" t="str">
        <f t="shared" si="321"/>
        <v>第023458号</v>
      </c>
      <c r="D2581" s="405" t="str">
        <f t="shared" si="322"/>
        <v>（株）ディグ工業</v>
      </c>
      <c r="E2581" s="405" t="str">
        <f t="shared" si="323"/>
        <v/>
      </c>
      <c r="F2581" s="405" t="str">
        <f t="shared" si="324"/>
        <v>川邉　祐三</v>
      </c>
      <c r="G2581" s="405" t="str">
        <f t="shared" si="325"/>
        <v>大分営業所</v>
      </c>
      <c r="H2581" s="405" t="str">
        <f t="shared" si="326"/>
        <v>大分市明野北５－１７－１１</v>
      </c>
      <c r="L2581" s="403" t="s">
        <v>13400</v>
      </c>
      <c r="M2581" s="403" t="s">
        <v>13401</v>
      </c>
      <c r="N2581" s="403" t="s">
        <v>6220</v>
      </c>
      <c r="O2581" s="403" t="s">
        <v>7084</v>
      </c>
      <c r="P2581" s="403" t="s">
        <v>3974</v>
      </c>
      <c r="Q2581" s="403" t="s">
        <v>12026</v>
      </c>
      <c r="R2581" s="403" t="s">
        <v>22642</v>
      </c>
      <c r="S2581" s="403" t="s">
        <v>22643</v>
      </c>
      <c r="T2581" s="403" t="s">
        <v>22644</v>
      </c>
      <c r="U2581" s="403"/>
      <c r="V2581" s="403" t="s">
        <v>7013</v>
      </c>
      <c r="W2581" s="403" t="s">
        <v>18177</v>
      </c>
      <c r="X2581" s="403" t="s">
        <v>10555</v>
      </c>
      <c r="Y2581" s="403" t="s">
        <v>22645</v>
      </c>
    </row>
    <row r="2582" spans="1:25">
      <c r="A2582" s="363">
        <f t="shared" si="327"/>
        <v>2581</v>
      </c>
      <c r="B2582" s="363" t="str">
        <f t="shared" si="320"/>
        <v>00</v>
      </c>
      <c r="C2582" s="405" t="str">
        <f t="shared" si="321"/>
        <v>第023484号</v>
      </c>
      <c r="D2582" s="405" t="str">
        <f t="shared" si="322"/>
        <v>（株）福島製作所</v>
      </c>
      <c r="E2582" s="405" t="str">
        <f t="shared" si="323"/>
        <v/>
      </c>
      <c r="F2582" s="405" t="str">
        <f t="shared" si="324"/>
        <v>宮川　慎一</v>
      </c>
      <c r="G2582" s="405" t="str">
        <f t="shared" si="325"/>
        <v>下関営業所</v>
      </c>
      <c r="H2582" s="405" t="str">
        <f t="shared" si="326"/>
        <v>下関市一の宮町２－１３－２</v>
      </c>
      <c r="L2582" s="403" t="s">
        <v>13402</v>
      </c>
      <c r="M2582" s="403" t="s">
        <v>13403</v>
      </c>
      <c r="N2582" s="403" t="s">
        <v>6221</v>
      </c>
      <c r="O2582" s="403" t="s">
        <v>7084</v>
      </c>
      <c r="P2582" s="403" t="s">
        <v>6852</v>
      </c>
      <c r="Q2582" s="403" t="s">
        <v>13404</v>
      </c>
      <c r="R2582" s="403" t="s">
        <v>22646</v>
      </c>
      <c r="S2582" s="403" t="s">
        <v>22647</v>
      </c>
      <c r="T2582" s="403" t="s">
        <v>22648</v>
      </c>
      <c r="U2582" s="403"/>
      <c r="V2582" s="403" t="s">
        <v>7063</v>
      </c>
      <c r="W2582" s="403" t="s">
        <v>18178</v>
      </c>
      <c r="X2582" s="403" t="s">
        <v>18179</v>
      </c>
      <c r="Y2582" s="403" t="s">
        <v>22649</v>
      </c>
    </row>
    <row r="2583" spans="1:25">
      <c r="A2583" s="363">
        <f t="shared" si="327"/>
        <v>2582</v>
      </c>
      <c r="B2583" s="363" t="str">
        <f t="shared" si="320"/>
        <v>00</v>
      </c>
      <c r="C2583" s="405" t="str">
        <f t="shared" si="321"/>
        <v>第023512号</v>
      </c>
      <c r="D2583" s="405" t="str">
        <f t="shared" si="322"/>
        <v>ＪＲＣシステムサービス（株）</v>
      </c>
      <c r="E2583" s="405" t="str">
        <f t="shared" si="323"/>
        <v/>
      </c>
      <c r="F2583" s="405" t="str">
        <f t="shared" si="324"/>
        <v>坪内　潔</v>
      </c>
      <c r="G2583" s="405" t="str">
        <f t="shared" si="325"/>
        <v>九州支店</v>
      </c>
      <c r="H2583" s="405" t="str">
        <f t="shared" si="326"/>
        <v>福岡市博多区綱場町４－１</v>
      </c>
      <c r="L2583" s="403" t="s">
        <v>13405</v>
      </c>
      <c r="M2583" s="403" t="s">
        <v>13406</v>
      </c>
      <c r="N2583" s="403" t="s">
        <v>6222</v>
      </c>
      <c r="O2583" s="403" t="s">
        <v>7084</v>
      </c>
      <c r="P2583" s="403" t="s">
        <v>6853</v>
      </c>
      <c r="Q2583" s="403" t="s">
        <v>13407</v>
      </c>
      <c r="R2583" s="403" t="s">
        <v>22650</v>
      </c>
      <c r="S2583" s="403" t="s">
        <v>22651</v>
      </c>
      <c r="T2583" s="403" t="s">
        <v>22652</v>
      </c>
      <c r="U2583" s="403"/>
      <c r="V2583" s="403" t="s">
        <v>7007</v>
      </c>
      <c r="W2583" s="403" t="s">
        <v>18180</v>
      </c>
      <c r="X2583" s="403" t="s">
        <v>17529</v>
      </c>
      <c r="Y2583" s="403" t="s">
        <v>21761</v>
      </c>
    </row>
    <row r="2584" spans="1:25">
      <c r="A2584" s="363">
        <f t="shared" si="327"/>
        <v>2583</v>
      </c>
      <c r="B2584" s="363" t="str">
        <f t="shared" si="320"/>
        <v>00</v>
      </c>
      <c r="C2584" s="405" t="str">
        <f t="shared" si="321"/>
        <v>第023621号</v>
      </c>
      <c r="D2584" s="405" t="str">
        <f t="shared" si="322"/>
        <v>セコム（株）</v>
      </c>
      <c r="E2584" s="405" t="str">
        <f t="shared" si="323"/>
        <v>代表取締役社長</v>
      </c>
      <c r="F2584" s="405" t="str">
        <f t="shared" si="324"/>
        <v>吉田　保幸</v>
      </c>
      <c r="G2584" s="405" t="str">
        <f t="shared" si="325"/>
        <v>主たる営業所</v>
      </c>
      <c r="H2584" s="405" t="str">
        <f t="shared" si="326"/>
        <v>渋谷区神宮前１－５－１</v>
      </c>
      <c r="L2584" s="403" t="s">
        <v>13408</v>
      </c>
      <c r="M2584" s="403" t="s">
        <v>13409</v>
      </c>
      <c r="N2584" s="403" t="s">
        <v>6223</v>
      </c>
      <c r="O2584" s="403" t="s">
        <v>7083</v>
      </c>
      <c r="P2584" s="403" t="s">
        <v>6854</v>
      </c>
      <c r="Q2584" s="403" t="s">
        <v>13410</v>
      </c>
      <c r="R2584" s="403" t="s">
        <v>22653</v>
      </c>
      <c r="S2584" s="403" t="s">
        <v>18181</v>
      </c>
      <c r="T2584" s="403" t="s">
        <v>18182</v>
      </c>
      <c r="U2584" s="403"/>
      <c r="V2584" s="403" t="s">
        <v>23024</v>
      </c>
      <c r="W2584" s="403" t="s">
        <v>23024</v>
      </c>
      <c r="X2584" s="403" t="s">
        <v>23024</v>
      </c>
      <c r="Y2584" s="403" t="s">
        <v>23024</v>
      </c>
    </row>
    <row r="2585" spans="1:25">
      <c r="A2585" s="363">
        <f t="shared" si="327"/>
        <v>2584</v>
      </c>
      <c r="B2585" s="363" t="str">
        <f t="shared" si="320"/>
        <v>00</v>
      </c>
      <c r="C2585" s="405" t="str">
        <f t="shared" si="321"/>
        <v>第023684号</v>
      </c>
      <c r="D2585" s="405" t="str">
        <f t="shared" si="322"/>
        <v>コトブキシーティング（株）</v>
      </c>
      <c r="E2585" s="405" t="str">
        <f t="shared" si="323"/>
        <v/>
      </c>
      <c r="F2585" s="405" t="str">
        <f t="shared" si="324"/>
        <v>吉開　　宏</v>
      </c>
      <c r="G2585" s="405" t="str">
        <f t="shared" si="325"/>
        <v>九州支店</v>
      </c>
      <c r="H2585" s="405" t="str">
        <f t="shared" si="326"/>
        <v>福岡市中央区天神１－３－３８　天神１２１ビル６階</v>
      </c>
      <c r="L2585" s="403" t="s">
        <v>13411</v>
      </c>
      <c r="M2585" s="403" t="s">
        <v>13412</v>
      </c>
      <c r="N2585" s="403" t="s">
        <v>6224</v>
      </c>
      <c r="O2585" s="403" t="s">
        <v>7084</v>
      </c>
      <c r="P2585" s="403" t="s">
        <v>6855</v>
      </c>
      <c r="Q2585" s="403" t="s">
        <v>13282</v>
      </c>
      <c r="R2585" s="403" t="s">
        <v>22654</v>
      </c>
      <c r="S2585" s="403" t="s">
        <v>22655</v>
      </c>
      <c r="T2585" s="403" t="s">
        <v>22656</v>
      </c>
      <c r="U2585" s="403"/>
      <c r="V2585" s="403" t="s">
        <v>7007</v>
      </c>
      <c r="W2585" s="403" t="s">
        <v>22657</v>
      </c>
      <c r="X2585" s="403" t="s">
        <v>17517</v>
      </c>
      <c r="Y2585" s="403" t="s">
        <v>22658</v>
      </c>
    </row>
    <row r="2586" spans="1:25">
      <c r="A2586" s="363">
        <f t="shared" si="327"/>
        <v>2585</v>
      </c>
      <c r="B2586" s="363" t="str">
        <f t="shared" si="320"/>
        <v>00</v>
      </c>
      <c r="C2586" s="405" t="str">
        <f t="shared" si="321"/>
        <v>第023688号</v>
      </c>
      <c r="D2586" s="405" t="str">
        <f t="shared" si="322"/>
        <v>富士電機（株）</v>
      </c>
      <c r="E2586" s="405" t="str">
        <f t="shared" si="323"/>
        <v/>
      </c>
      <c r="F2586" s="405" t="str">
        <f t="shared" si="324"/>
        <v>田神　淳</v>
      </c>
      <c r="G2586" s="405" t="str">
        <f t="shared" si="325"/>
        <v>九州支社</v>
      </c>
      <c r="H2586" s="405" t="str">
        <f t="shared" si="326"/>
        <v>福岡市博多区店屋町５－１８</v>
      </c>
      <c r="L2586" s="403" t="s">
        <v>13413</v>
      </c>
      <c r="M2586" s="403" t="s">
        <v>13414</v>
      </c>
      <c r="N2586" s="403" t="s">
        <v>6225</v>
      </c>
      <c r="O2586" s="403" t="s">
        <v>7084</v>
      </c>
      <c r="P2586" s="403" t="s">
        <v>6856</v>
      </c>
      <c r="Q2586" s="403" t="s">
        <v>11937</v>
      </c>
      <c r="R2586" s="403" t="s">
        <v>22659</v>
      </c>
      <c r="S2586" s="403" t="s">
        <v>22660</v>
      </c>
      <c r="T2586" s="403" t="s">
        <v>22661</v>
      </c>
      <c r="U2586" s="403"/>
      <c r="V2586" s="403" t="s">
        <v>7011</v>
      </c>
      <c r="W2586" s="403" t="s">
        <v>18183</v>
      </c>
      <c r="X2586" s="403" t="s">
        <v>17522</v>
      </c>
      <c r="Y2586" s="403" t="s">
        <v>20792</v>
      </c>
    </row>
    <row r="2587" spans="1:25">
      <c r="A2587" s="363">
        <f t="shared" si="327"/>
        <v>2586</v>
      </c>
      <c r="B2587" s="363" t="str">
        <f t="shared" si="320"/>
        <v>00</v>
      </c>
      <c r="C2587" s="405" t="str">
        <f t="shared" si="321"/>
        <v>第023707号</v>
      </c>
      <c r="D2587" s="405" t="str">
        <f t="shared" si="322"/>
        <v>横浜ゴムＭＢジャパン（株）</v>
      </c>
      <c r="E2587" s="405" t="str">
        <f t="shared" si="323"/>
        <v/>
      </c>
      <c r="F2587" s="405" t="str">
        <f t="shared" si="324"/>
        <v>木野　喬文</v>
      </c>
      <c r="G2587" s="405" t="str">
        <f t="shared" si="325"/>
        <v>九州支社大分営業所</v>
      </c>
      <c r="H2587" s="405" t="str">
        <f t="shared" si="326"/>
        <v>大分市向原西１－８－２</v>
      </c>
      <c r="L2587" s="403" t="s">
        <v>13415</v>
      </c>
      <c r="M2587" s="403" t="s">
        <v>13416</v>
      </c>
      <c r="N2587" s="403" t="s">
        <v>6226</v>
      </c>
      <c r="O2587" s="403" t="s">
        <v>7084</v>
      </c>
      <c r="P2587" s="403" t="s">
        <v>6857</v>
      </c>
      <c r="Q2587" s="403" t="s">
        <v>13417</v>
      </c>
      <c r="R2587" s="403" t="s">
        <v>22662</v>
      </c>
      <c r="S2587" s="403" t="s">
        <v>22663</v>
      </c>
      <c r="T2587" s="403" t="s">
        <v>22664</v>
      </c>
      <c r="U2587" s="403"/>
      <c r="V2587" s="403" t="s">
        <v>22665</v>
      </c>
      <c r="W2587" s="403" t="s">
        <v>22666</v>
      </c>
      <c r="X2587" s="403" t="s">
        <v>7309</v>
      </c>
      <c r="Y2587" s="403" t="s">
        <v>22667</v>
      </c>
    </row>
    <row r="2588" spans="1:25">
      <c r="A2588" s="363">
        <f t="shared" si="327"/>
        <v>2587</v>
      </c>
      <c r="B2588" s="363" t="str">
        <f t="shared" si="320"/>
        <v>00</v>
      </c>
      <c r="C2588" s="405" t="str">
        <f t="shared" si="321"/>
        <v>第023711号</v>
      </c>
      <c r="D2588" s="405" t="str">
        <f t="shared" si="322"/>
        <v>（株）アセック</v>
      </c>
      <c r="E2588" s="405" t="str">
        <f t="shared" si="323"/>
        <v>代表取締役</v>
      </c>
      <c r="F2588" s="405" t="str">
        <f t="shared" si="324"/>
        <v>荒木　宣人</v>
      </c>
      <c r="G2588" s="405" t="str">
        <f t="shared" si="325"/>
        <v>主たる営業所</v>
      </c>
      <c r="H2588" s="405" t="str">
        <f t="shared" si="326"/>
        <v>尼崎市南初島町１２－６</v>
      </c>
      <c r="L2588" s="403" t="s">
        <v>13418</v>
      </c>
      <c r="M2588" s="403" t="s">
        <v>13419</v>
      </c>
      <c r="N2588" s="403" t="s">
        <v>6227</v>
      </c>
      <c r="O2588" s="403" t="s">
        <v>7084</v>
      </c>
      <c r="P2588" s="403" t="s">
        <v>6858</v>
      </c>
      <c r="Q2588" s="403" t="s">
        <v>13420</v>
      </c>
      <c r="R2588" s="403" t="s">
        <v>22668</v>
      </c>
      <c r="S2588" s="403" t="s">
        <v>18184</v>
      </c>
      <c r="T2588" s="403" t="s">
        <v>18185</v>
      </c>
      <c r="U2588" s="403"/>
      <c r="V2588" s="403" t="s">
        <v>23024</v>
      </c>
      <c r="W2588" s="403" t="s">
        <v>23024</v>
      </c>
      <c r="X2588" s="403" t="s">
        <v>23024</v>
      </c>
      <c r="Y2588" s="403" t="s">
        <v>23024</v>
      </c>
    </row>
    <row r="2589" spans="1:25">
      <c r="A2589" s="363">
        <f t="shared" si="327"/>
        <v>2588</v>
      </c>
      <c r="B2589" s="363" t="str">
        <f t="shared" si="320"/>
        <v>00</v>
      </c>
      <c r="C2589" s="405" t="str">
        <f t="shared" si="321"/>
        <v>第023712号</v>
      </c>
      <c r="D2589" s="405" t="str">
        <f t="shared" si="322"/>
        <v>東芝テリー（株）</v>
      </c>
      <c r="E2589" s="405" t="str">
        <f t="shared" si="323"/>
        <v/>
      </c>
      <c r="F2589" s="405" t="str">
        <f t="shared" si="324"/>
        <v>牛原　正臣</v>
      </c>
      <c r="G2589" s="405" t="str">
        <f t="shared" si="325"/>
        <v>九州支店</v>
      </c>
      <c r="H2589" s="405" t="str">
        <f t="shared" si="326"/>
        <v>福岡市中央区長浜２－４－１</v>
      </c>
      <c r="L2589" s="403" t="s">
        <v>13421</v>
      </c>
      <c r="M2589" s="403" t="s">
        <v>13422</v>
      </c>
      <c r="N2589" s="403" t="s">
        <v>6228</v>
      </c>
      <c r="O2589" s="403" t="s">
        <v>7083</v>
      </c>
      <c r="P2589" s="403" t="s">
        <v>22669</v>
      </c>
      <c r="Q2589" s="403" t="s">
        <v>13423</v>
      </c>
      <c r="R2589" s="403" t="s">
        <v>22670</v>
      </c>
      <c r="S2589" s="403" t="s">
        <v>22671</v>
      </c>
      <c r="T2589" s="403" t="s">
        <v>22672</v>
      </c>
      <c r="U2589" s="403"/>
      <c r="V2589" s="403" t="s">
        <v>7007</v>
      </c>
      <c r="W2589" s="403" t="s">
        <v>18186</v>
      </c>
      <c r="X2589" s="403" t="s">
        <v>13253</v>
      </c>
      <c r="Y2589" s="403" t="s">
        <v>21434</v>
      </c>
    </row>
    <row r="2590" spans="1:25">
      <c r="A2590" s="363">
        <f t="shared" si="327"/>
        <v>2589</v>
      </c>
      <c r="B2590" s="363" t="str">
        <f t="shared" si="320"/>
        <v>00</v>
      </c>
      <c r="C2590" s="405" t="str">
        <f t="shared" si="321"/>
        <v>第023738号</v>
      </c>
      <c r="D2590" s="405" t="str">
        <f t="shared" si="322"/>
        <v>大機工業（株）</v>
      </c>
      <c r="E2590" s="405" t="str">
        <f t="shared" si="323"/>
        <v>代表取締役</v>
      </c>
      <c r="F2590" s="405" t="str">
        <f t="shared" si="324"/>
        <v>仲尾　好生</v>
      </c>
      <c r="G2590" s="405" t="str">
        <f t="shared" si="325"/>
        <v>主たる営業所</v>
      </c>
      <c r="H2590" s="405" t="str">
        <f t="shared" si="326"/>
        <v>尼崎市猪名寺３－５－１</v>
      </c>
      <c r="L2590" s="403" t="s">
        <v>13424</v>
      </c>
      <c r="M2590" s="403" t="s">
        <v>13425</v>
      </c>
      <c r="N2590" s="403" t="s">
        <v>6229</v>
      </c>
      <c r="O2590" s="403" t="s">
        <v>7084</v>
      </c>
      <c r="P2590" s="403" t="s">
        <v>6859</v>
      </c>
      <c r="Q2590" s="403" t="s">
        <v>13426</v>
      </c>
      <c r="R2590" s="403" t="s">
        <v>22673</v>
      </c>
      <c r="S2590" s="403" t="s">
        <v>18187</v>
      </c>
      <c r="T2590" s="403" t="s">
        <v>18188</v>
      </c>
      <c r="U2590" s="403"/>
      <c r="V2590" s="403" t="s">
        <v>23024</v>
      </c>
      <c r="W2590" s="403" t="s">
        <v>23024</v>
      </c>
      <c r="X2590" s="403" t="s">
        <v>23024</v>
      </c>
      <c r="Y2590" s="403" t="s">
        <v>23024</v>
      </c>
    </row>
    <row r="2591" spans="1:25">
      <c r="A2591" s="363">
        <f t="shared" si="327"/>
        <v>2590</v>
      </c>
      <c r="B2591" s="363" t="str">
        <f t="shared" si="320"/>
        <v>00</v>
      </c>
      <c r="C2591" s="405" t="str">
        <f t="shared" si="321"/>
        <v>第023771号</v>
      </c>
      <c r="D2591" s="405" t="str">
        <f t="shared" si="322"/>
        <v>鉱研工業（株）</v>
      </c>
      <c r="E2591" s="405" t="str">
        <f t="shared" si="323"/>
        <v>代表取締役</v>
      </c>
      <c r="F2591" s="405" t="str">
        <f t="shared" si="324"/>
        <v>木山　隆二郎</v>
      </c>
      <c r="G2591" s="405" t="str">
        <f t="shared" si="325"/>
        <v>主たる営業所</v>
      </c>
      <c r="H2591" s="405" t="str">
        <f t="shared" si="326"/>
        <v>豊島区高田２－１７－２２　目白中野ビル１階</v>
      </c>
      <c r="L2591" s="403" t="s">
        <v>13427</v>
      </c>
      <c r="M2591" s="403" t="s">
        <v>13428</v>
      </c>
      <c r="N2591" s="403" t="s">
        <v>6230</v>
      </c>
      <c r="O2591" s="403" t="s">
        <v>7084</v>
      </c>
      <c r="P2591" s="403" t="s">
        <v>6860</v>
      </c>
      <c r="Q2591" s="403" t="s">
        <v>13429</v>
      </c>
      <c r="R2591" s="403" t="s">
        <v>22674</v>
      </c>
      <c r="S2591" s="403" t="s">
        <v>18189</v>
      </c>
      <c r="T2591" s="403" t="s">
        <v>18190</v>
      </c>
      <c r="U2591" s="403"/>
      <c r="V2591" s="403" t="s">
        <v>23024</v>
      </c>
      <c r="W2591" s="403" t="s">
        <v>23024</v>
      </c>
      <c r="X2591" s="403" t="s">
        <v>23024</v>
      </c>
      <c r="Y2591" s="403" t="s">
        <v>23024</v>
      </c>
    </row>
    <row r="2592" spans="1:25">
      <c r="A2592" s="363">
        <f t="shared" si="327"/>
        <v>2591</v>
      </c>
      <c r="B2592" s="363" t="str">
        <f t="shared" si="320"/>
        <v>00</v>
      </c>
      <c r="C2592" s="405" t="str">
        <f t="shared" si="321"/>
        <v>第023834号</v>
      </c>
      <c r="D2592" s="405" t="str">
        <f t="shared" si="322"/>
        <v>オムロンソーシアルソリューションズ（株）</v>
      </c>
      <c r="E2592" s="405" t="str">
        <f t="shared" si="323"/>
        <v/>
      </c>
      <c r="F2592" s="405" t="str">
        <f t="shared" si="324"/>
        <v>湊　惇朗</v>
      </c>
      <c r="G2592" s="405" t="str">
        <f t="shared" si="325"/>
        <v>大阪事業所</v>
      </c>
      <c r="H2592" s="405" t="str">
        <f t="shared" si="326"/>
        <v>大阪市福島区福島３－１４－２４</v>
      </c>
      <c r="L2592" s="403" t="s">
        <v>13430</v>
      </c>
      <c r="M2592" s="403" t="s">
        <v>13431</v>
      </c>
      <c r="N2592" s="403" t="s">
        <v>6231</v>
      </c>
      <c r="O2592" s="403" t="s">
        <v>7083</v>
      </c>
      <c r="P2592" s="403" t="s">
        <v>6861</v>
      </c>
      <c r="Q2592" s="403" t="s">
        <v>12094</v>
      </c>
      <c r="R2592" s="403" t="s">
        <v>22675</v>
      </c>
      <c r="S2592" s="403" t="s">
        <v>22676</v>
      </c>
      <c r="T2592" s="403" t="s">
        <v>22677</v>
      </c>
      <c r="U2592" s="403"/>
      <c r="V2592" s="403" t="s">
        <v>22678</v>
      </c>
      <c r="W2592" s="403" t="s">
        <v>22679</v>
      </c>
      <c r="X2592" s="403" t="s">
        <v>12443</v>
      </c>
      <c r="Y2592" s="403" t="s">
        <v>22680</v>
      </c>
    </row>
    <row r="2593" spans="1:25">
      <c r="A2593" s="363">
        <f t="shared" si="327"/>
        <v>2592</v>
      </c>
      <c r="B2593" s="363" t="str">
        <f t="shared" si="320"/>
        <v>00</v>
      </c>
      <c r="C2593" s="405" t="str">
        <f t="shared" si="321"/>
        <v>第023951号</v>
      </c>
      <c r="D2593" s="405" t="str">
        <f t="shared" si="322"/>
        <v>日鉄環境エネルギーサービス（株）</v>
      </c>
      <c r="E2593" s="405" t="str">
        <f t="shared" si="323"/>
        <v>代表取締役社長</v>
      </c>
      <c r="F2593" s="405" t="str">
        <f t="shared" si="324"/>
        <v>鈴木　章弘</v>
      </c>
      <c r="G2593" s="405" t="str">
        <f t="shared" si="325"/>
        <v>主たる営業所</v>
      </c>
      <c r="H2593" s="405" t="str">
        <f t="shared" si="326"/>
        <v>北九州市戸畑区大字中原４６－５９</v>
      </c>
      <c r="L2593" s="403" t="s">
        <v>13432</v>
      </c>
      <c r="M2593" s="403" t="s">
        <v>22681</v>
      </c>
      <c r="N2593" s="403" t="s">
        <v>22682</v>
      </c>
      <c r="O2593" s="403" t="s">
        <v>7083</v>
      </c>
      <c r="P2593" s="403" t="s">
        <v>6862</v>
      </c>
      <c r="Q2593" s="403" t="s">
        <v>13433</v>
      </c>
      <c r="R2593" s="403" t="s">
        <v>22683</v>
      </c>
      <c r="S2593" s="403" t="s">
        <v>22684</v>
      </c>
      <c r="T2593" s="403" t="s">
        <v>18191</v>
      </c>
      <c r="U2593" s="403"/>
      <c r="V2593" s="403" t="s">
        <v>23024</v>
      </c>
      <c r="W2593" s="403" t="s">
        <v>23024</v>
      </c>
      <c r="X2593" s="403" t="s">
        <v>23024</v>
      </c>
      <c r="Y2593" s="403" t="s">
        <v>23024</v>
      </c>
    </row>
    <row r="2594" spans="1:25">
      <c r="A2594" s="363">
        <f t="shared" si="327"/>
        <v>2593</v>
      </c>
      <c r="B2594" s="363" t="str">
        <f t="shared" si="320"/>
        <v>00</v>
      </c>
      <c r="C2594" s="405" t="str">
        <f t="shared" si="321"/>
        <v>第023960号</v>
      </c>
      <c r="D2594" s="405" t="str">
        <f t="shared" si="322"/>
        <v>（株）日立プラントメカニクス</v>
      </c>
      <c r="E2594" s="405" t="str">
        <f t="shared" si="323"/>
        <v/>
      </c>
      <c r="F2594" s="405" t="str">
        <f t="shared" si="324"/>
        <v>永溝　亮祐</v>
      </c>
      <c r="G2594" s="405" t="str">
        <f t="shared" si="325"/>
        <v>九州支店</v>
      </c>
      <c r="H2594" s="405" t="str">
        <f t="shared" si="326"/>
        <v>福岡市博多区冷泉町２－１</v>
      </c>
      <c r="L2594" s="403" t="s">
        <v>13434</v>
      </c>
      <c r="M2594" s="403" t="s">
        <v>13435</v>
      </c>
      <c r="N2594" s="403" t="s">
        <v>6232</v>
      </c>
      <c r="O2594" s="403" t="s">
        <v>7084</v>
      </c>
      <c r="P2594" s="403" t="s">
        <v>6863</v>
      </c>
      <c r="Q2594" s="403" t="s">
        <v>12199</v>
      </c>
      <c r="R2594" s="403" t="s">
        <v>22685</v>
      </c>
      <c r="S2594" s="403" t="s">
        <v>22686</v>
      </c>
      <c r="T2594" s="403" t="s">
        <v>22687</v>
      </c>
      <c r="U2594" s="403"/>
      <c r="V2594" s="403" t="s">
        <v>7007</v>
      </c>
      <c r="W2594" s="403" t="s">
        <v>18192</v>
      </c>
      <c r="X2594" s="403" t="s">
        <v>17756</v>
      </c>
      <c r="Y2594" s="403" t="s">
        <v>21858</v>
      </c>
    </row>
    <row r="2595" spans="1:25">
      <c r="A2595" s="363">
        <f t="shared" si="327"/>
        <v>2594</v>
      </c>
      <c r="B2595" s="363" t="str">
        <f t="shared" si="320"/>
        <v>00</v>
      </c>
      <c r="C2595" s="405" t="str">
        <f t="shared" si="321"/>
        <v>第024016号</v>
      </c>
      <c r="D2595" s="405" t="str">
        <f t="shared" si="322"/>
        <v>（株）江藤建設工業</v>
      </c>
      <c r="E2595" s="405" t="str">
        <f t="shared" si="323"/>
        <v/>
      </c>
      <c r="F2595" s="405" t="str">
        <f t="shared" si="324"/>
        <v>河野　寿人茂</v>
      </c>
      <c r="G2595" s="405" t="str">
        <f t="shared" si="325"/>
        <v>大分営業所</v>
      </c>
      <c r="H2595" s="405" t="str">
        <f t="shared" si="326"/>
        <v>大分市旭町６－１６</v>
      </c>
      <c r="L2595" s="403" t="s">
        <v>13436</v>
      </c>
      <c r="M2595" s="403" t="s">
        <v>13437</v>
      </c>
      <c r="N2595" s="403" t="s">
        <v>6233</v>
      </c>
      <c r="O2595" s="403" t="s">
        <v>7084</v>
      </c>
      <c r="P2595" s="403" t="s">
        <v>22688</v>
      </c>
      <c r="Q2595" s="403" t="s">
        <v>13438</v>
      </c>
      <c r="R2595" s="403" t="s">
        <v>22689</v>
      </c>
      <c r="S2595" s="403" t="s">
        <v>22690</v>
      </c>
      <c r="T2595" s="403" t="s">
        <v>22691</v>
      </c>
      <c r="U2595" s="403"/>
      <c r="V2595" s="403" t="s">
        <v>7013</v>
      </c>
      <c r="W2595" s="403" t="s">
        <v>18193</v>
      </c>
      <c r="X2595" s="403" t="s">
        <v>18194</v>
      </c>
      <c r="Y2595" s="403" t="s">
        <v>22692</v>
      </c>
    </row>
    <row r="2596" spans="1:25">
      <c r="A2596" s="363">
        <f t="shared" si="327"/>
        <v>2595</v>
      </c>
      <c r="B2596" s="363" t="str">
        <f t="shared" si="320"/>
        <v>00</v>
      </c>
      <c r="C2596" s="405" t="str">
        <f t="shared" si="321"/>
        <v>第024027号</v>
      </c>
      <c r="D2596" s="405" t="str">
        <f t="shared" si="322"/>
        <v>（株）エース・ウォーター</v>
      </c>
      <c r="E2596" s="405" t="str">
        <f t="shared" si="323"/>
        <v>代表取締役</v>
      </c>
      <c r="F2596" s="405" t="str">
        <f t="shared" si="324"/>
        <v>川島　潤一郎</v>
      </c>
      <c r="G2596" s="405" t="str">
        <f t="shared" si="325"/>
        <v>主たる営業所</v>
      </c>
      <c r="H2596" s="405" t="str">
        <f t="shared" si="326"/>
        <v>福岡市博多区上呉服町１－８　北九州銀行呉服町ビル</v>
      </c>
      <c r="L2596" s="403" t="s">
        <v>13439</v>
      </c>
      <c r="M2596" s="403" t="s">
        <v>13440</v>
      </c>
      <c r="N2596" s="403" t="s">
        <v>6234</v>
      </c>
      <c r="O2596" s="403" t="s">
        <v>7084</v>
      </c>
      <c r="P2596" s="403" t="s">
        <v>6864</v>
      </c>
      <c r="Q2596" s="403" t="s">
        <v>12874</v>
      </c>
      <c r="R2596" s="403" t="s">
        <v>22693</v>
      </c>
      <c r="S2596" s="403" t="s">
        <v>18195</v>
      </c>
      <c r="T2596" s="403" t="s">
        <v>18196</v>
      </c>
      <c r="U2596" s="403"/>
      <c r="V2596" s="403" t="s">
        <v>23024</v>
      </c>
      <c r="W2596" s="403" t="s">
        <v>23024</v>
      </c>
      <c r="X2596" s="403" t="s">
        <v>23024</v>
      </c>
      <c r="Y2596" s="403" t="s">
        <v>23024</v>
      </c>
    </row>
    <row r="2597" spans="1:25">
      <c r="A2597" s="363">
        <f t="shared" si="327"/>
        <v>2596</v>
      </c>
      <c r="B2597" s="363" t="str">
        <f t="shared" si="320"/>
        <v>00</v>
      </c>
      <c r="C2597" s="405" t="str">
        <f t="shared" si="321"/>
        <v>第024088号</v>
      </c>
      <c r="D2597" s="405" t="str">
        <f t="shared" si="322"/>
        <v>コイト電工（株）</v>
      </c>
      <c r="E2597" s="405" t="str">
        <f t="shared" si="323"/>
        <v/>
      </c>
      <c r="F2597" s="405" t="str">
        <f t="shared" si="324"/>
        <v>石田　透</v>
      </c>
      <c r="G2597" s="405" t="str">
        <f t="shared" si="325"/>
        <v>九州支店</v>
      </c>
      <c r="H2597" s="405" t="str">
        <f t="shared" si="326"/>
        <v>福岡市博多区博多駅南２－９－１１　三共福岡ビル２Ｆ</v>
      </c>
      <c r="L2597" s="403" t="s">
        <v>13441</v>
      </c>
      <c r="M2597" s="403" t="s">
        <v>13442</v>
      </c>
      <c r="N2597" s="403" t="s">
        <v>6235</v>
      </c>
      <c r="O2597" s="403" t="s">
        <v>7084</v>
      </c>
      <c r="P2597" s="403" t="s">
        <v>6865</v>
      </c>
      <c r="Q2597" s="403" t="s">
        <v>13443</v>
      </c>
      <c r="R2597" s="403" t="s">
        <v>22694</v>
      </c>
      <c r="S2597" s="403" t="s">
        <v>22695</v>
      </c>
      <c r="T2597" s="403" t="s">
        <v>22696</v>
      </c>
      <c r="U2597" s="403"/>
      <c r="V2597" s="403" t="s">
        <v>7007</v>
      </c>
      <c r="W2597" s="403" t="s">
        <v>18197</v>
      </c>
      <c r="X2597" s="403" t="s">
        <v>11975</v>
      </c>
      <c r="Y2597" s="403" t="s">
        <v>22697</v>
      </c>
    </row>
    <row r="2598" spans="1:25">
      <c r="A2598" s="363">
        <f t="shared" si="327"/>
        <v>2597</v>
      </c>
      <c r="B2598" s="363" t="str">
        <f t="shared" si="320"/>
        <v>00</v>
      </c>
      <c r="C2598" s="405" t="str">
        <f t="shared" si="321"/>
        <v>第024204号</v>
      </c>
      <c r="D2598" s="405" t="str">
        <f t="shared" si="322"/>
        <v>九電テクノシステムズ（株）</v>
      </c>
      <c r="E2598" s="405" t="str">
        <f t="shared" si="323"/>
        <v/>
      </c>
      <c r="F2598" s="405" t="str">
        <f t="shared" si="324"/>
        <v>牛島　瑞樹</v>
      </c>
      <c r="G2598" s="405" t="str">
        <f t="shared" si="325"/>
        <v>大分支店</v>
      </c>
      <c r="H2598" s="405" t="str">
        <f t="shared" si="326"/>
        <v>大分市下郡東２－１－３５</v>
      </c>
      <c r="L2598" s="403" t="s">
        <v>13444</v>
      </c>
      <c r="M2598" s="403" t="s">
        <v>13445</v>
      </c>
      <c r="N2598" s="403" t="s">
        <v>6236</v>
      </c>
      <c r="O2598" s="403" t="s">
        <v>7083</v>
      </c>
      <c r="P2598" s="403" t="s">
        <v>6866</v>
      </c>
      <c r="Q2598" s="403" t="s">
        <v>12137</v>
      </c>
      <c r="R2598" s="403" t="s">
        <v>22698</v>
      </c>
      <c r="S2598" s="403" t="s">
        <v>22699</v>
      </c>
      <c r="T2598" s="403" t="s">
        <v>22700</v>
      </c>
      <c r="U2598" s="403"/>
      <c r="V2598" s="403" t="s">
        <v>7009</v>
      </c>
      <c r="W2598" s="403" t="s">
        <v>22701</v>
      </c>
      <c r="X2598" s="403" t="s">
        <v>18084</v>
      </c>
      <c r="Y2598" s="403" t="s">
        <v>22702</v>
      </c>
    </row>
    <row r="2599" spans="1:25">
      <c r="A2599" s="363">
        <f t="shared" si="327"/>
        <v>2598</v>
      </c>
      <c r="B2599" s="363" t="str">
        <f t="shared" si="320"/>
        <v>00</v>
      </c>
      <c r="C2599" s="405" t="str">
        <f t="shared" si="321"/>
        <v>第024428号</v>
      </c>
      <c r="D2599" s="405" t="str">
        <f t="shared" si="322"/>
        <v>栫築炉工業（株）</v>
      </c>
      <c r="E2599" s="405" t="str">
        <f t="shared" si="323"/>
        <v/>
      </c>
      <c r="F2599" s="405" t="str">
        <f t="shared" si="324"/>
        <v>栫　博明</v>
      </c>
      <c r="G2599" s="405" t="str">
        <f t="shared" si="325"/>
        <v>南九州営業所</v>
      </c>
      <c r="H2599" s="405" t="str">
        <f t="shared" si="326"/>
        <v>薩摩川内市五代町３１８１－１２</v>
      </c>
      <c r="L2599" s="403" t="s">
        <v>13446</v>
      </c>
      <c r="M2599" s="403" t="s">
        <v>13447</v>
      </c>
      <c r="N2599" s="403" t="s">
        <v>6237</v>
      </c>
      <c r="O2599" s="403" t="s">
        <v>7083</v>
      </c>
      <c r="P2599" s="403" t="s">
        <v>6867</v>
      </c>
      <c r="Q2599" s="403" t="s">
        <v>13448</v>
      </c>
      <c r="R2599" s="403" t="s">
        <v>22703</v>
      </c>
      <c r="S2599" s="403" t="s">
        <v>22704</v>
      </c>
      <c r="T2599" s="403" t="s">
        <v>22705</v>
      </c>
      <c r="U2599" s="403"/>
      <c r="V2599" s="403" t="s">
        <v>7064</v>
      </c>
      <c r="W2599" s="403" t="s">
        <v>18198</v>
      </c>
      <c r="X2599" s="403" t="s">
        <v>18199</v>
      </c>
      <c r="Y2599" s="403" t="s">
        <v>22706</v>
      </c>
    </row>
    <row r="2600" spans="1:25">
      <c r="A2600" s="363">
        <f t="shared" si="327"/>
        <v>2599</v>
      </c>
      <c r="B2600" s="363" t="str">
        <f t="shared" si="320"/>
        <v>00</v>
      </c>
      <c r="C2600" s="405" t="str">
        <f t="shared" si="321"/>
        <v>第024504号</v>
      </c>
      <c r="D2600" s="405" t="str">
        <f t="shared" si="322"/>
        <v>日本メディコム（株）</v>
      </c>
      <c r="E2600" s="405" t="str">
        <f t="shared" si="323"/>
        <v>代表取締役</v>
      </c>
      <c r="F2600" s="405" t="str">
        <f t="shared" si="324"/>
        <v>甲斐　敏一</v>
      </c>
      <c r="G2600" s="405" t="str">
        <f t="shared" si="325"/>
        <v>主たる営業所</v>
      </c>
      <c r="H2600" s="405" t="str">
        <f t="shared" si="326"/>
        <v>北九州市八幡西区穴生２－７－３</v>
      </c>
      <c r="L2600" s="403" t="s">
        <v>13449</v>
      </c>
      <c r="M2600" s="403" t="s">
        <v>13450</v>
      </c>
      <c r="N2600" s="403" t="s">
        <v>6238</v>
      </c>
      <c r="O2600" s="403" t="s">
        <v>7084</v>
      </c>
      <c r="P2600" s="403" t="s">
        <v>6868</v>
      </c>
      <c r="Q2600" s="403" t="s">
        <v>13451</v>
      </c>
      <c r="R2600" s="403" t="s">
        <v>22707</v>
      </c>
      <c r="S2600" s="403" t="s">
        <v>18200</v>
      </c>
      <c r="T2600" s="403" t="s">
        <v>18201</v>
      </c>
      <c r="U2600" s="403"/>
      <c r="V2600" s="403" t="s">
        <v>23024</v>
      </c>
      <c r="W2600" s="403" t="s">
        <v>23024</v>
      </c>
      <c r="X2600" s="403" t="s">
        <v>23024</v>
      </c>
      <c r="Y2600" s="403" t="s">
        <v>23024</v>
      </c>
    </row>
    <row r="2601" spans="1:25">
      <c r="A2601" s="363">
        <f t="shared" si="327"/>
        <v>2600</v>
      </c>
      <c r="B2601" s="363" t="str">
        <f t="shared" si="320"/>
        <v>00</v>
      </c>
      <c r="C2601" s="405" t="str">
        <f t="shared" si="321"/>
        <v>第024597号</v>
      </c>
      <c r="D2601" s="405" t="str">
        <f t="shared" si="322"/>
        <v>三菱重工パワーインダストリー（株）</v>
      </c>
      <c r="E2601" s="405" t="str">
        <f t="shared" si="323"/>
        <v/>
      </c>
      <c r="F2601" s="405" t="str">
        <f t="shared" si="324"/>
        <v>松田　誠司</v>
      </c>
      <c r="G2601" s="405" t="str">
        <f t="shared" si="325"/>
        <v>九州支社</v>
      </c>
      <c r="H2601" s="405" t="str">
        <f t="shared" si="326"/>
        <v>大分市都町１－２－１</v>
      </c>
      <c r="L2601" s="403" t="s">
        <v>13452</v>
      </c>
      <c r="M2601" s="403" t="s">
        <v>13453</v>
      </c>
      <c r="N2601" s="403" t="s">
        <v>6239</v>
      </c>
      <c r="O2601" s="403" t="s">
        <v>7084</v>
      </c>
      <c r="P2601" s="403" t="s">
        <v>6869</v>
      </c>
      <c r="Q2601" s="403" t="s">
        <v>13454</v>
      </c>
      <c r="R2601" s="403" t="s">
        <v>22708</v>
      </c>
      <c r="S2601" s="403" t="s">
        <v>22709</v>
      </c>
      <c r="T2601" s="403" t="s">
        <v>22710</v>
      </c>
      <c r="U2601" s="403"/>
      <c r="V2601" s="403" t="s">
        <v>7011</v>
      </c>
      <c r="W2601" s="403" t="s">
        <v>18202</v>
      </c>
      <c r="X2601" s="403" t="s">
        <v>8737</v>
      </c>
      <c r="Y2601" s="403" t="s">
        <v>22711</v>
      </c>
    </row>
    <row r="2602" spans="1:25">
      <c r="A2602" s="363">
        <f t="shared" si="327"/>
        <v>2601</v>
      </c>
      <c r="B2602" s="363" t="str">
        <f t="shared" si="320"/>
        <v>00</v>
      </c>
      <c r="C2602" s="405" t="str">
        <f t="shared" si="321"/>
        <v>第024674号</v>
      </c>
      <c r="D2602" s="405" t="str">
        <f t="shared" si="322"/>
        <v>内田工業（株）</v>
      </c>
      <c r="E2602" s="405" t="str">
        <f t="shared" si="323"/>
        <v>代表取締役</v>
      </c>
      <c r="F2602" s="405" t="str">
        <f t="shared" si="324"/>
        <v>内田　拓秀</v>
      </c>
      <c r="G2602" s="405" t="str">
        <f t="shared" si="325"/>
        <v>主たる営業所</v>
      </c>
      <c r="H2602" s="405" t="str">
        <f t="shared" si="326"/>
        <v>名古屋市中川区好本町３－６７</v>
      </c>
      <c r="L2602" s="403" t="s">
        <v>13455</v>
      </c>
      <c r="M2602" s="403" t="s">
        <v>13456</v>
      </c>
      <c r="N2602" s="403" t="s">
        <v>6240</v>
      </c>
      <c r="O2602" s="403" t="s">
        <v>7084</v>
      </c>
      <c r="P2602" s="403" t="s">
        <v>22712</v>
      </c>
      <c r="Q2602" s="403" t="s">
        <v>13457</v>
      </c>
      <c r="R2602" s="403" t="s">
        <v>22713</v>
      </c>
      <c r="S2602" s="403" t="s">
        <v>18203</v>
      </c>
      <c r="T2602" s="403" t="s">
        <v>18204</v>
      </c>
      <c r="U2602" s="403"/>
      <c r="V2602" s="403" t="s">
        <v>23024</v>
      </c>
      <c r="W2602" s="403" t="s">
        <v>23024</v>
      </c>
      <c r="X2602" s="403" t="s">
        <v>23024</v>
      </c>
      <c r="Y2602" s="403" t="s">
        <v>23024</v>
      </c>
    </row>
    <row r="2603" spans="1:25">
      <c r="A2603" s="363">
        <f t="shared" si="327"/>
        <v>2602</v>
      </c>
      <c r="B2603" s="363" t="str">
        <f t="shared" si="320"/>
        <v>00</v>
      </c>
      <c r="C2603" s="405" t="str">
        <f t="shared" si="321"/>
        <v>第024842号</v>
      </c>
      <c r="D2603" s="405" t="str">
        <f t="shared" si="322"/>
        <v>石田工業（株）</v>
      </c>
      <c r="E2603" s="405" t="str">
        <f t="shared" si="323"/>
        <v/>
      </c>
      <c r="F2603" s="405" t="str">
        <f t="shared" si="324"/>
        <v>菅　洋二</v>
      </c>
      <c r="G2603" s="405" t="str">
        <f t="shared" si="325"/>
        <v>宮崎営業所</v>
      </c>
      <c r="H2603" s="405" t="str">
        <f t="shared" si="326"/>
        <v>東諸県郡綾町入野４１１１</v>
      </c>
      <c r="L2603" s="403" t="s">
        <v>13458</v>
      </c>
      <c r="M2603" s="403" t="s">
        <v>13459</v>
      </c>
      <c r="N2603" s="403" t="s">
        <v>6241</v>
      </c>
      <c r="O2603" s="403" t="s">
        <v>7084</v>
      </c>
      <c r="P2603" s="403" t="s">
        <v>22714</v>
      </c>
      <c r="Q2603" s="403" t="s">
        <v>13460</v>
      </c>
      <c r="R2603" s="403" t="s">
        <v>22715</v>
      </c>
      <c r="S2603" s="403" t="s">
        <v>22716</v>
      </c>
      <c r="T2603" s="403" t="s">
        <v>22717</v>
      </c>
      <c r="U2603" s="403"/>
      <c r="V2603" s="403" t="s">
        <v>22718</v>
      </c>
      <c r="W2603" s="403" t="s">
        <v>22719</v>
      </c>
      <c r="X2603" s="403" t="s">
        <v>22720</v>
      </c>
      <c r="Y2603" s="403" t="s">
        <v>22721</v>
      </c>
    </row>
    <row r="2604" spans="1:25">
      <c r="A2604" s="363">
        <f t="shared" si="327"/>
        <v>2603</v>
      </c>
      <c r="B2604" s="363" t="str">
        <f t="shared" si="320"/>
        <v>00</v>
      </c>
      <c r="C2604" s="405" t="str">
        <f t="shared" si="321"/>
        <v>第024876号</v>
      </c>
      <c r="D2604" s="405" t="str">
        <f t="shared" si="322"/>
        <v>津福工業（株）</v>
      </c>
      <c r="E2604" s="405" t="str">
        <f t="shared" si="323"/>
        <v>代表取締役社長</v>
      </c>
      <c r="F2604" s="405" t="str">
        <f t="shared" si="324"/>
        <v>津福　一宏</v>
      </c>
      <c r="G2604" s="405" t="str">
        <f t="shared" si="325"/>
        <v>主たる営業所</v>
      </c>
      <c r="H2604" s="405" t="str">
        <f t="shared" si="326"/>
        <v>久留米市梅満町１２０２</v>
      </c>
      <c r="L2604" s="403" t="s">
        <v>13461</v>
      </c>
      <c r="M2604" s="403" t="s">
        <v>13462</v>
      </c>
      <c r="N2604" s="403" t="s">
        <v>6242</v>
      </c>
      <c r="O2604" s="403" t="s">
        <v>7083</v>
      </c>
      <c r="P2604" s="403" t="s">
        <v>6870</v>
      </c>
      <c r="Q2604" s="403" t="s">
        <v>13463</v>
      </c>
      <c r="R2604" s="403" t="s">
        <v>22722</v>
      </c>
      <c r="S2604" s="403" t="s">
        <v>18205</v>
      </c>
      <c r="T2604" s="403" t="s">
        <v>18206</v>
      </c>
      <c r="U2604" s="403"/>
      <c r="V2604" s="403" t="s">
        <v>23024</v>
      </c>
      <c r="W2604" s="403" t="s">
        <v>23024</v>
      </c>
      <c r="X2604" s="403" t="s">
        <v>23024</v>
      </c>
      <c r="Y2604" s="403" t="s">
        <v>23024</v>
      </c>
    </row>
    <row r="2605" spans="1:25">
      <c r="A2605" s="363">
        <f t="shared" si="327"/>
        <v>2604</v>
      </c>
      <c r="B2605" s="363" t="str">
        <f t="shared" si="320"/>
        <v>00</v>
      </c>
      <c r="C2605" s="405" t="str">
        <f t="shared" si="321"/>
        <v>第025081号</v>
      </c>
      <c r="D2605" s="405" t="str">
        <f t="shared" si="322"/>
        <v>松山建設（株）</v>
      </c>
      <c r="E2605" s="405" t="str">
        <f t="shared" si="323"/>
        <v/>
      </c>
      <c r="F2605" s="405" t="str">
        <f t="shared" si="324"/>
        <v>吉村　一佳</v>
      </c>
      <c r="G2605" s="405" t="str">
        <f t="shared" si="325"/>
        <v>中津支店</v>
      </c>
      <c r="H2605" s="405" t="str">
        <f t="shared" si="326"/>
        <v>中津市大字下池永７０８－１</v>
      </c>
      <c r="L2605" s="403" t="s">
        <v>13464</v>
      </c>
      <c r="M2605" s="403" t="s">
        <v>13465</v>
      </c>
      <c r="N2605" s="403" t="s">
        <v>6243</v>
      </c>
      <c r="O2605" s="403" t="s">
        <v>7084</v>
      </c>
      <c r="P2605" s="403" t="s">
        <v>6871</v>
      </c>
      <c r="Q2605" s="403" t="s">
        <v>13466</v>
      </c>
      <c r="R2605" s="403" t="s">
        <v>22723</v>
      </c>
      <c r="S2605" s="403" t="s">
        <v>22724</v>
      </c>
      <c r="T2605" s="403" t="s">
        <v>22725</v>
      </c>
      <c r="U2605" s="403"/>
      <c r="V2605" s="403" t="s">
        <v>7016</v>
      </c>
      <c r="W2605" s="403" t="s">
        <v>18207</v>
      </c>
      <c r="X2605" s="403" t="s">
        <v>8105</v>
      </c>
      <c r="Y2605" s="403" t="s">
        <v>22726</v>
      </c>
    </row>
    <row r="2606" spans="1:25">
      <c r="A2606" s="363">
        <f t="shared" si="327"/>
        <v>2605</v>
      </c>
      <c r="B2606" s="363" t="str">
        <f t="shared" si="320"/>
        <v>00</v>
      </c>
      <c r="C2606" s="405" t="str">
        <f t="shared" si="321"/>
        <v>第025111号</v>
      </c>
      <c r="D2606" s="405" t="str">
        <f t="shared" si="322"/>
        <v>（株）明電エンジニアリング</v>
      </c>
      <c r="E2606" s="405" t="str">
        <f t="shared" si="323"/>
        <v/>
      </c>
      <c r="F2606" s="405" t="str">
        <f t="shared" si="324"/>
        <v>稲岡　純子</v>
      </c>
      <c r="G2606" s="405" t="str">
        <f t="shared" si="325"/>
        <v>九州支店　大分営業所</v>
      </c>
      <c r="H2606" s="405" t="str">
        <f t="shared" si="326"/>
        <v>大分市日岡１－３－２０</v>
      </c>
      <c r="L2606" s="403" t="s">
        <v>13467</v>
      </c>
      <c r="M2606" s="403" t="s">
        <v>13468</v>
      </c>
      <c r="N2606" s="403" t="s">
        <v>6244</v>
      </c>
      <c r="O2606" s="403" t="s">
        <v>7089</v>
      </c>
      <c r="P2606" s="403" t="s">
        <v>6872</v>
      </c>
      <c r="Q2606" s="403" t="s">
        <v>13469</v>
      </c>
      <c r="R2606" s="403" t="s">
        <v>22727</v>
      </c>
      <c r="S2606" s="403" t="s">
        <v>22728</v>
      </c>
      <c r="T2606" s="403" t="s">
        <v>22729</v>
      </c>
      <c r="U2606" s="403"/>
      <c r="V2606" s="403" t="s">
        <v>7065</v>
      </c>
      <c r="W2606" s="403" t="s">
        <v>18208</v>
      </c>
      <c r="X2606" s="403" t="s">
        <v>11828</v>
      </c>
      <c r="Y2606" s="403" t="s">
        <v>22730</v>
      </c>
    </row>
    <row r="2607" spans="1:25">
      <c r="A2607" s="363">
        <f t="shared" si="327"/>
        <v>2606</v>
      </c>
      <c r="B2607" s="363" t="str">
        <f t="shared" si="320"/>
        <v>00</v>
      </c>
      <c r="C2607" s="405" t="str">
        <f t="shared" si="321"/>
        <v>第025134号</v>
      </c>
      <c r="D2607" s="405" t="str">
        <f t="shared" si="322"/>
        <v>弘安建設（株）</v>
      </c>
      <c r="E2607" s="405" t="str">
        <f t="shared" si="323"/>
        <v>代表取締役</v>
      </c>
      <c r="F2607" s="405" t="str">
        <f t="shared" si="324"/>
        <v>池上　元一</v>
      </c>
      <c r="G2607" s="405" t="str">
        <f t="shared" si="325"/>
        <v>主たる営業所</v>
      </c>
      <c r="H2607" s="405" t="str">
        <f t="shared" si="326"/>
        <v>和歌山市吉田５６３－１</v>
      </c>
      <c r="L2607" s="403" t="s">
        <v>13470</v>
      </c>
      <c r="M2607" s="403" t="s">
        <v>13471</v>
      </c>
      <c r="N2607" s="403" t="s">
        <v>6245</v>
      </c>
      <c r="O2607" s="403" t="s">
        <v>7084</v>
      </c>
      <c r="P2607" s="403" t="s">
        <v>6873</v>
      </c>
      <c r="Q2607" s="403" t="s">
        <v>13472</v>
      </c>
      <c r="R2607" s="403" t="s">
        <v>22731</v>
      </c>
      <c r="S2607" s="403" t="s">
        <v>18209</v>
      </c>
      <c r="T2607" s="403" t="s">
        <v>18210</v>
      </c>
      <c r="U2607" s="403"/>
      <c r="V2607" s="403" t="s">
        <v>23024</v>
      </c>
      <c r="W2607" s="403" t="s">
        <v>23024</v>
      </c>
      <c r="X2607" s="403" t="s">
        <v>23024</v>
      </c>
      <c r="Y2607" s="403" t="s">
        <v>23024</v>
      </c>
    </row>
    <row r="2608" spans="1:25">
      <c r="A2608" s="363">
        <f t="shared" si="327"/>
        <v>2607</v>
      </c>
      <c r="B2608" s="363" t="str">
        <f t="shared" si="320"/>
        <v>00</v>
      </c>
      <c r="C2608" s="405" t="str">
        <f t="shared" si="321"/>
        <v>第025136号</v>
      </c>
      <c r="D2608" s="405" t="str">
        <f t="shared" si="322"/>
        <v>（株）東光高岳</v>
      </c>
      <c r="E2608" s="405" t="str">
        <f t="shared" si="323"/>
        <v/>
      </c>
      <c r="F2608" s="405" t="str">
        <f t="shared" si="324"/>
        <v>丸山　竜司</v>
      </c>
      <c r="G2608" s="405" t="str">
        <f t="shared" si="325"/>
        <v>九州支社</v>
      </c>
      <c r="H2608" s="405" t="str">
        <f t="shared" si="326"/>
        <v>福岡市中央区渡辺通５－２３－８</v>
      </c>
      <c r="L2608" s="403" t="s">
        <v>13473</v>
      </c>
      <c r="M2608" s="403" t="s">
        <v>13474</v>
      </c>
      <c r="N2608" s="403" t="s">
        <v>6246</v>
      </c>
      <c r="O2608" s="403" t="s">
        <v>7083</v>
      </c>
      <c r="P2608" s="403" t="s">
        <v>6874</v>
      </c>
      <c r="Q2608" s="403" t="s">
        <v>12494</v>
      </c>
      <c r="R2608" s="403" t="s">
        <v>21870</v>
      </c>
      <c r="S2608" s="403" t="s">
        <v>22732</v>
      </c>
      <c r="T2608" s="403" t="s">
        <v>22733</v>
      </c>
      <c r="U2608" s="403"/>
      <c r="V2608" s="403" t="s">
        <v>7011</v>
      </c>
      <c r="W2608" s="403" t="s">
        <v>18211</v>
      </c>
      <c r="X2608" s="403" t="s">
        <v>13027</v>
      </c>
      <c r="Y2608" s="403" t="s">
        <v>22734</v>
      </c>
    </row>
    <row r="2609" spans="1:25">
      <c r="A2609" s="363">
        <f t="shared" si="327"/>
        <v>2608</v>
      </c>
      <c r="B2609" s="363" t="str">
        <f t="shared" si="320"/>
        <v>00</v>
      </c>
      <c r="C2609" s="405" t="str">
        <f t="shared" si="321"/>
        <v>第025257号</v>
      </c>
      <c r="D2609" s="405" t="str">
        <f t="shared" si="322"/>
        <v>エナジーウィズ（株）</v>
      </c>
      <c r="E2609" s="405" t="str">
        <f t="shared" si="323"/>
        <v/>
      </c>
      <c r="F2609" s="405" t="str">
        <f t="shared" si="324"/>
        <v>井口　和徳</v>
      </c>
      <c r="G2609" s="405" t="str">
        <f t="shared" si="325"/>
        <v>西日本支店　福岡営業所</v>
      </c>
      <c r="H2609" s="405" t="str">
        <f t="shared" si="326"/>
        <v>春日市日の出町２－４５</v>
      </c>
      <c r="L2609" s="403" t="s">
        <v>13475</v>
      </c>
      <c r="M2609" s="403" t="s">
        <v>13476</v>
      </c>
      <c r="N2609" s="403" t="s">
        <v>6247</v>
      </c>
      <c r="O2609" s="403" t="s">
        <v>7084</v>
      </c>
      <c r="P2609" s="403" t="s">
        <v>6875</v>
      </c>
      <c r="Q2609" s="403" t="s">
        <v>13477</v>
      </c>
      <c r="R2609" s="403" t="s">
        <v>22735</v>
      </c>
      <c r="S2609" s="403" t="s">
        <v>22736</v>
      </c>
      <c r="T2609" s="403" t="s">
        <v>22737</v>
      </c>
      <c r="U2609" s="403"/>
      <c r="V2609" s="403" t="s">
        <v>22738</v>
      </c>
      <c r="W2609" s="403" t="s">
        <v>22739</v>
      </c>
      <c r="X2609" s="403" t="s">
        <v>18212</v>
      </c>
      <c r="Y2609" s="403" t="s">
        <v>22740</v>
      </c>
    </row>
    <row r="2610" spans="1:25">
      <c r="A2610" s="363">
        <f t="shared" si="327"/>
        <v>2609</v>
      </c>
      <c r="B2610" s="363" t="str">
        <f t="shared" si="320"/>
        <v>00</v>
      </c>
      <c r="C2610" s="405" t="str">
        <f t="shared" si="321"/>
        <v>第025295号</v>
      </c>
      <c r="D2610" s="405" t="str">
        <f t="shared" si="322"/>
        <v>日本橋梁（株）</v>
      </c>
      <c r="E2610" s="405" t="str">
        <f t="shared" si="323"/>
        <v/>
      </c>
      <c r="F2610" s="405" t="str">
        <f t="shared" si="324"/>
        <v>小市　勉</v>
      </c>
      <c r="G2610" s="405" t="str">
        <f t="shared" si="325"/>
        <v>九州営業所</v>
      </c>
      <c r="H2610" s="405" t="str">
        <f t="shared" si="326"/>
        <v>福岡市中央区天神４－２－３１</v>
      </c>
      <c r="L2610" s="403" t="s">
        <v>13478</v>
      </c>
      <c r="M2610" s="403" t="s">
        <v>13479</v>
      </c>
      <c r="N2610" s="403" t="s">
        <v>6248</v>
      </c>
      <c r="O2610" s="403" t="s">
        <v>7084</v>
      </c>
      <c r="P2610" s="403" t="s">
        <v>22741</v>
      </c>
      <c r="Q2610" s="403" t="s">
        <v>13480</v>
      </c>
      <c r="R2610" s="403" t="s">
        <v>22742</v>
      </c>
      <c r="S2610" s="403" t="s">
        <v>22743</v>
      </c>
      <c r="T2610" s="403" t="s">
        <v>22744</v>
      </c>
      <c r="U2610" s="403"/>
      <c r="V2610" s="403" t="s">
        <v>7012</v>
      </c>
      <c r="W2610" s="403" t="s">
        <v>18213</v>
      </c>
      <c r="X2610" s="403" t="s">
        <v>17517</v>
      </c>
      <c r="Y2610" s="403" t="s">
        <v>21598</v>
      </c>
    </row>
    <row r="2611" spans="1:25">
      <c r="A2611" s="363">
        <f t="shared" si="327"/>
        <v>2610</v>
      </c>
      <c r="B2611" s="363" t="str">
        <f t="shared" si="320"/>
        <v>00</v>
      </c>
      <c r="C2611" s="405" t="str">
        <f t="shared" si="321"/>
        <v>第026048号</v>
      </c>
      <c r="D2611" s="405" t="str">
        <f t="shared" si="322"/>
        <v>田中機電工業（株）</v>
      </c>
      <c r="E2611" s="405" t="str">
        <f t="shared" si="323"/>
        <v/>
      </c>
      <c r="F2611" s="405" t="str">
        <f t="shared" si="324"/>
        <v>浅野　勲</v>
      </c>
      <c r="G2611" s="405" t="str">
        <f t="shared" si="325"/>
        <v>福岡営業所</v>
      </c>
      <c r="H2611" s="405" t="str">
        <f t="shared" si="326"/>
        <v>福岡市博多区東比恵３－４－２</v>
      </c>
      <c r="L2611" s="403" t="s">
        <v>13483</v>
      </c>
      <c r="M2611" s="403" t="s">
        <v>13484</v>
      </c>
      <c r="N2611" s="403" t="s">
        <v>6250</v>
      </c>
      <c r="O2611" s="403" t="s">
        <v>7084</v>
      </c>
      <c r="P2611" s="403" t="s">
        <v>6877</v>
      </c>
      <c r="Q2611" s="403" t="s">
        <v>13485</v>
      </c>
      <c r="R2611" s="403" t="s">
        <v>22745</v>
      </c>
      <c r="S2611" s="403" t="s">
        <v>22746</v>
      </c>
      <c r="T2611" s="403" t="s">
        <v>22747</v>
      </c>
      <c r="U2611" s="403"/>
      <c r="V2611" s="403" t="s">
        <v>7010</v>
      </c>
      <c r="W2611" s="403" t="s">
        <v>18216</v>
      </c>
      <c r="X2611" s="403" t="s">
        <v>13787</v>
      </c>
      <c r="Y2611" s="403" t="s">
        <v>22039</v>
      </c>
    </row>
    <row r="2612" spans="1:25">
      <c r="A2612" s="363">
        <f t="shared" si="327"/>
        <v>2611</v>
      </c>
      <c r="B2612" s="363" t="str">
        <f t="shared" si="320"/>
        <v>00</v>
      </c>
      <c r="C2612" s="405" t="str">
        <f t="shared" si="321"/>
        <v>第026124号</v>
      </c>
      <c r="D2612" s="405" t="str">
        <f t="shared" si="322"/>
        <v>（株）ＪＶＣケンウッド・公共産業システム</v>
      </c>
      <c r="E2612" s="405" t="str">
        <f t="shared" si="323"/>
        <v/>
      </c>
      <c r="F2612" s="405" t="str">
        <f t="shared" si="324"/>
        <v>秋末　敏宏</v>
      </c>
      <c r="G2612" s="405" t="str">
        <f t="shared" si="325"/>
        <v>九州支店</v>
      </c>
      <c r="H2612" s="405" t="str">
        <f t="shared" si="326"/>
        <v>福岡市中央区長浜１－１－１　ＫＢＣビル９階</v>
      </c>
      <c r="L2612" s="403" t="s">
        <v>13486</v>
      </c>
      <c r="M2612" s="403" t="s">
        <v>13487</v>
      </c>
      <c r="N2612" s="403" t="s">
        <v>6251</v>
      </c>
      <c r="O2612" s="403" t="s">
        <v>7084</v>
      </c>
      <c r="P2612" s="403" t="s">
        <v>6878</v>
      </c>
      <c r="Q2612" s="403" t="s">
        <v>12094</v>
      </c>
      <c r="R2612" s="403" t="s">
        <v>22748</v>
      </c>
      <c r="S2612" s="403" t="s">
        <v>22749</v>
      </c>
      <c r="T2612" s="403" t="s">
        <v>22750</v>
      </c>
      <c r="U2612" s="403"/>
      <c r="V2612" s="403" t="s">
        <v>7007</v>
      </c>
      <c r="W2612" s="403" t="s">
        <v>18217</v>
      </c>
      <c r="X2612" s="403" t="s">
        <v>13253</v>
      </c>
      <c r="Y2612" s="403" t="s">
        <v>22015</v>
      </c>
    </row>
    <row r="2613" spans="1:25">
      <c r="A2613" s="363">
        <f t="shared" si="327"/>
        <v>2612</v>
      </c>
      <c r="B2613" s="363" t="str">
        <f t="shared" si="320"/>
        <v>00</v>
      </c>
      <c r="C2613" s="405" t="str">
        <f t="shared" si="321"/>
        <v>第026215号</v>
      </c>
      <c r="D2613" s="405" t="str">
        <f t="shared" si="322"/>
        <v>パナソニックエイジフリー（株）</v>
      </c>
      <c r="E2613" s="405" t="str">
        <f t="shared" si="323"/>
        <v>代表取締役</v>
      </c>
      <c r="F2613" s="405" t="str">
        <f t="shared" si="324"/>
        <v>坂口　哲也</v>
      </c>
      <c r="G2613" s="405" t="str">
        <f t="shared" si="325"/>
        <v>主たる営業所</v>
      </c>
      <c r="H2613" s="405" t="str">
        <f t="shared" si="326"/>
        <v>門真市大字門真１０４８</v>
      </c>
      <c r="L2613" s="403" t="s">
        <v>22751</v>
      </c>
      <c r="M2613" s="403" t="s">
        <v>22752</v>
      </c>
      <c r="N2613" s="403" t="s">
        <v>22753</v>
      </c>
      <c r="O2613" s="403" t="s">
        <v>7084</v>
      </c>
      <c r="P2613" s="403" t="s">
        <v>22754</v>
      </c>
      <c r="Q2613" s="403" t="s">
        <v>22755</v>
      </c>
      <c r="R2613" s="403" t="s">
        <v>22756</v>
      </c>
      <c r="S2613" s="403" t="s">
        <v>22757</v>
      </c>
      <c r="T2613" s="403" t="s">
        <v>22758</v>
      </c>
      <c r="U2613" s="403"/>
      <c r="V2613" s="403" t="s">
        <v>23024</v>
      </c>
      <c r="W2613" s="403" t="s">
        <v>23024</v>
      </c>
      <c r="X2613" s="403" t="s">
        <v>23024</v>
      </c>
      <c r="Y2613" s="403" t="s">
        <v>23024</v>
      </c>
    </row>
    <row r="2614" spans="1:25">
      <c r="A2614" s="363">
        <f t="shared" si="327"/>
        <v>2613</v>
      </c>
      <c r="B2614" s="363" t="str">
        <f t="shared" si="320"/>
        <v>00</v>
      </c>
      <c r="C2614" s="405" t="str">
        <f t="shared" si="321"/>
        <v>第026250号</v>
      </c>
      <c r="D2614" s="405" t="str">
        <f t="shared" si="322"/>
        <v>（株）川崎技研</v>
      </c>
      <c r="E2614" s="405" t="str">
        <f t="shared" si="323"/>
        <v>代表取締役社長</v>
      </c>
      <c r="F2614" s="405" t="str">
        <f t="shared" si="324"/>
        <v>田中　秀任</v>
      </c>
      <c r="G2614" s="405" t="str">
        <f t="shared" si="325"/>
        <v>主たる営業所</v>
      </c>
      <c r="H2614" s="405" t="str">
        <f t="shared" si="326"/>
        <v>福岡市南区向野１－２２－１１</v>
      </c>
      <c r="L2614" s="403" t="s">
        <v>13488</v>
      </c>
      <c r="M2614" s="403" t="s">
        <v>13489</v>
      </c>
      <c r="N2614" s="403" t="s">
        <v>6252</v>
      </c>
      <c r="O2614" s="403" t="s">
        <v>7083</v>
      </c>
      <c r="P2614" s="403" t="s">
        <v>6879</v>
      </c>
      <c r="Q2614" s="403" t="s">
        <v>13490</v>
      </c>
      <c r="R2614" s="403" t="s">
        <v>22759</v>
      </c>
      <c r="S2614" s="403" t="s">
        <v>18218</v>
      </c>
      <c r="T2614" s="403" t="s">
        <v>18219</v>
      </c>
      <c r="U2614" s="403"/>
      <c r="V2614" s="403" t="s">
        <v>23024</v>
      </c>
      <c r="W2614" s="403" t="s">
        <v>23024</v>
      </c>
      <c r="X2614" s="403" t="s">
        <v>23024</v>
      </c>
      <c r="Y2614" s="403" t="s">
        <v>23024</v>
      </c>
    </row>
    <row r="2615" spans="1:25">
      <c r="A2615" s="363">
        <f t="shared" si="327"/>
        <v>2614</v>
      </c>
      <c r="B2615" s="363" t="str">
        <f t="shared" si="320"/>
        <v>00</v>
      </c>
      <c r="C2615" s="405" t="str">
        <f t="shared" si="321"/>
        <v>第026391号</v>
      </c>
      <c r="D2615" s="405" t="str">
        <f t="shared" si="322"/>
        <v>（株）炉研</v>
      </c>
      <c r="E2615" s="405" t="str">
        <f t="shared" si="323"/>
        <v>代表取締役</v>
      </c>
      <c r="F2615" s="405" t="str">
        <f t="shared" si="324"/>
        <v>三浦　亨</v>
      </c>
      <c r="G2615" s="405" t="str">
        <f t="shared" si="325"/>
        <v>主たる営業所</v>
      </c>
      <c r="H2615" s="405" t="str">
        <f t="shared" si="326"/>
        <v>秋田市茨島２－１－７</v>
      </c>
      <c r="L2615" s="403" t="s">
        <v>13491</v>
      </c>
      <c r="M2615" s="403" t="s">
        <v>13492</v>
      </c>
      <c r="N2615" s="403" t="s">
        <v>6253</v>
      </c>
      <c r="O2615" s="403" t="s">
        <v>7084</v>
      </c>
      <c r="P2615" s="403" t="s">
        <v>6880</v>
      </c>
      <c r="Q2615" s="403" t="s">
        <v>13493</v>
      </c>
      <c r="R2615" s="403" t="s">
        <v>22760</v>
      </c>
      <c r="S2615" s="403" t="s">
        <v>18220</v>
      </c>
      <c r="T2615" s="403" t="s">
        <v>18221</v>
      </c>
      <c r="U2615" s="403"/>
      <c r="V2615" s="403" t="s">
        <v>23024</v>
      </c>
      <c r="W2615" s="403" t="s">
        <v>23024</v>
      </c>
      <c r="X2615" s="403" t="s">
        <v>23024</v>
      </c>
      <c r="Y2615" s="403" t="s">
        <v>23024</v>
      </c>
    </row>
    <row r="2616" spans="1:25">
      <c r="A2616" s="363">
        <f t="shared" si="327"/>
        <v>2615</v>
      </c>
      <c r="B2616" s="363" t="str">
        <f t="shared" si="320"/>
        <v>00</v>
      </c>
      <c r="C2616" s="405" t="str">
        <f t="shared" si="321"/>
        <v>第026465号</v>
      </c>
      <c r="D2616" s="405" t="str">
        <f t="shared" si="322"/>
        <v>月島ジェイアクアサービス機器（株）</v>
      </c>
      <c r="E2616" s="405" t="str">
        <f t="shared" si="323"/>
        <v/>
      </c>
      <c r="F2616" s="405" t="str">
        <f t="shared" si="324"/>
        <v>北野　克佳</v>
      </c>
      <c r="G2616" s="405" t="str">
        <f t="shared" si="325"/>
        <v>西日本営業所</v>
      </c>
      <c r="H2616" s="405" t="str">
        <f t="shared" si="326"/>
        <v>大阪市淀川区西宮原１－５－１０</v>
      </c>
      <c r="L2616" s="403" t="s">
        <v>13494</v>
      </c>
      <c r="M2616" s="403" t="s">
        <v>13495</v>
      </c>
      <c r="N2616" s="403" t="s">
        <v>6254</v>
      </c>
      <c r="O2616" s="403" t="s">
        <v>7084</v>
      </c>
      <c r="P2616" s="403" t="s">
        <v>6881</v>
      </c>
      <c r="Q2616" s="403" t="s">
        <v>13496</v>
      </c>
      <c r="R2616" s="403" t="s">
        <v>22761</v>
      </c>
      <c r="S2616" s="403" t="s">
        <v>22762</v>
      </c>
      <c r="T2616" s="403" t="s">
        <v>22763</v>
      </c>
      <c r="U2616" s="403"/>
      <c r="V2616" s="403" t="s">
        <v>7066</v>
      </c>
      <c r="W2616" s="403" t="s">
        <v>22764</v>
      </c>
      <c r="X2616" s="403" t="s">
        <v>18222</v>
      </c>
      <c r="Y2616" s="403" t="s">
        <v>22765</v>
      </c>
    </row>
    <row r="2617" spans="1:25">
      <c r="A2617" s="363">
        <f t="shared" si="327"/>
        <v>2616</v>
      </c>
      <c r="B2617" s="363" t="str">
        <f t="shared" si="320"/>
        <v>00</v>
      </c>
      <c r="C2617" s="405" t="str">
        <f t="shared" si="321"/>
        <v>第026524号</v>
      </c>
      <c r="D2617" s="405" t="str">
        <f t="shared" si="322"/>
        <v>（株）真興</v>
      </c>
      <c r="E2617" s="405" t="str">
        <f t="shared" si="323"/>
        <v/>
      </c>
      <c r="F2617" s="405" t="str">
        <f t="shared" si="324"/>
        <v>三浦　良二</v>
      </c>
      <c r="G2617" s="405" t="str">
        <f t="shared" si="325"/>
        <v>大分支店</v>
      </c>
      <c r="H2617" s="405" t="str">
        <f t="shared" si="326"/>
        <v>豊後高田市羽根３５６２－４</v>
      </c>
      <c r="L2617" s="403" t="s">
        <v>13497</v>
      </c>
      <c r="M2617" s="403" t="s">
        <v>13498</v>
      </c>
      <c r="N2617" s="403" t="s">
        <v>6255</v>
      </c>
      <c r="O2617" s="403" t="s">
        <v>7084</v>
      </c>
      <c r="P2617" s="403" t="s">
        <v>6882</v>
      </c>
      <c r="Q2617" s="403" t="s">
        <v>13499</v>
      </c>
      <c r="R2617" s="403" t="s">
        <v>22766</v>
      </c>
      <c r="S2617" s="403" t="s">
        <v>22767</v>
      </c>
      <c r="T2617" s="403" t="s">
        <v>22767</v>
      </c>
      <c r="U2617" s="403"/>
      <c r="V2617" s="403" t="s">
        <v>7009</v>
      </c>
      <c r="W2617" s="403" t="s">
        <v>18223</v>
      </c>
      <c r="X2617" s="403" t="s">
        <v>22768</v>
      </c>
      <c r="Y2617" s="403" t="s">
        <v>22769</v>
      </c>
    </row>
    <row r="2618" spans="1:25">
      <c r="A2618" s="363">
        <f t="shared" si="327"/>
        <v>2617</v>
      </c>
      <c r="B2618" s="363" t="str">
        <f t="shared" si="320"/>
        <v>00</v>
      </c>
      <c r="C2618" s="405" t="str">
        <f t="shared" si="321"/>
        <v>第026785号</v>
      </c>
      <c r="D2618" s="405" t="str">
        <f t="shared" si="322"/>
        <v>東芝エネルギーシステムズ（株）</v>
      </c>
      <c r="E2618" s="405" t="str">
        <f t="shared" si="323"/>
        <v/>
      </c>
      <c r="F2618" s="405" t="str">
        <f t="shared" si="324"/>
        <v>冬室　裕司</v>
      </c>
      <c r="G2618" s="405" t="str">
        <f t="shared" si="325"/>
        <v>国内営業統括部　九州・電力部</v>
      </c>
      <c r="H2618" s="405" t="str">
        <f t="shared" si="326"/>
        <v>福岡市中央区長浜２－４－１</v>
      </c>
      <c r="L2618" s="403" t="s">
        <v>13500</v>
      </c>
      <c r="M2618" s="403" t="s">
        <v>13501</v>
      </c>
      <c r="N2618" s="403" t="s">
        <v>6256</v>
      </c>
      <c r="O2618" s="403" t="s">
        <v>7083</v>
      </c>
      <c r="P2618" s="403" t="s">
        <v>6739</v>
      </c>
      <c r="Q2618" s="403" t="s">
        <v>12413</v>
      </c>
      <c r="R2618" s="403" t="s">
        <v>21431</v>
      </c>
      <c r="S2618" s="403" t="s">
        <v>22770</v>
      </c>
      <c r="T2618" s="403" t="s">
        <v>22771</v>
      </c>
      <c r="U2618" s="403"/>
      <c r="V2618" s="403" t="s">
        <v>7067</v>
      </c>
      <c r="W2618" s="403" t="s">
        <v>18224</v>
      </c>
      <c r="X2618" s="403" t="s">
        <v>17976</v>
      </c>
      <c r="Y2618" s="403" t="s">
        <v>21434</v>
      </c>
    </row>
    <row r="2619" spans="1:25">
      <c r="A2619" s="363">
        <f t="shared" si="327"/>
        <v>2618</v>
      </c>
      <c r="B2619" s="363" t="str">
        <f t="shared" si="320"/>
        <v>00</v>
      </c>
      <c r="C2619" s="405" t="str">
        <f t="shared" si="321"/>
        <v>第026808号</v>
      </c>
      <c r="D2619" s="405" t="str">
        <f t="shared" si="322"/>
        <v>（株）日本管財環境サービス</v>
      </c>
      <c r="E2619" s="405" t="str">
        <f t="shared" si="323"/>
        <v>代表取締役</v>
      </c>
      <c r="F2619" s="405" t="str">
        <f t="shared" si="324"/>
        <v>徳山　良一</v>
      </c>
      <c r="G2619" s="405" t="str">
        <f t="shared" si="325"/>
        <v>主たる営業所</v>
      </c>
      <c r="H2619" s="405" t="str">
        <f t="shared" si="326"/>
        <v>大阪市中央区淡路町３－６－３</v>
      </c>
      <c r="L2619" s="403" t="s">
        <v>13502</v>
      </c>
      <c r="M2619" s="403" t="s">
        <v>13503</v>
      </c>
      <c r="N2619" s="403" t="s">
        <v>6257</v>
      </c>
      <c r="O2619" s="403" t="s">
        <v>7084</v>
      </c>
      <c r="P2619" s="403" t="s">
        <v>6883</v>
      </c>
      <c r="Q2619" s="403" t="s">
        <v>13504</v>
      </c>
      <c r="R2619" s="403" t="s">
        <v>22772</v>
      </c>
      <c r="S2619" s="403" t="s">
        <v>18225</v>
      </c>
      <c r="T2619" s="403" t="s">
        <v>18226</v>
      </c>
      <c r="U2619" s="403"/>
      <c r="V2619" s="403" t="s">
        <v>23024</v>
      </c>
      <c r="W2619" s="403" t="s">
        <v>23024</v>
      </c>
      <c r="X2619" s="403" t="s">
        <v>23024</v>
      </c>
      <c r="Y2619" s="403" t="s">
        <v>23024</v>
      </c>
    </row>
    <row r="2620" spans="1:25">
      <c r="A2620" s="363">
        <f t="shared" si="327"/>
        <v>2619</v>
      </c>
      <c r="B2620" s="363" t="str">
        <f t="shared" si="320"/>
        <v>00</v>
      </c>
      <c r="C2620" s="405" t="str">
        <f t="shared" si="321"/>
        <v>第026881号</v>
      </c>
      <c r="D2620" s="405" t="str">
        <f t="shared" si="322"/>
        <v>三菱重工交通・建設エンジニアリング（株）</v>
      </c>
      <c r="E2620" s="405" t="str">
        <f t="shared" si="323"/>
        <v/>
      </c>
      <c r="F2620" s="405" t="str">
        <f t="shared" si="324"/>
        <v>松原　修身</v>
      </c>
      <c r="G2620" s="405" t="str">
        <f t="shared" si="325"/>
        <v>交通・機器事業部</v>
      </c>
      <c r="H2620" s="405" t="str">
        <f t="shared" si="326"/>
        <v>三原市糸崎南１－１－１</v>
      </c>
      <c r="L2620" s="403" t="s">
        <v>13505</v>
      </c>
      <c r="M2620" s="403" t="s">
        <v>13506</v>
      </c>
      <c r="N2620" s="403" t="s">
        <v>6258</v>
      </c>
      <c r="O2620" s="403" t="s">
        <v>7084</v>
      </c>
      <c r="P2620" s="403" t="s">
        <v>22773</v>
      </c>
      <c r="Q2620" s="403" t="s">
        <v>13507</v>
      </c>
      <c r="R2620" s="403" t="s">
        <v>22774</v>
      </c>
      <c r="S2620" s="403" t="s">
        <v>22775</v>
      </c>
      <c r="T2620" s="403" t="s">
        <v>22776</v>
      </c>
      <c r="U2620" s="403"/>
      <c r="V2620" s="403" t="s">
        <v>7068</v>
      </c>
      <c r="W2620" s="403" t="s">
        <v>18227</v>
      </c>
      <c r="X2620" s="403" t="s">
        <v>18228</v>
      </c>
      <c r="Y2620" s="403" t="s">
        <v>22777</v>
      </c>
    </row>
    <row r="2621" spans="1:25">
      <c r="A2621" s="363">
        <f t="shared" si="327"/>
        <v>2620</v>
      </c>
      <c r="B2621" s="363" t="str">
        <f t="shared" si="320"/>
        <v>00</v>
      </c>
      <c r="C2621" s="405" t="str">
        <f t="shared" si="321"/>
        <v>第026931号</v>
      </c>
      <c r="D2621" s="405" t="str">
        <f t="shared" si="322"/>
        <v>（株）三井Ｅ＆Ｓ</v>
      </c>
      <c r="E2621" s="405" t="str">
        <f t="shared" si="323"/>
        <v>代表取締役社長</v>
      </c>
      <c r="F2621" s="405" t="str">
        <f t="shared" si="324"/>
        <v>高橋　岳之</v>
      </c>
      <c r="G2621" s="405" t="str">
        <f t="shared" si="325"/>
        <v>主たる営業所</v>
      </c>
      <c r="H2621" s="405" t="str">
        <f t="shared" si="326"/>
        <v>中央区築地５－６－４</v>
      </c>
      <c r="L2621" s="403" t="s">
        <v>13508</v>
      </c>
      <c r="M2621" s="403" t="s">
        <v>22778</v>
      </c>
      <c r="N2621" s="403" t="s">
        <v>6259</v>
      </c>
      <c r="O2621" s="403" t="s">
        <v>7083</v>
      </c>
      <c r="P2621" s="403" t="s">
        <v>6884</v>
      </c>
      <c r="Q2621" s="403" t="s">
        <v>13509</v>
      </c>
      <c r="R2621" s="403" t="s">
        <v>22779</v>
      </c>
      <c r="S2621" s="403" t="s">
        <v>18229</v>
      </c>
      <c r="T2621" s="403" t="s">
        <v>18230</v>
      </c>
      <c r="U2621" s="403"/>
      <c r="V2621" s="403" t="s">
        <v>23024</v>
      </c>
      <c r="W2621" s="403" t="s">
        <v>23024</v>
      </c>
      <c r="X2621" s="403" t="s">
        <v>23024</v>
      </c>
      <c r="Y2621" s="403" t="s">
        <v>23024</v>
      </c>
    </row>
    <row r="2622" spans="1:25">
      <c r="A2622" s="363">
        <f t="shared" si="327"/>
        <v>2621</v>
      </c>
      <c r="B2622" s="363" t="str">
        <f t="shared" si="320"/>
        <v>00</v>
      </c>
      <c r="C2622" s="405" t="str">
        <f t="shared" si="321"/>
        <v>第027021号</v>
      </c>
      <c r="D2622" s="405" t="str">
        <f t="shared" si="322"/>
        <v>（株）九州テン</v>
      </c>
      <c r="E2622" s="405" t="str">
        <f t="shared" si="323"/>
        <v/>
      </c>
      <c r="F2622" s="405" t="str">
        <f t="shared" si="324"/>
        <v>中尾　達郎</v>
      </c>
      <c r="G2622" s="405" t="str">
        <f t="shared" si="325"/>
        <v>システムソリューション事業本部</v>
      </c>
      <c r="H2622" s="405" t="str">
        <f t="shared" si="326"/>
        <v>福岡市博多区博多駅前２－１９－２７　九勧博多駅前ビル</v>
      </c>
      <c r="L2622" s="403" t="s">
        <v>13510</v>
      </c>
      <c r="M2622" s="403" t="s">
        <v>13511</v>
      </c>
      <c r="N2622" s="403" t="s">
        <v>6260</v>
      </c>
      <c r="O2622" s="403" t="s">
        <v>7083</v>
      </c>
      <c r="P2622" s="403" t="s">
        <v>6885</v>
      </c>
      <c r="Q2622" s="403" t="s">
        <v>13512</v>
      </c>
      <c r="R2622" s="403" t="s">
        <v>22780</v>
      </c>
      <c r="S2622" s="403" t="s">
        <v>22781</v>
      </c>
      <c r="T2622" s="403" t="s">
        <v>22782</v>
      </c>
      <c r="U2622" s="403"/>
      <c r="V2622" s="403" t="s">
        <v>7069</v>
      </c>
      <c r="W2622" s="403" t="s">
        <v>18231</v>
      </c>
      <c r="X2622" s="403" t="s">
        <v>13015</v>
      </c>
      <c r="Y2622" s="403" t="s">
        <v>22783</v>
      </c>
    </row>
    <row r="2623" spans="1:25">
      <c r="A2623" s="363">
        <f t="shared" si="327"/>
        <v>2622</v>
      </c>
      <c r="B2623" s="363" t="str">
        <f t="shared" si="320"/>
        <v>00</v>
      </c>
      <c r="C2623" s="405" t="str">
        <f t="shared" si="321"/>
        <v>第027309号</v>
      </c>
      <c r="D2623" s="405" t="str">
        <f t="shared" si="322"/>
        <v>ＮＥＣソリューションイノベータ（株）</v>
      </c>
      <c r="E2623" s="405" t="str">
        <f t="shared" si="323"/>
        <v/>
      </c>
      <c r="F2623" s="405" t="str">
        <f t="shared" si="324"/>
        <v>鈴木　真人</v>
      </c>
      <c r="G2623" s="405" t="str">
        <f t="shared" si="325"/>
        <v>営業統括本部</v>
      </c>
      <c r="H2623" s="405" t="str">
        <f t="shared" si="326"/>
        <v>江東区新木場１－１８－７</v>
      </c>
      <c r="L2623" s="403" t="s">
        <v>13513</v>
      </c>
      <c r="M2623" s="403" t="s">
        <v>13514</v>
      </c>
      <c r="N2623" s="403" t="s">
        <v>6261</v>
      </c>
      <c r="O2623" s="403" t="s">
        <v>7084</v>
      </c>
      <c r="P2623" s="403" t="s">
        <v>6886</v>
      </c>
      <c r="Q2623" s="403" t="s">
        <v>12345</v>
      </c>
      <c r="R2623" s="403" t="s">
        <v>22784</v>
      </c>
      <c r="S2623" s="403" t="s">
        <v>22785</v>
      </c>
      <c r="T2623" s="403" t="s">
        <v>22786</v>
      </c>
      <c r="U2623" s="403"/>
      <c r="V2623" s="403" t="s">
        <v>7070</v>
      </c>
      <c r="W2623" s="403" t="s">
        <v>18232</v>
      </c>
      <c r="X2623" s="403" t="s">
        <v>18233</v>
      </c>
      <c r="Y2623" s="403" t="s">
        <v>22787</v>
      </c>
    </row>
    <row r="2624" spans="1:25">
      <c r="A2624" s="363">
        <f t="shared" si="327"/>
        <v>2623</v>
      </c>
      <c r="B2624" s="363" t="str">
        <f t="shared" si="320"/>
        <v>00</v>
      </c>
      <c r="C2624" s="405" t="str">
        <f t="shared" si="321"/>
        <v>第027321号</v>
      </c>
      <c r="D2624" s="405" t="str">
        <f t="shared" si="322"/>
        <v>水ｉｎｇエンジニアリング（株）</v>
      </c>
      <c r="E2624" s="405" t="str">
        <f t="shared" si="323"/>
        <v/>
      </c>
      <c r="F2624" s="405" t="str">
        <f t="shared" si="324"/>
        <v>池田　祐貴</v>
      </c>
      <c r="G2624" s="405" t="str">
        <f t="shared" si="325"/>
        <v>九州支店</v>
      </c>
      <c r="H2624" s="405" t="str">
        <f t="shared" si="326"/>
        <v>福岡市中央区天神３－９－２５</v>
      </c>
      <c r="L2624" s="403" t="s">
        <v>13515</v>
      </c>
      <c r="M2624" s="403" t="s">
        <v>13516</v>
      </c>
      <c r="N2624" s="403" t="s">
        <v>6262</v>
      </c>
      <c r="O2624" s="403" t="s">
        <v>7083</v>
      </c>
      <c r="P2624" s="403" t="s">
        <v>6887</v>
      </c>
      <c r="Q2624" s="403" t="s">
        <v>13517</v>
      </c>
      <c r="R2624" s="403" t="s">
        <v>22788</v>
      </c>
      <c r="S2624" s="403" t="s">
        <v>22789</v>
      </c>
      <c r="T2624" s="403" t="s">
        <v>22790</v>
      </c>
      <c r="U2624" s="403"/>
      <c r="V2624" s="403" t="s">
        <v>7007</v>
      </c>
      <c r="W2624" s="403" t="s">
        <v>18234</v>
      </c>
      <c r="X2624" s="403" t="s">
        <v>17517</v>
      </c>
      <c r="Y2624" s="403" t="s">
        <v>22791</v>
      </c>
    </row>
    <row r="2625" spans="1:25">
      <c r="A2625" s="363">
        <f t="shared" si="327"/>
        <v>2624</v>
      </c>
      <c r="B2625" s="363" t="str">
        <f t="shared" si="320"/>
        <v>00</v>
      </c>
      <c r="C2625" s="405" t="str">
        <f t="shared" si="321"/>
        <v>第027358号</v>
      </c>
      <c r="D2625" s="405" t="str">
        <f t="shared" si="322"/>
        <v>（株）日立インダストリアルプロダクツ</v>
      </c>
      <c r="E2625" s="405" t="str">
        <f t="shared" si="323"/>
        <v/>
      </c>
      <c r="F2625" s="405" t="str">
        <f t="shared" si="324"/>
        <v>納田　啓司</v>
      </c>
      <c r="G2625" s="405" t="str">
        <f t="shared" si="325"/>
        <v>西部支店</v>
      </c>
      <c r="H2625" s="405" t="str">
        <f t="shared" si="326"/>
        <v>福岡市博多区御供所町１－１</v>
      </c>
      <c r="L2625" s="403" t="s">
        <v>13518</v>
      </c>
      <c r="M2625" s="403" t="s">
        <v>13519</v>
      </c>
      <c r="N2625" s="403" t="s">
        <v>6263</v>
      </c>
      <c r="O2625" s="403" t="s">
        <v>7089</v>
      </c>
      <c r="P2625" s="403" t="s">
        <v>22792</v>
      </c>
      <c r="Q2625" s="403" t="s">
        <v>12199</v>
      </c>
      <c r="R2625" s="403" t="s">
        <v>22685</v>
      </c>
      <c r="S2625" s="403" t="s">
        <v>22793</v>
      </c>
      <c r="T2625" s="403" t="s">
        <v>22794</v>
      </c>
      <c r="U2625" s="403"/>
      <c r="V2625" s="403" t="s">
        <v>7008</v>
      </c>
      <c r="W2625" s="403" t="s">
        <v>18235</v>
      </c>
      <c r="X2625" s="403" t="s">
        <v>18075</v>
      </c>
      <c r="Y2625" s="403" t="s">
        <v>22795</v>
      </c>
    </row>
    <row r="2626" spans="1:25">
      <c r="A2626" s="363">
        <f t="shared" si="327"/>
        <v>2625</v>
      </c>
      <c r="B2626" s="363" t="str">
        <f t="shared" ref="B2626:B2689" si="328">LEFT(L2626,2)</f>
        <v>00</v>
      </c>
      <c r="C2626" s="405" t="str">
        <f t="shared" ref="C2626:C2689" si="329">IF(B2626="","","第"&amp;RIGHT(L2626,6)&amp;"号")</f>
        <v>第027387号</v>
      </c>
      <c r="D2626" s="405" t="str">
        <f t="shared" ref="D2626:D2689" si="330">N2626</f>
        <v>（株）アセント</v>
      </c>
      <c r="E2626" s="405" t="str">
        <f t="shared" ref="E2626:E2689" si="331">IF(V2626="　",O2626,"")</f>
        <v>代表取締役</v>
      </c>
      <c r="F2626" s="405" t="str">
        <f t="shared" ref="F2626:F2689" si="332">IF(V2626="　",P2626,W2626)</f>
        <v>木越　健二</v>
      </c>
      <c r="G2626" s="405" t="str">
        <f t="shared" ref="G2626:G2689" si="333">IF(V2626="　","主たる営業所",V2626)</f>
        <v>主たる営業所</v>
      </c>
      <c r="H2626" s="405" t="str">
        <f t="shared" ref="H2626:H2689" si="334">IF(V2626="　",R2626,Y2626)</f>
        <v>港区芝浦４－１６－２３</v>
      </c>
      <c r="L2626" s="403" t="s">
        <v>13520</v>
      </c>
      <c r="M2626" s="403" t="s">
        <v>13521</v>
      </c>
      <c r="N2626" s="403" t="s">
        <v>6264</v>
      </c>
      <c r="O2626" s="403" t="s">
        <v>7084</v>
      </c>
      <c r="P2626" s="403" t="s">
        <v>6888</v>
      </c>
      <c r="Q2626" s="403" t="s">
        <v>12262</v>
      </c>
      <c r="R2626" s="403" t="s">
        <v>22796</v>
      </c>
      <c r="S2626" s="403" t="s">
        <v>18236</v>
      </c>
      <c r="T2626" s="403" t="s">
        <v>18237</v>
      </c>
      <c r="U2626" s="403"/>
      <c r="V2626" s="403" t="s">
        <v>5334</v>
      </c>
      <c r="W2626" s="403" t="s">
        <v>5334</v>
      </c>
      <c r="X2626" s="403" t="s">
        <v>5334</v>
      </c>
      <c r="Y2626" s="403" t="s">
        <v>5334</v>
      </c>
    </row>
    <row r="2627" spans="1:25">
      <c r="A2627" s="363">
        <f t="shared" ref="A2627:A2690" si="335">IF(B2627="","",A2626+1)</f>
        <v>2626</v>
      </c>
      <c r="B2627" s="363" t="str">
        <f t="shared" si="328"/>
        <v>00</v>
      </c>
      <c r="C2627" s="405" t="str">
        <f t="shared" si="329"/>
        <v>第027556号</v>
      </c>
      <c r="D2627" s="405" t="str">
        <f t="shared" si="330"/>
        <v>キュウセツＡＱＵＡ（株）</v>
      </c>
      <c r="E2627" s="405" t="str">
        <f t="shared" si="331"/>
        <v>代表取締役</v>
      </c>
      <c r="F2627" s="405" t="str">
        <f t="shared" si="332"/>
        <v>大野　征博</v>
      </c>
      <c r="G2627" s="405" t="str">
        <f t="shared" si="333"/>
        <v>主たる営業所</v>
      </c>
      <c r="H2627" s="405" t="str">
        <f t="shared" si="334"/>
        <v>福岡市博多区博多駅東１－３－１０</v>
      </c>
      <c r="L2627" s="403" t="s">
        <v>13522</v>
      </c>
      <c r="M2627" s="403" t="s">
        <v>13523</v>
      </c>
      <c r="N2627" s="403" t="s">
        <v>6265</v>
      </c>
      <c r="O2627" s="403" t="s">
        <v>7084</v>
      </c>
      <c r="P2627" s="403" t="s">
        <v>6889</v>
      </c>
      <c r="Q2627" s="403" t="s">
        <v>13524</v>
      </c>
      <c r="R2627" s="403" t="s">
        <v>22797</v>
      </c>
      <c r="S2627" s="403" t="s">
        <v>18238</v>
      </c>
      <c r="T2627" s="403" t="s">
        <v>18239</v>
      </c>
      <c r="U2627" s="403"/>
      <c r="V2627" s="403" t="s">
        <v>5334</v>
      </c>
      <c r="W2627" s="403" t="s">
        <v>5334</v>
      </c>
      <c r="X2627" s="403" t="s">
        <v>5334</v>
      </c>
      <c r="Y2627" s="403" t="s">
        <v>5334</v>
      </c>
    </row>
    <row r="2628" spans="1:25">
      <c r="A2628" s="363">
        <f t="shared" si="335"/>
        <v>2627</v>
      </c>
      <c r="B2628" s="363" t="str">
        <f t="shared" si="328"/>
        <v>00</v>
      </c>
      <c r="C2628" s="405" t="str">
        <f t="shared" si="329"/>
        <v>第027675号</v>
      </c>
      <c r="D2628" s="405" t="str">
        <f t="shared" si="330"/>
        <v>マーク建設（株）</v>
      </c>
      <c r="E2628" s="405" t="str">
        <f t="shared" si="331"/>
        <v>代表取締役</v>
      </c>
      <c r="F2628" s="405" t="str">
        <f t="shared" si="332"/>
        <v>藤木　伸次</v>
      </c>
      <c r="G2628" s="405" t="str">
        <f t="shared" si="333"/>
        <v>主たる営業所</v>
      </c>
      <c r="H2628" s="405" t="str">
        <f t="shared" si="334"/>
        <v>北九州市八幡西区市瀬３－７－４１</v>
      </c>
      <c r="L2628" s="404" t="s">
        <v>13525</v>
      </c>
      <c r="M2628" s="404" t="s">
        <v>13526</v>
      </c>
      <c r="N2628" s="404" t="s">
        <v>6266</v>
      </c>
      <c r="O2628" s="404" t="s">
        <v>7084</v>
      </c>
      <c r="P2628" s="404" t="s">
        <v>6890</v>
      </c>
      <c r="Q2628" s="404" t="s">
        <v>13527</v>
      </c>
      <c r="R2628" s="404" t="s">
        <v>22798</v>
      </c>
      <c r="S2628" s="404" t="s">
        <v>18240</v>
      </c>
      <c r="T2628" s="404" t="s">
        <v>18241</v>
      </c>
      <c r="U2628" s="404"/>
      <c r="V2628" s="404" t="s">
        <v>5334</v>
      </c>
      <c r="W2628" s="404" t="s">
        <v>5334</v>
      </c>
      <c r="X2628" s="404" t="s">
        <v>5334</v>
      </c>
      <c r="Y2628" s="404" t="s">
        <v>5334</v>
      </c>
    </row>
    <row r="2629" spans="1:25">
      <c r="A2629" s="363">
        <f t="shared" si="335"/>
        <v>2628</v>
      </c>
      <c r="B2629" s="363" t="str">
        <f t="shared" si="328"/>
        <v>00</v>
      </c>
      <c r="C2629" s="405" t="str">
        <f t="shared" si="329"/>
        <v>第027814号</v>
      </c>
      <c r="D2629" s="405" t="str">
        <f t="shared" si="330"/>
        <v>（株）下野建設</v>
      </c>
      <c r="E2629" s="405" t="str">
        <f t="shared" si="331"/>
        <v>代表取締役</v>
      </c>
      <c r="F2629" s="405" t="str">
        <f t="shared" si="332"/>
        <v>下野　善和</v>
      </c>
      <c r="G2629" s="405" t="str">
        <f t="shared" si="333"/>
        <v>主たる営業所</v>
      </c>
      <c r="H2629" s="405" t="str">
        <f t="shared" si="334"/>
        <v>日置市東市来町長里１８２７－２</v>
      </c>
      <c r="L2629" s="402" t="s">
        <v>13528</v>
      </c>
      <c r="M2629" s="402" t="s">
        <v>13529</v>
      </c>
      <c r="N2629" s="402" t="s">
        <v>6267</v>
      </c>
      <c r="O2629" s="402" t="s">
        <v>7084</v>
      </c>
      <c r="P2629" s="402" t="s">
        <v>6891</v>
      </c>
      <c r="Q2629" s="402" t="s">
        <v>13530</v>
      </c>
      <c r="R2629" s="402" t="s">
        <v>22799</v>
      </c>
      <c r="S2629" s="402" t="s">
        <v>18242</v>
      </c>
      <c r="T2629" s="402" t="s">
        <v>18243</v>
      </c>
      <c r="U2629" s="402"/>
      <c r="V2629" s="402" t="s">
        <v>5334</v>
      </c>
      <c r="W2629" s="402" t="s">
        <v>5334</v>
      </c>
      <c r="X2629" s="402" t="s">
        <v>5334</v>
      </c>
      <c r="Y2629" s="402" t="s">
        <v>5334</v>
      </c>
    </row>
    <row r="2630" spans="1:25">
      <c r="A2630" s="363">
        <f t="shared" si="335"/>
        <v>2629</v>
      </c>
      <c r="B2630" s="363" t="str">
        <f t="shared" si="328"/>
        <v>00</v>
      </c>
      <c r="C2630" s="405" t="str">
        <f t="shared" si="329"/>
        <v>第028092号</v>
      </c>
      <c r="D2630" s="405" t="str">
        <f t="shared" si="330"/>
        <v>カヤバＣＳ（株）</v>
      </c>
      <c r="E2630" s="405" t="str">
        <f t="shared" si="331"/>
        <v>代表取締役</v>
      </c>
      <c r="F2630" s="405" t="str">
        <f t="shared" si="332"/>
        <v>大前　聡</v>
      </c>
      <c r="G2630" s="405" t="str">
        <f t="shared" si="333"/>
        <v>主たる営業所</v>
      </c>
      <c r="H2630" s="405" t="str">
        <f t="shared" si="334"/>
        <v>津市雲出長常町１１２９－１１</v>
      </c>
      <c r="L2630" s="403" t="s">
        <v>13531</v>
      </c>
      <c r="M2630" s="403" t="s">
        <v>13532</v>
      </c>
      <c r="N2630" s="403" t="s">
        <v>6268</v>
      </c>
      <c r="O2630" s="403" t="s">
        <v>7084</v>
      </c>
      <c r="P2630" s="403" t="s">
        <v>6892</v>
      </c>
      <c r="Q2630" s="403" t="s">
        <v>13533</v>
      </c>
      <c r="R2630" s="403" t="s">
        <v>22800</v>
      </c>
      <c r="S2630" s="403" t="s">
        <v>18244</v>
      </c>
      <c r="T2630" s="403" t="s">
        <v>18245</v>
      </c>
      <c r="U2630" s="403"/>
      <c r="V2630" s="403" t="s">
        <v>5334</v>
      </c>
      <c r="W2630" s="403" t="s">
        <v>5334</v>
      </c>
      <c r="X2630" s="403" t="s">
        <v>5334</v>
      </c>
      <c r="Y2630" s="403" t="s">
        <v>5334</v>
      </c>
    </row>
    <row r="2631" spans="1:25">
      <c r="A2631" s="363">
        <f t="shared" si="335"/>
        <v>2630</v>
      </c>
      <c r="B2631" s="363" t="str">
        <f t="shared" si="328"/>
        <v>00</v>
      </c>
      <c r="C2631" s="405" t="str">
        <f t="shared" si="329"/>
        <v>第028237号</v>
      </c>
      <c r="D2631" s="405" t="str">
        <f t="shared" si="330"/>
        <v>（株）消防防災</v>
      </c>
      <c r="E2631" s="405" t="str">
        <f t="shared" si="331"/>
        <v/>
      </c>
      <c r="F2631" s="405" t="str">
        <f t="shared" si="332"/>
        <v>葛城　繁利</v>
      </c>
      <c r="G2631" s="405" t="str">
        <f t="shared" si="333"/>
        <v>大分本店</v>
      </c>
      <c r="H2631" s="405" t="str">
        <f t="shared" si="334"/>
        <v>大分市長浜町２－２－３２</v>
      </c>
      <c r="L2631" s="403" t="s">
        <v>13534</v>
      </c>
      <c r="M2631" s="403" t="s">
        <v>13535</v>
      </c>
      <c r="N2631" s="403" t="s">
        <v>6269</v>
      </c>
      <c r="O2631" s="403" t="s">
        <v>7084</v>
      </c>
      <c r="P2631" s="403" t="s">
        <v>6893</v>
      </c>
      <c r="Q2631" s="403" t="s">
        <v>13536</v>
      </c>
      <c r="R2631" s="403" t="s">
        <v>22801</v>
      </c>
      <c r="S2631" s="403" t="s">
        <v>22802</v>
      </c>
      <c r="T2631" s="403" t="s">
        <v>22803</v>
      </c>
      <c r="U2631" s="403"/>
      <c r="V2631" s="403" t="s">
        <v>7071</v>
      </c>
      <c r="W2631" s="403" t="s">
        <v>18246</v>
      </c>
      <c r="X2631" s="403" t="s">
        <v>18068</v>
      </c>
      <c r="Y2631" s="403" t="s">
        <v>22804</v>
      </c>
    </row>
    <row r="2632" spans="1:25">
      <c r="A2632" s="363">
        <f t="shared" si="335"/>
        <v>2631</v>
      </c>
      <c r="B2632" s="363" t="str">
        <f t="shared" si="328"/>
        <v>00</v>
      </c>
      <c r="C2632" s="405" t="str">
        <f t="shared" si="329"/>
        <v>第028273号</v>
      </c>
      <c r="D2632" s="405" t="str">
        <f t="shared" si="330"/>
        <v>ＮＴＴビジネスソリューションズ（株）</v>
      </c>
      <c r="E2632" s="405" t="str">
        <f t="shared" si="331"/>
        <v/>
      </c>
      <c r="F2632" s="405" t="str">
        <f t="shared" si="332"/>
        <v>陶山　康紀</v>
      </c>
      <c r="G2632" s="405" t="str">
        <f t="shared" si="333"/>
        <v>大分ビジネス営業部</v>
      </c>
      <c r="H2632" s="405" t="str">
        <f t="shared" si="334"/>
        <v>大分市長浜町３－１５－７</v>
      </c>
      <c r="L2632" s="403" t="s">
        <v>13537</v>
      </c>
      <c r="M2632" s="403" t="s">
        <v>13538</v>
      </c>
      <c r="N2632" s="403" t="s">
        <v>6270</v>
      </c>
      <c r="O2632" s="403" t="s">
        <v>7083</v>
      </c>
      <c r="P2632" s="403" t="s">
        <v>22805</v>
      </c>
      <c r="Q2632" s="403" t="s">
        <v>13202</v>
      </c>
      <c r="R2632" s="403" t="s">
        <v>22423</v>
      </c>
      <c r="S2632" s="403" t="s">
        <v>22806</v>
      </c>
      <c r="T2632" s="403" t="s">
        <v>22807</v>
      </c>
      <c r="U2632" s="403"/>
      <c r="V2632" s="403" t="s">
        <v>7072</v>
      </c>
      <c r="W2632" s="403" t="s">
        <v>18247</v>
      </c>
      <c r="X2632" s="403" t="s">
        <v>18068</v>
      </c>
      <c r="Y2632" s="403" t="s">
        <v>22426</v>
      </c>
    </row>
    <row r="2633" spans="1:25">
      <c r="A2633" s="363">
        <f t="shared" si="335"/>
        <v>2632</v>
      </c>
      <c r="B2633" s="363" t="str">
        <f t="shared" si="328"/>
        <v>00</v>
      </c>
      <c r="C2633" s="405" t="str">
        <f t="shared" si="329"/>
        <v>第028394号</v>
      </c>
      <c r="D2633" s="405" t="str">
        <f t="shared" si="330"/>
        <v>ソニーマーケティング（株）</v>
      </c>
      <c r="E2633" s="405" t="str">
        <f t="shared" si="331"/>
        <v>代表取締役</v>
      </c>
      <c r="F2633" s="405" t="str">
        <f t="shared" si="332"/>
        <v>粂川　滋</v>
      </c>
      <c r="G2633" s="405" t="str">
        <f t="shared" si="333"/>
        <v>主たる営業所</v>
      </c>
      <c r="H2633" s="405" t="str">
        <f t="shared" si="334"/>
        <v>港区港南１－７－１</v>
      </c>
      <c r="L2633" s="403" t="s">
        <v>13539</v>
      </c>
      <c r="M2633" s="403" t="s">
        <v>13540</v>
      </c>
      <c r="N2633" s="403" t="s">
        <v>6271</v>
      </c>
      <c r="O2633" s="403" t="s">
        <v>7084</v>
      </c>
      <c r="P2633" s="403" t="s">
        <v>6894</v>
      </c>
      <c r="Q2633" s="403" t="s">
        <v>12094</v>
      </c>
      <c r="R2633" s="403" t="s">
        <v>22808</v>
      </c>
      <c r="S2633" s="403" t="s">
        <v>18248</v>
      </c>
      <c r="T2633" s="403" t="s">
        <v>18249</v>
      </c>
      <c r="U2633" s="403"/>
      <c r="V2633" s="403" t="s">
        <v>23024</v>
      </c>
      <c r="W2633" s="403" t="s">
        <v>23024</v>
      </c>
      <c r="X2633" s="403" t="s">
        <v>23024</v>
      </c>
      <c r="Y2633" s="403" t="s">
        <v>23024</v>
      </c>
    </row>
    <row r="2634" spans="1:25">
      <c r="A2634" s="363">
        <f t="shared" si="335"/>
        <v>2633</v>
      </c>
      <c r="B2634" s="363" t="str">
        <f t="shared" si="328"/>
        <v>00</v>
      </c>
      <c r="C2634" s="405" t="str">
        <f t="shared" si="329"/>
        <v>第028415号</v>
      </c>
      <c r="D2634" s="405" t="str">
        <f t="shared" si="330"/>
        <v>共和メンテナンス（株）</v>
      </c>
      <c r="E2634" s="405" t="str">
        <f t="shared" si="331"/>
        <v/>
      </c>
      <c r="F2634" s="405" t="str">
        <f t="shared" si="332"/>
        <v>樗木　雅伸</v>
      </c>
      <c r="G2634" s="405" t="str">
        <f t="shared" si="333"/>
        <v>九州支店</v>
      </c>
      <c r="H2634" s="405" t="str">
        <f t="shared" si="334"/>
        <v>糸島市加布里４－２－１２</v>
      </c>
      <c r="L2634" s="403" t="s">
        <v>13541</v>
      </c>
      <c r="M2634" s="403" t="s">
        <v>13542</v>
      </c>
      <c r="N2634" s="403" t="s">
        <v>6272</v>
      </c>
      <c r="O2634" s="403" t="s">
        <v>7084</v>
      </c>
      <c r="P2634" s="403" t="s">
        <v>6895</v>
      </c>
      <c r="Q2634" s="403" t="s">
        <v>12639</v>
      </c>
      <c r="R2634" s="403" t="s">
        <v>21779</v>
      </c>
      <c r="S2634" s="403" t="s">
        <v>22809</v>
      </c>
      <c r="T2634" s="403" t="s">
        <v>22810</v>
      </c>
      <c r="U2634" s="403"/>
      <c r="V2634" s="403" t="s">
        <v>7007</v>
      </c>
      <c r="W2634" s="403" t="s">
        <v>18250</v>
      </c>
      <c r="X2634" s="403" t="s">
        <v>18251</v>
      </c>
      <c r="Y2634" s="403" t="s">
        <v>22811</v>
      </c>
    </row>
    <row r="2635" spans="1:25">
      <c r="A2635" s="363">
        <f t="shared" si="335"/>
        <v>2634</v>
      </c>
      <c r="B2635" s="363" t="str">
        <f t="shared" si="328"/>
        <v>00</v>
      </c>
      <c r="C2635" s="405" t="str">
        <f t="shared" si="329"/>
        <v>第028533号</v>
      </c>
      <c r="D2635" s="405" t="str">
        <f t="shared" si="330"/>
        <v>西日本三建サービス（株）</v>
      </c>
      <c r="E2635" s="405" t="str">
        <f t="shared" si="331"/>
        <v>代表取締役社長</v>
      </c>
      <c r="F2635" s="405" t="str">
        <f t="shared" si="332"/>
        <v>平兮　一英</v>
      </c>
      <c r="G2635" s="405" t="str">
        <f t="shared" si="333"/>
        <v>主たる営業所</v>
      </c>
      <c r="H2635" s="405" t="str">
        <f t="shared" si="334"/>
        <v>福岡市中央区舞鶴２－４－５</v>
      </c>
      <c r="L2635" s="403" t="s">
        <v>13543</v>
      </c>
      <c r="M2635" s="403" t="s">
        <v>13544</v>
      </c>
      <c r="N2635" s="403" t="s">
        <v>6273</v>
      </c>
      <c r="O2635" s="403" t="s">
        <v>7083</v>
      </c>
      <c r="P2635" s="403" t="s">
        <v>6896</v>
      </c>
      <c r="Q2635" s="403" t="s">
        <v>13037</v>
      </c>
      <c r="R2635" s="403" t="s">
        <v>22812</v>
      </c>
      <c r="S2635" s="403" t="s">
        <v>18252</v>
      </c>
      <c r="T2635" s="403" t="s">
        <v>18253</v>
      </c>
      <c r="U2635" s="403"/>
      <c r="V2635" s="403" t="s">
        <v>23024</v>
      </c>
      <c r="W2635" s="403" t="s">
        <v>23024</v>
      </c>
      <c r="X2635" s="403" t="s">
        <v>23024</v>
      </c>
      <c r="Y2635" s="403" t="s">
        <v>23024</v>
      </c>
    </row>
    <row r="2636" spans="1:25">
      <c r="A2636" s="363">
        <f t="shared" si="335"/>
        <v>2635</v>
      </c>
      <c r="B2636" s="363" t="str">
        <f t="shared" si="328"/>
        <v>00</v>
      </c>
      <c r="C2636" s="405" t="str">
        <f t="shared" si="329"/>
        <v>第028539号</v>
      </c>
      <c r="D2636" s="405" t="str">
        <f t="shared" si="330"/>
        <v>ＫＳＳ（株）</v>
      </c>
      <c r="E2636" s="405" t="str">
        <f t="shared" si="331"/>
        <v>代表取締役</v>
      </c>
      <c r="F2636" s="405" t="str">
        <f t="shared" si="332"/>
        <v>深澤　重幸</v>
      </c>
      <c r="G2636" s="405" t="str">
        <f t="shared" si="333"/>
        <v>主たる営業所</v>
      </c>
      <c r="H2636" s="405" t="str">
        <f t="shared" si="334"/>
        <v>武蔵村山市伊奈平１－７０－２</v>
      </c>
      <c r="L2636" s="403" t="s">
        <v>13545</v>
      </c>
      <c r="M2636" s="403" t="s">
        <v>13546</v>
      </c>
      <c r="N2636" s="403" t="s">
        <v>6274</v>
      </c>
      <c r="O2636" s="403" t="s">
        <v>7084</v>
      </c>
      <c r="P2636" s="403" t="s">
        <v>6855</v>
      </c>
      <c r="Q2636" s="403" t="s">
        <v>13547</v>
      </c>
      <c r="R2636" s="403" t="s">
        <v>22813</v>
      </c>
      <c r="S2636" s="403" t="s">
        <v>18254</v>
      </c>
      <c r="T2636" s="403" t="s">
        <v>18255</v>
      </c>
      <c r="U2636" s="403"/>
      <c r="V2636" s="403" t="s">
        <v>23024</v>
      </c>
      <c r="W2636" s="403" t="s">
        <v>23024</v>
      </c>
      <c r="X2636" s="403" t="s">
        <v>23024</v>
      </c>
      <c r="Y2636" s="403" t="s">
        <v>23024</v>
      </c>
    </row>
    <row r="2637" spans="1:25">
      <c r="A2637" s="363">
        <f t="shared" si="335"/>
        <v>2636</v>
      </c>
      <c r="B2637" s="363" t="str">
        <f t="shared" si="328"/>
        <v>00</v>
      </c>
      <c r="C2637" s="405" t="str">
        <f t="shared" si="329"/>
        <v>第028656号</v>
      </c>
      <c r="D2637" s="405" t="str">
        <f t="shared" si="330"/>
        <v>（株）伊藤鐵工所</v>
      </c>
      <c r="E2637" s="405" t="str">
        <f t="shared" si="331"/>
        <v/>
      </c>
      <c r="F2637" s="405" t="str">
        <f t="shared" si="332"/>
        <v>上村　心</v>
      </c>
      <c r="G2637" s="405" t="str">
        <f t="shared" si="333"/>
        <v>九州支店</v>
      </c>
      <c r="H2637" s="405" t="str">
        <f t="shared" si="334"/>
        <v>大野城市川久保３－７－３５</v>
      </c>
      <c r="L2637" s="403" t="s">
        <v>13548</v>
      </c>
      <c r="M2637" s="403" t="s">
        <v>13549</v>
      </c>
      <c r="N2637" s="403" t="s">
        <v>6275</v>
      </c>
      <c r="O2637" s="403" t="s">
        <v>7084</v>
      </c>
      <c r="P2637" s="403" t="s">
        <v>6897</v>
      </c>
      <c r="Q2637" s="403" t="s">
        <v>13550</v>
      </c>
      <c r="R2637" s="403" t="s">
        <v>22814</v>
      </c>
      <c r="S2637" s="403" t="s">
        <v>22815</v>
      </c>
      <c r="T2637" s="403" t="s">
        <v>22816</v>
      </c>
      <c r="U2637" s="403"/>
      <c r="V2637" s="403" t="s">
        <v>7007</v>
      </c>
      <c r="W2637" s="403" t="s">
        <v>18256</v>
      </c>
      <c r="X2637" s="403" t="s">
        <v>18257</v>
      </c>
      <c r="Y2637" s="403" t="s">
        <v>22817</v>
      </c>
    </row>
    <row r="2638" spans="1:25">
      <c r="A2638" s="363">
        <f t="shared" si="335"/>
        <v>2637</v>
      </c>
      <c r="B2638" s="363" t="str">
        <f t="shared" si="328"/>
        <v>00</v>
      </c>
      <c r="C2638" s="405" t="str">
        <f t="shared" si="329"/>
        <v>第028674号</v>
      </c>
      <c r="D2638" s="405" t="str">
        <f t="shared" si="330"/>
        <v>三井造船特機エンジニアリング（株）</v>
      </c>
      <c r="E2638" s="405" t="str">
        <f t="shared" si="331"/>
        <v>代表取締役</v>
      </c>
      <c r="F2638" s="405" t="str">
        <f t="shared" si="332"/>
        <v>林　利昌</v>
      </c>
      <c r="G2638" s="405" t="str">
        <f t="shared" si="333"/>
        <v>主たる営業所</v>
      </c>
      <c r="H2638" s="405" t="str">
        <f t="shared" si="334"/>
        <v>玉野市玉３－１－１</v>
      </c>
      <c r="L2638" s="403" t="s">
        <v>13551</v>
      </c>
      <c r="M2638" s="403" t="s">
        <v>13552</v>
      </c>
      <c r="N2638" s="403" t="s">
        <v>6276</v>
      </c>
      <c r="O2638" s="403" t="s">
        <v>7084</v>
      </c>
      <c r="P2638" s="403" t="s">
        <v>6898</v>
      </c>
      <c r="Q2638" s="403" t="s">
        <v>13553</v>
      </c>
      <c r="R2638" s="403" t="s">
        <v>22818</v>
      </c>
      <c r="S2638" s="403" t="s">
        <v>18258</v>
      </c>
      <c r="T2638" s="403" t="s">
        <v>18259</v>
      </c>
      <c r="U2638" s="403"/>
      <c r="V2638" s="403" t="s">
        <v>23024</v>
      </c>
      <c r="W2638" s="403" t="s">
        <v>23024</v>
      </c>
      <c r="X2638" s="403" t="s">
        <v>23024</v>
      </c>
      <c r="Y2638" s="403" t="s">
        <v>23024</v>
      </c>
    </row>
    <row r="2639" spans="1:25">
      <c r="A2639" s="363">
        <f t="shared" si="335"/>
        <v>2638</v>
      </c>
      <c r="B2639" s="363" t="str">
        <f t="shared" si="328"/>
        <v>00</v>
      </c>
      <c r="C2639" s="405" t="str">
        <f t="shared" si="329"/>
        <v>第028695号</v>
      </c>
      <c r="D2639" s="405" t="str">
        <f t="shared" si="330"/>
        <v>日本電気（株）</v>
      </c>
      <c r="E2639" s="405" t="str">
        <f t="shared" si="331"/>
        <v/>
      </c>
      <c r="F2639" s="405" t="str">
        <f t="shared" si="332"/>
        <v>谷津　賀章</v>
      </c>
      <c r="G2639" s="405" t="str">
        <f t="shared" si="333"/>
        <v>大分支店</v>
      </c>
      <c r="H2639" s="405" t="str">
        <f t="shared" si="334"/>
        <v>大分市東春日町１７－１９</v>
      </c>
      <c r="L2639" s="403" t="s">
        <v>13554</v>
      </c>
      <c r="M2639" s="403" t="s">
        <v>13555</v>
      </c>
      <c r="N2639" s="403" t="s">
        <v>6277</v>
      </c>
      <c r="O2639" s="403" t="s">
        <v>7103</v>
      </c>
      <c r="P2639" s="403" t="s">
        <v>6899</v>
      </c>
      <c r="Q2639" s="403" t="s">
        <v>13556</v>
      </c>
      <c r="R2639" s="403" t="s">
        <v>22819</v>
      </c>
      <c r="S2639" s="403" t="s">
        <v>22820</v>
      </c>
      <c r="T2639" s="403">
        <v>0</v>
      </c>
      <c r="U2639" s="403"/>
      <c r="V2639" s="403" t="s">
        <v>7009</v>
      </c>
      <c r="W2639" s="403" t="s">
        <v>22821</v>
      </c>
      <c r="X2639" s="403" t="s">
        <v>17641</v>
      </c>
      <c r="Y2639" s="403" t="s">
        <v>21939</v>
      </c>
    </row>
    <row r="2640" spans="1:25">
      <c r="A2640" s="363">
        <f t="shared" si="335"/>
        <v>2639</v>
      </c>
      <c r="B2640" s="363" t="str">
        <f t="shared" si="328"/>
        <v>00</v>
      </c>
      <c r="C2640" s="405" t="str">
        <f t="shared" si="329"/>
        <v>第029083号</v>
      </c>
      <c r="D2640" s="405" t="str">
        <f t="shared" si="330"/>
        <v>東芝インフラテクノサービス（株）</v>
      </c>
      <c r="E2640" s="405" t="str">
        <f t="shared" si="331"/>
        <v/>
      </c>
      <c r="F2640" s="405" t="str">
        <f t="shared" si="332"/>
        <v>足立　智洋</v>
      </c>
      <c r="G2640" s="405" t="str">
        <f t="shared" si="333"/>
        <v>九州支店</v>
      </c>
      <c r="H2640" s="405" t="str">
        <f t="shared" si="334"/>
        <v>福岡市中央区長浜２－４－１</v>
      </c>
      <c r="L2640" s="403" t="s">
        <v>22822</v>
      </c>
      <c r="M2640" s="403" t="s">
        <v>22823</v>
      </c>
      <c r="N2640" s="403" t="s">
        <v>22824</v>
      </c>
      <c r="O2640" s="403" t="s">
        <v>7083</v>
      </c>
      <c r="P2640" s="403" t="s">
        <v>22825</v>
      </c>
      <c r="Q2640" s="403" t="s">
        <v>12761</v>
      </c>
      <c r="R2640" s="403" t="s">
        <v>22826</v>
      </c>
      <c r="S2640" s="403" t="s">
        <v>22827</v>
      </c>
      <c r="T2640" s="403" t="s">
        <v>22828</v>
      </c>
      <c r="U2640" s="403"/>
      <c r="V2640" s="403" t="s">
        <v>7007</v>
      </c>
      <c r="W2640" s="403" t="s">
        <v>22829</v>
      </c>
      <c r="X2640" s="403" t="s">
        <v>13253</v>
      </c>
      <c r="Y2640" s="403" t="s">
        <v>21434</v>
      </c>
    </row>
    <row r="2641" spans="1:25">
      <c r="A2641" s="363">
        <f t="shared" si="335"/>
        <v>2640</v>
      </c>
      <c r="B2641" s="363" t="str">
        <f t="shared" si="328"/>
        <v>00</v>
      </c>
      <c r="C2641" s="405" t="str">
        <f t="shared" si="329"/>
        <v>第029095号</v>
      </c>
      <c r="D2641" s="405" t="str">
        <f t="shared" si="330"/>
        <v>安川メカトレック末松九機（株）</v>
      </c>
      <c r="E2641" s="405" t="str">
        <f t="shared" si="331"/>
        <v>代表取締役社長</v>
      </c>
      <c r="F2641" s="405" t="str">
        <f t="shared" si="332"/>
        <v>栄　則一</v>
      </c>
      <c r="G2641" s="405" t="str">
        <f t="shared" si="333"/>
        <v>主たる営業所</v>
      </c>
      <c r="H2641" s="405" t="str">
        <f t="shared" si="334"/>
        <v>福岡市博多区東那珂１－１４－２０</v>
      </c>
      <c r="L2641" s="403" t="s">
        <v>13557</v>
      </c>
      <c r="M2641" s="403" t="s">
        <v>13558</v>
      </c>
      <c r="N2641" s="403" t="s">
        <v>6278</v>
      </c>
      <c r="O2641" s="403" t="s">
        <v>7083</v>
      </c>
      <c r="P2641" s="403" t="s">
        <v>6900</v>
      </c>
      <c r="Q2641" s="403" t="s">
        <v>13159</v>
      </c>
      <c r="R2641" s="403" t="s">
        <v>22830</v>
      </c>
      <c r="S2641" s="403" t="s">
        <v>18260</v>
      </c>
      <c r="T2641" s="403" t="s">
        <v>18261</v>
      </c>
      <c r="U2641" s="403"/>
      <c r="V2641" s="403" t="s">
        <v>23024</v>
      </c>
      <c r="W2641" s="403" t="s">
        <v>23024</v>
      </c>
      <c r="X2641" s="403" t="s">
        <v>23024</v>
      </c>
      <c r="Y2641" s="403" t="s">
        <v>23024</v>
      </c>
    </row>
    <row r="2642" spans="1:25">
      <c r="A2642" s="363">
        <f t="shared" si="335"/>
        <v>2641</v>
      </c>
      <c r="B2642" s="363" t="str">
        <f t="shared" si="328"/>
        <v>11</v>
      </c>
      <c r="C2642" s="405" t="str">
        <f t="shared" si="329"/>
        <v>第065399号</v>
      </c>
      <c r="D2642" s="405" t="str">
        <f t="shared" si="330"/>
        <v>（株）リケン環境システム</v>
      </c>
      <c r="E2642" s="405" t="str">
        <f t="shared" si="331"/>
        <v>代表取締役</v>
      </c>
      <c r="F2642" s="405" t="str">
        <f t="shared" si="332"/>
        <v>小野　敬</v>
      </c>
      <c r="G2642" s="405" t="str">
        <f t="shared" si="333"/>
        <v>主たる営業所</v>
      </c>
      <c r="H2642" s="405" t="str">
        <f t="shared" si="334"/>
        <v>熊谷市末広４－１４－１</v>
      </c>
      <c r="L2642" s="403" t="s">
        <v>13559</v>
      </c>
      <c r="M2642" s="403" t="s">
        <v>13560</v>
      </c>
      <c r="N2642" s="403" t="s">
        <v>6279</v>
      </c>
      <c r="O2642" s="403" t="s">
        <v>7084</v>
      </c>
      <c r="P2642" s="403" t="s">
        <v>22831</v>
      </c>
      <c r="Q2642" s="403" t="s">
        <v>13561</v>
      </c>
      <c r="R2642" s="403" t="s">
        <v>22832</v>
      </c>
      <c r="S2642" s="403" t="s">
        <v>18262</v>
      </c>
      <c r="T2642" s="403" t="s">
        <v>18263</v>
      </c>
      <c r="U2642" s="403"/>
      <c r="V2642" s="403" t="s">
        <v>23024</v>
      </c>
      <c r="W2642" s="403" t="s">
        <v>23024</v>
      </c>
      <c r="X2642" s="403" t="s">
        <v>23024</v>
      </c>
      <c r="Y2642" s="403" t="s">
        <v>23024</v>
      </c>
    </row>
    <row r="2643" spans="1:25">
      <c r="A2643" s="363">
        <f t="shared" si="335"/>
        <v>2642</v>
      </c>
      <c r="B2643" s="363" t="str">
        <f t="shared" si="328"/>
        <v>13</v>
      </c>
      <c r="C2643" s="405" t="str">
        <f t="shared" si="329"/>
        <v>第079907号</v>
      </c>
      <c r="D2643" s="405" t="str">
        <f t="shared" si="330"/>
        <v>（株）富士ダイナミクス</v>
      </c>
      <c r="E2643" s="405" t="str">
        <f t="shared" si="331"/>
        <v>代表取締役</v>
      </c>
      <c r="F2643" s="405" t="str">
        <f t="shared" si="332"/>
        <v>遠藤　直輝</v>
      </c>
      <c r="G2643" s="405" t="str">
        <f t="shared" si="333"/>
        <v>主たる営業所</v>
      </c>
      <c r="H2643" s="405" t="str">
        <f t="shared" si="334"/>
        <v>目黒区青葉台１－２８－９</v>
      </c>
      <c r="L2643" s="403" t="s">
        <v>13562</v>
      </c>
      <c r="M2643" s="403" t="s">
        <v>13563</v>
      </c>
      <c r="N2643" s="403" t="s">
        <v>6280</v>
      </c>
      <c r="O2643" s="403" t="s">
        <v>7084</v>
      </c>
      <c r="P2643" s="403" t="s">
        <v>6901</v>
      </c>
      <c r="Q2643" s="403" t="s">
        <v>13564</v>
      </c>
      <c r="R2643" s="403" t="s">
        <v>22833</v>
      </c>
      <c r="S2643" s="403" t="s">
        <v>18264</v>
      </c>
      <c r="T2643" s="403" t="s">
        <v>18265</v>
      </c>
      <c r="U2643" s="403"/>
      <c r="V2643" s="403" t="s">
        <v>23024</v>
      </c>
      <c r="W2643" s="403" t="s">
        <v>23024</v>
      </c>
      <c r="X2643" s="403" t="s">
        <v>23024</v>
      </c>
      <c r="Y2643" s="403" t="s">
        <v>23024</v>
      </c>
    </row>
    <row r="2644" spans="1:25">
      <c r="A2644" s="363">
        <f t="shared" si="335"/>
        <v>2643</v>
      </c>
      <c r="B2644" s="363" t="str">
        <f t="shared" si="328"/>
        <v>13</v>
      </c>
      <c r="C2644" s="405" t="str">
        <f t="shared" si="329"/>
        <v>第100402号</v>
      </c>
      <c r="D2644" s="405" t="str">
        <f t="shared" si="330"/>
        <v>日本トーター（株）</v>
      </c>
      <c r="E2644" s="405" t="str">
        <f t="shared" si="331"/>
        <v>代表取締役社長</v>
      </c>
      <c r="F2644" s="405" t="str">
        <f t="shared" si="332"/>
        <v>山本　竜彦</v>
      </c>
      <c r="G2644" s="405" t="str">
        <f t="shared" si="333"/>
        <v>主たる営業所</v>
      </c>
      <c r="H2644" s="405" t="str">
        <f t="shared" si="334"/>
        <v>港区港南２－１６－１</v>
      </c>
      <c r="L2644" s="403" t="s">
        <v>13565</v>
      </c>
      <c r="M2644" s="403" t="s">
        <v>13566</v>
      </c>
      <c r="N2644" s="403" t="s">
        <v>6281</v>
      </c>
      <c r="O2644" s="403" t="s">
        <v>7083</v>
      </c>
      <c r="P2644" s="403" t="s">
        <v>6902</v>
      </c>
      <c r="Q2644" s="403" t="s">
        <v>13567</v>
      </c>
      <c r="R2644" s="403" t="s">
        <v>22834</v>
      </c>
      <c r="S2644" s="403" t="s">
        <v>18266</v>
      </c>
      <c r="T2644" s="403" t="s">
        <v>18267</v>
      </c>
      <c r="U2644" s="403"/>
      <c r="V2644" s="403" t="s">
        <v>23024</v>
      </c>
      <c r="W2644" s="403" t="s">
        <v>23024</v>
      </c>
      <c r="X2644" s="403" t="s">
        <v>23024</v>
      </c>
      <c r="Y2644" s="403" t="s">
        <v>23024</v>
      </c>
    </row>
    <row r="2645" spans="1:25">
      <c r="A2645" s="363">
        <f t="shared" si="335"/>
        <v>2644</v>
      </c>
      <c r="B2645" s="363" t="str">
        <f t="shared" si="328"/>
        <v>13</v>
      </c>
      <c r="C2645" s="405" t="str">
        <f t="shared" si="329"/>
        <v>第125776号</v>
      </c>
      <c r="D2645" s="405" t="str">
        <f t="shared" si="330"/>
        <v>（株）ＮＴＴデータ</v>
      </c>
      <c r="E2645" s="405" t="str">
        <f t="shared" si="331"/>
        <v>代表取締役社長</v>
      </c>
      <c r="F2645" s="405" t="str">
        <f t="shared" si="332"/>
        <v>鈴木　正範</v>
      </c>
      <c r="G2645" s="405" t="str">
        <f t="shared" si="333"/>
        <v>主たる営業所</v>
      </c>
      <c r="H2645" s="405" t="str">
        <f t="shared" si="334"/>
        <v>江東区豊洲３－３－３</v>
      </c>
      <c r="L2645" s="403" t="s">
        <v>13568</v>
      </c>
      <c r="M2645" s="403" t="s">
        <v>13569</v>
      </c>
      <c r="N2645" s="403" t="s">
        <v>6282</v>
      </c>
      <c r="O2645" s="403" t="s">
        <v>7083</v>
      </c>
      <c r="P2645" s="403" t="s">
        <v>22835</v>
      </c>
      <c r="Q2645" s="403" t="s">
        <v>13570</v>
      </c>
      <c r="R2645" s="403" t="s">
        <v>22836</v>
      </c>
      <c r="S2645" s="403" t="s">
        <v>18268</v>
      </c>
      <c r="T2645" s="403" t="s">
        <v>18269</v>
      </c>
      <c r="U2645" s="403"/>
      <c r="V2645" s="403" t="s">
        <v>23024</v>
      </c>
      <c r="W2645" s="403" t="s">
        <v>23024</v>
      </c>
      <c r="X2645" s="403" t="s">
        <v>23024</v>
      </c>
      <c r="Y2645" s="403" t="s">
        <v>23024</v>
      </c>
    </row>
    <row r="2646" spans="1:25">
      <c r="A2646" s="363">
        <f t="shared" si="335"/>
        <v>2645</v>
      </c>
      <c r="B2646" s="363" t="str">
        <f t="shared" si="328"/>
        <v>13</v>
      </c>
      <c r="C2646" s="405" t="str">
        <f t="shared" si="329"/>
        <v>第129476号</v>
      </c>
      <c r="D2646" s="405" t="str">
        <f t="shared" si="330"/>
        <v>（株）善興社</v>
      </c>
      <c r="E2646" s="405" t="str">
        <f t="shared" si="331"/>
        <v>代表取締役</v>
      </c>
      <c r="F2646" s="405" t="str">
        <f t="shared" si="332"/>
        <v>川北　孝</v>
      </c>
      <c r="G2646" s="405" t="str">
        <f t="shared" si="333"/>
        <v>主たる営業所</v>
      </c>
      <c r="H2646" s="405" t="str">
        <f t="shared" si="334"/>
        <v>江東区大島８－１９－４</v>
      </c>
      <c r="L2646" s="403" t="s">
        <v>13571</v>
      </c>
      <c r="M2646" s="403" t="s">
        <v>13572</v>
      </c>
      <c r="N2646" s="403" t="s">
        <v>6283</v>
      </c>
      <c r="O2646" s="403" t="s">
        <v>7084</v>
      </c>
      <c r="P2646" s="403" t="s">
        <v>6903</v>
      </c>
      <c r="Q2646" s="403" t="s">
        <v>13103</v>
      </c>
      <c r="R2646" s="403" t="s">
        <v>22837</v>
      </c>
      <c r="S2646" s="403" t="s">
        <v>18270</v>
      </c>
      <c r="T2646" s="403" t="s">
        <v>18271</v>
      </c>
      <c r="U2646" s="403"/>
      <c r="V2646" s="403" t="s">
        <v>23024</v>
      </c>
      <c r="W2646" s="403" t="s">
        <v>23024</v>
      </c>
      <c r="X2646" s="403" t="s">
        <v>23024</v>
      </c>
      <c r="Y2646" s="403" t="s">
        <v>23024</v>
      </c>
    </row>
    <row r="2647" spans="1:25">
      <c r="A2647" s="363">
        <f t="shared" si="335"/>
        <v>2646</v>
      </c>
      <c r="B2647" s="363" t="str">
        <f t="shared" si="328"/>
        <v>13</v>
      </c>
      <c r="C2647" s="405" t="str">
        <f t="shared" si="329"/>
        <v>第135742号</v>
      </c>
      <c r="D2647" s="405" t="str">
        <f t="shared" si="330"/>
        <v>（株）五藤光学研究所</v>
      </c>
      <c r="E2647" s="405" t="str">
        <f t="shared" si="331"/>
        <v>取締役社長</v>
      </c>
      <c r="F2647" s="405" t="str">
        <f t="shared" si="332"/>
        <v>五藤　信隆</v>
      </c>
      <c r="G2647" s="405" t="str">
        <f t="shared" si="333"/>
        <v>主たる営業所</v>
      </c>
      <c r="H2647" s="405" t="str">
        <f t="shared" si="334"/>
        <v>府中市矢崎町４－１６</v>
      </c>
      <c r="L2647" s="403" t="s">
        <v>13573</v>
      </c>
      <c r="M2647" s="403" t="s">
        <v>13574</v>
      </c>
      <c r="N2647" s="403" t="s">
        <v>6284</v>
      </c>
      <c r="O2647" s="403" t="s">
        <v>7089</v>
      </c>
      <c r="P2647" s="403" t="s">
        <v>6904</v>
      </c>
      <c r="Q2647" s="403" t="s">
        <v>13575</v>
      </c>
      <c r="R2647" s="403" t="s">
        <v>22838</v>
      </c>
      <c r="S2647" s="403" t="s">
        <v>18272</v>
      </c>
      <c r="T2647" s="403" t="s">
        <v>18273</v>
      </c>
      <c r="U2647" s="403"/>
      <c r="V2647" s="403" t="s">
        <v>23024</v>
      </c>
      <c r="W2647" s="403" t="s">
        <v>23024</v>
      </c>
      <c r="X2647" s="403" t="s">
        <v>23024</v>
      </c>
      <c r="Y2647" s="403" t="s">
        <v>23024</v>
      </c>
    </row>
    <row r="2648" spans="1:25">
      <c r="A2648" s="363">
        <f t="shared" si="335"/>
        <v>2647</v>
      </c>
      <c r="B2648" s="363" t="str">
        <f t="shared" si="328"/>
        <v>13</v>
      </c>
      <c r="C2648" s="405" t="str">
        <f t="shared" si="329"/>
        <v>第140937号</v>
      </c>
      <c r="D2648" s="405" t="str">
        <f t="shared" si="330"/>
        <v>コニカミノルタプラネタリウム（株）</v>
      </c>
      <c r="E2648" s="405" t="str">
        <f t="shared" si="331"/>
        <v>代表取締役社長</v>
      </c>
      <c r="F2648" s="405" t="str">
        <f t="shared" si="332"/>
        <v>本　由美子</v>
      </c>
      <c r="G2648" s="405" t="str">
        <f t="shared" si="333"/>
        <v>主たる営業所</v>
      </c>
      <c r="H2648" s="405" t="str">
        <f t="shared" si="334"/>
        <v>豊島区東池袋３－１－３</v>
      </c>
      <c r="L2648" s="403" t="s">
        <v>13576</v>
      </c>
      <c r="M2648" s="403" t="s">
        <v>13577</v>
      </c>
      <c r="N2648" s="403" t="s">
        <v>6285</v>
      </c>
      <c r="O2648" s="403" t="s">
        <v>7083</v>
      </c>
      <c r="P2648" s="403" t="s">
        <v>6905</v>
      </c>
      <c r="Q2648" s="403" t="s">
        <v>13578</v>
      </c>
      <c r="R2648" s="403" t="s">
        <v>22839</v>
      </c>
      <c r="S2648" s="403" t="s">
        <v>18274</v>
      </c>
      <c r="T2648" s="403" t="s">
        <v>18275</v>
      </c>
      <c r="U2648" s="403"/>
      <c r="V2648" s="403" t="s">
        <v>23024</v>
      </c>
      <c r="W2648" s="403" t="s">
        <v>23024</v>
      </c>
      <c r="X2648" s="403" t="s">
        <v>23024</v>
      </c>
      <c r="Y2648" s="403" t="s">
        <v>23024</v>
      </c>
    </row>
    <row r="2649" spans="1:25">
      <c r="A2649" s="363">
        <f t="shared" si="335"/>
        <v>2648</v>
      </c>
      <c r="B2649" s="363" t="str">
        <f t="shared" si="328"/>
        <v>13</v>
      </c>
      <c r="C2649" s="405" t="str">
        <f t="shared" si="329"/>
        <v>第144309号</v>
      </c>
      <c r="D2649" s="405" t="str">
        <f t="shared" si="330"/>
        <v>ヴェオリア・ジェネッツ（株）</v>
      </c>
      <c r="E2649" s="405" t="str">
        <f t="shared" si="331"/>
        <v>代表取締役</v>
      </c>
      <c r="F2649" s="405" t="str">
        <f t="shared" si="332"/>
        <v>内野　一尋</v>
      </c>
      <c r="G2649" s="405" t="str">
        <f t="shared" si="333"/>
        <v>主たる営業所</v>
      </c>
      <c r="H2649" s="405" t="str">
        <f t="shared" si="334"/>
        <v>港区海岸３－２０－２０ヨコソーレインボータワー</v>
      </c>
      <c r="L2649" s="403" t="s">
        <v>13579</v>
      </c>
      <c r="M2649" s="403" t="s">
        <v>13580</v>
      </c>
      <c r="N2649" s="403" t="s">
        <v>6286</v>
      </c>
      <c r="O2649" s="403" t="s">
        <v>7084</v>
      </c>
      <c r="P2649" s="403" t="s">
        <v>6906</v>
      </c>
      <c r="Q2649" s="403" t="s">
        <v>12981</v>
      </c>
      <c r="R2649" s="403" t="s">
        <v>22840</v>
      </c>
      <c r="S2649" s="403" t="s">
        <v>18276</v>
      </c>
      <c r="T2649" s="403" t="s">
        <v>18277</v>
      </c>
      <c r="U2649" s="403"/>
      <c r="V2649" s="403" t="s">
        <v>23024</v>
      </c>
      <c r="W2649" s="403" t="s">
        <v>23024</v>
      </c>
      <c r="X2649" s="403" t="s">
        <v>23024</v>
      </c>
      <c r="Y2649" s="403" t="s">
        <v>23024</v>
      </c>
    </row>
    <row r="2650" spans="1:25">
      <c r="A2650" s="363">
        <f t="shared" si="335"/>
        <v>2649</v>
      </c>
      <c r="B2650" s="363" t="str">
        <f t="shared" si="328"/>
        <v>13</v>
      </c>
      <c r="C2650" s="405" t="str">
        <f t="shared" si="329"/>
        <v>第160429号</v>
      </c>
      <c r="D2650" s="405" t="str">
        <f t="shared" si="330"/>
        <v>富士通フロンテック（株）</v>
      </c>
      <c r="E2650" s="405" t="str">
        <f t="shared" si="331"/>
        <v/>
      </c>
      <c r="F2650" s="405" t="str">
        <f t="shared" si="332"/>
        <v>宮原　慎二</v>
      </c>
      <c r="G2650" s="405" t="str">
        <f t="shared" si="333"/>
        <v>九州支店</v>
      </c>
      <c r="H2650" s="405" t="str">
        <f t="shared" si="334"/>
        <v>福岡市博多区東比恵１－５－１３　東比恵ビジネスセンター２</v>
      </c>
      <c r="L2650" s="403" t="s">
        <v>22841</v>
      </c>
      <c r="M2650" s="403" t="s">
        <v>22842</v>
      </c>
      <c r="N2650" s="403" t="s">
        <v>22843</v>
      </c>
      <c r="O2650" s="403" t="s">
        <v>7083</v>
      </c>
      <c r="P2650" s="403" t="s">
        <v>22844</v>
      </c>
      <c r="Q2650" s="403" t="s">
        <v>22845</v>
      </c>
      <c r="R2650" s="403" t="s">
        <v>22846</v>
      </c>
      <c r="S2650" s="403" t="s">
        <v>22847</v>
      </c>
      <c r="T2650" s="403">
        <v>0</v>
      </c>
      <c r="U2650" s="403"/>
      <c r="V2650" s="403" t="s">
        <v>7007</v>
      </c>
      <c r="W2650" s="403" t="s">
        <v>22848</v>
      </c>
      <c r="X2650" s="403" t="s">
        <v>13787</v>
      </c>
      <c r="Y2650" s="403" t="s">
        <v>22849</v>
      </c>
    </row>
    <row r="2651" spans="1:25">
      <c r="A2651" s="363">
        <f t="shared" si="335"/>
        <v>2650</v>
      </c>
      <c r="B2651" s="363" t="str">
        <f t="shared" si="328"/>
        <v>13</v>
      </c>
      <c r="C2651" s="405" t="str">
        <f t="shared" si="329"/>
        <v>第161235号</v>
      </c>
      <c r="D2651" s="405" t="str">
        <f t="shared" si="330"/>
        <v>東京航空計器（株）</v>
      </c>
      <c r="E2651" s="405" t="str">
        <f t="shared" si="331"/>
        <v>代表取締役</v>
      </c>
      <c r="F2651" s="405" t="str">
        <f t="shared" si="332"/>
        <v>木村　秀一</v>
      </c>
      <c r="G2651" s="405" t="str">
        <f t="shared" si="333"/>
        <v>主たる営業所</v>
      </c>
      <c r="H2651" s="405" t="str">
        <f t="shared" si="334"/>
        <v>町田市小山ヶ丘２－２－６</v>
      </c>
      <c r="L2651" s="403" t="s">
        <v>22850</v>
      </c>
      <c r="M2651" s="403" t="s">
        <v>22851</v>
      </c>
      <c r="N2651" s="403" t="s">
        <v>22852</v>
      </c>
      <c r="O2651" s="403" t="s">
        <v>7084</v>
      </c>
      <c r="P2651" s="403" t="s">
        <v>22853</v>
      </c>
      <c r="Q2651" s="403" t="s">
        <v>22854</v>
      </c>
      <c r="R2651" s="403" t="s">
        <v>22855</v>
      </c>
      <c r="S2651" s="403" t="s">
        <v>22856</v>
      </c>
      <c r="T2651" s="403" t="s">
        <v>22857</v>
      </c>
      <c r="U2651" s="403"/>
      <c r="V2651" s="403" t="s">
        <v>23024</v>
      </c>
      <c r="W2651" s="403" t="s">
        <v>23024</v>
      </c>
      <c r="X2651" s="403" t="s">
        <v>23024</v>
      </c>
      <c r="Y2651" s="403" t="s">
        <v>23024</v>
      </c>
    </row>
    <row r="2652" spans="1:25">
      <c r="A2652" s="363">
        <f t="shared" si="335"/>
        <v>2651</v>
      </c>
      <c r="B2652" s="363" t="str">
        <f t="shared" si="328"/>
        <v>14</v>
      </c>
      <c r="C2652" s="405" t="str">
        <f t="shared" si="329"/>
        <v>第049173号</v>
      </c>
      <c r="D2652" s="405" t="str">
        <f t="shared" si="330"/>
        <v>ヨコトク（株）</v>
      </c>
      <c r="E2652" s="405" t="str">
        <f t="shared" si="331"/>
        <v>代表取締役</v>
      </c>
      <c r="F2652" s="405" t="str">
        <f t="shared" si="332"/>
        <v>並木　則夫</v>
      </c>
      <c r="G2652" s="405" t="str">
        <f t="shared" si="333"/>
        <v>主たる営業所</v>
      </c>
      <c r="H2652" s="405" t="str">
        <f t="shared" si="334"/>
        <v>横浜市中区長者町４－９－８</v>
      </c>
      <c r="L2652" s="403" t="s">
        <v>13581</v>
      </c>
      <c r="M2652" s="403" t="s">
        <v>13582</v>
      </c>
      <c r="N2652" s="403" t="s">
        <v>6287</v>
      </c>
      <c r="O2652" s="403" t="s">
        <v>7084</v>
      </c>
      <c r="P2652" s="403" t="s">
        <v>6907</v>
      </c>
      <c r="Q2652" s="403" t="s">
        <v>13583</v>
      </c>
      <c r="R2652" s="403" t="s">
        <v>22858</v>
      </c>
      <c r="S2652" s="403" t="s">
        <v>18278</v>
      </c>
      <c r="T2652" s="403" t="s">
        <v>18279</v>
      </c>
      <c r="U2652" s="403"/>
      <c r="V2652" s="403" t="s">
        <v>23024</v>
      </c>
      <c r="W2652" s="403" t="s">
        <v>23024</v>
      </c>
      <c r="X2652" s="403" t="s">
        <v>23024</v>
      </c>
      <c r="Y2652" s="403" t="s">
        <v>23024</v>
      </c>
    </row>
    <row r="2653" spans="1:25">
      <c r="A2653" s="363">
        <f t="shared" si="335"/>
        <v>2652</v>
      </c>
      <c r="B2653" s="363" t="str">
        <f t="shared" si="328"/>
        <v>14</v>
      </c>
      <c r="C2653" s="405" t="str">
        <f t="shared" si="329"/>
        <v>第057779号</v>
      </c>
      <c r="D2653" s="405" t="str">
        <f t="shared" si="330"/>
        <v>ヒカリ（株）</v>
      </c>
      <c r="E2653" s="405" t="str">
        <f t="shared" si="331"/>
        <v>代表取締役</v>
      </c>
      <c r="F2653" s="405" t="str">
        <f t="shared" si="332"/>
        <v>伊藤　國夫</v>
      </c>
      <c r="G2653" s="405" t="str">
        <f t="shared" si="333"/>
        <v>主たる営業所</v>
      </c>
      <c r="H2653" s="405" t="str">
        <f t="shared" si="334"/>
        <v>小田原市根府川６２５－７</v>
      </c>
      <c r="L2653" s="403" t="s">
        <v>13584</v>
      </c>
      <c r="M2653" s="403" t="s">
        <v>13585</v>
      </c>
      <c r="N2653" s="403" t="s">
        <v>6288</v>
      </c>
      <c r="O2653" s="403" t="s">
        <v>7084</v>
      </c>
      <c r="P2653" s="403" t="s">
        <v>6908</v>
      </c>
      <c r="Q2653" s="403" t="s">
        <v>13586</v>
      </c>
      <c r="R2653" s="403" t="s">
        <v>22859</v>
      </c>
      <c r="S2653" s="403" t="s">
        <v>18280</v>
      </c>
      <c r="T2653" s="403" t="s">
        <v>18281</v>
      </c>
      <c r="U2653" s="403"/>
      <c r="V2653" s="403" t="s">
        <v>23024</v>
      </c>
      <c r="W2653" s="403" t="s">
        <v>23024</v>
      </c>
      <c r="X2653" s="403" t="s">
        <v>23024</v>
      </c>
      <c r="Y2653" s="403" t="s">
        <v>23024</v>
      </c>
    </row>
    <row r="2654" spans="1:25">
      <c r="A2654" s="363">
        <f t="shared" si="335"/>
        <v>2653</v>
      </c>
      <c r="B2654" s="363" t="str">
        <f t="shared" si="328"/>
        <v>22</v>
      </c>
      <c r="C2654" s="405" t="str">
        <f t="shared" si="329"/>
        <v>第014936号</v>
      </c>
      <c r="D2654" s="405" t="str">
        <f t="shared" si="330"/>
        <v>ナカダ産業（株）</v>
      </c>
      <c r="E2654" s="405" t="str">
        <f t="shared" si="331"/>
        <v>代表取締役</v>
      </c>
      <c r="F2654" s="405" t="str">
        <f t="shared" si="332"/>
        <v>蓑川　的人</v>
      </c>
      <c r="G2654" s="405" t="str">
        <f t="shared" si="333"/>
        <v>主たる営業所</v>
      </c>
      <c r="H2654" s="405" t="str">
        <f t="shared" si="334"/>
        <v>島田市金谷東２－１０４６</v>
      </c>
      <c r="L2654" s="403" t="s">
        <v>13587</v>
      </c>
      <c r="M2654" s="403" t="s">
        <v>13588</v>
      </c>
      <c r="N2654" s="403" t="s">
        <v>6289</v>
      </c>
      <c r="O2654" s="403" t="s">
        <v>7084</v>
      </c>
      <c r="P2654" s="403" t="s">
        <v>6909</v>
      </c>
      <c r="Q2654" s="403" t="s">
        <v>13589</v>
      </c>
      <c r="R2654" s="403" t="s">
        <v>22860</v>
      </c>
      <c r="S2654" s="403" t="s">
        <v>18282</v>
      </c>
      <c r="T2654" s="403" t="s">
        <v>18283</v>
      </c>
      <c r="U2654" s="403"/>
      <c r="V2654" s="403" t="s">
        <v>23024</v>
      </c>
      <c r="W2654" s="403" t="s">
        <v>23024</v>
      </c>
      <c r="X2654" s="403" t="s">
        <v>23024</v>
      </c>
      <c r="Y2654" s="403" t="s">
        <v>23024</v>
      </c>
    </row>
    <row r="2655" spans="1:25">
      <c r="A2655" s="363">
        <f t="shared" si="335"/>
        <v>2654</v>
      </c>
      <c r="B2655" s="363" t="str">
        <f t="shared" si="328"/>
        <v>22</v>
      </c>
      <c r="C2655" s="405" t="str">
        <f t="shared" si="329"/>
        <v>第031375号</v>
      </c>
      <c r="D2655" s="405" t="str">
        <f t="shared" si="330"/>
        <v>ネットワーク（株）</v>
      </c>
      <c r="E2655" s="405" t="str">
        <f t="shared" si="331"/>
        <v>代表取締役</v>
      </c>
      <c r="F2655" s="405" t="str">
        <f t="shared" si="332"/>
        <v>黒田　英己</v>
      </c>
      <c r="G2655" s="405" t="str">
        <f t="shared" si="333"/>
        <v>主たる営業所</v>
      </c>
      <c r="H2655" s="405" t="str">
        <f t="shared" si="334"/>
        <v>浜松市東区篠ケ瀬町５５４－４</v>
      </c>
      <c r="L2655" s="403" t="s">
        <v>13590</v>
      </c>
      <c r="M2655" s="403" t="s">
        <v>13591</v>
      </c>
      <c r="N2655" s="403" t="s">
        <v>6290</v>
      </c>
      <c r="O2655" s="403" t="s">
        <v>7084</v>
      </c>
      <c r="P2655" s="403" t="s">
        <v>6910</v>
      </c>
      <c r="Q2655" s="403" t="s">
        <v>13592</v>
      </c>
      <c r="R2655" s="403" t="s">
        <v>22861</v>
      </c>
      <c r="S2655" s="403" t="s">
        <v>18284</v>
      </c>
      <c r="T2655" s="403" t="s">
        <v>18285</v>
      </c>
      <c r="U2655" s="403"/>
      <c r="V2655" s="403" t="s">
        <v>23024</v>
      </c>
      <c r="W2655" s="403" t="s">
        <v>23024</v>
      </c>
      <c r="X2655" s="403" t="s">
        <v>23024</v>
      </c>
      <c r="Y2655" s="403" t="s">
        <v>23024</v>
      </c>
    </row>
    <row r="2656" spans="1:25">
      <c r="A2656" s="363">
        <f t="shared" si="335"/>
        <v>2655</v>
      </c>
      <c r="B2656" s="363" t="str">
        <f t="shared" si="328"/>
        <v>25</v>
      </c>
      <c r="C2656" s="405" t="str">
        <f t="shared" si="329"/>
        <v>第041234号</v>
      </c>
      <c r="D2656" s="405" t="str">
        <f t="shared" si="330"/>
        <v>（株）松村工務店</v>
      </c>
      <c r="E2656" s="405" t="str">
        <f t="shared" si="331"/>
        <v>代表取締役</v>
      </c>
      <c r="F2656" s="405" t="str">
        <f t="shared" si="332"/>
        <v>松村　正徳</v>
      </c>
      <c r="G2656" s="405" t="str">
        <f t="shared" si="333"/>
        <v>主たる営業所</v>
      </c>
      <c r="H2656" s="405" t="str">
        <f t="shared" si="334"/>
        <v>東近江市市子殿町１３６９</v>
      </c>
      <c r="L2656" s="403" t="s">
        <v>13593</v>
      </c>
      <c r="M2656" s="403" t="s">
        <v>13594</v>
      </c>
      <c r="N2656" s="403" t="s">
        <v>6291</v>
      </c>
      <c r="O2656" s="403" t="s">
        <v>7084</v>
      </c>
      <c r="P2656" s="403" t="s">
        <v>6911</v>
      </c>
      <c r="Q2656" s="403" t="s">
        <v>13595</v>
      </c>
      <c r="R2656" s="403" t="s">
        <v>22862</v>
      </c>
      <c r="S2656" s="403" t="s">
        <v>18286</v>
      </c>
      <c r="T2656" s="403" t="s">
        <v>18287</v>
      </c>
      <c r="U2656" s="403"/>
      <c r="V2656" s="403" t="s">
        <v>23024</v>
      </c>
      <c r="W2656" s="403" t="s">
        <v>23024</v>
      </c>
      <c r="X2656" s="403" t="s">
        <v>23024</v>
      </c>
      <c r="Y2656" s="403" t="s">
        <v>23024</v>
      </c>
    </row>
    <row r="2657" spans="1:25">
      <c r="A2657" s="363">
        <f t="shared" si="335"/>
        <v>2656</v>
      </c>
      <c r="B2657" s="363" t="str">
        <f t="shared" si="328"/>
        <v>26</v>
      </c>
      <c r="C2657" s="405" t="str">
        <f t="shared" si="329"/>
        <v>第038640号</v>
      </c>
      <c r="D2657" s="405" t="str">
        <f t="shared" si="330"/>
        <v>（株）ファイン</v>
      </c>
      <c r="E2657" s="405" t="str">
        <f t="shared" si="331"/>
        <v>代表取締役</v>
      </c>
      <c r="F2657" s="405" t="str">
        <f t="shared" si="332"/>
        <v>藤原　和也</v>
      </c>
      <c r="G2657" s="405" t="str">
        <f t="shared" si="333"/>
        <v>主たる営業所</v>
      </c>
      <c r="H2657" s="405" t="str">
        <f t="shared" si="334"/>
        <v>宇治市大久保町旦椋９４－１</v>
      </c>
      <c r="L2657" s="403" t="s">
        <v>13596</v>
      </c>
      <c r="M2657" s="403" t="s">
        <v>13597</v>
      </c>
      <c r="N2657" s="403" t="s">
        <v>6292</v>
      </c>
      <c r="O2657" s="403" t="s">
        <v>7084</v>
      </c>
      <c r="P2657" s="403" t="s">
        <v>4850</v>
      </c>
      <c r="Q2657" s="403" t="s">
        <v>13598</v>
      </c>
      <c r="R2657" s="403" t="s">
        <v>22863</v>
      </c>
      <c r="S2657" s="403" t="s">
        <v>18288</v>
      </c>
      <c r="T2657" s="403" t="s">
        <v>18289</v>
      </c>
      <c r="U2657" s="403"/>
      <c r="V2657" s="403" t="s">
        <v>23024</v>
      </c>
      <c r="W2657" s="403" t="s">
        <v>23024</v>
      </c>
      <c r="X2657" s="403" t="s">
        <v>23024</v>
      </c>
      <c r="Y2657" s="403" t="s">
        <v>23024</v>
      </c>
    </row>
    <row r="2658" spans="1:25">
      <c r="A2658" s="363">
        <f t="shared" si="335"/>
        <v>2657</v>
      </c>
      <c r="B2658" s="363" t="str">
        <f t="shared" si="328"/>
        <v>27</v>
      </c>
      <c r="C2658" s="405" t="str">
        <f t="shared" si="329"/>
        <v>第002241号</v>
      </c>
      <c r="D2658" s="405" t="str">
        <f t="shared" si="330"/>
        <v>山村築炉工業（株）</v>
      </c>
      <c r="E2658" s="405" t="str">
        <f t="shared" si="331"/>
        <v>代表取締役</v>
      </c>
      <c r="F2658" s="405" t="str">
        <f t="shared" si="332"/>
        <v>山村　直之</v>
      </c>
      <c r="G2658" s="405" t="str">
        <f t="shared" si="333"/>
        <v>主たる営業所</v>
      </c>
      <c r="H2658" s="405" t="str">
        <f t="shared" si="334"/>
        <v>大阪市浪速区塩草３－５－５</v>
      </c>
      <c r="L2658" s="403" t="s">
        <v>22864</v>
      </c>
      <c r="M2658" s="403" t="s">
        <v>22865</v>
      </c>
      <c r="N2658" s="403" t="s">
        <v>22866</v>
      </c>
      <c r="O2658" s="403" t="s">
        <v>7084</v>
      </c>
      <c r="P2658" s="403" t="s">
        <v>22867</v>
      </c>
      <c r="Q2658" s="403" t="s">
        <v>22868</v>
      </c>
      <c r="R2658" s="403" t="s">
        <v>22869</v>
      </c>
      <c r="S2658" s="403" t="s">
        <v>22870</v>
      </c>
      <c r="T2658" s="403" t="s">
        <v>22871</v>
      </c>
      <c r="U2658" s="403"/>
      <c r="V2658" s="403" t="s">
        <v>23024</v>
      </c>
      <c r="W2658" s="403" t="s">
        <v>23024</v>
      </c>
      <c r="X2658" s="403" t="s">
        <v>23024</v>
      </c>
      <c r="Y2658" s="403" t="s">
        <v>23024</v>
      </c>
    </row>
    <row r="2659" spans="1:25">
      <c r="A2659" s="363">
        <f t="shared" si="335"/>
        <v>2658</v>
      </c>
      <c r="B2659" s="363" t="str">
        <f t="shared" si="328"/>
        <v>27</v>
      </c>
      <c r="C2659" s="405" t="str">
        <f t="shared" si="329"/>
        <v>第010664号</v>
      </c>
      <c r="D2659" s="405" t="str">
        <f t="shared" si="330"/>
        <v>（株）栗田機械製作所</v>
      </c>
      <c r="E2659" s="405" t="str">
        <f t="shared" si="331"/>
        <v>代表取締役</v>
      </c>
      <c r="F2659" s="405" t="str">
        <f t="shared" si="332"/>
        <v>栗田　佳直</v>
      </c>
      <c r="G2659" s="405" t="str">
        <f t="shared" si="333"/>
        <v>主たる営業所</v>
      </c>
      <c r="H2659" s="405" t="str">
        <f t="shared" si="334"/>
        <v>大阪市西区境川２－１－４４</v>
      </c>
      <c r="L2659" s="403" t="s">
        <v>13599</v>
      </c>
      <c r="M2659" s="403" t="s">
        <v>13600</v>
      </c>
      <c r="N2659" s="403" t="s">
        <v>6293</v>
      </c>
      <c r="O2659" s="403" t="s">
        <v>7084</v>
      </c>
      <c r="P2659" s="403" t="s">
        <v>6912</v>
      </c>
      <c r="Q2659" s="403" t="s">
        <v>13601</v>
      </c>
      <c r="R2659" s="403" t="s">
        <v>22872</v>
      </c>
      <c r="S2659" s="403" t="s">
        <v>18290</v>
      </c>
      <c r="T2659" s="403" t="s">
        <v>18291</v>
      </c>
      <c r="U2659" s="403"/>
      <c r="V2659" s="403" t="s">
        <v>23024</v>
      </c>
      <c r="W2659" s="403" t="s">
        <v>23024</v>
      </c>
      <c r="X2659" s="403" t="s">
        <v>23024</v>
      </c>
      <c r="Y2659" s="403" t="s">
        <v>23024</v>
      </c>
    </row>
    <row r="2660" spans="1:25">
      <c r="A2660" s="363">
        <f t="shared" si="335"/>
        <v>2659</v>
      </c>
      <c r="B2660" s="363" t="str">
        <f t="shared" si="328"/>
        <v>27</v>
      </c>
      <c r="C2660" s="405" t="str">
        <f t="shared" si="329"/>
        <v>第047417号</v>
      </c>
      <c r="D2660" s="405" t="str">
        <f t="shared" si="330"/>
        <v>ジッポウ工業（株）</v>
      </c>
      <c r="E2660" s="405" t="str">
        <f t="shared" si="331"/>
        <v>代表取締役</v>
      </c>
      <c r="F2660" s="405" t="str">
        <f t="shared" si="332"/>
        <v>藤森　穂高</v>
      </c>
      <c r="G2660" s="405" t="str">
        <f t="shared" si="333"/>
        <v>主たる営業所</v>
      </c>
      <c r="H2660" s="405" t="str">
        <f t="shared" si="334"/>
        <v>大阪市中央区石町１－１－１　天満橋千代田ビル２号館７階</v>
      </c>
      <c r="L2660" s="403" t="s">
        <v>13602</v>
      </c>
      <c r="M2660" s="403" t="s">
        <v>13603</v>
      </c>
      <c r="N2660" s="403" t="s">
        <v>6294</v>
      </c>
      <c r="O2660" s="403" t="s">
        <v>7084</v>
      </c>
      <c r="P2660" s="403" t="s">
        <v>6913</v>
      </c>
      <c r="Q2660" s="403" t="s">
        <v>13604</v>
      </c>
      <c r="R2660" s="403" t="s">
        <v>22873</v>
      </c>
      <c r="S2660" s="403" t="s">
        <v>18292</v>
      </c>
      <c r="T2660" s="403" t="s">
        <v>18293</v>
      </c>
      <c r="U2660" s="403"/>
      <c r="V2660" s="403" t="s">
        <v>23024</v>
      </c>
      <c r="W2660" s="403" t="s">
        <v>23024</v>
      </c>
      <c r="X2660" s="403" t="s">
        <v>23024</v>
      </c>
      <c r="Y2660" s="403" t="s">
        <v>23024</v>
      </c>
    </row>
    <row r="2661" spans="1:25">
      <c r="A2661" s="363">
        <f t="shared" si="335"/>
        <v>2660</v>
      </c>
      <c r="B2661" s="363" t="str">
        <f t="shared" si="328"/>
        <v>27</v>
      </c>
      <c r="C2661" s="405" t="str">
        <f t="shared" si="329"/>
        <v>第083031号</v>
      </c>
      <c r="D2661" s="405" t="str">
        <f t="shared" si="330"/>
        <v>（株）ニューテック</v>
      </c>
      <c r="E2661" s="405" t="str">
        <f t="shared" si="331"/>
        <v>代表取締役</v>
      </c>
      <c r="F2661" s="405" t="str">
        <f t="shared" si="332"/>
        <v>大西　誠司</v>
      </c>
      <c r="G2661" s="405" t="str">
        <f t="shared" si="333"/>
        <v>主たる営業所</v>
      </c>
      <c r="H2661" s="405" t="str">
        <f t="shared" si="334"/>
        <v>大阪市北区天神橋７－１２－１４　グレーシィ天神橋</v>
      </c>
      <c r="L2661" s="403" t="s">
        <v>13605</v>
      </c>
      <c r="M2661" s="403" t="s">
        <v>13606</v>
      </c>
      <c r="N2661" s="403" t="s">
        <v>6295</v>
      </c>
      <c r="O2661" s="403" t="s">
        <v>7084</v>
      </c>
      <c r="P2661" s="403" t="s">
        <v>6914</v>
      </c>
      <c r="Q2661" s="403" t="s">
        <v>13607</v>
      </c>
      <c r="R2661" s="403" t="s">
        <v>22874</v>
      </c>
      <c r="S2661" s="403" t="s">
        <v>18294</v>
      </c>
      <c r="T2661" s="403" t="s">
        <v>18295</v>
      </c>
      <c r="U2661" s="403"/>
      <c r="V2661" s="403" t="s">
        <v>23024</v>
      </c>
      <c r="W2661" s="403" t="s">
        <v>23024</v>
      </c>
      <c r="X2661" s="403" t="s">
        <v>23024</v>
      </c>
      <c r="Y2661" s="403" t="s">
        <v>23024</v>
      </c>
    </row>
    <row r="2662" spans="1:25">
      <c r="A2662" s="363">
        <f t="shared" si="335"/>
        <v>2661</v>
      </c>
      <c r="B2662" s="363" t="str">
        <f t="shared" si="328"/>
        <v>27</v>
      </c>
      <c r="C2662" s="405" t="str">
        <f t="shared" si="329"/>
        <v>第129538号</v>
      </c>
      <c r="D2662" s="405" t="str">
        <f t="shared" si="330"/>
        <v>ＮＤネットサービス（有）</v>
      </c>
      <c r="E2662" s="405" t="str">
        <f t="shared" si="331"/>
        <v>代表取締役</v>
      </c>
      <c r="F2662" s="405" t="str">
        <f t="shared" si="332"/>
        <v>鈴木　宏隆</v>
      </c>
      <c r="G2662" s="405" t="str">
        <f t="shared" si="333"/>
        <v>主たる営業所</v>
      </c>
      <c r="H2662" s="405" t="str">
        <f t="shared" si="334"/>
        <v>堺市堺区神南辺町２－９０－５</v>
      </c>
      <c r="L2662" s="403" t="s">
        <v>13608</v>
      </c>
      <c r="M2662" s="403" t="s">
        <v>13609</v>
      </c>
      <c r="N2662" s="403" t="s">
        <v>6296</v>
      </c>
      <c r="O2662" s="403" t="s">
        <v>7084</v>
      </c>
      <c r="P2662" s="403" t="s">
        <v>6915</v>
      </c>
      <c r="Q2662" s="403" t="s">
        <v>13610</v>
      </c>
      <c r="R2662" s="403" t="s">
        <v>22875</v>
      </c>
      <c r="S2662" s="403" t="s">
        <v>18296</v>
      </c>
      <c r="T2662" s="403" t="s">
        <v>18297</v>
      </c>
      <c r="U2662" s="403"/>
      <c r="V2662" s="403" t="s">
        <v>23024</v>
      </c>
      <c r="W2662" s="403" t="s">
        <v>23024</v>
      </c>
      <c r="X2662" s="403" t="s">
        <v>23024</v>
      </c>
      <c r="Y2662" s="403" t="s">
        <v>23024</v>
      </c>
    </row>
    <row r="2663" spans="1:25">
      <c r="A2663" s="363">
        <f t="shared" si="335"/>
        <v>2662</v>
      </c>
      <c r="B2663" s="363" t="str">
        <f t="shared" si="328"/>
        <v>27</v>
      </c>
      <c r="C2663" s="405" t="str">
        <f t="shared" si="329"/>
        <v>第148643号</v>
      </c>
      <c r="D2663" s="405" t="str">
        <f t="shared" si="330"/>
        <v>三広工業（株）</v>
      </c>
      <c r="E2663" s="405" t="str">
        <f t="shared" si="331"/>
        <v>代表取締役</v>
      </c>
      <c r="F2663" s="405" t="str">
        <f t="shared" si="332"/>
        <v>庄井　弘樹</v>
      </c>
      <c r="G2663" s="405" t="str">
        <f t="shared" si="333"/>
        <v>主たる営業所</v>
      </c>
      <c r="H2663" s="405" t="str">
        <f t="shared" si="334"/>
        <v>八尾市太田新町６－２６</v>
      </c>
      <c r="L2663" s="403" t="s">
        <v>13611</v>
      </c>
      <c r="M2663" s="403" t="s">
        <v>12848</v>
      </c>
      <c r="N2663" s="403" t="s">
        <v>6297</v>
      </c>
      <c r="O2663" s="403" t="s">
        <v>7084</v>
      </c>
      <c r="P2663" s="403" t="s">
        <v>6916</v>
      </c>
      <c r="Q2663" s="403" t="s">
        <v>13612</v>
      </c>
      <c r="R2663" s="403" t="s">
        <v>22876</v>
      </c>
      <c r="S2663" s="403" t="s">
        <v>18298</v>
      </c>
      <c r="T2663" s="403" t="s">
        <v>18299</v>
      </c>
      <c r="U2663" s="403"/>
      <c r="V2663" s="403" t="s">
        <v>23024</v>
      </c>
      <c r="W2663" s="403" t="s">
        <v>23024</v>
      </c>
      <c r="X2663" s="403" t="s">
        <v>23024</v>
      </c>
      <c r="Y2663" s="403" t="s">
        <v>23024</v>
      </c>
    </row>
    <row r="2664" spans="1:25">
      <c r="A2664" s="363">
        <f t="shared" si="335"/>
        <v>2663</v>
      </c>
      <c r="B2664" s="363" t="str">
        <f t="shared" si="328"/>
        <v>28</v>
      </c>
      <c r="C2664" s="405" t="str">
        <f t="shared" si="329"/>
        <v>第352154号</v>
      </c>
      <c r="D2664" s="405" t="str">
        <f t="shared" si="330"/>
        <v>近畿工業（株）</v>
      </c>
      <c r="E2664" s="405" t="str">
        <f t="shared" si="331"/>
        <v>代表取締役社長</v>
      </c>
      <c r="F2664" s="405" t="str">
        <f t="shared" si="332"/>
        <v>和田　知樹</v>
      </c>
      <c r="G2664" s="405" t="str">
        <f t="shared" si="333"/>
        <v>主たる営業所</v>
      </c>
      <c r="H2664" s="405" t="str">
        <f t="shared" si="334"/>
        <v>三木市別所町巴２０</v>
      </c>
      <c r="L2664" s="403" t="s">
        <v>13613</v>
      </c>
      <c r="M2664" s="403" t="s">
        <v>13115</v>
      </c>
      <c r="N2664" s="403" t="s">
        <v>6120</v>
      </c>
      <c r="O2664" s="403" t="s">
        <v>7083</v>
      </c>
      <c r="P2664" s="403" t="s">
        <v>6917</v>
      </c>
      <c r="Q2664" s="403" t="s">
        <v>13614</v>
      </c>
      <c r="R2664" s="403" t="s">
        <v>22877</v>
      </c>
      <c r="S2664" s="403" t="s">
        <v>18300</v>
      </c>
      <c r="T2664" s="403" t="s">
        <v>18301</v>
      </c>
      <c r="U2664" s="403"/>
      <c r="V2664" s="403" t="s">
        <v>23024</v>
      </c>
      <c r="W2664" s="403" t="s">
        <v>23024</v>
      </c>
      <c r="X2664" s="403" t="s">
        <v>23024</v>
      </c>
      <c r="Y2664" s="403" t="s">
        <v>23024</v>
      </c>
    </row>
    <row r="2665" spans="1:25">
      <c r="A2665" s="363">
        <f t="shared" si="335"/>
        <v>2664</v>
      </c>
      <c r="B2665" s="363" t="str">
        <f t="shared" si="328"/>
        <v>28</v>
      </c>
      <c r="C2665" s="405" t="str">
        <f t="shared" si="329"/>
        <v>第460342号</v>
      </c>
      <c r="D2665" s="405" t="str">
        <f t="shared" si="330"/>
        <v>虹技（株）</v>
      </c>
      <c r="E2665" s="405" t="str">
        <f t="shared" si="331"/>
        <v>代表取締役</v>
      </c>
      <c r="F2665" s="405" t="str">
        <f t="shared" si="332"/>
        <v>山本　幹雄</v>
      </c>
      <c r="G2665" s="405" t="str">
        <f t="shared" si="333"/>
        <v>主たる営業所</v>
      </c>
      <c r="H2665" s="405" t="str">
        <f t="shared" si="334"/>
        <v>姫路市大津区勘兵衛町４－１</v>
      </c>
      <c r="L2665" s="403" t="s">
        <v>13615</v>
      </c>
      <c r="M2665" s="403" t="s">
        <v>13616</v>
      </c>
      <c r="N2665" s="403" t="s">
        <v>6298</v>
      </c>
      <c r="O2665" s="403" t="s">
        <v>7084</v>
      </c>
      <c r="P2665" s="403" t="s">
        <v>6918</v>
      </c>
      <c r="Q2665" s="403" t="s">
        <v>13617</v>
      </c>
      <c r="R2665" s="403" t="s">
        <v>22878</v>
      </c>
      <c r="S2665" s="403" t="s">
        <v>18302</v>
      </c>
      <c r="T2665" s="403" t="s">
        <v>18303</v>
      </c>
      <c r="U2665" s="403"/>
      <c r="V2665" s="403" t="s">
        <v>23024</v>
      </c>
      <c r="W2665" s="403" t="s">
        <v>23024</v>
      </c>
      <c r="X2665" s="403" t="s">
        <v>23024</v>
      </c>
      <c r="Y2665" s="403" t="s">
        <v>23024</v>
      </c>
    </row>
    <row r="2666" spans="1:25">
      <c r="A2666" s="363">
        <f t="shared" si="335"/>
        <v>2665</v>
      </c>
      <c r="B2666" s="363" t="str">
        <f t="shared" si="328"/>
        <v>29</v>
      </c>
      <c r="C2666" s="405" t="str">
        <f t="shared" si="329"/>
        <v>第006971号</v>
      </c>
      <c r="D2666" s="405" t="str">
        <f t="shared" si="330"/>
        <v>（株）島井組プラント</v>
      </c>
      <c r="E2666" s="405" t="str">
        <f t="shared" si="331"/>
        <v>代表取締役</v>
      </c>
      <c r="F2666" s="405" t="str">
        <f t="shared" si="332"/>
        <v>小松　玲子</v>
      </c>
      <c r="G2666" s="405" t="str">
        <f t="shared" si="333"/>
        <v>主たる営業所</v>
      </c>
      <c r="H2666" s="405" t="str">
        <f t="shared" si="334"/>
        <v>奈良市宝来４－１７－１０</v>
      </c>
      <c r="L2666" s="403" t="s">
        <v>13618</v>
      </c>
      <c r="M2666" s="403" t="s">
        <v>13619</v>
      </c>
      <c r="N2666" s="403" t="s">
        <v>6299</v>
      </c>
      <c r="O2666" s="403" t="s">
        <v>7084</v>
      </c>
      <c r="P2666" s="403" t="s">
        <v>6919</v>
      </c>
      <c r="Q2666" s="403" t="s">
        <v>13620</v>
      </c>
      <c r="R2666" s="403" t="s">
        <v>22879</v>
      </c>
      <c r="S2666" s="403" t="s">
        <v>18304</v>
      </c>
      <c r="T2666" s="403" t="s">
        <v>18305</v>
      </c>
      <c r="U2666" s="403"/>
      <c r="V2666" s="403" t="s">
        <v>23024</v>
      </c>
      <c r="W2666" s="403" t="s">
        <v>23024</v>
      </c>
      <c r="X2666" s="403" t="s">
        <v>23024</v>
      </c>
      <c r="Y2666" s="403" t="s">
        <v>23024</v>
      </c>
    </row>
    <row r="2667" spans="1:25">
      <c r="A2667" s="363">
        <f t="shared" si="335"/>
        <v>2666</v>
      </c>
      <c r="B2667" s="363" t="str">
        <f t="shared" si="328"/>
        <v>33</v>
      </c>
      <c r="C2667" s="405" t="str">
        <f t="shared" si="329"/>
        <v>第003683号</v>
      </c>
      <c r="D2667" s="405" t="str">
        <f t="shared" si="330"/>
        <v>内海プラント（株）</v>
      </c>
      <c r="E2667" s="405" t="str">
        <f t="shared" si="331"/>
        <v>代表取締役</v>
      </c>
      <c r="F2667" s="405" t="str">
        <f t="shared" si="332"/>
        <v>安東　佳子</v>
      </c>
      <c r="G2667" s="405" t="str">
        <f t="shared" si="333"/>
        <v>主たる営業所</v>
      </c>
      <c r="H2667" s="405" t="str">
        <f t="shared" si="334"/>
        <v>岡山市東区楢原５１０</v>
      </c>
      <c r="L2667" s="403" t="s">
        <v>13621</v>
      </c>
      <c r="M2667" s="403" t="s">
        <v>13622</v>
      </c>
      <c r="N2667" s="403" t="s">
        <v>6300</v>
      </c>
      <c r="O2667" s="403" t="s">
        <v>7084</v>
      </c>
      <c r="P2667" s="403" t="s">
        <v>6920</v>
      </c>
      <c r="Q2667" s="403" t="s">
        <v>13623</v>
      </c>
      <c r="R2667" s="403" t="s">
        <v>22880</v>
      </c>
      <c r="S2667" s="403" t="s">
        <v>18306</v>
      </c>
      <c r="T2667" s="403" t="s">
        <v>18307</v>
      </c>
      <c r="U2667" s="403"/>
      <c r="V2667" s="403" t="s">
        <v>23024</v>
      </c>
      <c r="W2667" s="403" t="s">
        <v>23024</v>
      </c>
      <c r="X2667" s="403" t="s">
        <v>23024</v>
      </c>
      <c r="Y2667" s="403" t="s">
        <v>23024</v>
      </c>
    </row>
    <row r="2668" spans="1:25">
      <c r="A2668" s="363">
        <f t="shared" si="335"/>
        <v>2667</v>
      </c>
      <c r="B2668" s="363" t="str">
        <f t="shared" si="328"/>
        <v>34</v>
      </c>
      <c r="C2668" s="405" t="str">
        <f t="shared" si="329"/>
        <v>第013819号</v>
      </c>
      <c r="D2668" s="405" t="str">
        <f t="shared" si="330"/>
        <v>（株）東洋機工エンジニアリング</v>
      </c>
      <c r="E2668" s="405" t="str">
        <f t="shared" si="331"/>
        <v>代表取締役</v>
      </c>
      <c r="F2668" s="405" t="str">
        <f t="shared" si="332"/>
        <v>山本　鐡郎</v>
      </c>
      <c r="G2668" s="405" t="str">
        <f t="shared" si="333"/>
        <v>主たる営業所</v>
      </c>
      <c r="H2668" s="405" t="str">
        <f t="shared" si="334"/>
        <v>東広島市黒瀬楢原東１－１１－１２</v>
      </c>
      <c r="L2668" s="403" t="s">
        <v>13624</v>
      </c>
      <c r="M2668" s="403" t="s">
        <v>13625</v>
      </c>
      <c r="N2668" s="403" t="s">
        <v>6301</v>
      </c>
      <c r="O2668" s="403" t="s">
        <v>7084</v>
      </c>
      <c r="P2668" s="403" t="s">
        <v>6921</v>
      </c>
      <c r="Q2668" s="403" t="s">
        <v>13626</v>
      </c>
      <c r="R2668" s="403" t="s">
        <v>22881</v>
      </c>
      <c r="S2668" s="403" t="s">
        <v>18308</v>
      </c>
      <c r="T2668" s="403" t="s">
        <v>18309</v>
      </c>
      <c r="U2668" s="403"/>
      <c r="V2668" s="403" t="s">
        <v>23024</v>
      </c>
      <c r="W2668" s="403" t="s">
        <v>23024</v>
      </c>
      <c r="X2668" s="403" t="s">
        <v>23024</v>
      </c>
      <c r="Y2668" s="403" t="s">
        <v>23024</v>
      </c>
    </row>
    <row r="2669" spans="1:25">
      <c r="A2669" s="363">
        <f t="shared" si="335"/>
        <v>2668</v>
      </c>
      <c r="B2669" s="363" t="str">
        <f t="shared" si="328"/>
        <v>34</v>
      </c>
      <c r="C2669" s="405" t="str">
        <f t="shared" si="329"/>
        <v>第020055号</v>
      </c>
      <c r="D2669" s="405" t="str">
        <f t="shared" si="330"/>
        <v>（株）御池鐵工所</v>
      </c>
      <c r="E2669" s="405" t="str">
        <f t="shared" si="331"/>
        <v>代表取締役</v>
      </c>
      <c r="F2669" s="405" t="str">
        <f t="shared" si="332"/>
        <v>小林　秀匡</v>
      </c>
      <c r="G2669" s="405" t="str">
        <f t="shared" si="333"/>
        <v>主たる営業所</v>
      </c>
      <c r="H2669" s="405" t="str">
        <f t="shared" si="334"/>
        <v>福山市神辺町大字川南字三ノ丁３９６－２</v>
      </c>
      <c r="L2669" s="403" t="s">
        <v>13627</v>
      </c>
      <c r="M2669" s="403" t="s">
        <v>13628</v>
      </c>
      <c r="N2669" s="403" t="s">
        <v>6302</v>
      </c>
      <c r="O2669" s="403" t="s">
        <v>7084</v>
      </c>
      <c r="P2669" s="403" t="s">
        <v>6922</v>
      </c>
      <c r="Q2669" s="403" t="s">
        <v>13629</v>
      </c>
      <c r="R2669" s="403" t="s">
        <v>22882</v>
      </c>
      <c r="S2669" s="403" t="s">
        <v>18310</v>
      </c>
      <c r="T2669" s="403" t="s">
        <v>18311</v>
      </c>
      <c r="U2669" s="403"/>
      <c r="V2669" s="403" t="s">
        <v>23024</v>
      </c>
      <c r="W2669" s="403" t="s">
        <v>23024</v>
      </c>
      <c r="X2669" s="403" t="s">
        <v>23024</v>
      </c>
      <c r="Y2669" s="403" t="s">
        <v>23024</v>
      </c>
    </row>
    <row r="2670" spans="1:25">
      <c r="A2670" s="363">
        <f t="shared" si="335"/>
        <v>2669</v>
      </c>
      <c r="B2670" s="363" t="str">
        <f t="shared" si="328"/>
        <v>34</v>
      </c>
      <c r="C2670" s="405" t="str">
        <f t="shared" si="329"/>
        <v>第030985号</v>
      </c>
      <c r="D2670" s="405" t="str">
        <f t="shared" si="330"/>
        <v>（株）理舎</v>
      </c>
      <c r="E2670" s="405" t="str">
        <f t="shared" si="331"/>
        <v>代表取締役</v>
      </c>
      <c r="F2670" s="405" t="str">
        <f t="shared" si="332"/>
        <v>岡田　政也</v>
      </c>
      <c r="G2670" s="405" t="str">
        <f t="shared" si="333"/>
        <v>主たる営業所</v>
      </c>
      <c r="H2670" s="405" t="str">
        <f t="shared" si="334"/>
        <v>広島市中区舟入中町２－１４</v>
      </c>
      <c r="L2670" s="403" t="s">
        <v>13630</v>
      </c>
      <c r="M2670" s="403" t="s">
        <v>13631</v>
      </c>
      <c r="N2670" s="403" t="s">
        <v>6303</v>
      </c>
      <c r="O2670" s="403" t="s">
        <v>7084</v>
      </c>
      <c r="P2670" s="403" t="s">
        <v>6923</v>
      </c>
      <c r="Q2670" s="403" t="s">
        <v>13632</v>
      </c>
      <c r="R2670" s="403" t="s">
        <v>22883</v>
      </c>
      <c r="S2670" s="403" t="s">
        <v>18312</v>
      </c>
      <c r="T2670" s="403" t="s">
        <v>18313</v>
      </c>
      <c r="U2670" s="403"/>
      <c r="V2670" s="403" t="s">
        <v>23024</v>
      </c>
      <c r="W2670" s="403" t="s">
        <v>23024</v>
      </c>
      <c r="X2670" s="403" t="s">
        <v>23024</v>
      </c>
      <c r="Y2670" s="403" t="s">
        <v>23024</v>
      </c>
    </row>
    <row r="2671" spans="1:25">
      <c r="A2671" s="363">
        <f t="shared" si="335"/>
        <v>2670</v>
      </c>
      <c r="B2671" s="363" t="str">
        <f t="shared" si="328"/>
        <v>34</v>
      </c>
      <c r="C2671" s="405" t="str">
        <f t="shared" si="329"/>
        <v>第039129号</v>
      </c>
      <c r="D2671" s="405" t="str">
        <f t="shared" si="330"/>
        <v>イームル工業（株）</v>
      </c>
      <c r="E2671" s="405" t="str">
        <f t="shared" si="331"/>
        <v>代表取締役</v>
      </c>
      <c r="F2671" s="405" t="str">
        <f t="shared" si="332"/>
        <v>増子　利健</v>
      </c>
      <c r="G2671" s="405" t="str">
        <f t="shared" si="333"/>
        <v>主たる営業所</v>
      </c>
      <c r="H2671" s="405" t="str">
        <f t="shared" si="334"/>
        <v>東広島市八本松町原１０８５２－１</v>
      </c>
      <c r="L2671" s="403" t="s">
        <v>13633</v>
      </c>
      <c r="M2671" s="403" t="s">
        <v>13634</v>
      </c>
      <c r="N2671" s="403" t="s">
        <v>6304</v>
      </c>
      <c r="O2671" s="403" t="s">
        <v>7084</v>
      </c>
      <c r="P2671" s="403" t="s">
        <v>22884</v>
      </c>
      <c r="Q2671" s="403" t="s">
        <v>13635</v>
      </c>
      <c r="R2671" s="403" t="s">
        <v>22885</v>
      </c>
      <c r="S2671" s="403" t="s">
        <v>18314</v>
      </c>
      <c r="T2671" s="403" t="s">
        <v>18315</v>
      </c>
      <c r="U2671" s="403"/>
      <c r="V2671" s="403" t="s">
        <v>23024</v>
      </c>
      <c r="W2671" s="403" t="s">
        <v>23024</v>
      </c>
      <c r="X2671" s="403" t="s">
        <v>23024</v>
      </c>
      <c r="Y2671" s="403" t="s">
        <v>23024</v>
      </c>
    </row>
    <row r="2672" spans="1:25">
      <c r="A2672" s="363">
        <f t="shared" si="335"/>
        <v>2671</v>
      </c>
      <c r="B2672" s="363" t="str">
        <f t="shared" si="328"/>
        <v>37</v>
      </c>
      <c r="C2672" s="405" t="str">
        <f t="shared" si="329"/>
        <v>第002979号</v>
      </c>
      <c r="D2672" s="405" t="str">
        <f t="shared" si="330"/>
        <v>鎌長製衡（株）</v>
      </c>
      <c r="E2672" s="405" t="str">
        <f t="shared" si="331"/>
        <v>代表取締役</v>
      </c>
      <c r="F2672" s="405" t="str">
        <f t="shared" si="332"/>
        <v>鎌田　長明</v>
      </c>
      <c r="G2672" s="405" t="str">
        <f t="shared" si="333"/>
        <v>主たる営業所</v>
      </c>
      <c r="H2672" s="405" t="str">
        <f t="shared" si="334"/>
        <v>高松市牟礼町牟礼２２４６</v>
      </c>
      <c r="L2672" s="403" t="s">
        <v>13636</v>
      </c>
      <c r="M2672" s="403" t="s">
        <v>13637</v>
      </c>
      <c r="N2672" s="403" t="s">
        <v>6305</v>
      </c>
      <c r="O2672" s="403" t="s">
        <v>7084</v>
      </c>
      <c r="P2672" s="403" t="s">
        <v>6924</v>
      </c>
      <c r="Q2672" s="403" t="s">
        <v>13638</v>
      </c>
      <c r="R2672" s="403" t="s">
        <v>22886</v>
      </c>
      <c r="S2672" s="403" t="s">
        <v>18316</v>
      </c>
      <c r="T2672" s="403" t="s">
        <v>18317</v>
      </c>
      <c r="U2672" s="403"/>
      <c r="V2672" s="403" t="s">
        <v>23024</v>
      </c>
      <c r="W2672" s="403" t="s">
        <v>23024</v>
      </c>
      <c r="X2672" s="403" t="s">
        <v>23024</v>
      </c>
      <c r="Y2672" s="403" t="s">
        <v>23024</v>
      </c>
    </row>
    <row r="2673" spans="1:25">
      <c r="A2673" s="363">
        <f t="shared" si="335"/>
        <v>2672</v>
      </c>
      <c r="B2673" s="363" t="str">
        <f t="shared" si="328"/>
        <v>37</v>
      </c>
      <c r="C2673" s="405" t="str">
        <f t="shared" si="329"/>
        <v>第003563号</v>
      </c>
      <c r="D2673" s="405" t="str">
        <f t="shared" si="330"/>
        <v>シマ（株）</v>
      </c>
      <c r="E2673" s="405" t="str">
        <f t="shared" si="331"/>
        <v>代表取締役社長</v>
      </c>
      <c r="F2673" s="405" t="str">
        <f t="shared" si="332"/>
        <v>島　直幹</v>
      </c>
      <c r="G2673" s="405" t="str">
        <f t="shared" si="333"/>
        <v>主たる営業所</v>
      </c>
      <c r="H2673" s="405" t="str">
        <f t="shared" si="334"/>
        <v>観音寺市中田井町１</v>
      </c>
      <c r="L2673" s="403" t="s">
        <v>13639</v>
      </c>
      <c r="M2673" s="403" t="s">
        <v>13640</v>
      </c>
      <c r="N2673" s="403" t="s">
        <v>6306</v>
      </c>
      <c r="O2673" s="403" t="s">
        <v>7083</v>
      </c>
      <c r="P2673" s="403" t="s">
        <v>6925</v>
      </c>
      <c r="Q2673" s="403" t="s">
        <v>13641</v>
      </c>
      <c r="R2673" s="403" t="s">
        <v>22887</v>
      </c>
      <c r="S2673" s="403" t="s">
        <v>18318</v>
      </c>
      <c r="T2673" s="403" t="s">
        <v>18319</v>
      </c>
      <c r="U2673" s="403"/>
      <c r="V2673" s="403" t="s">
        <v>23024</v>
      </c>
      <c r="W2673" s="403" t="s">
        <v>23024</v>
      </c>
      <c r="X2673" s="403" t="s">
        <v>23024</v>
      </c>
      <c r="Y2673" s="403" t="s">
        <v>23024</v>
      </c>
    </row>
    <row r="2674" spans="1:25">
      <c r="A2674" s="363">
        <f t="shared" si="335"/>
        <v>2673</v>
      </c>
      <c r="B2674" s="363" t="str">
        <f t="shared" si="328"/>
        <v>38</v>
      </c>
      <c r="C2674" s="405" t="str">
        <f t="shared" si="329"/>
        <v>第016487号</v>
      </c>
      <c r="D2674" s="405" t="str">
        <f t="shared" si="330"/>
        <v>（株）ベネアス</v>
      </c>
      <c r="E2674" s="405" t="str">
        <f t="shared" si="331"/>
        <v>代表取締役</v>
      </c>
      <c r="F2674" s="405" t="str">
        <f t="shared" si="332"/>
        <v>南條　忠彦</v>
      </c>
      <c r="G2674" s="405" t="str">
        <f t="shared" si="333"/>
        <v>主たる営業所</v>
      </c>
      <c r="H2674" s="405" t="str">
        <f t="shared" si="334"/>
        <v>松山市三津３－２－３７</v>
      </c>
      <c r="L2674" s="403" t="s">
        <v>13642</v>
      </c>
      <c r="M2674" s="403" t="s">
        <v>13643</v>
      </c>
      <c r="N2674" s="403" t="s">
        <v>6307</v>
      </c>
      <c r="O2674" s="403" t="s">
        <v>7084</v>
      </c>
      <c r="P2674" s="403" t="s">
        <v>6926</v>
      </c>
      <c r="Q2674" s="403" t="s">
        <v>13644</v>
      </c>
      <c r="R2674" s="403" t="s">
        <v>22888</v>
      </c>
      <c r="S2674" s="403" t="s">
        <v>18320</v>
      </c>
      <c r="T2674" s="403" t="s">
        <v>18321</v>
      </c>
      <c r="U2674" s="403"/>
      <c r="V2674" s="403" t="s">
        <v>23024</v>
      </c>
      <c r="W2674" s="403" t="s">
        <v>23024</v>
      </c>
      <c r="X2674" s="403" t="s">
        <v>23024</v>
      </c>
      <c r="Y2674" s="403" t="s">
        <v>23024</v>
      </c>
    </row>
    <row r="2675" spans="1:25">
      <c r="A2675" s="363">
        <f t="shared" si="335"/>
        <v>2674</v>
      </c>
      <c r="B2675" s="363" t="str">
        <f t="shared" si="328"/>
        <v>38</v>
      </c>
      <c r="C2675" s="405" t="str">
        <f t="shared" si="329"/>
        <v>第018382号</v>
      </c>
      <c r="D2675" s="405" t="str">
        <f t="shared" si="330"/>
        <v>（株）ＥＥＳ</v>
      </c>
      <c r="E2675" s="405" t="str">
        <f t="shared" si="331"/>
        <v>代表取締役</v>
      </c>
      <c r="F2675" s="405" t="str">
        <f t="shared" si="332"/>
        <v>重松　潤子</v>
      </c>
      <c r="G2675" s="405" t="str">
        <f t="shared" si="333"/>
        <v>主たる営業所</v>
      </c>
      <c r="H2675" s="405" t="str">
        <f t="shared" si="334"/>
        <v>松山市土居田町２６５－１１</v>
      </c>
      <c r="L2675" s="403" t="s">
        <v>13645</v>
      </c>
      <c r="M2675" s="403" t="s">
        <v>13646</v>
      </c>
      <c r="N2675" s="403" t="s">
        <v>6308</v>
      </c>
      <c r="O2675" s="403" t="s">
        <v>7084</v>
      </c>
      <c r="P2675" s="403" t="s">
        <v>6927</v>
      </c>
      <c r="Q2675" s="403" t="s">
        <v>13647</v>
      </c>
      <c r="R2675" s="403" t="s">
        <v>22889</v>
      </c>
      <c r="S2675" s="403" t="s">
        <v>18322</v>
      </c>
      <c r="T2675" s="403" t="s">
        <v>18323</v>
      </c>
      <c r="U2675" s="403"/>
      <c r="V2675" s="403" t="s">
        <v>23024</v>
      </c>
      <c r="W2675" s="403" t="s">
        <v>23024</v>
      </c>
      <c r="X2675" s="403" t="s">
        <v>23024</v>
      </c>
      <c r="Y2675" s="403" t="s">
        <v>23024</v>
      </c>
    </row>
    <row r="2676" spans="1:25">
      <c r="A2676" s="363">
        <f t="shared" si="335"/>
        <v>2675</v>
      </c>
      <c r="B2676" s="363" t="str">
        <f t="shared" si="328"/>
        <v>40</v>
      </c>
      <c r="C2676" s="405" t="str">
        <f t="shared" si="329"/>
        <v>第001464号</v>
      </c>
      <c r="D2676" s="405" t="str">
        <f t="shared" si="330"/>
        <v>東機械工業（株）</v>
      </c>
      <c r="E2676" s="405" t="str">
        <f t="shared" si="331"/>
        <v>代表取締役</v>
      </c>
      <c r="F2676" s="405" t="str">
        <f t="shared" si="332"/>
        <v>永安　勉</v>
      </c>
      <c r="G2676" s="405" t="str">
        <f t="shared" si="333"/>
        <v>主たる営業所</v>
      </c>
      <c r="H2676" s="405" t="str">
        <f t="shared" si="334"/>
        <v>福岡市博多区博多駅南４－１８－５</v>
      </c>
      <c r="L2676" s="403" t="s">
        <v>13648</v>
      </c>
      <c r="M2676" s="403" t="s">
        <v>13649</v>
      </c>
      <c r="N2676" s="403" t="s">
        <v>6309</v>
      </c>
      <c r="O2676" s="403" t="s">
        <v>7084</v>
      </c>
      <c r="P2676" s="403" t="s">
        <v>6928</v>
      </c>
      <c r="Q2676" s="403" t="s">
        <v>11975</v>
      </c>
      <c r="R2676" s="403" t="s">
        <v>22890</v>
      </c>
      <c r="S2676" s="403" t="s">
        <v>18324</v>
      </c>
      <c r="T2676" s="403" t="s">
        <v>18325</v>
      </c>
      <c r="U2676" s="403"/>
      <c r="V2676" s="403" t="s">
        <v>23024</v>
      </c>
      <c r="W2676" s="403" t="s">
        <v>23024</v>
      </c>
      <c r="X2676" s="403" t="s">
        <v>23024</v>
      </c>
      <c r="Y2676" s="403" t="s">
        <v>23024</v>
      </c>
    </row>
    <row r="2677" spans="1:25">
      <c r="A2677" s="363">
        <f t="shared" si="335"/>
        <v>2676</v>
      </c>
      <c r="B2677" s="363" t="str">
        <f t="shared" si="328"/>
        <v>40</v>
      </c>
      <c r="C2677" s="405" t="str">
        <f t="shared" si="329"/>
        <v>第003141号</v>
      </c>
      <c r="D2677" s="405" t="str">
        <f t="shared" si="330"/>
        <v>（株）上野製作所</v>
      </c>
      <c r="E2677" s="405" t="str">
        <f t="shared" si="331"/>
        <v>代表取締役</v>
      </c>
      <c r="F2677" s="405" t="str">
        <f t="shared" si="332"/>
        <v>上野　茂一</v>
      </c>
      <c r="G2677" s="405" t="str">
        <f t="shared" si="333"/>
        <v>主たる営業所</v>
      </c>
      <c r="H2677" s="405" t="str">
        <f t="shared" si="334"/>
        <v>久留米市荒木町荒木１－７</v>
      </c>
      <c r="L2677" s="403" t="s">
        <v>13650</v>
      </c>
      <c r="M2677" s="403" t="s">
        <v>13651</v>
      </c>
      <c r="N2677" s="403" t="s">
        <v>6310</v>
      </c>
      <c r="O2677" s="403" t="s">
        <v>7084</v>
      </c>
      <c r="P2677" s="403" t="s">
        <v>6929</v>
      </c>
      <c r="Q2677" s="403" t="s">
        <v>13652</v>
      </c>
      <c r="R2677" s="403" t="s">
        <v>22891</v>
      </c>
      <c r="S2677" s="403" t="s">
        <v>18326</v>
      </c>
      <c r="T2677" s="403" t="s">
        <v>18327</v>
      </c>
      <c r="U2677" s="403"/>
      <c r="V2677" s="403" t="s">
        <v>23024</v>
      </c>
      <c r="W2677" s="403" t="s">
        <v>23024</v>
      </c>
      <c r="X2677" s="403" t="s">
        <v>23024</v>
      </c>
      <c r="Y2677" s="403" t="s">
        <v>23024</v>
      </c>
    </row>
    <row r="2678" spans="1:25">
      <c r="A2678" s="363">
        <f t="shared" si="335"/>
        <v>2677</v>
      </c>
      <c r="B2678" s="363" t="str">
        <f t="shared" si="328"/>
        <v>40</v>
      </c>
      <c r="C2678" s="405" t="str">
        <f t="shared" si="329"/>
        <v>第006550号</v>
      </c>
      <c r="D2678" s="405" t="str">
        <f t="shared" si="330"/>
        <v>（株）嘉穂製作所</v>
      </c>
      <c r="E2678" s="405" t="str">
        <f t="shared" si="331"/>
        <v>代表取締役社長</v>
      </c>
      <c r="F2678" s="405" t="str">
        <f t="shared" si="332"/>
        <v>西川　達人</v>
      </c>
      <c r="G2678" s="405" t="str">
        <f t="shared" si="333"/>
        <v>主たる営業所</v>
      </c>
      <c r="H2678" s="405" t="str">
        <f t="shared" si="334"/>
        <v>飯塚市大分５６７</v>
      </c>
      <c r="L2678" s="403" t="s">
        <v>13653</v>
      </c>
      <c r="M2678" s="403" t="s">
        <v>13654</v>
      </c>
      <c r="N2678" s="403" t="s">
        <v>6311</v>
      </c>
      <c r="O2678" s="403" t="s">
        <v>7083</v>
      </c>
      <c r="P2678" s="403" t="s">
        <v>6930</v>
      </c>
      <c r="Q2678" s="403" t="s">
        <v>13655</v>
      </c>
      <c r="R2678" s="403" t="s">
        <v>22892</v>
      </c>
      <c r="S2678" s="403" t="s">
        <v>18328</v>
      </c>
      <c r="T2678" s="403" t="s">
        <v>18329</v>
      </c>
      <c r="U2678" s="403"/>
      <c r="V2678" s="403" t="s">
        <v>23024</v>
      </c>
      <c r="W2678" s="403" t="s">
        <v>23024</v>
      </c>
      <c r="X2678" s="403" t="s">
        <v>23024</v>
      </c>
      <c r="Y2678" s="403" t="s">
        <v>23024</v>
      </c>
    </row>
    <row r="2679" spans="1:25">
      <c r="A2679" s="363">
        <f t="shared" si="335"/>
        <v>2678</v>
      </c>
      <c r="B2679" s="363" t="str">
        <f t="shared" si="328"/>
        <v>40</v>
      </c>
      <c r="C2679" s="405" t="str">
        <f t="shared" si="329"/>
        <v>第007133号</v>
      </c>
      <c r="D2679" s="405" t="str">
        <f t="shared" si="330"/>
        <v>（株）ケイ・イー・エス</v>
      </c>
      <c r="E2679" s="405" t="str">
        <f t="shared" si="331"/>
        <v>代表取締役</v>
      </c>
      <c r="F2679" s="405" t="str">
        <f t="shared" si="332"/>
        <v>飯野　一義</v>
      </c>
      <c r="G2679" s="405" t="str">
        <f t="shared" si="333"/>
        <v>主たる営業所</v>
      </c>
      <c r="H2679" s="405" t="str">
        <f t="shared" si="334"/>
        <v>北九州市八幡西区東神原町３－３１</v>
      </c>
      <c r="L2679" s="403" t="s">
        <v>13656</v>
      </c>
      <c r="M2679" s="403" t="s">
        <v>13657</v>
      </c>
      <c r="N2679" s="403" t="s">
        <v>6312</v>
      </c>
      <c r="O2679" s="403" t="s">
        <v>7084</v>
      </c>
      <c r="P2679" s="403" t="s">
        <v>6931</v>
      </c>
      <c r="Q2679" s="403" t="s">
        <v>13658</v>
      </c>
      <c r="R2679" s="403" t="s">
        <v>22893</v>
      </c>
      <c r="S2679" s="403" t="s">
        <v>18330</v>
      </c>
      <c r="T2679" s="403" t="s">
        <v>18331</v>
      </c>
      <c r="U2679" s="403"/>
      <c r="V2679" s="403" t="s">
        <v>23024</v>
      </c>
      <c r="W2679" s="403" t="s">
        <v>23024</v>
      </c>
      <c r="X2679" s="403" t="s">
        <v>23024</v>
      </c>
      <c r="Y2679" s="403" t="s">
        <v>23024</v>
      </c>
    </row>
    <row r="2680" spans="1:25">
      <c r="A2680" s="363">
        <f t="shared" si="335"/>
        <v>2679</v>
      </c>
      <c r="B2680" s="363" t="str">
        <f t="shared" si="328"/>
        <v>40</v>
      </c>
      <c r="C2680" s="405" t="str">
        <f t="shared" si="329"/>
        <v>第007348号</v>
      </c>
      <c r="D2680" s="405" t="str">
        <f t="shared" si="330"/>
        <v>九有電子工業（株）</v>
      </c>
      <c r="E2680" s="405" t="str">
        <f t="shared" si="331"/>
        <v>代表取締役</v>
      </c>
      <c r="F2680" s="405" t="str">
        <f t="shared" si="332"/>
        <v>吉村　祐一</v>
      </c>
      <c r="G2680" s="405" t="str">
        <f t="shared" si="333"/>
        <v>主たる営業所</v>
      </c>
      <c r="H2680" s="405" t="str">
        <f t="shared" si="334"/>
        <v>福岡市早良区田隈２－２４－１７</v>
      </c>
      <c r="L2680" s="403" t="s">
        <v>13659</v>
      </c>
      <c r="M2680" s="403" t="s">
        <v>13660</v>
      </c>
      <c r="N2680" s="403" t="s">
        <v>6313</v>
      </c>
      <c r="O2680" s="403" t="s">
        <v>7084</v>
      </c>
      <c r="P2680" s="403" t="s">
        <v>6932</v>
      </c>
      <c r="Q2680" s="403" t="s">
        <v>13661</v>
      </c>
      <c r="R2680" s="403" t="s">
        <v>22894</v>
      </c>
      <c r="S2680" s="403" t="s">
        <v>18332</v>
      </c>
      <c r="T2680" s="403" t="s">
        <v>18333</v>
      </c>
      <c r="U2680" s="403"/>
      <c r="V2680" s="403" t="s">
        <v>23024</v>
      </c>
      <c r="W2680" s="403" t="s">
        <v>23024</v>
      </c>
      <c r="X2680" s="403" t="s">
        <v>23024</v>
      </c>
      <c r="Y2680" s="403" t="s">
        <v>23024</v>
      </c>
    </row>
    <row r="2681" spans="1:25">
      <c r="A2681" s="363">
        <f t="shared" si="335"/>
        <v>2680</v>
      </c>
      <c r="B2681" s="363" t="str">
        <f t="shared" si="328"/>
        <v>40</v>
      </c>
      <c r="C2681" s="405" t="str">
        <f t="shared" si="329"/>
        <v>第008182号</v>
      </c>
      <c r="D2681" s="405" t="str">
        <f t="shared" si="330"/>
        <v>蔵田工業（株）</v>
      </c>
      <c r="E2681" s="405" t="str">
        <f t="shared" si="331"/>
        <v>代表取締役</v>
      </c>
      <c r="F2681" s="405" t="str">
        <f t="shared" si="332"/>
        <v>蔵田　崇晴</v>
      </c>
      <c r="G2681" s="405" t="str">
        <f t="shared" si="333"/>
        <v>主たる営業所</v>
      </c>
      <c r="H2681" s="405" t="str">
        <f t="shared" si="334"/>
        <v>福岡市南区大楠２－１２－１２</v>
      </c>
      <c r="L2681" s="403" t="s">
        <v>13662</v>
      </c>
      <c r="M2681" s="403" t="s">
        <v>13663</v>
      </c>
      <c r="N2681" s="403" t="s">
        <v>6314</v>
      </c>
      <c r="O2681" s="403" t="s">
        <v>7084</v>
      </c>
      <c r="P2681" s="403" t="s">
        <v>6933</v>
      </c>
      <c r="Q2681" s="403" t="s">
        <v>12926</v>
      </c>
      <c r="R2681" s="403" t="s">
        <v>22895</v>
      </c>
      <c r="S2681" s="403" t="s">
        <v>18334</v>
      </c>
      <c r="T2681" s="403" t="s">
        <v>18335</v>
      </c>
      <c r="U2681" s="403"/>
      <c r="V2681" s="403" t="s">
        <v>23024</v>
      </c>
      <c r="W2681" s="403" t="s">
        <v>23024</v>
      </c>
      <c r="X2681" s="403" t="s">
        <v>23024</v>
      </c>
      <c r="Y2681" s="403" t="s">
        <v>23024</v>
      </c>
    </row>
    <row r="2682" spans="1:25">
      <c r="A2682" s="363">
        <f t="shared" si="335"/>
        <v>2681</v>
      </c>
      <c r="B2682" s="363" t="str">
        <f t="shared" si="328"/>
        <v>40</v>
      </c>
      <c r="C2682" s="405" t="str">
        <f t="shared" si="329"/>
        <v>第009115号</v>
      </c>
      <c r="D2682" s="405" t="str">
        <f t="shared" si="330"/>
        <v>（株）研進産業</v>
      </c>
      <c r="E2682" s="405" t="str">
        <f t="shared" si="331"/>
        <v>代表取締役</v>
      </c>
      <c r="F2682" s="405" t="str">
        <f t="shared" si="332"/>
        <v>高木　英範</v>
      </c>
      <c r="G2682" s="405" t="str">
        <f t="shared" si="333"/>
        <v>主たる営業所</v>
      </c>
      <c r="H2682" s="405" t="str">
        <f t="shared" si="334"/>
        <v>福岡市博多区吉塚６－６－５９</v>
      </c>
      <c r="L2682" s="403" t="s">
        <v>13664</v>
      </c>
      <c r="M2682" s="403" t="s">
        <v>13665</v>
      </c>
      <c r="N2682" s="403" t="s">
        <v>6315</v>
      </c>
      <c r="O2682" s="403" t="s">
        <v>7084</v>
      </c>
      <c r="P2682" s="403" t="s">
        <v>6934</v>
      </c>
      <c r="Q2682" s="403" t="s">
        <v>12879</v>
      </c>
      <c r="R2682" s="403" t="s">
        <v>22896</v>
      </c>
      <c r="S2682" s="403" t="s">
        <v>18336</v>
      </c>
      <c r="T2682" s="403" t="s">
        <v>18337</v>
      </c>
      <c r="U2682" s="403"/>
      <c r="V2682" s="403" t="s">
        <v>23024</v>
      </c>
      <c r="W2682" s="403" t="s">
        <v>23024</v>
      </c>
      <c r="X2682" s="403" t="s">
        <v>23024</v>
      </c>
      <c r="Y2682" s="403" t="s">
        <v>23024</v>
      </c>
    </row>
    <row r="2683" spans="1:25">
      <c r="A2683" s="363">
        <f t="shared" si="335"/>
        <v>2682</v>
      </c>
      <c r="B2683" s="363" t="str">
        <f t="shared" si="328"/>
        <v>40</v>
      </c>
      <c r="C2683" s="405" t="str">
        <f t="shared" si="329"/>
        <v>第010538号</v>
      </c>
      <c r="D2683" s="405" t="str">
        <f t="shared" si="330"/>
        <v>光陽無線（株）</v>
      </c>
      <c r="E2683" s="405" t="str">
        <f t="shared" si="331"/>
        <v>代表取締役社長</v>
      </c>
      <c r="F2683" s="405" t="str">
        <f t="shared" si="332"/>
        <v>若松　哲司</v>
      </c>
      <c r="G2683" s="405" t="str">
        <f t="shared" si="333"/>
        <v>主たる営業所</v>
      </c>
      <c r="H2683" s="405" t="str">
        <f t="shared" si="334"/>
        <v>福岡市博多区新和町２－３－３２</v>
      </c>
      <c r="L2683" s="403" t="s">
        <v>13666</v>
      </c>
      <c r="M2683" s="403" t="s">
        <v>13667</v>
      </c>
      <c r="N2683" s="403" t="s">
        <v>6316</v>
      </c>
      <c r="O2683" s="403" t="s">
        <v>7083</v>
      </c>
      <c r="P2683" s="403" t="s">
        <v>6935</v>
      </c>
      <c r="Q2683" s="403" t="s">
        <v>13668</v>
      </c>
      <c r="R2683" s="403" t="s">
        <v>22897</v>
      </c>
      <c r="S2683" s="403" t="s">
        <v>18338</v>
      </c>
      <c r="T2683" s="403" t="s">
        <v>18339</v>
      </c>
      <c r="U2683" s="403"/>
      <c r="V2683" s="403" t="s">
        <v>23024</v>
      </c>
      <c r="W2683" s="403" t="s">
        <v>23024</v>
      </c>
      <c r="X2683" s="403" t="s">
        <v>23024</v>
      </c>
      <c r="Y2683" s="403" t="s">
        <v>23024</v>
      </c>
    </row>
    <row r="2684" spans="1:25">
      <c r="A2684" s="363">
        <f t="shared" si="335"/>
        <v>2683</v>
      </c>
      <c r="B2684" s="363" t="str">
        <f t="shared" si="328"/>
        <v>40</v>
      </c>
      <c r="C2684" s="405" t="str">
        <f t="shared" si="329"/>
        <v>第012309号</v>
      </c>
      <c r="D2684" s="405" t="str">
        <f t="shared" si="330"/>
        <v>（株）秀電社</v>
      </c>
      <c r="E2684" s="405" t="str">
        <f t="shared" si="331"/>
        <v>代表取締役</v>
      </c>
      <c r="F2684" s="405" t="str">
        <f t="shared" si="332"/>
        <v>秀嶋　克仁</v>
      </c>
      <c r="G2684" s="405" t="str">
        <f t="shared" si="333"/>
        <v>主たる営業所</v>
      </c>
      <c r="H2684" s="405" t="str">
        <f t="shared" si="334"/>
        <v>福岡市博多区対馬小路９－２３</v>
      </c>
      <c r="L2684" s="403" t="s">
        <v>13669</v>
      </c>
      <c r="M2684" s="403" t="s">
        <v>13670</v>
      </c>
      <c r="N2684" s="403" t="s">
        <v>6317</v>
      </c>
      <c r="O2684" s="403" t="s">
        <v>7084</v>
      </c>
      <c r="P2684" s="403" t="s">
        <v>6936</v>
      </c>
      <c r="Q2684" s="403" t="s">
        <v>13671</v>
      </c>
      <c r="R2684" s="403" t="s">
        <v>22898</v>
      </c>
      <c r="S2684" s="403" t="s">
        <v>18340</v>
      </c>
      <c r="T2684" s="403" t="s">
        <v>18341</v>
      </c>
      <c r="U2684" s="403"/>
      <c r="V2684" s="403" t="s">
        <v>23024</v>
      </c>
      <c r="W2684" s="403" t="s">
        <v>23024</v>
      </c>
      <c r="X2684" s="403" t="s">
        <v>23024</v>
      </c>
      <c r="Y2684" s="403" t="s">
        <v>23024</v>
      </c>
    </row>
    <row r="2685" spans="1:25">
      <c r="A2685" s="363">
        <f t="shared" si="335"/>
        <v>2684</v>
      </c>
      <c r="B2685" s="363" t="str">
        <f t="shared" si="328"/>
        <v>40</v>
      </c>
      <c r="C2685" s="405" t="str">
        <f t="shared" si="329"/>
        <v>第014067号</v>
      </c>
      <c r="D2685" s="405" t="str">
        <f t="shared" si="330"/>
        <v>正興電気建設（株）</v>
      </c>
      <c r="E2685" s="405" t="str">
        <f t="shared" si="331"/>
        <v>代表取締役社長</v>
      </c>
      <c r="F2685" s="405" t="str">
        <f t="shared" si="332"/>
        <v>坂本　武文</v>
      </c>
      <c r="G2685" s="405" t="str">
        <f t="shared" si="333"/>
        <v>主たる営業所</v>
      </c>
      <c r="H2685" s="405" t="str">
        <f t="shared" si="334"/>
        <v>福岡市南区若久５－２４－２５</v>
      </c>
      <c r="L2685" s="403" t="s">
        <v>13672</v>
      </c>
      <c r="M2685" s="403" t="s">
        <v>13673</v>
      </c>
      <c r="N2685" s="403" t="s">
        <v>6318</v>
      </c>
      <c r="O2685" s="403" t="s">
        <v>7083</v>
      </c>
      <c r="P2685" s="403" t="s">
        <v>22899</v>
      </c>
      <c r="Q2685" s="403" t="s">
        <v>13674</v>
      </c>
      <c r="R2685" s="403" t="s">
        <v>22900</v>
      </c>
      <c r="S2685" s="403" t="s">
        <v>18342</v>
      </c>
      <c r="T2685" s="403" t="s">
        <v>18343</v>
      </c>
      <c r="U2685" s="403"/>
      <c r="V2685" s="403" t="s">
        <v>23024</v>
      </c>
      <c r="W2685" s="403" t="s">
        <v>23024</v>
      </c>
      <c r="X2685" s="403" t="s">
        <v>23024</v>
      </c>
      <c r="Y2685" s="403" t="s">
        <v>23024</v>
      </c>
    </row>
    <row r="2686" spans="1:25">
      <c r="A2686" s="363">
        <f t="shared" si="335"/>
        <v>2685</v>
      </c>
      <c r="B2686" s="363" t="str">
        <f t="shared" si="328"/>
        <v>40</v>
      </c>
      <c r="C2686" s="405" t="str">
        <f t="shared" si="329"/>
        <v>第019203号</v>
      </c>
      <c r="D2686" s="405" t="str">
        <f t="shared" si="330"/>
        <v>（株）テクネ</v>
      </c>
      <c r="E2686" s="405" t="str">
        <f t="shared" si="331"/>
        <v>代表取締役</v>
      </c>
      <c r="F2686" s="405" t="str">
        <f t="shared" si="332"/>
        <v>原　崇</v>
      </c>
      <c r="G2686" s="405" t="str">
        <f t="shared" si="333"/>
        <v>主たる営業所</v>
      </c>
      <c r="H2686" s="405" t="str">
        <f t="shared" si="334"/>
        <v>福岡市博多区麦野１－１３－６</v>
      </c>
      <c r="L2686" s="403" t="s">
        <v>13675</v>
      </c>
      <c r="M2686" s="403" t="s">
        <v>13676</v>
      </c>
      <c r="N2686" s="403" t="s">
        <v>6319</v>
      </c>
      <c r="O2686" s="403" t="s">
        <v>7084</v>
      </c>
      <c r="P2686" s="403" t="s">
        <v>6937</v>
      </c>
      <c r="Q2686" s="403" t="s">
        <v>13080</v>
      </c>
      <c r="R2686" s="403" t="s">
        <v>22901</v>
      </c>
      <c r="S2686" s="403" t="s">
        <v>18344</v>
      </c>
      <c r="T2686" s="403" t="s">
        <v>18345</v>
      </c>
      <c r="U2686" s="403"/>
      <c r="V2686" s="403" t="s">
        <v>23024</v>
      </c>
      <c r="W2686" s="403" t="s">
        <v>23024</v>
      </c>
      <c r="X2686" s="403" t="s">
        <v>23024</v>
      </c>
      <c r="Y2686" s="403" t="s">
        <v>23024</v>
      </c>
    </row>
    <row r="2687" spans="1:25">
      <c r="A2687" s="363">
        <f t="shared" si="335"/>
        <v>2686</v>
      </c>
      <c r="B2687" s="363" t="str">
        <f t="shared" si="328"/>
        <v>40</v>
      </c>
      <c r="C2687" s="405" t="str">
        <f t="shared" si="329"/>
        <v>第020086号</v>
      </c>
      <c r="D2687" s="405" t="str">
        <f t="shared" si="330"/>
        <v>（株）トオーツウ</v>
      </c>
      <c r="E2687" s="405" t="str">
        <f t="shared" si="331"/>
        <v>代表取締役</v>
      </c>
      <c r="F2687" s="405" t="str">
        <f t="shared" si="332"/>
        <v>日高　真弓</v>
      </c>
      <c r="G2687" s="405" t="str">
        <f t="shared" si="333"/>
        <v>主たる営業所</v>
      </c>
      <c r="H2687" s="405" t="str">
        <f t="shared" si="334"/>
        <v>北九州市小倉北区熊谷４－１５－７</v>
      </c>
      <c r="L2687" s="403" t="s">
        <v>22902</v>
      </c>
      <c r="M2687" s="403" t="s">
        <v>22903</v>
      </c>
      <c r="N2687" s="403" t="s">
        <v>22904</v>
      </c>
      <c r="O2687" s="403" t="s">
        <v>7084</v>
      </c>
      <c r="P2687" s="403" t="s">
        <v>22905</v>
      </c>
      <c r="Q2687" s="403" t="s">
        <v>22906</v>
      </c>
      <c r="R2687" s="403" t="s">
        <v>22907</v>
      </c>
      <c r="S2687" s="403" t="s">
        <v>22908</v>
      </c>
      <c r="T2687" s="403" t="s">
        <v>22909</v>
      </c>
      <c r="U2687" s="403"/>
      <c r="V2687" s="403" t="s">
        <v>23024</v>
      </c>
      <c r="W2687" s="403" t="s">
        <v>23024</v>
      </c>
      <c r="X2687" s="403" t="s">
        <v>23024</v>
      </c>
      <c r="Y2687" s="403" t="s">
        <v>23024</v>
      </c>
    </row>
    <row r="2688" spans="1:25">
      <c r="A2688" s="363">
        <f t="shared" si="335"/>
        <v>2687</v>
      </c>
      <c r="B2688" s="363" t="str">
        <f t="shared" si="328"/>
        <v>40</v>
      </c>
      <c r="C2688" s="405" t="str">
        <f t="shared" si="329"/>
        <v>第022808号</v>
      </c>
      <c r="D2688" s="405" t="str">
        <f t="shared" si="330"/>
        <v>日新産業（株）</v>
      </c>
      <c r="E2688" s="405" t="str">
        <f t="shared" si="331"/>
        <v>代表取締役</v>
      </c>
      <c r="F2688" s="405" t="str">
        <f t="shared" si="332"/>
        <v>辻　隆一郎</v>
      </c>
      <c r="G2688" s="405" t="str">
        <f t="shared" si="333"/>
        <v>主たる営業所</v>
      </c>
      <c r="H2688" s="405" t="str">
        <f t="shared" si="334"/>
        <v>福岡市博多区月隈２－４－２</v>
      </c>
      <c r="L2688" s="403" t="s">
        <v>13677</v>
      </c>
      <c r="M2688" s="403" t="s">
        <v>13678</v>
      </c>
      <c r="N2688" s="403" t="s">
        <v>6320</v>
      </c>
      <c r="O2688" s="403" t="s">
        <v>7084</v>
      </c>
      <c r="P2688" s="403" t="s">
        <v>6938</v>
      </c>
      <c r="Q2688" s="403" t="s">
        <v>13679</v>
      </c>
      <c r="R2688" s="403" t="s">
        <v>22910</v>
      </c>
      <c r="S2688" s="403" t="s">
        <v>18346</v>
      </c>
      <c r="T2688" s="403" t="s">
        <v>18347</v>
      </c>
      <c r="U2688" s="403"/>
      <c r="V2688" s="403" t="s">
        <v>23024</v>
      </c>
      <c r="W2688" s="403" t="s">
        <v>23024</v>
      </c>
      <c r="X2688" s="403" t="s">
        <v>23024</v>
      </c>
      <c r="Y2688" s="403" t="s">
        <v>23024</v>
      </c>
    </row>
    <row r="2689" spans="1:25">
      <c r="A2689" s="363">
        <f t="shared" si="335"/>
        <v>2688</v>
      </c>
      <c r="B2689" s="363" t="str">
        <f t="shared" si="328"/>
        <v>40</v>
      </c>
      <c r="C2689" s="405" t="str">
        <f t="shared" si="329"/>
        <v>第022850号</v>
      </c>
      <c r="D2689" s="405" t="str">
        <f t="shared" si="330"/>
        <v>西日本クリスタル（株）</v>
      </c>
      <c r="E2689" s="405" t="str">
        <f t="shared" si="331"/>
        <v>代表取締役</v>
      </c>
      <c r="F2689" s="405" t="str">
        <f t="shared" si="332"/>
        <v>福島　誠司</v>
      </c>
      <c r="G2689" s="405" t="str">
        <f t="shared" si="333"/>
        <v>主たる営業所</v>
      </c>
      <c r="H2689" s="405" t="str">
        <f t="shared" si="334"/>
        <v>福岡市早良区有田３－８－２５</v>
      </c>
      <c r="L2689" s="403" t="s">
        <v>13680</v>
      </c>
      <c r="M2689" s="403" t="s">
        <v>13681</v>
      </c>
      <c r="N2689" s="403" t="s">
        <v>6321</v>
      </c>
      <c r="O2689" s="403" t="s">
        <v>7084</v>
      </c>
      <c r="P2689" s="403" t="s">
        <v>6939</v>
      </c>
      <c r="Q2689" s="403" t="s">
        <v>13682</v>
      </c>
      <c r="R2689" s="403" t="s">
        <v>22911</v>
      </c>
      <c r="S2689" s="403" t="s">
        <v>18348</v>
      </c>
      <c r="T2689" s="403" t="s">
        <v>18349</v>
      </c>
      <c r="U2689" s="403"/>
      <c r="V2689" s="403" t="s">
        <v>23024</v>
      </c>
      <c r="W2689" s="403" t="s">
        <v>23024</v>
      </c>
      <c r="X2689" s="403" t="s">
        <v>23024</v>
      </c>
      <c r="Y2689" s="403" t="s">
        <v>23024</v>
      </c>
    </row>
    <row r="2690" spans="1:25">
      <c r="A2690" s="363">
        <f t="shared" si="335"/>
        <v>2689</v>
      </c>
      <c r="B2690" s="363" t="str">
        <f t="shared" ref="B2690:B2753" si="336">LEFT(L2690,2)</f>
        <v>40</v>
      </c>
      <c r="C2690" s="405" t="str">
        <f t="shared" ref="C2690:C2753" si="337">IF(B2690="","","第"&amp;RIGHT(L2690,6)&amp;"号")</f>
        <v>第026250号</v>
      </c>
      <c r="D2690" s="405" t="str">
        <f t="shared" ref="D2690:D2753" si="338">N2690</f>
        <v>半田建設（株）</v>
      </c>
      <c r="E2690" s="405" t="str">
        <f t="shared" ref="E2690:E2753" si="339">IF(V2690="　",O2690,"")</f>
        <v>代表取締役</v>
      </c>
      <c r="F2690" s="405" t="str">
        <f t="shared" ref="F2690:F2753" si="340">IF(V2690="　",P2690,W2690)</f>
        <v>半田　利通</v>
      </c>
      <c r="G2690" s="405" t="str">
        <f t="shared" ref="G2690:G2753" si="341">IF(V2690="　","主たる営業所",V2690)</f>
        <v>主たる営業所</v>
      </c>
      <c r="H2690" s="405" t="str">
        <f t="shared" ref="H2690:H2753" si="342">IF(V2690="　",R2690,Y2690)</f>
        <v>久留米市日ノ出町１００</v>
      </c>
      <c r="L2690" s="403" t="s">
        <v>13683</v>
      </c>
      <c r="M2690" s="403" t="s">
        <v>13684</v>
      </c>
      <c r="N2690" s="403" t="s">
        <v>6322</v>
      </c>
      <c r="O2690" s="403" t="s">
        <v>7084</v>
      </c>
      <c r="P2690" s="403" t="s">
        <v>6940</v>
      </c>
      <c r="Q2690" s="403" t="s">
        <v>13685</v>
      </c>
      <c r="R2690" s="403" t="s">
        <v>22912</v>
      </c>
      <c r="S2690" s="403" t="s">
        <v>18350</v>
      </c>
      <c r="T2690" s="403" t="s">
        <v>18351</v>
      </c>
      <c r="U2690" s="403"/>
      <c r="V2690" s="403" t="s">
        <v>23024</v>
      </c>
      <c r="W2690" s="403" t="s">
        <v>23024</v>
      </c>
      <c r="X2690" s="403" t="s">
        <v>23024</v>
      </c>
      <c r="Y2690" s="403" t="s">
        <v>23024</v>
      </c>
    </row>
    <row r="2691" spans="1:25">
      <c r="A2691" s="363">
        <f t="shared" ref="A2691:A2754" si="343">IF(B2691="","",A2690+1)</f>
        <v>2690</v>
      </c>
      <c r="B2691" s="363" t="str">
        <f t="shared" si="336"/>
        <v>40</v>
      </c>
      <c r="C2691" s="405" t="str">
        <f t="shared" si="337"/>
        <v>第026613号</v>
      </c>
      <c r="D2691" s="405" t="str">
        <f t="shared" si="338"/>
        <v>（株）ハダ工芸社</v>
      </c>
      <c r="E2691" s="405" t="str">
        <f t="shared" si="339"/>
        <v>代表取締役</v>
      </c>
      <c r="F2691" s="405" t="str">
        <f t="shared" si="340"/>
        <v>波田　英次</v>
      </c>
      <c r="G2691" s="405" t="str">
        <f t="shared" si="341"/>
        <v>主たる営業所</v>
      </c>
      <c r="H2691" s="405" t="str">
        <f t="shared" si="342"/>
        <v>福岡市中央区草香江２－２－２０</v>
      </c>
      <c r="L2691" s="404" t="s">
        <v>13686</v>
      </c>
      <c r="M2691" s="404" t="s">
        <v>13687</v>
      </c>
      <c r="N2691" s="404" t="s">
        <v>6323</v>
      </c>
      <c r="O2691" s="404" t="s">
        <v>7084</v>
      </c>
      <c r="P2691" s="404" t="s">
        <v>6941</v>
      </c>
      <c r="Q2691" s="404" t="s">
        <v>13688</v>
      </c>
      <c r="R2691" s="404" t="s">
        <v>22913</v>
      </c>
      <c r="S2691" s="404" t="s">
        <v>18352</v>
      </c>
      <c r="T2691" s="404" t="s">
        <v>18353</v>
      </c>
      <c r="U2691" s="404"/>
      <c r="V2691" s="403" t="s">
        <v>23024</v>
      </c>
      <c r="W2691" s="403" t="s">
        <v>23024</v>
      </c>
      <c r="X2691" s="403" t="s">
        <v>23024</v>
      </c>
      <c r="Y2691" s="403" t="s">
        <v>23024</v>
      </c>
    </row>
    <row r="2692" spans="1:25">
      <c r="A2692" s="363">
        <f t="shared" si="343"/>
        <v>2691</v>
      </c>
      <c r="B2692" s="363" t="str">
        <f t="shared" si="336"/>
        <v>40</v>
      </c>
      <c r="C2692" s="405" t="str">
        <f t="shared" si="337"/>
        <v>第028730号</v>
      </c>
      <c r="D2692" s="405" t="str">
        <f t="shared" si="338"/>
        <v>福岡芝浦電子（株）</v>
      </c>
      <c r="E2692" s="405" t="str">
        <f t="shared" si="339"/>
        <v>代表取締役</v>
      </c>
      <c r="F2692" s="405" t="str">
        <f t="shared" si="340"/>
        <v>藤原　與司</v>
      </c>
      <c r="G2692" s="405" t="str">
        <f t="shared" si="341"/>
        <v>主たる営業所</v>
      </c>
      <c r="H2692" s="405" t="str">
        <f t="shared" si="342"/>
        <v>福岡市南区大橋１－２－１９</v>
      </c>
      <c r="L2692" s="402" t="s">
        <v>13689</v>
      </c>
      <c r="M2692" s="402" t="s">
        <v>13690</v>
      </c>
      <c r="N2692" s="402" t="s">
        <v>6324</v>
      </c>
      <c r="O2692" s="402" t="s">
        <v>7084</v>
      </c>
      <c r="P2692" s="402" t="s">
        <v>6942</v>
      </c>
      <c r="Q2692" s="402" t="s">
        <v>13691</v>
      </c>
      <c r="R2692" s="402" t="s">
        <v>22914</v>
      </c>
      <c r="S2692" s="402" t="s">
        <v>18354</v>
      </c>
      <c r="T2692" s="402" t="s">
        <v>18355</v>
      </c>
      <c r="U2692" s="402"/>
      <c r="V2692" s="403" t="s">
        <v>23024</v>
      </c>
      <c r="W2692" s="403" t="s">
        <v>23024</v>
      </c>
      <c r="X2692" s="403" t="s">
        <v>23024</v>
      </c>
      <c r="Y2692" s="403" t="s">
        <v>23024</v>
      </c>
    </row>
    <row r="2693" spans="1:25">
      <c r="A2693" s="363">
        <f t="shared" si="343"/>
        <v>2692</v>
      </c>
      <c r="B2693" s="363" t="str">
        <f t="shared" si="336"/>
        <v>40</v>
      </c>
      <c r="C2693" s="405" t="str">
        <f t="shared" si="337"/>
        <v>第037123号</v>
      </c>
      <c r="D2693" s="405" t="str">
        <f t="shared" si="338"/>
        <v>（株）行橋玄洋社</v>
      </c>
      <c r="E2693" s="405" t="str">
        <f t="shared" si="339"/>
        <v>代表取締役</v>
      </c>
      <c r="F2693" s="405" t="str">
        <f t="shared" si="340"/>
        <v>原　俊行</v>
      </c>
      <c r="G2693" s="405" t="str">
        <f t="shared" si="341"/>
        <v>主たる営業所</v>
      </c>
      <c r="H2693" s="405" t="str">
        <f t="shared" si="342"/>
        <v>行橋市大字長木１２７３</v>
      </c>
      <c r="L2693" s="403" t="s">
        <v>13692</v>
      </c>
      <c r="M2693" s="403" t="s">
        <v>13693</v>
      </c>
      <c r="N2693" s="403" t="s">
        <v>6325</v>
      </c>
      <c r="O2693" s="403" t="s">
        <v>7084</v>
      </c>
      <c r="P2693" s="403" t="s">
        <v>6943</v>
      </c>
      <c r="Q2693" s="403" t="s">
        <v>13694</v>
      </c>
      <c r="R2693" s="403" t="s">
        <v>22915</v>
      </c>
      <c r="S2693" s="403" t="s">
        <v>18356</v>
      </c>
      <c r="T2693" s="403" t="s">
        <v>18357</v>
      </c>
      <c r="U2693" s="403"/>
      <c r="V2693" s="403" t="s">
        <v>23024</v>
      </c>
      <c r="W2693" s="403" t="s">
        <v>23024</v>
      </c>
      <c r="X2693" s="403" t="s">
        <v>23024</v>
      </c>
      <c r="Y2693" s="403" t="s">
        <v>23024</v>
      </c>
    </row>
    <row r="2694" spans="1:25">
      <c r="A2694" s="363">
        <f t="shared" si="343"/>
        <v>2693</v>
      </c>
      <c r="B2694" s="363" t="str">
        <f t="shared" si="336"/>
        <v>40</v>
      </c>
      <c r="C2694" s="405" t="str">
        <f t="shared" si="337"/>
        <v>第052379号</v>
      </c>
      <c r="D2694" s="405" t="str">
        <f t="shared" si="338"/>
        <v>（株）小山社寺工業所</v>
      </c>
      <c r="E2694" s="405" t="str">
        <f t="shared" si="339"/>
        <v>代表取締役</v>
      </c>
      <c r="F2694" s="405" t="str">
        <f t="shared" si="340"/>
        <v>小山　眞人</v>
      </c>
      <c r="G2694" s="405" t="str">
        <f t="shared" si="341"/>
        <v>主たる営業所</v>
      </c>
      <c r="H2694" s="405" t="str">
        <f t="shared" si="342"/>
        <v>福岡市東区馬出５－３６－４３</v>
      </c>
      <c r="L2694" s="403" t="s">
        <v>13695</v>
      </c>
      <c r="M2694" s="403" t="s">
        <v>13696</v>
      </c>
      <c r="N2694" s="403" t="s">
        <v>6326</v>
      </c>
      <c r="O2694" s="403" t="s">
        <v>7084</v>
      </c>
      <c r="P2694" s="403" t="s">
        <v>6944</v>
      </c>
      <c r="Q2694" s="403" t="s">
        <v>12693</v>
      </c>
      <c r="R2694" s="403" t="s">
        <v>22916</v>
      </c>
      <c r="S2694" s="403" t="s">
        <v>18358</v>
      </c>
      <c r="T2694" s="403" t="s">
        <v>18359</v>
      </c>
      <c r="U2694" s="403"/>
      <c r="V2694" s="403" t="s">
        <v>23024</v>
      </c>
      <c r="W2694" s="403" t="s">
        <v>23024</v>
      </c>
      <c r="X2694" s="403" t="s">
        <v>23024</v>
      </c>
      <c r="Y2694" s="403" t="s">
        <v>23024</v>
      </c>
    </row>
    <row r="2695" spans="1:25">
      <c r="A2695" s="363">
        <f t="shared" si="343"/>
        <v>2694</v>
      </c>
      <c r="B2695" s="363" t="str">
        <f t="shared" si="336"/>
        <v>40</v>
      </c>
      <c r="C2695" s="405" t="str">
        <f t="shared" si="337"/>
        <v>第052604号</v>
      </c>
      <c r="D2695" s="405" t="str">
        <f t="shared" si="338"/>
        <v>（株）大川鉄工</v>
      </c>
      <c r="E2695" s="405" t="str">
        <f t="shared" si="339"/>
        <v>代表取締役</v>
      </c>
      <c r="F2695" s="405" t="str">
        <f t="shared" si="340"/>
        <v>三砂　豊博</v>
      </c>
      <c r="G2695" s="405" t="str">
        <f t="shared" si="341"/>
        <v>主たる営業所</v>
      </c>
      <c r="H2695" s="405" t="str">
        <f t="shared" si="342"/>
        <v>大川市大字酒見５３５</v>
      </c>
      <c r="L2695" s="403" t="s">
        <v>13697</v>
      </c>
      <c r="M2695" s="403" t="s">
        <v>13698</v>
      </c>
      <c r="N2695" s="403" t="s">
        <v>6327</v>
      </c>
      <c r="O2695" s="403" t="s">
        <v>7084</v>
      </c>
      <c r="P2695" s="403" t="s">
        <v>6945</v>
      </c>
      <c r="Q2695" s="403" t="s">
        <v>13699</v>
      </c>
      <c r="R2695" s="403" t="s">
        <v>22917</v>
      </c>
      <c r="S2695" s="403" t="s">
        <v>18360</v>
      </c>
      <c r="T2695" s="403" t="s">
        <v>18361</v>
      </c>
      <c r="U2695" s="403"/>
      <c r="V2695" s="403" t="s">
        <v>23024</v>
      </c>
      <c r="W2695" s="403" t="s">
        <v>23024</v>
      </c>
      <c r="X2695" s="403" t="s">
        <v>23024</v>
      </c>
      <c r="Y2695" s="403" t="s">
        <v>23024</v>
      </c>
    </row>
    <row r="2696" spans="1:25">
      <c r="A2696" s="363">
        <f t="shared" si="343"/>
        <v>2695</v>
      </c>
      <c r="B2696" s="363" t="str">
        <f t="shared" si="336"/>
        <v>40</v>
      </c>
      <c r="C2696" s="405" t="str">
        <f t="shared" si="337"/>
        <v>第054045号</v>
      </c>
      <c r="D2696" s="405" t="str">
        <f t="shared" si="338"/>
        <v>上内電気（株）</v>
      </c>
      <c r="E2696" s="405" t="str">
        <f t="shared" si="339"/>
        <v>代表取締役</v>
      </c>
      <c r="F2696" s="405" t="str">
        <f t="shared" si="340"/>
        <v>境　泰二郎</v>
      </c>
      <c r="G2696" s="405" t="str">
        <f t="shared" si="341"/>
        <v>主たる営業所</v>
      </c>
      <c r="H2696" s="405" t="str">
        <f t="shared" si="342"/>
        <v>福岡市中央区舞鶴３－６－２３</v>
      </c>
      <c r="L2696" s="403" t="s">
        <v>13700</v>
      </c>
      <c r="M2696" s="403" t="s">
        <v>13701</v>
      </c>
      <c r="N2696" s="403" t="s">
        <v>6328</v>
      </c>
      <c r="O2696" s="403" t="s">
        <v>7084</v>
      </c>
      <c r="P2696" s="403" t="s">
        <v>22918</v>
      </c>
      <c r="Q2696" s="403" t="s">
        <v>13037</v>
      </c>
      <c r="R2696" s="403" t="s">
        <v>22919</v>
      </c>
      <c r="S2696" s="403" t="s">
        <v>18362</v>
      </c>
      <c r="T2696" s="403" t="s">
        <v>18363</v>
      </c>
      <c r="U2696" s="403"/>
      <c r="V2696" s="403" t="s">
        <v>23024</v>
      </c>
      <c r="W2696" s="403" t="s">
        <v>23024</v>
      </c>
      <c r="X2696" s="403" t="s">
        <v>23024</v>
      </c>
      <c r="Y2696" s="403" t="s">
        <v>23024</v>
      </c>
    </row>
    <row r="2697" spans="1:25">
      <c r="A2697" s="363">
        <f t="shared" si="343"/>
        <v>2696</v>
      </c>
      <c r="B2697" s="363" t="str">
        <f t="shared" si="336"/>
        <v>40</v>
      </c>
      <c r="C2697" s="405" t="str">
        <f t="shared" si="337"/>
        <v>第058387号</v>
      </c>
      <c r="D2697" s="405" t="str">
        <f t="shared" si="338"/>
        <v>イーエレクス（株）</v>
      </c>
      <c r="E2697" s="405" t="str">
        <f t="shared" si="339"/>
        <v>代表取締役</v>
      </c>
      <c r="F2697" s="405" t="str">
        <f t="shared" si="340"/>
        <v>山根　秀樹</v>
      </c>
      <c r="G2697" s="405" t="str">
        <f t="shared" si="341"/>
        <v>主たる営業所</v>
      </c>
      <c r="H2697" s="405" t="str">
        <f t="shared" si="342"/>
        <v>福岡市中央区大濠２－１０－１０</v>
      </c>
      <c r="L2697" s="403" t="s">
        <v>13702</v>
      </c>
      <c r="M2697" s="403" t="s">
        <v>13703</v>
      </c>
      <c r="N2697" s="403" t="s">
        <v>6329</v>
      </c>
      <c r="O2697" s="403" t="s">
        <v>7084</v>
      </c>
      <c r="P2697" s="403" t="s">
        <v>6946</v>
      </c>
      <c r="Q2697" s="403" t="s">
        <v>13704</v>
      </c>
      <c r="R2697" s="403" t="s">
        <v>22920</v>
      </c>
      <c r="S2697" s="403" t="s">
        <v>18364</v>
      </c>
      <c r="T2697" s="403" t="s">
        <v>18365</v>
      </c>
      <c r="U2697" s="403"/>
      <c r="V2697" s="403" t="s">
        <v>23024</v>
      </c>
      <c r="W2697" s="403" t="s">
        <v>23024</v>
      </c>
      <c r="X2697" s="403" t="s">
        <v>23024</v>
      </c>
      <c r="Y2697" s="403" t="s">
        <v>23024</v>
      </c>
    </row>
    <row r="2698" spans="1:25">
      <c r="A2698" s="363">
        <f t="shared" si="343"/>
        <v>2697</v>
      </c>
      <c r="B2698" s="363" t="str">
        <f t="shared" si="336"/>
        <v>40</v>
      </c>
      <c r="C2698" s="405" t="str">
        <f t="shared" si="337"/>
        <v>第058478号</v>
      </c>
      <c r="D2698" s="405" t="str">
        <f t="shared" si="338"/>
        <v>双葉工業（株）</v>
      </c>
      <c r="E2698" s="405" t="str">
        <f t="shared" si="339"/>
        <v>代表取締役</v>
      </c>
      <c r="F2698" s="405" t="str">
        <f t="shared" si="340"/>
        <v>星子　洋満</v>
      </c>
      <c r="G2698" s="405" t="str">
        <f t="shared" si="341"/>
        <v>主たる営業所</v>
      </c>
      <c r="H2698" s="405" t="str">
        <f t="shared" si="342"/>
        <v>福岡市博多区金の隈２－１－３０</v>
      </c>
      <c r="L2698" s="403" t="s">
        <v>13705</v>
      </c>
      <c r="M2698" s="403" t="s">
        <v>13706</v>
      </c>
      <c r="N2698" s="403" t="s">
        <v>6330</v>
      </c>
      <c r="O2698" s="403" t="s">
        <v>7084</v>
      </c>
      <c r="P2698" s="403" t="s">
        <v>6947</v>
      </c>
      <c r="Q2698" s="403" t="s">
        <v>13707</v>
      </c>
      <c r="R2698" s="403" t="s">
        <v>22921</v>
      </c>
      <c r="S2698" s="403" t="s">
        <v>18366</v>
      </c>
      <c r="T2698" s="403" t="s">
        <v>18367</v>
      </c>
      <c r="U2698" s="403"/>
      <c r="V2698" s="403" t="s">
        <v>23024</v>
      </c>
      <c r="W2698" s="403" t="s">
        <v>23024</v>
      </c>
      <c r="X2698" s="403" t="s">
        <v>23024</v>
      </c>
      <c r="Y2698" s="403" t="s">
        <v>23024</v>
      </c>
    </row>
    <row r="2699" spans="1:25">
      <c r="A2699" s="363">
        <f t="shared" si="343"/>
        <v>2698</v>
      </c>
      <c r="B2699" s="363" t="str">
        <f t="shared" si="336"/>
        <v>40</v>
      </c>
      <c r="C2699" s="405" t="str">
        <f t="shared" si="337"/>
        <v>第060240号</v>
      </c>
      <c r="D2699" s="405" t="str">
        <f t="shared" si="338"/>
        <v>（株）ハッセイ</v>
      </c>
      <c r="E2699" s="405" t="str">
        <f t="shared" si="339"/>
        <v>代表取締役</v>
      </c>
      <c r="F2699" s="405" t="str">
        <f t="shared" si="340"/>
        <v>樋口　和宏</v>
      </c>
      <c r="G2699" s="405" t="str">
        <f t="shared" si="341"/>
        <v>主たる営業所</v>
      </c>
      <c r="H2699" s="405" t="str">
        <f t="shared" si="342"/>
        <v>北九州市八幡西区市瀬１－２－１</v>
      </c>
      <c r="L2699" s="403" t="s">
        <v>13708</v>
      </c>
      <c r="M2699" s="403" t="s">
        <v>13709</v>
      </c>
      <c r="N2699" s="403" t="s">
        <v>6331</v>
      </c>
      <c r="O2699" s="403" t="s">
        <v>7084</v>
      </c>
      <c r="P2699" s="403" t="s">
        <v>6948</v>
      </c>
      <c r="Q2699" s="403" t="s">
        <v>13527</v>
      </c>
      <c r="R2699" s="403" t="s">
        <v>22922</v>
      </c>
      <c r="S2699" s="403" t="s">
        <v>18368</v>
      </c>
      <c r="T2699" s="403" t="s">
        <v>18369</v>
      </c>
      <c r="U2699" s="403"/>
      <c r="V2699" s="403" t="s">
        <v>23024</v>
      </c>
      <c r="W2699" s="403" t="s">
        <v>23024</v>
      </c>
      <c r="X2699" s="403" t="s">
        <v>23024</v>
      </c>
      <c r="Y2699" s="403" t="s">
        <v>23024</v>
      </c>
    </row>
    <row r="2700" spans="1:25">
      <c r="A2700" s="363">
        <f t="shared" si="343"/>
        <v>2699</v>
      </c>
      <c r="B2700" s="363" t="str">
        <f t="shared" si="336"/>
        <v>40</v>
      </c>
      <c r="C2700" s="405" t="str">
        <f t="shared" si="337"/>
        <v>第061931号</v>
      </c>
      <c r="D2700" s="405" t="str">
        <f t="shared" si="338"/>
        <v>九州高圧コンクリート工業（株）</v>
      </c>
      <c r="E2700" s="405" t="str">
        <f t="shared" si="339"/>
        <v>代表取締役社長</v>
      </c>
      <c r="F2700" s="405" t="str">
        <f t="shared" si="340"/>
        <v>大坪　武弘</v>
      </c>
      <c r="G2700" s="405" t="str">
        <f t="shared" si="341"/>
        <v>主たる営業所</v>
      </c>
      <c r="H2700" s="405" t="str">
        <f t="shared" si="342"/>
        <v>福岡市南区向野１－１３－１４</v>
      </c>
      <c r="L2700" s="403" t="s">
        <v>22923</v>
      </c>
      <c r="M2700" s="403" t="s">
        <v>22924</v>
      </c>
      <c r="N2700" s="403" t="s">
        <v>22925</v>
      </c>
      <c r="O2700" s="403" t="s">
        <v>7083</v>
      </c>
      <c r="P2700" s="403" t="s">
        <v>22926</v>
      </c>
      <c r="Q2700" s="403" t="s">
        <v>13490</v>
      </c>
      <c r="R2700" s="403" t="s">
        <v>22927</v>
      </c>
      <c r="S2700" s="403" t="s">
        <v>22928</v>
      </c>
      <c r="T2700" s="403" t="s">
        <v>22929</v>
      </c>
      <c r="U2700" s="403"/>
      <c r="V2700" s="403" t="s">
        <v>23024</v>
      </c>
      <c r="W2700" s="403" t="s">
        <v>23024</v>
      </c>
      <c r="X2700" s="403" t="s">
        <v>23024</v>
      </c>
      <c r="Y2700" s="403" t="s">
        <v>23024</v>
      </c>
    </row>
    <row r="2701" spans="1:25">
      <c r="A2701" s="363">
        <f t="shared" si="343"/>
        <v>2700</v>
      </c>
      <c r="B2701" s="363" t="str">
        <f t="shared" si="336"/>
        <v>40</v>
      </c>
      <c r="C2701" s="405" t="str">
        <f t="shared" si="337"/>
        <v>第061998号</v>
      </c>
      <c r="D2701" s="405" t="str">
        <f t="shared" si="338"/>
        <v>北九州ユアサ産業電池（株）</v>
      </c>
      <c r="E2701" s="405" t="str">
        <f t="shared" si="339"/>
        <v>代表取締役</v>
      </c>
      <c r="F2701" s="405" t="str">
        <f t="shared" si="340"/>
        <v>高橋　真生</v>
      </c>
      <c r="G2701" s="405" t="str">
        <f t="shared" si="341"/>
        <v>主たる営業所</v>
      </c>
      <c r="H2701" s="405" t="str">
        <f t="shared" si="342"/>
        <v>北九州市門司区松原２－８－２０</v>
      </c>
      <c r="L2701" s="403" t="s">
        <v>13710</v>
      </c>
      <c r="M2701" s="403" t="s">
        <v>13711</v>
      </c>
      <c r="N2701" s="403" t="s">
        <v>6332</v>
      </c>
      <c r="O2701" s="403" t="s">
        <v>7084</v>
      </c>
      <c r="P2701" s="403" t="s">
        <v>22930</v>
      </c>
      <c r="Q2701" s="403" t="s">
        <v>22931</v>
      </c>
      <c r="R2701" s="403" t="s">
        <v>22932</v>
      </c>
      <c r="S2701" s="403" t="s">
        <v>18370</v>
      </c>
      <c r="T2701" s="403" t="s">
        <v>18371</v>
      </c>
      <c r="U2701" s="403"/>
      <c r="V2701" s="403" t="s">
        <v>23024</v>
      </c>
      <c r="W2701" s="403" t="s">
        <v>23024</v>
      </c>
      <c r="X2701" s="403" t="s">
        <v>23024</v>
      </c>
      <c r="Y2701" s="403" t="s">
        <v>23024</v>
      </c>
    </row>
    <row r="2702" spans="1:25">
      <c r="A2702" s="363">
        <f t="shared" si="343"/>
        <v>2701</v>
      </c>
      <c r="B2702" s="363" t="str">
        <f t="shared" si="336"/>
        <v>40</v>
      </c>
      <c r="C2702" s="405" t="str">
        <f t="shared" si="337"/>
        <v>第076214号</v>
      </c>
      <c r="D2702" s="405" t="str">
        <f t="shared" si="338"/>
        <v>環境エンヂニアリング（株）</v>
      </c>
      <c r="E2702" s="405" t="str">
        <f t="shared" si="339"/>
        <v>代表取締役</v>
      </c>
      <c r="F2702" s="405" t="str">
        <f t="shared" si="340"/>
        <v>福岡　龍一郎</v>
      </c>
      <c r="G2702" s="405" t="str">
        <f t="shared" si="341"/>
        <v>主たる営業所</v>
      </c>
      <c r="H2702" s="405" t="str">
        <f t="shared" si="342"/>
        <v>福岡市南区柳瀬２－３－２</v>
      </c>
      <c r="L2702" s="403" t="s">
        <v>13712</v>
      </c>
      <c r="M2702" s="403" t="s">
        <v>13713</v>
      </c>
      <c r="N2702" s="403" t="s">
        <v>6333</v>
      </c>
      <c r="O2702" s="403" t="s">
        <v>7084</v>
      </c>
      <c r="P2702" s="403" t="s">
        <v>2926</v>
      </c>
      <c r="Q2702" s="403" t="s">
        <v>22933</v>
      </c>
      <c r="R2702" s="403" t="s">
        <v>22934</v>
      </c>
      <c r="S2702" s="403" t="s">
        <v>22935</v>
      </c>
      <c r="T2702" s="403" t="s">
        <v>22936</v>
      </c>
      <c r="U2702" s="403"/>
      <c r="V2702" s="403" t="s">
        <v>23024</v>
      </c>
      <c r="W2702" s="403" t="s">
        <v>23024</v>
      </c>
      <c r="X2702" s="403" t="s">
        <v>23024</v>
      </c>
      <c r="Y2702" s="403" t="s">
        <v>23024</v>
      </c>
    </row>
    <row r="2703" spans="1:25">
      <c r="A2703" s="363">
        <f t="shared" si="343"/>
        <v>2702</v>
      </c>
      <c r="B2703" s="363" t="str">
        <f t="shared" si="336"/>
        <v>40</v>
      </c>
      <c r="C2703" s="405" t="str">
        <f t="shared" si="337"/>
        <v>第076529号</v>
      </c>
      <c r="D2703" s="405" t="str">
        <f t="shared" si="338"/>
        <v>（株）カブード</v>
      </c>
      <c r="E2703" s="405" t="str">
        <f t="shared" si="339"/>
        <v>代表取締役</v>
      </c>
      <c r="F2703" s="405" t="str">
        <f t="shared" si="340"/>
        <v>橋本　恒幸</v>
      </c>
      <c r="G2703" s="405" t="str">
        <f t="shared" si="341"/>
        <v>主たる営業所</v>
      </c>
      <c r="H2703" s="405" t="str">
        <f t="shared" si="342"/>
        <v>福岡市早良区内野４－１４－８</v>
      </c>
      <c r="L2703" s="403" t="s">
        <v>13714</v>
      </c>
      <c r="M2703" s="403" t="s">
        <v>13715</v>
      </c>
      <c r="N2703" s="403" t="s">
        <v>6334</v>
      </c>
      <c r="O2703" s="403" t="s">
        <v>7084</v>
      </c>
      <c r="P2703" s="403" t="s">
        <v>6949</v>
      </c>
      <c r="Q2703" s="403" t="s">
        <v>13716</v>
      </c>
      <c r="R2703" s="403" t="s">
        <v>22937</v>
      </c>
      <c r="S2703" s="403" t="s">
        <v>18372</v>
      </c>
      <c r="T2703" s="403" t="s">
        <v>18373</v>
      </c>
      <c r="U2703" s="403"/>
      <c r="V2703" s="403" t="s">
        <v>23024</v>
      </c>
      <c r="W2703" s="403" t="s">
        <v>23024</v>
      </c>
      <c r="X2703" s="403" t="s">
        <v>23024</v>
      </c>
      <c r="Y2703" s="403" t="s">
        <v>23024</v>
      </c>
    </row>
    <row r="2704" spans="1:25">
      <c r="A2704" s="363">
        <f t="shared" si="343"/>
        <v>2703</v>
      </c>
      <c r="B2704" s="363" t="str">
        <f t="shared" si="336"/>
        <v>40</v>
      </c>
      <c r="C2704" s="405" t="str">
        <f t="shared" si="337"/>
        <v>第077474号</v>
      </c>
      <c r="D2704" s="405" t="str">
        <f t="shared" si="338"/>
        <v>福岡日信電子（株）</v>
      </c>
      <c r="E2704" s="405" t="str">
        <f t="shared" si="339"/>
        <v>代表取締役</v>
      </c>
      <c r="F2704" s="405" t="str">
        <f t="shared" si="340"/>
        <v>柴田　淳司</v>
      </c>
      <c r="G2704" s="405" t="str">
        <f t="shared" si="341"/>
        <v>主たる営業所</v>
      </c>
      <c r="H2704" s="405" t="str">
        <f t="shared" si="342"/>
        <v>福岡市西区姪の浜４－１０－５</v>
      </c>
      <c r="L2704" s="403" t="s">
        <v>13717</v>
      </c>
      <c r="M2704" s="403" t="s">
        <v>13718</v>
      </c>
      <c r="N2704" s="403" t="s">
        <v>6335</v>
      </c>
      <c r="O2704" s="403" t="s">
        <v>7084</v>
      </c>
      <c r="P2704" s="403" t="s">
        <v>22938</v>
      </c>
      <c r="Q2704" s="403" t="s">
        <v>13719</v>
      </c>
      <c r="R2704" s="403" t="s">
        <v>22939</v>
      </c>
      <c r="S2704" s="403" t="s">
        <v>18374</v>
      </c>
      <c r="T2704" s="403" t="s">
        <v>18375</v>
      </c>
      <c r="U2704" s="403"/>
      <c r="V2704" s="403" t="s">
        <v>23024</v>
      </c>
      <c r="W2704" s="403" t="s">
        <v>23024</v>
      </c>
      <c r="X2704" s="403" t="s">
        <v>23024</v>
      </c>
      <c r="Y2704" s="403" t="s">
        <v>23024</v>
      </c>
    </row>
    <row r="2705" spans="1:25">
      <c r="A2705" s="363">
        <f t="shared" si="343"/>
        <v>2704</v>
      </c>
      <c r="B2705" s="363" t="str">
        <f t="shared" si="336"/>
        <v>40</v>
      </c>
      <c r="C2705" s="405" t="str">
        <f t="shared" si="337"/>
        <v>第077516号</v>
      </c>
      <c r="D2705" s="405" t="str">
        <f t="shared" si="338"/>
        <v>（株）ブイメンテ</v>
      </c>
      <c r="E2705" s="405" t="str">
        <f t="shared" si="339"/>
        <v>代表取締役</v>
      </c>
      <c r="F2705" s="405" t="str">
        <f t="shared" si="340"/>
        <v>近藤　観司</v>
      </c>
      <c r="G2705" s="405" t="str">
        <f t="shared" si="341"/>
        <v>主たる営業所</v>
      </c>
      <c r="H2705" s="405" t="str">
        <f t="shared" si="342"/>
        <v>北九州市若松区北湊町３－２１</v>
      </c>
      <c r="L2705" s="403" t="s">
        <v>13720</v>
      </c>
      <c r="M2705" s="403" t="s">
        <v>13721</v>
      </c>
      <c r="N2705" s="403" t="s">
        <v>6336</v>
      </c>
      <c r="O2705" s="403" t="s">
        <v>7084</v>
      </c>
      <c r="P2705" s="403" t="s">
        <v>6950</v>
      </c>
      <c r="Q2705" s="403" t="s">
        <v>13722</v>
      </c>
      <c r="R2705" s="403" t="s">
        <v>22940</v>
      </c>
      <c r="S2705" s="403" t="s">
        <v>18376</v>
      </c>
      <c r="T2705" s="403" t="s">
        <v>18376</v>
      </c>
      <c r="U2705" s="403"/>
      <c r="V2705" s="403" t="s">
        <v>23024</v>
      </c>
      <c r="W2705" s="403" t="s">
        <v>23024</v>
      </c>
      <c r="X2705" s="403" t="s">
        <v>23024</v>
      </c>
      <c r="Y2705" s="403" t="s">
        <v>23024</v>
      </c>
    </row>
    <row r="2706" spans="1:25">
      <c r="A2706" s="363">
        <f t="shared" si="343"/>
        <v>2705</v>
      </c>
      <c r="B2706" s="363" t="str">
        <f t="shared" si="336"/>
        <v>40</v>
      </c>
      <c r="C2706" s="405" t="str">
        <f t="shared" si="337"/>
        <v>第078556号</v>
      </c>
      <c r="D2706" s="405" t="str">
        <f t="shared" si="338"/>
        <v>佐和屋産業（株）</v>
      </c>
      <c r="E2706" s="405" t="str">
        <f t="shared" si="339"/>
        <v>代表取締役</v>
      </c>
      <c r="F2706" s="405" t="str">
        <f t="shared" si="340"/>
        <v>眞鍋　朋美</v>
      </c>
      <c r="G2706" s="405" t="str">
        <f t="shared" si="341"/>
        <v>主たる営業所</v>
      </c>
      <c r="H2706" s="405" t="str">
        <f t="shared" si="342"/>
        <v>筑紫野市大字山家４０５５－１</v>
      </c>
      <c r="L2706" s="403" t="s">
        <v>13723</v>
      </c>
      <c r="M2706" s="403" t="s">
        <v>13724</v>
      </c>
      <c r="N2706" s="403" t="s">
        <v>6337</v>
      </c>
      <c r="O2706" s="403" t="s">
        <v>7084</v>
      </c>
      <c r="P2706" s="403" t="s">
        <v>6951</v>
      </c>
      <c r="Q2706" s="403" t="s">
        <v>13725</v>
      </c>
      <c r="R2706" s="403" t="s">
        <v>22941</v>
      </c>
      <c r="S2706" s="403" t="s">
        <v>18377</v>
      </c>
      <c r="T2706" s="403" t="s">
        <v>18378</v>
      </c>
      <c r="U2706" s="403"/>
      <c r="V2706" s="403" t="s">
        <v>23024</v>
      </c>
      <c r="W2706" s="403" t="s">
        <v>23024</v>
      </c>
      <c r="X2706" s="403" t="s">
        <v>23024</v>
      </c>
      <c r="Y2706" s="403" t="s">
        <v>23024</v>
      </c>
    </row>
    <row r="2707" spans="1:25">
      <c r="A2707" s="363">
        <f t="shared" si="343"/>
        <v>2706</v>
      </c>
      <c r="B2707" s="363" t="str">
        <f t="shared" si="336"/>
        <v>40</v>
      </c>
      <c r="C2707" s="405" t="str">
        <f t="shared" si="337"/>
        <v>第079256号</v>
      </c>
      <c r="D2707" s="405" t="str">
        <f t="shared" si="338"/>
        <v>（株）ウノシマ</v>
      </c>
      <c r="E2707" s="405" t="str">
        <f t="shared" si="339"/>
        <v>代表取締役</v>
      </c>
      <c r="F2707" s="405" t="str">
        <f t="shared" si="340"/>
        <v>磯永　優二</v>
      </c>
      <c r="G2707" s="405" t="str">
        <f t="shared" si="341"/>
        <v>主たる営業所</v>
      </c>
      <c r="H2707" s="405" t="str">
        <f t="shared" si="342"/>
        <v>豊前市八屋２５４４</v>
      </c>
      <c r="L2707" s="403" t="s">
        <v>13726</v>
      </c>
      <c r="M2707" s="403" t="s">
        <v>13727</v>
      </c>
      <c r="N2707" s="403" t="s">
        <v>6338</v>
      </c>
      <c r="O2707" s="403" t="s">
        <v>7084</v>
      </c>
      <c r="P2707" s="403" t="s">
        <v>6952</v>
      </c>
      <c r="Q2707" s="403" t="s">
        <v>13728</v>
      </c>
      <c r="R2707" s="403" t="s">
        <v>22942</v>
      </c>
      <c r="S2707" s="403" t="s">
        <v>18379</v>
      </c>
      <c r="T2707" s="403" t="s">
        <v>18380</v>
      </c>
      <c r="U2707" s="403"/>
      <c r="V2707" s="403" t="s">
        <v>23024</v>
      </c>
      <c r="W2707" s="403" t="s">
        <v>23024</v>
      </c>
      <c r="X2707" s="403" t="s">
        <v>23024</v>
      </c>
      <c r="Y2707" s="403" t="s">
        <v>23024</v>
      </c>
    </row>
    <row r="2708" spans="1:25">
      <c r="A2708" s="363">
        <f t="shared" si="343"/>
        <v>2707</v>
      </c>
      <c r="B2708" s="363" t="str">
        <f t="shared" si="336"/>
        <v>40</v>
      </c>
      <c r="C2708" s="405" t="str">
        <f t="shared" si="337"/>
        <v>第082411号</v>
      </c>
      <c r="D2708" s="405" t="str">
        <f t="shared" si="338"/>
        <v>（株）大千</v>
      </c>
      <c r="E2708" s="405" t="str">
        <f t="shared" si="339"/>
        <v>代表取締役</v>
      </c>
      <c r="F2708" s="405" t="str">
        <f t="shared" si="340"/>
        <v>原　亮</v>
      </c>
      <c r="G2708" s="405" t="str">
        <f t="shared" si="341"/>
        <v>主たる営業所</v>
      </c>
      <c r="H2708" s="405" t="str">
        <f t="shared" si="342"/>
        <v>行橋市大字長木１２７３</v>
      </c>
      <c r="L2708" s="403" t="s">
        <v>13729</v>
      </c>
      <c r="M2708" s="403" t="s">
        <v>12769</v>
      </c>
      <c r="N2708" s="403" t="s">
        <v>6339</v>
      </c>
      <c r="O2708" s="403" t="s">
        <v>7084</v>
      </c>
      <c r="P2708" s="403" t="s">
        <v>6953</v>
      </c>
      <c r="Q2708" s="403" t="s">
        <v>13694</v>
      </c>
      <c r="R2708" s="403" t="s">
        <v>22915</v>
      </c>
      <c r="S2708" s="403" t="s">
        <v>18381</v>
      </c>
      <c r="T2708" s="403" t="s">
        <v>18357</v>
      </c>
      <c r="U2708" s="403"/>
      <c r="V2708" s="403" t="s">
        <v>23024</v>
      </c>
      <c r="W2708" s="403" t="s">
        <v>23024</v>
      </c>
      <c r="X2708" s="403" t="s">
        <v>23024</v>
      </c>
      <c r="Y2708" s="403" t="s">
        <v>23024</v>
      </c>
    </row>
    <row r="2709" spans="1:25">
      <c r="A2709" s="363">
        <f t="shared" si="343"/>
        <v>2708</v>
      </c>
      <c r="B2709" s="363" t="str">
        <f t="shared" si="336"/>
        <v>40</v>
      </c>
      <c r="C2709" s="405" t="str">
        <f t="shared" si="337"/>
        <v>第090929号</v>
      </c>
      <c r="D2709" s="405" t="str">
        <f t="shared" si="338"/>
        <v>太平ビルサービス（株）</v>
      </c>
      <c r="E2709" s="405" t="str">
        <f t="shared" si="339"/>
        <v>代表取締役</v>
      </c>
      <c r="F2709" s="405" t="str">
        <f t="shared" si="340"/>
        <v>狩野　伸彌</v>
      </c>
      <c r="G2709" s="405" t="str">
        <f t="shared" si="341"/>
        <v>主たる営業所</v>
      </c>
      <c r="H2709" s="405" t="str">
        <f t="shared" si="342"/>
        <v>福岡市博多区博多駅前４－１４－１</v>
      </c>
      <c r="L2709" s="403" t="s">
        <v>13730</v>
      </c>
      <c r="M2709" s="403" t="s">
        <v>13731</v>
      </c>
      <c r="N2709" s="403" t="s">
        <v>6340</v>
      </c>
      <c r="O2709" s="403" t="s">
        <v>7084</v>
      </c>
      <c r="P2709" s="403" t="s">
        <v>6954</v>
      </c>
      <c r="Q2709" s="403" t="s">
        <v>13015</v>
      </c>
      <c r="R2709" s="403" t="s">
        <v>22943</v>
      </c>
      <c r="S2709" s="403" t="s">
        <v>18382</v>
      </c>
      <c r="T2709" s="403" t="s">
        <v>18383</v>
      </c>
      <c r="U2709" s="403"/>
      <c r="V2709" s="403" t="s">
        <v>23024</v>
      </c>
      <c r="W2709" s="403" t="s">
        <v>23024</v>
      </c>
      <c r="X2709" s="403" t="s">
        <v>23024</v>
      </c>
      <c r="Y2709" s="403" t="s">
        <v>23024</v>
      </c>
    </row>
    <row r="2710" spans="1:25">
      <c r="A2710" s="363">
        <f t="shared" si="343"/>
        <v>2709</v>
      </c>
      <c r="B2710" s="363" t="str">
        <f t="shared" si="336"/>
        <v>40</v>
      </c>
      <c r="C2710" s="405" t="str">
        <f t="shared" si="337"/>
        <v>第091371号</v>
      </c>
      <c r="D2710" s="405" t="str">
        <f t="shared" si="338"/>
        <v>サノ・テクノ（株）</v>
      </c>
      <c r="E2710" s="405" t="str">
        <f t="shared" si="339"/>
        <v>代表取締役</v>
      </c>
      <c r="F2710" s="405" t="str">
        <f t="shared" si="340"/>
        <v>佐野　千恵美</v>
      </c>
      <c r="G2710" s="405" t="str">
        <f t="shared" si="341"/>
        <v>主たる営業所</v>
      </c>
      <c r="H2710" s="405" t="str">
        <f t="shared" si="342"/>
        <v>飯塚市目尾６６１－１６</v>
      </c>
      <c r="L2710" s="403" t="s">
        <v>13732</v>
      </c>
      <c r="M2710" s="403" t="s">
        <v>13733</v>
      </c>
      <c r="N2710" s="403" t="s">
        <v>6341</v>
      </c>
      <c r="O2710" s="403" t="s">
        <v>7084</v>
      </c>
      <c r="P2710" s="403" t="s">
        <v>6955</v>
      </c>
      <c r="Q2710" s="403" t="s">
        <v>13734</v>
      </c>
      <c r="R2710" s="403" t="s">
        <v>22944</v>
      </c>
      <c r="S2710" s="403" t="s">
        <v>18384</v>
      </c>
      <c r="T2710" s="403" t="s">
        <v>18385</v>
      </c>
      <c r="U2710" s="403"/>
      <c r="V2710" s="403" t="s">
        <v>23024</v>
      </c>
      <c r="W2710" s="403" t="s">
        <v>23024</v>
      </c>
      <c r="X2710" s="403" t="s">
        <v>23024</v>
      </c>
      <c r="Y2710" s="403" t="s">
        <v>23024</v>
      </c>
    </row>
    <row r="2711" spans="1:25">
      <c r="A2711" s="363">
        <f t="shared" si="343"/>
        <v>2710</v>
      </c>
      <c r="B2711" s="363" t="str">
        <f t="shared" si="336"/>
        <v>40</v>
      </c>
      <c r="C2711" s="405" t="str">
        <f t="shared" si="337"/>
        <v>第092112号</v>
      </c>
      <c r="D2711" s="405" t="str">
        <f t="shared" si="338"/>
        <v>（株）エフ・テクノ</v>
      </c>
      <c r="E2711" s="405" t="str">
        <f t="shared" si="339"/>
        <v>代表取締役</v>
      </c>
      <c r="F2711" s="405" t="str">
        <f t="shared" si="340"/>
        <v>中村　公義</v>
      </c>
      <c r="G2711" s="405" t="str">
        <f t="shared" si="341"/>
        <v>主たる営業所</v>
      </c>
      <c r="H2711" s="405" t="str">
        <f t="shared" si="342"/>
        <v>朝倉市牛木９００－１</v>
      </c>
      <c r="L2711" s="403" t="s">
        <v>13735</v>
      </c>
      <c r="M2711" s="403" t="s">
        <v>13736</v>
      </c>
      <c r="N2711" s="403" t="s">
        <v>6342</v>
      </c>
      <c r="O2711" s="403" t="s">
        <v>7084</v>
      </c>
      <c r="P2711" s="403" t="s">
        <v>6956</v>
      </c>
      <c r="Q2711" s="403" t="s">
        <v>13737</v>
      </c>
      <c r="R2711" s="403" t="s">
        <v>22945</v>
      </c>
      <c r="S2711" s="403" t="s">
        <v>18386</v>
      </c>
      <c r="T2711" s="403" t="s">
        <v>18387</v>
      </c>
      <c r="U2711" s="403"/>
      <c r="V2711" s="403" t="s">
        <v>23024</v>
      </c>
      <c r="W2711" s="403" t="s">
        <v>23024</v>
      </c>
      <c r="X2711" s="403" t="s">
        <v>23024</v>
      </c>
      <c r="Y2711" s="403" t="s">
        <v>23024</v>
      </c>
    </row>
    <row r="2712" spans="1:25">
      <c r="A2712" s="363">
        <f t="shared" si="343"/>
        <v>2711</v>
      </c>
      <c r="B2712" s="363" t="str">
        <f t="shared" si="336"/>
        <v>40</v>
      </c>
      <c r="C2712" s="405" t="str">
        <f t="shared" si="337"/>
        <v>第092311号</v>
      </c>
      <c r="D2712" s="405" t="str">
        <f t="shared" si="338"/>
        <v>（株）テクノユース</v>
      </c>
      <c r="E2712" s="405" t="str">
        <f t="shared" si="339"/>
        <v>代表取締役</v>
      </c>
      <c r="F2712" s="405" t="str">
        <f t="shared" si="340"/>
        <v>脇山　一春</v>
      </c>
      <c r="G2712" s="405" t="str">
        <f t="shared" si="341"/>
        <v>主たる営業所</v>
      </c>
      <c r="H2712" s="405" t="str">
        <f t="shared" si="342"/>
        <v>福岡市城南区鳥飼５－２－３８</v>
      </c>
      <c r="L2712" s="403" t="s">
        <v>13738</v>
      </c>
      <c r="M2712" s="403" t="s">
        <v>13739</v>
      </c>
      <c r="N2712" s="403" t="s">
        <v>6343</v>
      </c>
      <c r="O2712" s="403" t="s">
        <v>7084</v>
      </c>
      <c r="P2712" s="403" t="s">
        <v>6957</v>
      </c>
      <c r="Q2712" s="403" t="s">
        <v>13333</v>
      </c>
      <c r="R2712" s="403" t="s">
        <v>22946</v>
      </c>
      <c r="S2712" s="403" t="s">
        <v>18388</v>
      </c>
      <c r="T2712" s="403" t="s">
        <v>18389</v>
      </c>
      <c r="U2712" s="403"/>
      <c r="V2712" s="403" t="s">
        <v>23024</v>
      </c>
      <c r="W2712" s="403" t="s">
        <v>23024</v>
      </c>
      <c r="X2712" s="403" t="s">
        <v>23024</v>
      </c>
      <c r="Y2712" s="403" t="s">
        <v>23024</v>
      </c>
    </row>
    <row r="2713" spans="1:25">
      <c r="A2713" s="363">
        <f t="shared" si="343"/>
        <v>2712</v>
      </c>
      <c r="B2713" s="363" t="str">
        <f t="shared" si="336"/>
        <v>40</v>
      </c>
      <c r="C2713" s="405" t="str">
        <f t="shared" si="337"/>
        <v>第092846号</v>
      </c>
      <c r="D2713" s="405" t="str">
        <f t="shared" si="338"/>
        <v>亜細亜建設工業（株）</v>
      </c>
      <c r="E2713" s="405" t="str">
        <f t="shared" si="339"/>
        <v>代表取締役</v>
      </c>
      <c r="F2713" s="405" t="str">
        <f t="shared" si="340"/>
        <v>田中　丈夫</v>
      </c>
      <c r="G2713" s="405" t="str">
        <f t="shared" si="341"/>
        <v>主たる営業所</v>
      </c>
      <c r="H2713" s="405" t="str">
        <f t="shared" si="342"/>
        <v>筑紫野市大字山家２０４５－８</v>
      </c>
      <c r="L2713" s="403" t="s">
        <v>13740</v>
      </c>
      <c r="M2713" s="403" t="s">
        <v>13741</v>
      </c>
      <c r="N2713" s="403" t="s">
        <v>6344</v>
      </c>
      <c r="O2713" s="403" t="s">
        <v>7084</v>
      </c>
      <c r="P2713" s="403" t="s">
        <v>6958</v>
      </c>
      <c r="Q2713" s="403" t="s">
        <v>13725</v>
      </c>
      <c r="R2713" s="403" t="s">
        <v>22947</v>
      </c>
      <c r="S2713" s="403" t="s">
        <v>18390</v>
      </c>
      <c r="T2713" s="403" t="s">
        <v>18391</v>
      </c>
      <c r="U2713" s="403"/>
      <c r="V2713" s="403" t="s">
        <v>23024</v>
      </c>
      <c r="W2713" s="403" t="s">
        <v>23024</v>
      </c>
      <c r="X2713" s="403" t="s">
        <v>23024</v>
      </c>
      <c r="Y2713" s="403" t="s">
        <v>23024</v>
      </c>
    </row>
    <row r="2714" spans="1:25">
      <c r="A2714" s="363">
        <f t="shared" si="343"/>
        <v>2713</v>
      </c>
      <c r="B2714" s="363" t="str">
        <f t="shared" si="336"/>
        <v>40</v>
      </c>
      <c r="C2714" s="405" t="str">
        <f t="shared" si="337"/>
        <v>第094569号</v>
      </c>
      <c r="D2714" s="405" t="str">
        <f t="shared" si="338"/>
        <v>（株）秀建</v>
      </c>
      <c r="E2714" s="405" t="str">
        <f t="shared" si="339"/>
        <v>代表取締役</v>
      </c>
      <c r="F2714" s="405" t="str">
        <f t="shared" si="340"/>
        <v>平井　貴裕</v>
      </c>
      <c r="G2714" s="405" t="str">
        <f t="shared" si="341"/>
        <v>主たる営業所</v>
      </c>
      <c r="H2714" s="405" t="str">
        <f t="shared" si="342"/>
        <v>福岡市東区箱崎１－３５－７</v>
      </c>
      <c r="L2714" s="403" t="s">
        <v>13742</v>
      </c>
      <c r="M2714" s="403" t="s">
        <v>13743</v>
      </c>
      <c r="N2714" s="403" t="s">
        <v>6345</v>
      </c>
      <c r="O2714" s="403" t="s">
        <v>7084</v>
      </c>
      <c r="P2714" s="403" t="s">
        <v>6959</v>
      </c>
      <c r="Q2714" s="403" t="s">
        <v>12112</v>
      </c>
      <c r="R2714" s="403" t="s">
        <v>22948</v>
      </c>
      <c r="S2714" s="403" t="s">
        <v>18392</v>
      </c>
      <c r="T2714" s="403" t="s">
        <v>18393</v>
      </c>
      <c r="U2714" s="403"/>
      <c r="V2714" s="403" t="s">
        <v>23024</v>
      </c>
      <c r="W2714" s="403" t="s">
        <v>23024</v>
      </c>
      <c r="X2714" s="403" t="s">
        <v>23024</v>
      </c>
      <c r="Y2714" s="403" t="s">
        <v>23024</v>
      </c>
    </row>
    <row r="2715" spans="1:25">
      <c r="A2715" s="363">
        <f t="shared" si="343"/>
        <v>2714</v>
      </c>
      <c r="B2715" s="363" t="str">
        <f t="shared" si="336"/>
        <v>40</v>
      </c>
      <c r="C2715" s="405" t="str">
        <f t="shared" si="337"/>
        <v>第095701号</v>
      </c>
      <c r="D2715" s="405" t="str">
        <f t="shared" si="338"/>
        <v>カナデビア九州サービス（株）</v>
      </c>
      <c r="E2715" s="405" t="str">
        <f t="shared" si="339"/>
        <v>代表取締役</v>
      </c>
      <c r="F2715" s="405" t="str">
        <f t="shared" si="340"/>
        <v>土橋　一幸</v>
      </c>
      <c r="G2715" s="405" t="str">
        <f t="shared" si="341"/>
        <v>主たる営業所</v>
      </c>
      <c r="H2715" s="405" t="str">
        <f t="shared" si="342"/>
        <v>福岡市博多区博多駅中央街７－２１　給与博多中央ビル</v>
      </c>
      <c r="L2715" s="403" t="s">
        <v>13744</v>
      </c>
      <c r="M2715" s="403" t="s">
        <v>13745</v>
      </c>
      <c r="N2715" s="403" t="s">
        <v>6346</v>
      </c>
      <c r="O2715" s="403" t="s">
        <v>7084</v>
      </c>
      <c r="P2715" s="403" t="s">
        <v>6960</v>
      </c>
      <c r="Q2715" s="403" t="s">
        <v>13015</v>
      </c>
      <c r="R2715" s="403" t="s">
        <v>22949</v>
      </c>
      <c r="S2715" s="403" t="s">
        <v>18394</v>
      </c>
      <c r="T2715" s="403" t="s">
        <v>18395</v>
      </c>
      <c r="U2715" s="403"/>
      <c r="V2715" s="403" t="s">
        <v>23024</v>
      </c>
      <c r="W2715" s="403" t="s">
        <v>23024</v>
      </c>
      <c r="X2715" s="403" t="s">
        <v>23024</v>
      </c>
      <c r="Y2715" s="403" t="s">
        <v>23024</v>
      </c>
    </row>
    <row r="2716" spans="1:25">
      <c r="A2716" s="363">
        <f t="shared" si="343"/>
        <v>2715</v>
      </c>
      <c r="B2716" s="363" t="str">
        <f t="shared" si="336"/>
        <v>40</v>
      </c>
      <c r="C2716" s="405" t="str">
        <f t="shared" si="337"/>
        <v>第095803号</v>
      </c>
      <c r="D2716" s="405" t="str">
        <f t="shared" si="338"/>
        <v>大新産業（株）</v>
      </c>
      <c r="E2716" s="405" t="str">
        <f t="shared" si="339"/>
        <v>代表取締役</v>
      </c>
      <c r="F2716" s="405" t="str">
        <f t="shared" si="340"/>
        <v>上田　新治</v>
      </c>
      <c r="G2716" s="405" t="str">
        <f t="shared" si="341"/>
        <v>主たる営業所</v>
      </c>
      <c r="H2716" s="405" t="str">
        <f t="shared" si="342"/>
        <v>田川郡福智町上野１４７１</v>
      </c>
      <c r="L2716" s="403" t="s">
        <v>13746</v>
      </c>
      <c r="M2716" s="403" t="s">
        <v>13747</v>
      </c>
      <c r="N2716" s="403" t="s">
        <v>6347</v>
      </c>
      <c r="O2716" s="403" t="s">
        <v>7084</v>
      </c>
      <c r="P2716" s="403" t="s">
        <v>6961</v>
      </c>
      <c r="Q2716" s="403" t="s">
        <v>13748</v>
      </c>
      <c r="R2716" s="403" t="s">
        <v>22950</v>
      </c>
      <c r="S2716" s="403" t="s">
        <v>18396</v>
      </c>
      <c r="T2716" s="403" t="s">
        <v>18397</v>
      </c>
      <c r="U2716" s="403"/>
      <c r="V2716" s="403" t="s">
        <v>23024</v>
      </c>
      <c r="W2716" s="403" t="s">
        <v>23024</v>
      </c>
      <c r="X2716" s="403" t="s">
        <v>23024</v>
      </c>
      <c r="Y2716" s="403" t="s">
        <v>23024</v>
      </c>
    </row>
    <row r="2717" spans="1:25">
      <c r="A2717" s="363">
        <f t="shared" si="343"/>
        <v>2716</v>
      </c>
      <c r="B2717" s="363" t="str">
        <f t="shared" si="336"/>
        <v>40</v>
      </c>
      <c r="C2717" s="405" t="str">
        <f t="shared" si="337"/>
        <v>第098374号</v>
      </c>
      <c r="D2717" s="405" t="str">
        <f t="shared" si="338"/>
        <v>（株）エヌ・ティ・ティ・データ九州</v>
      </c>
      <c r="E2717" s="405" t="str">
        <f t="shared" si="339"/>
        <v>代表取締役</v>
      </c>
      <c r="F2717" s="405" t="str">
        <f t="shared" si="340"/>
        <v>常磐　圭史</v>
      </c>
      <c r="G2717" s="405" t="str">
        <f t="shared" si="341"/>
        <v>主たる営業所</v>
      </c>
      <c r="H2717" s="405" t="str">
        <f t="shared" si="342"/>
        <v>福岡市博多区博多駅前１－１７－２１</v>
      </c>
      <c r="L2717" s="403" t="s">
        <v>13749</v>
      </c>
      <c r="M2717" s="403" t="s">
        <v>13750</v>
      </c>
      <c r="N2717" s="403" t="s">
        <v>6348</v>
      </c>
      <c r="O2717" s="403" t="s">
        <v>7084</v>
      </c>
      <c r="P2717" s="403" t="s">
        <v>6962</v>
      </c>
      <c r="Q2717" s="403" t="s">
        <v>13015</v>
      </c>
      <c r="R2717" s="403" t="s">
        <v>22460</v>
      </c>
      <c r="S2717" s="403" t="s">
        <v>18398</v>
      </c>
      <c r="T2717" s="403" t="s">
        <v>18399</v>
      </c>
      <c r="U2717" s="403"/>
      <c r="V2717" s="403" t="s">
        <v>23024</v>
      </c>
      <c r="W2717" s="403" t="s">
        <v>23024</v>
      </c>
      <c r="X2717" s="403" t="s">
        <v>23024</v>
      </c>
      <c r="Y2717" s="403" t="s">
        <v>23024</v>
      </c>
    </row>
    <row r="2718" spans="1:25">
      <c r="A2718" s="363">
        <f t="shared" si="343"/>
        <v>2717</v>
      </c>
      <c r="B2718" s="363" t="str">
        <f t="shared" si="336"/>
        <v>40</v>
      </c>
      <c r="C2718" s="405" t="str">
        <f t="shared" si="337"/>
        <v>第098830号</v>
      </c>
      <c r="D2718" s="405" t="str">
        <f t="shared" si="338"/>
        <v>太新工業（株）</v>
      </c>
      <c r="E2718" s="405" t="str">
        <f t="shared" si="339"/>
        <v>代表取締役</v>
      </c>
      <c r="F2718" s="405" t="str">
        <f t="shared" si="340"/>
        <v>大水　静雄</v>
      </c>
      <c r="G2718" s="405" t="str">
        <f t="shared" si="341"/>
        <v>主たる営業所</v>
      </c>
      <c r="H2718" s="405" t="str">
        <f t="shared" si="342"/>
        <v>京都郡苅田町鳥越町１－２６</v>
      </c>
      <c r="L2718" s="403" t="s">
        <v>13751</v>
      </c>
      <c r="M2718" s="403" t="s">
        <v>13752</v>
      </c>
      <c r="N2718" s="403" t="s">
        <v>6349</v>
      </c>
      <c r="O2718" s="403" t="s">
        <v>7084</v>
      </c>
      <c r="P2718" s="403" t="s">
        <v>6963</v>
      </c>
      <c r="Q2718" s="403" t="s">
        <v>13753</v>
      </c>
      <c r="R2718" s="403" t="s">
        <v>22951</v>
      </c>
      <c r="S2718" s="403" t="s">
        <v>18400</v>
      </c>
      <c r="T2718" s="403" t="s">
        <v>18401</v>
      </c>
      <c r="U2718" s="403"/>
      <c r="V2718" s="403" t="s">
        <v>23024</v>
      </c>
      <c r="W2718" s="403" t="s">
        <v>23024</v>
      </c>
      <c r="X2718" s="403" t="s">
        <v>23024</v>
      </c>
      <c r="Y2718" s="403" t="s">
        <v>23024</v>
      </c>
    </row>
    <row r="2719" spans="1:25">
      <c r="A2719" s="363">
        <f t="shared" si="343"/>
        <v>2718</v>
      </c>
      <c r="B2719" s="363" t="str">
        <f t="shared" si="336"/>
        <v>40</v>
      </c>
      <c r="C2719" s="405" t="str">
        <f t="shared" si="337"/>
        <v>第100287号</v>
      </c>
      <c r="D2719" s="405" t="str">
        <f t="shared" si="338"/>
        <v>第一警備保障（株）</v>
      </c>
      <c r="E2719" s="405" t="str">
        <f t="shared" si="339"/>
        <v>代表取締役</v>
      </c>
      <c r="F2719" s="405" t="str">
        <f t="shared" si="340"/>
        <v>宮原　和貴</v>
      </c>
      <c r="G2719" s="405" t="str">
        <f t="shared" si="341"/>
        <v>主たる営業所</v>
      </c>
      <c r="H2719" s="405" t="str">
        <f t="shared" si="342"/>
        <v>北九州市戸畑区川代２－１－２</v>
      </c>
      <c r="L2719" s="403" t="s">
        <v>13754</v>
      </c>
      <c r="M2719" s="403" t="s">
        <v>13755</v>
      </c>
      <c r="N2719" s="403" t="s">
        <v>6350</v>
      </c>
      <c r="O2719" s="403" t="s">
        <v>7084</v>
      </c>
      <c r="P2719" s="403" t="s">
        <v>6964</v>
      </c>
      <c r="Q2719" s="403" t="s">
        <v>13756</v>
      </c>
      <c r="R2719" s="403" t="s">
        <v>22952</v>
      </c>
      <c r="S2719" s="403" t="s">
        <v>18402</v>
      </c>
      <c r="T2719" s="403" t="s">
        <v>18403</v>
      </c>
      <c r="U2719" s="403"/>
      <c r="V2719" s="403" t="s">
        <v>23024</v>
      </c>
      <c r="W2719" s="403" t="s">
        <v>23024</v>
      </c>
      <c r="X2719" s="403" t="s">
        <v>23024</v>
      </c>
      <c r="Y2719" s="403" t="s">
        <v>23024</v>
      </c>
    </row>
    <row r="2720" spans="1:25">
      <c r="A2720" s="363">
        <f t="shared" si="343"/>
        <v>2719</v>
      </c>
      <c r="B2720" s="363" t="str">
        <f t="shared" si="336"/>
        <v>40</v>
      </c>
      <c r="C2720" s="405" t="str">
        <f t="shared" si="337"/>
        <v>第100411号</v>
      </c>
      <c r="D2720" s="405" t="str">
        <f t="shared" si="338"/>
        <v>宮川建設（株）</v>
      </c>
      <c r="E2720" s="405" t="str">
        <f t="shared" si="339"/>
        <v>代表取締役</v>
      </c>
      <c r="F2720" s="405" t="str">
        <f t="shared" si="340"/>
        <v>宮川　土成</v>
      </c>
      <c r="G2720" s="405" t="str">
        <f t="shared" si="341"/>
        <v>主たる営業所</v>
      </c>
      <c r="H2720" s="405" t="str">
        <f t="shared" si="342"/>
        <v>福岡市中央区那の津３－１５－３</v>
      </c>
      <c r="L2720" s="403" t="s">
        <v>13757</v>
      </c>
      <c r="M2720" s="403" t="s">
        <v>13758</v>
      </c>
      <c r="N2720" s="403" t="s">
        <v>6351</v>
      </c>
      <c r="O2720" s="403" t="s">
        <v>7084</v>
      </c>
      <c r="P2720" s="403" t="s">
        <v>6965</v>
      </c>
      <c r="Q2720" s="403" t="s">
        <v>13759</v>
      </c>
      <c r="R2720" s="403" t="s">
        <v>22953</v>
      </c>
      <c r="S2720" s="403" t="s">
        <v>18404</v>
      </c>
      <c r="T2720" s="403" t="s">
        <v>18405</v>
      </c>
      <c r="U2720" s="403"/>
      <c r="V2720" s="403" t="s">
        <v>23024</v>
      </c>
      <c r="W2720" s="403" t="s">
        <v>23024</v>
      </c>
      <c r="X2720" s="403" t="s">
        <v>23024</v>
      </c>
      <c r="Y2720" s="403" t="s">
        <v>23024</v>
      </c>
    </row>
    <row r="2721" spans="1:25">
      <c r="A2721" s="363">
        <f t="shared" si="343"/>
        <v>2720</v>
      </c>
      <c r="B2721" s="363" t="str">
        <f t="shared" si="336"/>
        <v>40</v>
      </c>
      <c r="C2721" s="405" t="str">
        <f t="shared" si="337"/>
        <v>第101555号</v>
      </c>
      <c r="D2721" s="405" t="str">
        <f t="shared" si="338"/>
        <v>太陽築炉工業（株）</v>
      </c>
      <c r="E2721" s="405" t="str">
        <f t="shared" si="339"/>
        <v>代表取締役社長</v>
      </c>
      <c r="F2721" s="405" t="str">
        <f t="shared" si="340"/>
        <v>江口　正司</v>
      </c>
      <c r="G2721" s="405" t="str">
        <f t="shared" si="341"/>
        <v>主たる営業所</v>
      </c>
      <c r="H2721" s="405" t="str">
        <f t="shared" si="342"/>
        <v>福岡市博多区東公園６－２１</v>
      </c>
      <c r="L2721" s="403" t="s">
        <v>13760</v>
      </c>
      <c r="M2721" s="403" t="s">
        <v>13761</v>
      </c>
      <c r="N2721" s="403" t="s">
        <v>6352</v>
      </c>
      <c r="O2721" s="403" t="s">
        <v>7083</v>
      </c>
      <c r="P2721" s="403" t="s">
        <v>6966</v>
      </c>
      <c r="Q2721" s="403" t="s">
        <v>13762</v>
      </c>
      <c r="R2721" s="403" t="s">
        <v>22954</v>
      </c>
      <c r="S2721" s="403" t="s">
        <v>18406</v>
      </c>
      <c r="T2721" s="403" t="s">
        <v>18407</v>
      </c>
      <c r="U2721" s="403"/>
      <c r="V2721" s="403" t="s">
        <v>23024</v>
      </c>
      <c r="W2721" s="403" t="s">
        <v>23024</v>
      </c>
      <c r="X2721" s="403" t="s">
        <v>23024</v>
      </c>
      <c r="Y2721" s="403" t="s">
        <v>23024</v>
      </c>
    </row>
    <row r="2722" spans="1:25">
      <c r="A2722" s="363">
        <f t="shared" si="343"/>
        <v>2721</v>
      </c>
      <c r="B2722" s="363" t="str">
        <f t="shared" si="336"/>
        <v>40</v>
      </c>
      <c r="C2722" s="405" t="str">
        <f t="shared" si="337"/>
        <v>第101612号</v>
      </c>
      <c r="D2722" s="405" t="str">
        <f t="shared" si="338"/>
        <v>遊景産業（株）</v>
      </c>
      <c r="E2722" s="405" t="str">
        <f t="shared" si="339"/>
        <v>代表取締役</v>
      </c>
      <c r="F2722" s="405" t="str">
        <f t="shared" si="340"/>
        <v>佐田　直樹</v>
      </c>
      <c r="G2722" s="405" t="str">
        <f t="shared" si="341"/>
        <v>主たる営業所</v>
      </c>
      <c r="H2722" s="405" t="str">
        <f t="shared" si="342"/>
        <v>福岡市南区警弥郷１－１５－１０</v>
      </c>
      <c r="L2722" s="403" t="s">
        <v>13763</v>
      </c>
      <c r="M2722" s="403" t="s">
        <v>13764</v>
      </c>
      <c r="N2722" s="403" t="s">
        <v>6353</v>
      </c>
      <c r="O2722" s="403" t="s">
        <v>7084</v>
      </c>
      <c r="P2722" s="403" t="s">
        <v>6967</v>
      </c>
      <c r="Q2722" s="403" t="s">
        <v>13765</v>
      </c>
      <c r="R2722" s="403" t="s">
        <v>22955</v>
      </c>
      <c r="S2722" s="403" t="s">
        <v>18408</v>
      </c>
      <c r="T2722" s="403" t="s">
        <v>18409</v>
      </c>
      <c r="U2722" s="403"/>
      <c r="V2722" s="403" t="s">
        <v>23024</v>
      </c>
      <c r="W2722" s="403" t="s">
        <v>23024</v>
      </c>
      <c r="X2722" s="403" t="s">
        <v>23024</v>
      </c>
      <c r="Y2722" s="403" t="s">
        <v>23024</v>
      </c>
    </row>
    <row r="2723" spans="1:25">
      <c r="A2723" s="363">
        <f t="shared" si="343"/>
        <v>2722</v>
      </c>
      <c r="B2723" s="363" t="str">
        <f t="shared" si="336"/>
        <v>40</v>
      </c>
      <c r="C2723" s="405" t="str">
        <f t="shared" si="337"/>
        <v>第102613号</v>
      </c>
      <c r="D2723" s="405" t="str">
        <f t="shared" si="338"/>
        <v>（株）ナイガイ</v>
      </c>
      <c r="E2723" s="405" t="str">
        <f t="shared" si="339"/>
        <v>代表取締役</v>
      </c>
      <c r="F2723" s="405" t="str">
        <f t="shared" si="340"/>
        <v>古財　琢磨</v>
      </c>
      <c r="G2723" s="405" t="str">
        <f t="shared" si="341"/>
        <v>主たる営業所</v>
      </c>
      <c r="H2723" s="405" t="str">
        <f t="shared" si="342"/>
        <v>久留米市東合川６－４－５２</v>
      </c>
      <c r="L2723" s="403" t="s">
        <v>22956</v>
      </c>
      <c r="M2723" s="403" t="s">
        <v>22957</v>
      </c>
      <c r="N2723" s="403" t="s">
        <v>22958</v>
      </c>
      <c r="O2723" s="403" t="s">
        <v>7084</v>
      </c>
      <c r="P2723" s="403" t="s">
        <v>22959</v>
      </c>
      <c r="Q2723" s="403" t="s">
        <v>12956</v>
      </c>
      <c r="R2723" s="403" t="s">
        <v>22960</v>
      </c>
      <c r="S2723" s="403" t="s">
        <v>22961</v>
      </c>
      <c r="T2723" s="403" t="s">
        <v>22962</v>
      </c>
      <c r="U2723" s="403"/>
      <c r="V2723" s="403" t="s">
        <v>23024</v>
      </c>
      <c r="W2723" s="403" t="s">
        <v>23024</v>
      </c>
      <c r="X2723" s="403" t="s">
        <v>23024</v>
      </c>
      <c r="Y2723" s="403" t="s">
        <v>23024</v>
      </c>
    </row>
    <row r="2724" spans="1:25">
      <c r="A2724" s="363">
        <f t="shared" si="343"/>
        <v>2723</v>
      </c>
      <c r="B2724" s="363" t="str">
        <f t="shared" si="336"/>
        <v>40</v>
      </c>
      <c r="C2724" s="405" t="str">
        <f t="shared" si="337"/>
        <v>第104802号</v>
      </c>
      <c r="D2724" s="405" t="str">
        <f t="shared" si="338"/>
        <v>（株）才田組</v>
      </c>
      <c r="E2724" s="405" t="str">
        <f t="shared" si="339"/>
        <v>代表取締役</v>
      </c>
      <c r="F2724" s="405" t="str">
        <f t="shared" si="340"/>
        <v>才田　善之</v>
      </c>
      <c r="G2724" s="405" t="str">
        <f t="shared" si="341"/>
        <v>主たる営業所</v>
      </c>
      <c r="H2724" s="405" t="str">
        <f t="shared" si="342"/>
        <v>福岡市博多区光丘町１－２－３０</v>
      </c>
      <c r="L2724" s="403" t="s">
        <v>13766</v>
      </c>
      <c r="M2724" s="403" t="s">
        <v>13767</v>
      </c>
      <c r="N2724" s="403" t="s">
        <v>6354</v>
      </c>
      <c r="O2724" s="403" t="s">
        <v>7084</v>
      </c>
      <c r="P2724" s="403" t="s">
        <v>6968</v>
      </c>
      <c r="Q2724" s="403" t="s">
        <v>13768</v>
      </c>
      <c r="R2724" s="403" t="s">
        <v>22963</v>
      </c>
      <c r="S2724" s="403" t="s">
        <v>18410</v>
      </c>
      <c r="T2724" s="403" t="s">
        <v>18411</v>
      </c>
      <c r="U2724" s="403"/>
      <c r="V2724" s="403" t="s">
        <v>23024</v>
      </c>
      <c r="W2724" s="403" t="s">
        <v>23024</v>
      </c>
      <c r="X2724" s="403" t="s">
        <v>23024</v>
      </c>
      <c r="Y2724" s="403" t="s">
        <v>23024</v>
      </c>
    </row>
    <row r="2725" spans="1:25">
      <c r="A2725" s="363">
        <f t="shared" si="343"/>
        <v>2724</v>
      </c>
      <c r="B2725" s="363" t="str">
        <f t="shared" si="336"/>
        <v>40</v>
      </c>
      <c r="C2725" s="405" t="str">
        <f t="shared" si="337"/>
        <v>第105643号</v>
      </c>
      <c r="D2725" s="405" t="str">
        <f t="shared" si="338"/>
        <v>箱崎プラント工業（株）</v>
      </c>
      <c r="E2725" s="405" t="str">
        <f t="shared" si="339"/>
        <v>代表取締役</v>
      </c>
      <c r="F2725" s="405" t="str">
        <f t="shared" si="340"/>
        <v>野村　健志</v>
      </c>
      <c r="G2725" s="405" t="str">
        <f t="shared" si="341"/>
        <v>主たる営業所</v>
      </c>
      <c r="H2725" s="405" t="str">
        <f t="shared" si="342"/>
        <v>福岡市博多区金の隈２－１７－３５</v>
      </c>
      <c r="L2725" s="403" t="s">
        <v>13769</v>
      </c>
      <c r="M2725" s="403" t="s">
        <v>13770</v>
      </c>
      <c r="N2725" s="403" t="s">
        <v>6355</v>
      </c>
      <c r="O2725" s="403" t="s">
        <v>7084</v>
      </c>
      <c r="P2725" s="403" t="s">
        <v>6969</v>
      </c>
      <c r="Q2725" s="403" t="s">
        <v>13707</v>
      </c>
      <c r="R2725" s="403" t="s">
        <v>22964</v>
      </c>
      <c r="S2725" s="403" t="s">
        <v>18412</v>
      </c>
      <c r="T2725" s="403" t="s">
        <v>18413</v>
      </c>
      <c r="U2725" s="403"/>
      <c r="V2725" s="403" t="s">
        <v>23024</v>
      </c>
      <c r="W2725" s="403" t="s">
        <v>23024</v>
      </c>
      <c r="X2725" s="403" t="s">
        <v>23024</v>
      </c>
      <c r="Y2725" s="403" t="s">
        <v>23024</v>
      </c>
    </row>
    <row r="2726" spans="1:25">
      <c r="A2726" s="363">
        <f t="shared" si="343"/>
        <v>2725</v>
      </c>
      <c r="B2726" s="363" t="str">
        <f t="shared" si="336"/>
        <v>40</v>
      </c>
      <c r="C2726" s="405" t="str">
        <f t="shared" si="337"/>
        <v>第106545号</v>
      </c>
      <c r="D2726" s="405" t="str">
        <f t="shared" si="338"/>
        <v>（株）環境技研</v>
      </c>
      <c r="E2726" s="405" t="str">
        <f t="shared" si="339"/>
        <v>代表取締役</v>
      </c>
      <c r="F2726" s="405" t="str">
        <f t="shared" si="340"/>
        <v>原　正泰</v>
      </c>
      <c r="G2726" s="405" t="str">
        <f t="shared" si="341"/>
        <v>主たる営業所</v>
      </c>
      <c r="H2726" s="405" t="str">
        <f t="shared" si="342"/>
        <v>福岡市博多区麦野１－１３－６</v>
      </c>
      <c r="L2726" s="403" t="s">
        <v>13771</v>
      </c>
      <c r="M2726" s="403" t="s">
        <v>13772</v>
      </c>
      <c r="N2726" s="403" t="s">
        <v>6356</v>
      </c>
      <c r="O2726" s="403" t="s">
        <v>7084</v>
      </c>
      <c r="P2726" s="403" t="s">
        <v>6970</v>
      </c>
      <c r="Q2726" s="403" t="s">
        <v>13080</v>
      </c>
      <c r="R2726" s="403" t="s">
        <v>22901</v>
      </c>
      <c r="S2726" s="403" t="s">
        <v>18414</v>
      </c>
      <c r="T2726" s="403" t="s">
        <v>18415</v>
      </c>
      <c r="U2726" s="403"/>
      <c r="V2726" s="403" t="s">
        <v>23024</v>
      </c>
      <c r="W2726" s="403" t="s">
        <v>23024</v>
      </c>
      <c r="X2726" s="403" t="s">
        <v>23024</v>
      </c>
      <c r="Y2726" s="403" t="s">
        <v>23024</v>
      </c>
    </row>
    <row r="2727" spans="1:25">
      <c r="A2727" s="363">
        <f t="shared" si="343"/>
        <v>2726</v>
      </c>
      <c r="B2727" s="363" t="str">
        <f t="shared" si="336"/>
        <v>40</v>
      </c>
      <c r="C2727" s="405" t="str">
        <f t="shared" si="337"/>
        <v>第106731号</v>
      </c>
      <c r="D2727" s="405" t="str">
        <f t="shared" si="338"/>
        <v>ユージーエンジニアリング（株）</v>
      </c>
      <c r="E2727" s="405" t="str">
        <f t="shared" si="339"/>
        <v>代表取締役</v>
      </c>
      <c r="F2727" s="405" t="str">
        <f t="shared" si="340"/>
        <v>宇賀　良太</v>
      </c>
      <c r="G2727" s="405" t="str">
        <f t="shared" si="341"/>
        <v>主たる営業所</v>
      </c>
      <c r="H2727" s="405" t="str">
        <f t="shared" si="342"/>
        <v>福岡市博多区金の隈３－１６－６６</v>
      </c>
      <c r="L2727" s="403" t="s">
        <v>13773</v>
      </c>
      <c r="M2727" s="403" t="s">
        <v>13774</v>
      </c>
      <c r="N2727" s="403" t="s">
        <v>6357</v>
      </c>
      <c r="O2727" s="403" t="s">
        <v>7084</v>
      </c>
      <c r="P2727" s="403" t="s">
        <v>6404</v>
      </c>
      <c r="Q2727" s="403" t="s">
        <v>13707</v>
      </c>
      <c r="R2727" s="403" t="s">
        <v>20788</v>
      </c>
      <c r="S2727" s="403" t="s">
        <v>18416</v>
      </c>
      <c r="T2727" s="403" t="s">
        <v>18417</v>
      </c>
      <c r="U2727" s="403"/>
      <c r="V2727" s="403" t="s">
        <v>23024</v>
      </c>
      <c r="W2727" s="403" t="s">
        <v>23024</v>
      </c>
      <c r="X2727" s="403" t="s">
        <v>23024</v>
      </c>
      <c r="Y2727" s="403" t="s">
        <v>23024</v>
      </c>
    </row>
    <row r="2728" spans="1:25">
      <c r="A2728" s="363">
        <f t="shared" si="343"/>
        <v>2727</v>
      </c>
      <c r="B2728" s="363" t="str">
        <f t="shared" si="336"/>
        <v>40</v>
      </c>
      <c r="C2728" s="405" t="str">
        <f t="shared" si="337"/>
        <v>第107355号</v>
      </c>
      <c r="D2728" s="405" t="str">
        <f t="shared" si="338"/>
        <v>（株）白海</v>
      </c>
      <c r="E2728" s="405" t="str">
        <f t="shared" si="339"/>
        <v>代表取締役</v>
      </c>
      <c r="F2728" s="405" t="str">
        <f t="shared" si="340"/>
        <v>石橋　敬</v>
      </c>
      <c r="G2728" s="405" t="str">
        <f t="shared" si="341"/>
        <v>主たる営業所</v>
      </c>
      <c r="H2728" s="405" t="str">
        <f t="shared" si="342"/>
        <v>北九州市若松区響町３－１－３３</v>
      </c>
      <c r="L2728" s="403" t="s">
        <v>13775</v>
      </c>
      <c r="M2728" s="403" t="s">
        <v>13776</v>
      </c>
      <c r="N2728" s="403" t="s">
        <v>6358</v>
      </c>
      <c r="O2728" s="403" t="s">
        <v>7084</v>
      </c>
      <c r="P2728" s="403" t="s">
        <v>6971</v>
      </c>
      <c r="Q2728" s="403" t="s">
        <v>13777</v>
      </c>
      <c r="R2728" s="403" t="s">
        <v>22965</v>
      </c>
      <c r="S2728" s="403" t="s">
        <v>18418</v>
      </c>
      <c r="T2728" s="403" t="s">
        <v>18419</v>
      </c>
      <c r="U2728" s="403"/>
      <c r="V2728" s="403" t="s">
        <v>23024</v>
      </c>
      <c r="W2728" s="403" t="s">
        <v>23024</v>
      </c>
      <c r="X2728" s="403" t="s">
        <v>23024</v>
      </c>
      <c r="Y2728" s="403" t="s">
        <v>23024</v>
      </c>
    </row>
    <row r="2729" spans="1:25">
      <c r="A2729" s="363">
        <f t="shared" si="343"/>
        <v>2728</v>
      </c>
      <c r="B2729" s="363" t="str">
        <f t="shared" si="336"/>
        <v>40</v>
      </c>
      <c r="C2729" s="405" t="str">
        <f t="shared" si="337"/>
        <v>第107526号</v>
      </c>
      <c r="D2729" s="405" t="str">
        <f t="shared" si="338"/>
        <v>（株）ＷＥＬＭＡ</v>
      </c>
      <c r="E2729" s="405" t="str">
        <f t="shared" si="339"/>
        <v>代表取締役</v>
      </c>
      <c r="F2729" s="405" t="str">
        <f t="shared" si="340"/>
        <v>藤瀬　吉博</v>
      </c>
      <c r="G2729" s="405" t="str">
        <f t="shared" si="341"/>
        <v>主たる営業所</v>
      </c>
      <c r="H2729" s="405" t="str">
        <f t="shared" si="342"/>
        <v>福岡市中央区渡辺通２－３－３</v>
      </c>
      <c r="L2729" s="403" t="s">
        <v>13778</v>
      </c>
      <c r="M2729" s="403" t="s">
        <v>13779</v>
      </c>
      <c r="N2729" s="403" t="s">
        <v>6359</v>
      </c>
      <c r="O2729" s="403" t="s">
        <v>7084</v>
      </c>
      <c r="P2729" s="403" t="s">
        <v>6972</v>
      </c>
      <c r="Q2729" s="403" t="s">
        <v>13027</v>
      </c>
      <c r="R2729" s="403" t="s">
        <v>22966</v>
      </c>
      <c r="S2729" s="403" t="s">
        <v>18420</v>
      </c>
      <c r="T2729" s="403" t="s">
        <v>18421</v>
      </c>
      <c r="U2729" s="403"/>
      <c r="V2729" s="403" t="s">
        <v>23024</v>
      </c>
      <c r="W2729" s="403" t="s">
        <v>23024</v>
      </c>
      <c r="X2729" s="403" t="s">
        <v>23024</v>
      </c>
      <c r="Y2729" s="403" t="s">
        <v>23024</v>
      </c>
    </row>
    <row r="2730" spans="1:25">
      <c r="A2730" s="363">
        <f t="shared" si="343"/>
        <v>2729</v>
      </c>
      <c r="B2730" s="363" t="str">
        <f t="shared" si="336"/>
        <v>40</v>
      </c>
      <c r="C2730" s="405" t="str">
        <f t="shared" si="337"/>
        <v>第109232号</v>
      </c>
      <c r="D2730" s="405" t="str">
        <f t="shared" si="338"/>
        <v>（株）トレス</v>
      </c>
      <c r="E2730" s="405" t="str">
        <f t="shared" si="339"/>
        <v>代表取締役</v>
      </c>
      <c r="F2730" s="405" t="str">
        <f t="shared" si="340"/>
        <v>黒木　圭</v>
      </c>
      <c r="G2730" s="405" t="str">
        <f t="shared" si="341"/>
        <v>主たる営業所</v>
      </c>
      <c r="H2730" s="405" t="str">
        <f t="shared" si="342"/>
        <v>行橋市大字辻垣１３３－１</v>
      </c>
      <c r="L2730" s="403" t="s">
        <v>13780</v>
      </c>
      <c r="M2730" s="403" t="s">
        <v>13781</v>
      </c>
      <c r="N2730" s="403" t="s">
        <v>6360</v>
      </c>
      <c r="O2730" s="403" t="s">
        <v>7084</v>
      </c>
      <c r="P2730" s="403" t="s">
        <v>6973</v>
      </c>
      <c r="Q2730" s="403" t="s">
        <v>13782</v>
      </c>
      <c r="R2730" s="403" t="s">
        <v>22967</v>
      </c>
      <c r="S2730" s="403" t="s">
        <v>18422</v>
      </c>
      <c r="T2730" s="403" t="s">
        <v>18423</v>
      </c>
      <c r="U2730" s="403"/>
      <c r="V2730" s="403" t="s">
        <v>23024</v>
      </c>
      <c r="W2730" s="403" t="s">
        <v>23024</v>
      </c>
      <c r="X2730" s="403" t="s">
        <v>23024</v>
      </c>
      <c r="Y2730" s="403" t="s">
        <v>23024</v>
      </c>
    </row>
    <row r="2731" spans="1:25">
      <c r="A2731" s="363">
        <f t="shared" si="343"/>
        <v>2730</v>
      </c>
      <c r="B2731" s="363" t="str">
        <f t="shared" si="336"/>
        <v>40</v>
      </c>
      <c r="C2731" s="405" t="str">
        <f t="shared" si="337"/>
        <v>第109515号</v>
      </c>
      <c r="D2731" s="405" t="str">
        <f t="shared" si="338"/>
        <v>平井スポーツ建設（株）</v>
      </c>
      <c r="E2731" s="405" t="str">
        <f t="shared" si="339"/>
        <v>代表取締役</v>
      </c>
      <c r="F2731" s="405" t="str">
        <f t="shared" si="340"/>
        <v>平井　秀文</v>
      </c>
      <c r="G2731" s="405" t="str">
        <f t="shared" si="341"/>
        <v>主たる営業所</v>
      </c>
      <c r="H2731" s="405" t="str">
        <f t="shared" si="342"/>
        <v>福岡市東区箱崎１－３５－７</v>
      </c>
      <c r="L2731" s="403" t="s">
        <v>13783</v>
      </c>
      <c r="M2731" s="403" t="s">
        <v>13784</v>
      </c>
      <c r="N2731" s="403" t="s">
        <v>6361</v>
      </c>
      <c r="O2731" s="403" t="s">
        <v>7084</v>
      </c>
      <c r="P2731" s="403" t="s">
        <v>6974</v>
      </c>
      <c r="Q2731" s="403" t="s">
        <v>12112</v>
      </c>
      <c r="R2731" s="403" t="s">
        <v>22948</v>
      </c>
      <c r="S2731" s="403" t="s">
        <v>18424</v>
      </c>
      <c r="T2731" s="403" t="s">
        <v>18425</v>
      </c>
      <c r="U2731" s="403"/>
      <c r="V2731" s="403" t="s">
        <v>23024</v>
      </c>
      <c r="W2731" s="403" t="s">
        <v>23024</v>
      </c>
      <c r="X2731" s="403" t="s">
        <v>23024</v>
      </c>
      <c r="Y2731" s="403" t="s">
        <v>23024</v>
      </c>
    </row>
    <row r="2732" spans="1:25">
      <c r="A2732" s="363">
        <f t="shared" si="343"/>
        <v>2731</v>
      </c>
      <c r="B2732" s="363" t="str">
        <f t="shared" si="336"/>
        <v>40</v>
      </c>
      <c r="C2732" s="405" t="str">
        <f t="shared" si="337"/>
        <v>第111044号</v>
      </c>
      <c r="D2732" s="405" t="str">
        <f t="shared" si="338"/>
        <v>飯田建設（株）</v>
      </c>
      <c r="E2732" s="405" t="str">
        <f t="shared" si="339"/>
        <v>代表取締役</v>
      </c>
      <c r="F2732" s="405" t="str">
        <f t="shared" si="340"/>
        <v>宮木　義高</v>
      </c>
      <c r="G2732" s="405" t="str">
        <f t="shared" si="341"/>
        <v>主たる営業所</v>
      </c>
      <c r="H2732" s="405" t="str">
        <f t="shared" si="342"/>
        <v>福岡市博多区東比恵３－１６－１４</v>
      </c>
      <c r="L2732" s="403" t="s">
        <v>13785</v>
      </c>
      <c r="M2732" s="403" t="s">
        <v>13786</v>
      </c>
      <c r="N2732" s="403" t="s">
        <v>6362</v>
      </c>
      <c r="O2732" s="403" t="s">
        <v>7084</v>
      </c>
      <c r="P2732" s="403" t="s">
        <v>6975</v>
      </c>
      <c r="Q2732" s="403" t="s">
        <v>13787</v>
      </c>
      <c r="R2732" s="403" t="s">
        <v>22375</v>
      </c>
      <c r="S2732" s="403" t="s">
        <v>18426</v>
      </c>
      <c r="T2732" s="403" t="s">
        <v>18427</v>
      </c>
      <c r="U2732" s="403"/>
      <c r="V2732" s="403" t="s">
        <v>23024</v>
      </c>
      <c r="W2732" s="403" t="s">
        <v>23024</v>
      </c>
      <c r="X2732" s="403" t="s">
        <v>23024</v>
      </c>
      <c r="Y2732" s="403" t="s">
        <v>23024</v>
      </c>
    </row>
    <row r="2733" spans="1:25">
      <c r="A2733" s="363">
        <f t="shared" si="343"/>
        <v>2732</v>
      </c>
      <c r="B2733" s="363" t="str">
        <f t="shared" si="336"/>
        <v>40</v>
      </c>
      <c r="C2733" s="405" t="str">
        <f t="shared" si="337"/>
        <v>第111138号</v>
      </c>
      <c r="D2733" s="405" t="str">
        <f t="shared" si="338"/>
        <v>（株）ＴＳＳ</v>
      </c>
      <c r="E2733" s="405" t="str">
        <f t="shared" si="339"/>
        <v>代表取締役</v>
      </c>
      <c r="F2733" s="405" t="str">
        <f t="shared" si="340"/>
        <v>後藤　哲也</v>
      </c>
      <c r="G2733" s="405" t="str">
        <f t="shared" si="341"/>
        <v>主たる営業所</v>
      </c>
      <c r="H2733" s="405" t="str">
        <f t="shared" si="342"/>
        <v>福岡市博多区東光寺町２－１－８</v>
      </c>
      <c r="L2733" s="403" t="s">
        <v>13788</v>
      </c>
      <c r="M2733" s="403" t="s">
        <v>13789</v>
      </c>
      <c r="N2733" s="403" t="s">
        <v>6363</v>
      </c>
      <c r="O2733" s="403" t="s">
        <v>7084</v>
      </c>
      <c r="P2733" s="403" t="s">
        <v>6976</v>
      </c>
      <c r="Q2733" s="403" t="s">
        <v>12645</v>
      </c>
      <c r="R2733" s="403" t="s">
        <v>22968</v>
      </c>
      <c r="S2733" s="403" t="s">
        <v>18428</v>
      </c>
      <c r="T2733" s="403" t="s">
        <v>18429</v>
      </c>
      <c r="U2733" s="403"/>
      <c r="V2733" s="403" t="s">
        <v>23024</v>
      </c>
      <c r="W2733" s="403" t="s">
        <v>23024</v>
      </c>
      <c r="X2733" s="403" t="s">
        <v>23024</v>
      </c>
      <c r="Y2733" s="403" t="s">
        <v>23024</v>
      </c>
    </row>
    <row r="2734" spans="1:25">
      <c r="A2734" s="363">
        <f t="shared" si="343"/>
        <v>2733</v>
      </c>
      <c r="B2734" s="363" t="str">
        <f t="shared" si="336"/>
        <v>40</v>
      </c>
      <c r="C2734" s="405" t="str">
        <f t="shared" si="337"/>
        <v>第111734号</v>
      </c>
      <c r="D2734" s="405" t="str">
        <f t="shared" si="338"/>
        <v>（株）ＴＩＥＳ</v>
      </c>
      <c r="E2734" s="405" t="str">
        <f t="shared" si="339"/>
        <v>代表取締役</v>
      </c>
      <c r="F2734" s="405" t="str">
        <f t="shared" si="340"/>
        <v>山口　耕平</v>
      </c>
      <c r="G2734" s="405" t="str">
        <f t="shared" si="341"/>
        <v>主たる営業所</v>
      </c>
      <c r="H2734" s="405" t="str">
        <f t="shared" si="342"/>
        <v>大野城市大城５－２１－２１</v>
      </c>
      <c r="L2734" s="403" t="s">
        <v>13790</v>
      </c>
      <c r="M2734" s="403" t="s">
        <v>13791</v>
      </c>
      <c r="N2734" s="403" t="s">
        <v>6364</v>
      </c>
      <c r="O2734" s="403" t="s">
        <v>7084</v>
      </c>
      <c r="P2734" s="403" t="s">
        <v>6977</v>
      </c>
      <c r="Q2734" s="403" t="s">
        <v>13792</v>
      </c>
      <c r="R2734" s="403" t="s">
        <v>22969</v>
      </c>
      <c r="S2734" s="403" t="s">
        <v>18430</v>
      </c>
      <c r="T2734" s="403" t="s">
        <v>18431</v>
      </c>
      <c r="U2734" s="403"/>
      <c r="V2734" s="403" t="s">
        <v>23024</v>
      </c>
      <c r="W2734" s="403" t="s">
        <v>23024</v>
      </c>
      <c r="X2734" s="403" t="s">
        <v>23024</v>
      </c>
      <c r="Y2734" s="403" t="s">
        <v>23024</v>
      </c>
    </row>
    <row r="2735" spans="1:25">
      <c r="A2735" s="363">
        <f t="shared" si="343"/>
        <v>2734</v>
      </c>
      <c r="B2735" s="363" t="str">
        <f t="shared" si="336"/>
        <v>40</v>
      </c>
      <c r="C2735" s="405" t="str">
        <f t="shared" si="337"/>
        <v>第112252号</v>
      </c>
      <c r="D2735" s="405" t="str">
        <f t="shared" si="338"/>
        <v>（株）ツヅイテック</v>
      </c>
      <c r="E2735" s="405" t="str">
        <f t="shared" si="339"/>
        <v>代表取締役</v>
      </c>
      <c r="F2735" s="405" t="str">
        <f t="shared" si="340"/>
        <v>永崎　耕三郎</v>
      </c>
      <c r="G2735" s="405" t="str">
        <f t="shared" si="341"/>
        <v>主たる営業所</v>
      </c>
      <c r="H2735" s="405" t="str">
        <f t="shared" si="342"/>
        <v>福岡市博多区博多駅前２－１９－１７</v>
      </c>
      <c r="L2735" s="403" t="s">
        <v>13793</v>
      </c>
      <c r="M2735" s="403" t="s">
        <v>13794</v>
      </c>
      <c r="N2735" s="403" t="s">
        <v>6365</v>
      </c>
      <c r="O2735" s="403" t="s">
        <v>7084</v>
      </c>
      <c r="P2735" s="403" t="s">
        <v>6978</v>
      </c>
      <c r="Q2735" s="403" t="s">
        <v>13015</v>
      </c>
      <c r="R2735" s="403" t="s">
        <v>22970</v>
      </c>
      <c r="S2735" s="403" t="s">
        <v>18432</v>
      </c>
      <c r="T2735" s="403" t="s">
        <v>18433</v>
      </c>
      <c r="U2735" s="403"/>
      <c r="V2735" s="403" t="s">
        <v>23024</v>
      </c>
      <c r="W2735" s="403" t="s">
        <v>23024</v>
      </c>
      <c r="X2735" s="403" t="s">
        <v>23024</v>
      </c>
      <c r="Y2735" s="403" t="s">
        <v>23024</v>
      </c>
    </row>
    <row r="2736" spans="1:25">
      <c r="A2736" s="363">
        <f t="shared" si="343"/>
        <v>2735</v>
      </c>
      <c r="B2736" s="363" t="str">
        <f t="shared" si="336"/>
        <v>40</v>
      </c>
      <c r="C2736" s="405" t="str">
        <f t="shared" si="337"/>
        <v>第112634号</v>
      </c>
      <c r="D2736" s="405" t="str">
        <f t="shared" si="338"/>
        <v>九州化工建設（株）</v>
      </c>
      <c r="E2736" s="405" t="str">
        <f t="shared" si="339"/>
        <v>代表取締役</v>
      </c>
      <c r="F2736" s="405" t="str">
        <f t="shared" si="340"/>
        <v>吉永　久範</v>
      </c>
      <c r="G2736" s="405" t="str">
        <f t="shared" si="341"/>
        <v>主たる営業所</v>
      </c>
      <c r="H2736" s="405" t="str">
        <f t="shared" si="342"/>
        <v>福岡市博多区比恵町９－２６</v>
      </c>
      <c r="L2736" s="403" t="s">
        <v>13795</v>
      </c>
      <c r="M2736" s="403" t="s">
        <v>13796</v>
      </c>
      <c r="N2736" s="403" t="s">
        <v>6366</v>
      </c>
      <c r="O2736" s="403" t="s">
        <v>7084</v>
      </c>
      <c r="P2736" s="403" t="s">
        <v>22971</v>
      </c>
      <c r="Q2736" s="403" t="s">
        <v>13797</v>
      </c>
      <c r="R2736" s="403" t="s">
        <v>20970</v>
      </c>
      <c r="S2736" s="403" t="s">
        <v>18434</v>
      </c>
      <c r="T2736" s="403" t="s">
        <v>18435</v>
      </c>
      <c r="U2736" s="403"/>
      <c r="V2736" s="403" t="s">
        <v>23024</v>
      </c>
      <c r="W2736" s="403" t="s">
        <v>23024</v>
      </c>
      <c r="X2736" s="403" t="s">
        <v>23024</v>
      </c>
      <c r="Y2736" s="403" t="s">
        <v>23024</v>
      </c>
    </row>
    <row r="2737" spans="1:25">
      <c r="A2737" s="363">
        <f t="shared" si="343"/>
        <v>2736</v>
      </c>
      <c r="B2737" s="363" t="str">
        <f t="shared" si="336"/>
        <v>40</v>
      </c>
      <c r="C2737" s="405" t="str">
        <f t="shared" si="337"/>
        <v>第113316号</v>
      </c>
      <c r="D2737" s="405" t="str">
        <f t="shared" si="338"/>
        <v>（株）ウィートライズ</v>
      </c>
      <c r="E2737" s="405" t="str">
        <f t="shared" si="339"/>
        <v>代表取締役</v>
      </c>
      <c r="F2737" s="405" t="str">
        <f t="shared" si="340"/>
        <v>中本　悟</v>
      </c>
      <c r="G2737" s="405" t="str">
        <f t="shared" si="341"/>
        <v>主たる営業所</v>
      </c>
      <c r="H2737" s="405" t="str">
        <f t="shared" si="342"/>
        <v>福岡市早良区有田６－１２－２１</v>
      </c>
      <c r="L2737" s="403" t="s">
        <v>13798</v>
      </c>
      <c r="M2737" s="403" t="s">
        <v>13799</v>
      </c>
      <c r="N2737" s="403" t="s">
        <v>6367</v>
      </c>
      <c r="O2737" s="403" t="s">
        <v>7084</v>
      </c>
      <c r="P2737" s="403" t="s">
        <v>6979</v>
      </c>
      <c r="Q2737" s="403" t="s">
        <v>13682</v>
      </c>
      <c r="R2737" s="403" t="s">
        <v>22972</v>
      </c>
      <c r="S2737" s="403" t="s">
        <v>18436</v>
      </c>
      <c r="T2737" s="403" t="s">
        <v>18437</v>
      </c>
      <c r="U2737" s="403"/>
      <c r="V2737" s="403" t="s">
        <v>23024</v>
      </c>
      <c r="W2737" s="403" t="s">
        <v>23024</v>
      </c>
      <c r="X2737" s="403" t="s">
        <v>23024</v>
      </c>
      <c r="Y2737" s="403" t="s">
        <v>23024</v>
      </c>
    </row>
    <row r="2738" spans="1:25">
      <c r="A2738" s="363">
        <f t="shared" si="343"/>
        <v>2737</v>
      </c>
      <c r="B2738" s="363" t="str">
        <f t="shared" si="336"/>
        <v>40</v>
      </c>
      <c r="C2738" s="405" t="str">
        <f t="shared" si="337"/>
        <v>第113497号</v>
      </c>
      <c r="D2738" s="405" t="str">
        <f t="shared" si="338"/>
        <v>ホシザキ北九（株）</v>
      </c>
      <c r="E2738" s="405" t="str">
        <f t="shared" si="339"/>
        <v>代表取締役</v>
      </c>
      <c r="F2738" s="405" t="str">
        <f t="shared" si="340"/>
        <v>中村　隆裕</v>
      </c>
      <c r="G2738" s="405" t="str">
        <f t="shared" si="341"/>
        <v>主たる営業所</v>
      </c>
      <c r="H2738" s="405" t="str">
        <f t="shared" si="342"/>
        <v>福岡市博多区博多駅南３－１８－９</v>
      </c>
      <c r="L2738" s="403" t="s">
        <v>13800</v>
      </c>
      <c r="M2738" s="403" t="s">
        <v>13801</v>
      </c>
      <c r="N2738" s="403" t="s">
        <v>6368</v>
      </c>
      <c r="O2738" s="403" t="s">
        <v>7084</v>
      </c>
      <c r="P2738" s="403" t="s">
        <v>6980</v>
      </c>
      <c r="Q2738" s="403" t="s">
        <v>11975</v>
      </c>
      <c r="R2738" s="403" t="s">
        <v>22973</v>
      </c>
      <c r="S2738" s="403" t="s">
        <v>18438</v>
      </c>
      <c r="T2738" s="403" t="s">
        <v>22974</v>
      </c>
      <c r="U2738" s="403"/>
      <c r="V2738" s="403" t="s">
        <v>23024</v>
      </c>
      <c r="W2738" s="403" t="s">
        <v>23024</v>
      </c>
      <c r="X2738" s="403" t="s">
        <v>23024</v>
      </c>
      <c r="Y2738" s="403" t="s">
        <v>23024</v>
      </c>
    </row>
    <row r="2739" spans="1:25">
      <c r="A2739" s="363">
        <f t="shared" si="343"/>
        <v>2738</v>
      </c>
      <c r="B2739" s="363" t="str">
        <f t="shared" si="336"/>
        <v>40</v>
      </c>
      <c r="C2739" s="405" t="str">
        <f t="shared" si="337"/>
        <v>第113806号</v>
      </c>
      <c r="D2739" s="405" t="str">
        <f t="shared" si="338"/>
        <v>ダイハツインフィニアース西日本（株）</v>
      </c>
      <c r="E2739" s="405" t="str">
        <f t="shared" si="339"/>
        <v>代表取締役社長</v>
      </c>
      <c r="F2739" s="405" t="str">
        <f t="shared" si="340"/>
        <v>三浦　雄一郎</v>
      </c>
      <c r="G2739" s="405" t="str">
        <f t="shared" si="341"/>
        <v>主たる営業所</v>
      </c>
      <c r="H2739" s="405" t="str">
        <f t="shared" si="342"/>
        <v>福岡市東区多の津２－３－１</v>
      </c>
      <c r="L2739" s="403" t="s">
        <v>13802</v>
      </c>
      <c r="M2739" s="403" t="s">
        <v>22975</v>
      </c>
      <c r="N2739" s="403" t="s">
        <v>22976</v>
      </c>
      <c r="O2739" s="403" t="s">
        <v>7083</v>
      </c>
      <c r="P2739" s="403" t="s">
        <v>6981</v>
      </c>
      <c r="Q2739" s="403" t="s">
        <v>13803</v>
      </c>
      <c r="R2739" s="403" t="s">
        <v>21960</v>
      </c>
      <c r="S2739" s="403" t="s">
        <v>18439</v>
      </c>
      <c r="T2739" s="403" t="s">
        <v>18440</v>
      </c>
      <c r="U2739" s="403"/>
      <c r="V2739" s="403" t="s">
        <v>23024</v>
      </c>
      <c r="W2739" s="403" t="s">
        <v>23024</v>
      </c>
      <c r="X2739" s="403" t="s">
        <v>23024</v>
      </c>
      <c r="Y2739" s="403" t="s">
        <v>23024</v>
      </c>
    </row>
    <row r="2740" spans="1:25">
      <c r="A2740" s="363">
        <f t="shared" si="343"/>
        <v>2739</v>
      </c>
      <c r="B2740" s="363" t="str">
        <f t="shared" si="336"/>
        <v>40</v>
      </c>
      <c r="C2740" s="405" t="str">
        <f t="shared" si="337"/>
        <v>第117474号</v>
      </c>
      <c r="D2740" s="405" t="str">
        <f t="shared" si="338"/>
        <v>（株）福岡九州クボタ</v>
      </c>
      <c r="E2740" s="405" t="str">
        <f t="shared" si="339"/>
        <v>代表取締役</v>
      </c>
      <c r="F2740" s="405" t="str">
        <f t="shared" si="340"/>
        <v>久保　雄司</v>
      </c>
      <c r="G2740" s="405" t="str">
        <f t="shared" si="341"/>
        <v>主たる営業所</v>
      </c>
      <c r="H2740" s="405" t="str">
        <f t="shared" si="342"/>
        <v>福岡市南区野間１－１１－３６</v>
      </c>
      <c r="L2740" s="403" t="s">
        <v>22977</v>
      </c>
      <c r="M2740" s="403" t="s">
        <v>13113</v>
      </c>
      <c r="N2740" s="403" t="s">
        <v>6119</v>
      </c>
      <c r="O2740" s="403" t="s">
        <v>7084</v>
      </c>
      <c r="P2740" s="403" t="s">
        <v>6762</v>
      </c>
      <c r="Q2740" s="403" t="s">
        <v>12121</v>
      </c>
      <c r="R2740" s="403" t="s">
        <v>22978</v>
      </c>
      <c r="S2740" s="403" t="s">
        <v>18019</v>
      </c>
      <c r="T2740" s="403" t="s">
        <v>18020</v>
      </c>
      <c r="U2740" s="403"/>
      <c r="V2740" s="403" t="s">
        <v>23024</v>
      </c>
      <c r="W2740" s="403" t="s">
        <v>23024</v>
      </c>
      <c r="X2740" s="403" t="s">
        <v>23024</v>
      </c>
      <c r="Y2740" s="403" t="s">
        <v>23024</v>
      </c>
    </row>
    <row r="2741" spans="1:25">
      <c r="A2741" s="363">
        <f t="shared" si="343"/>
        <v>2740</v>
      </c>
      <c r="B2741" s="363" t="str">
        <f t="shared" si="336"/>
        <v>40</v>
      </c>
      <c r="C2741" s="405" t="str">
        <f t="shared" si="337"/>
        <v>第117707号</v>
      </c>
      <c r="D2741" s="405" t="str">
        <f t="shared" si="338"/>
        <v>電協産業（株）</v>
      </c>
      <c r="E2741" s="405" t="str">
        <f t="shared" si="339"/>
        <v>代表取締役</v>
      </c>
      <c r="F2741" s="405" t="str">
        <f t="shared" si="340"/>
        <v>日野　雄介</v>
      </c>
      <c r="G2741" s="405" t="str">
        <f t="shared" si="341"/>
        <v>主たる営業所</v>
      </c>
      <c r="H2741" s="405" t="str">
        <f t="shared" si="342"/>
        <v>北九州市戸畑区中原東４－２－１</v>
      </c>
      <c r="L2741" s="403" t="s">
        <v>22979</v>
      </c>
      <c r="M2741" s="403" t="s">
        <v>13481</v>
      </c>
      <c r="N2741" s="403" t="s">
        <v>6249</v>
      </c>
      <c r="O2741" s="403" t="s">
        <v>7084</v>
      </c>
      <c r="P2741" s="403" t="s">
        <v>6876</v>
      </c>
      <c r="Q2741" s="403" t="s">
        <v>13482</v>
      </c>
      <c r="R2741" s="403" t="s">
        <v>22980</v>
      </c>
      <c r="S2741" s="403" t="s">
        <v>18214</v>
      </c>
      <c r="T2741" s="403" t="s">
        <v>18215</v>
      </c>
      <c r="U2741" s="403"/>
      <c r="V2741" s="403" t="s">
        <v>23024</v>
      </c>
      <c r="W2741" s="403" t="s">
        <v>23024</v>
      </c>
      <c r="X2741" s="403" t="s">
        <v>23024</v>
      </c>
      <c r="Y2741" s="403" t="s">
        <v>23024</v>
      </c>
    </row>
    <row r="2742" spans="1:25">
      <c r="A2742" s="363">
        <f t="shared" si="343"/>
        <v>2741</v>
      </c>
      <c r="B2742" s="363" t="str">
        <f t="shared" si="336"/>
        <v>41</v>
      </c>
      <c r="C2742" s="405" t="str">
        <f t="shared" si="337"/>
        <v>第009803号</v>
      </c>
      <c r="D2742" s="405" t="str">
        <f t="shared" si="338"/>
        <v>（株）海洋開発技術研究所</v>
      </c>
      <c r="E2742" s="405" t="str">
        <f t="shared" si="339"/>
        <v>代表取締役</v>
      </c>
      <c r="F2742" s="405" t="str">
        <f t="shared" si="340"/>
        <v>田村　秀行</v>
      </c>
      <c r="G2742" s="405" t="str">
        <f t="shared" si="341"/>
        <v>主たる営業所</v>
      </c>
      <c r="H2742" s="405" t="str">
        <f t="shared" si="342"/>
        <v>伊万里市瀬戸町２２６９－５３</v>
      </c>
      <c r="L2742" s="403" t="s">
        <v>13804</v>
      </c>
      <c r="M2742" s="403" t="s">
        <v>13805</v>
      </c>
      <c r="N2742" s="403" t="s">
        <v>6369</v>
      </c>
      <c r="O2742" s="403" t="s">
        <v>7084</v>
      </c>
      <c r="P2742" s="403" t="s">
        <v>6982</v>
      </c>
      <c r="Q2742" s="403" t="s">
        <v>13806</v>
      </c>
      <c r="R2742" s="403" t="s">
        <v>22981</v>
      </c>
      <c r="S2742" s="403" t="s">
        <v>18441</v>
      </c>
      <c r="T2742" s="403" t="s">
        <v>18442</v>
      </c>
      <c r="U2742" s="403"/>
      <c r="V2742" s="403" t="s">
        <v>23024</v>
      </c>
      <c r="W2742" s="403" t="s">
        <v>23024</v>
      </c>
      <c r="X2742" s="403" t="s">
        <v>23024</v>
      </c>
      <c r="Y2742" s="403" t="s">
        <v>23024</v>
      </c>
    </row>
    <row r="2743" spans="1:25">
      <c r="A2743" s="363">
        <f t="shared" si="343"/>
        <v>2742</v>
      </c>
      <c r="B2743" s="363" t="str">
        <f t="shared" si="336"/>
        <v>41</v>
      </c>
      <c r="C2743" s="405" t="str">
        <f t="shared" si="337"/>
        <v>第011416号</v>
      </c>
      <c r="D2743" s="405" t="str">
        <f t="shared" si="338"/>
        <v>山口産業（株）</v>
      </c>
      <c r="E2743" s="405" t="str">
        <f t="shared" si="339"/>
        <v>代表取締役</v>
      </c>
      <c r="F2743" s="405" t="str">
        <f t="shared" si="340"/>
        <v>山口　篤樹</v>
      </c>
      <c r="G2743" s="405" t="str">
        <f t="shared" si="341"/>
        <v>主たる営業所</v>
      </c>
      <c r="H2743" s="405" t="str">
        <f t="shared" si="342"/>
        <v>多久市多久町３５５５－１２０</v>
      </c>
      <c r="L2743" s="403" t="s">
        <v>13807</v>
      </c>
      <c r="M2743" s="403" t="s">
        <v>13808</v>
      </c>
      <c r="N2743" s="403" t="s">
        <v>6370</v>
      </c>
      <c r="O2743" s="403" t="s">
        <v>7084</v>
      </c>
      <c r="P2743" s="403" t="s">
        <v>6983</v>
      </c>
      <c r="Q2743" s="403" t="s">
        <v>13809</v>
      </c>
      <c r="R2743" s="403" t="s">
        <v>22982</v>
      </c>
      <c r="S2743" s="403" t="s">
        <v>18443</v>
      </c>
      <c r="T2743" s="403" t="s">
        <v>18444</v>
      </c>
      <c r="U2743" s="403"/>
      <c r="V2743" s="403" t="s">
        <v>23024</v>
      </c>
      <c r="W2743" s="403" t="s">
        <v>23024</v>
      </c>
      <c r="X2743" s="403" t="s">
        <v>23024</v>
      </c>
      <c r="Y2743" s="403" t="s">
        <v>23024</v>
      </c>
    </row>
    <row r="2744" spans="1:25">
      <c r="A2744" s="363">
        <f t="shared" si="343"/>
        <v>2743</v>
      </c>
      <c r="B2744" s="363" t="str">
        <f t="shared" si="336"/>
        <v>42</v>
      </c>
      <c r="C2744" s="405" t="str">
        <f t="shared" si="337"/>
        <v>第000301号</v>
      </c>
      <c r="D2744" s="405" t="str">
        <f t="shared" si="338"/>
        <v>大菱電気工業（株）</v>
      </c>
      <c r="E2744" s="405" t="str">
        <f t="shared" si="339"/>
        <v>代表取締役</v>
      </c>
      <c r="F2744" s="405" t="str">
        <f t="shared" si="340"/>
        <v>山中　仁</v>
      </c>
      <c r="G2744" s="405" t="str">
        <f t="shared" si="341"/>
        <v>主たる営業所</v>
      </c>
      <c r="H2744" s="405" t="str">
        <f t="shared" si="342"/>
        <v>佐世保市俵町２４－２９</v>
      </c>
      <c r="L2744" s="403" t="s">
        <v>13810</v>
      </c>
      <c r="M2744" s="403" t="s">
        <v>13811</v>
      </c>
      <c r="N2744" s="403" t="s">
        <v>6371</v>
      </c>
      <c r="O2744" s="403" t="s">
        <v>7084</v>
      </c>
      <c r="P2744" s="403" t="s">
        <v>6984</v>
      </c>
      <c r="Q2744" s="403" t="s">
        <v>13812</v>
      </c>
      <c r="R2744" s="403" t="s">
        <v>22983</v>
      </c>
      <c r="S2744" s="403" t="s">
        <v>18445</v>
      </c>
      <c r="T2744" s="403" t="s">
        <v>18446</v>
      </c>
      <c r="U2744" s="403"/>
      <c r="V2744" s="403" t="s">
        <v>23024</v>
      </c>
      <c r="W2744" s="403" t="s">
        <v>23024</v>
      </c>
      <c r="X2744" s="403" t="s">
        <v>23024</v>
      </c>
      <c r="Y2744" s="403" t="s">
        <v>23024</v>
      </c>
    </row>
    <row r="2745" spans="1:25">
      <c r="A2745" s="363">
        <f t="shared" si="343"/>
        <v>2744</v>
      </c>
      <c r="B2745" s="363" t="str">
        <f t="shared" si="336"/>
        <v>42</v>
      </c>
      <c r="C2745" s="405" t="str">
        <f t="shared" si="337"/>
        <v>第005192号</v>
      </c>
      <c r="D2745" s="405" t="str">
        <f t="shared" si="338"/>
        <v>宮本電機（株）</v>
      </c>
      <c r="E2745" s="405" t="str">
        <f t="shared" si="339"/>
        <v>代表取締役</v>
      </c>
      <c r="F2745" s="405" t="str">
        <f t="shared" si="340"/>
        <v>宮本　憲</v>
      </c>
      <c r="G2745" s="405" t="str">
        <f t="shared" si="341"/>
        <v>主たる営業所</v>
      </c>
      <c r="H2745" s="405" t="str">
        <f t="shared" si="342"/>
        <v>佐世保市三川内新町８－９</v>
      </c>
      <c r="L2745" s="403" t="s">
        <v>13813</v>
      </c>
      <c r="M2745" s="403" t="s">
        <v>13814</v>
      </c>
      <c r="N2745" s="403" t="s">
        <v>6372</v>
      </c>
      <c r="O2745" s="403" t="s">
        <v>7084</v>
      </c>
      <c r="P2745" s="403" t="s">
        <v>6985</v>
      </c>
      <c r="Q2745" s="403" t="s">
        <v>13815</v>
      </c>
      <c r="R2745" s="403" t="s">
        <v>22984</v>
      </c>
      <c r="S2745" s="403" t="s">
        <v>18447</v>
      </c>
      <c r="T2745" s="403" t="s">
        <v>18448</v>
      </c>
      <c r="U2745" s="403"/>
      <c r="V2745" s="403" t="s">
        <v>23024</v>
      </c>
      <c r="W2745" s="403" t="s">
        <v>23024</v>
      </c>
      <c r="X2745" s="403" t="s">
        <v>23024</v>
      </c>
      <c r="Y2745" s="403" t="s">
        <v>23024</v>
      </c>
    </row>
    <row r="2746" spans="1:25">
      <c r="A2746" s="363">
        <f t="shared" si="343"/>
        <v>2745</v>
      </c>
      <c r="B2746" s="363" t="str">
        <f t="shared" si="336"/>
        <v>42</v>
      </c>
      <c r="C2746" s="405" t="str">
        <f t="shared" si="337"/>
        <v>第012361号</v>
      </c>
      <c r="D2746" s="405" t="str">
        <f t="shared" si="338"/>
        <v>（有）トータスコーポレーション</v>
      </c>
      <c r="E2746" s="405" t="str">
        <f t="shared" si="339"/>
        <v>代表取締役</v>
      </c>
      <c r="F2746" s="405" t="str">
        <f t="shared" si="340"/>
        <v>亀井　誠</v>
      </c>
      <c r="G2746" s="405" t="str">
        <f t="shared" si="341"/>
        <v>主たる営業所</v>
      </c>
      <c r="H2746" s="405" t="str">
        <f t="shared" si="342"/>
        <v>佐世保市棚方町４８８－１７</v>
      </c>
      <c r="L2746" s="403" t="s">
        <v>13816</v>
      </c>
      <c r="M2746" s="403" t="s">
        <v>13817</v>
      </c>
      <c r="N2746" s="403" t="s">
        <v>6373</v>
      </c>
      <c r="O2746" s="403" t="s">
        <v>7084</v>
      </c>
      <c r="P2746" s="403" t="s">
        <v>6986</v>
      </c>
      <c r="Q2746" s="403" t="s">
        <v>13818</v>
      </c>
      <c r="R2746" s="403" t="s">
        <v>22985</v>
      </c>
      <c r="S2746" s="403" t="s">
        <v>18449</v>
      </c>
      <c r="T2746" s="403" t="s">
        <v>18450</v>
      </c>
      <c r="U2746" s="403"/>
      <c r="V2746" s="403" t="s">
        <v>23024</v>
      </c>
      <c r="W2746" s="403" t="s">
        <v>23024</v>
      </c>
      <c r="X2746" s="403" t="s">
        <v>23024</v>
      </c>
      <c r="Y2746" s="403" t="s">
        <v>23024</v>
      </c>
    </row>
    <row r="2747" spans="1:25">
      <c r="A2747" s="363">
        <f t="shared" si="343"/>
        <v>2746</v>
      </c>
      <c r="B2747" s="363" t="str">
        <f t="shared" si="336"/>
        <v>42</v>
      </c>
      <c r="C2747" s="405" t="str">
        <f t="shared" si="337"/>
        <v>第012726号</v>
      </c>
      <c r="D2747" s="405" t="str">
        <f t="shared" si="338"/>
        <v>前畑造船（株）</v>
      </c>
      <c r="E2747" s="405" t="str">
        <f t="shared" si="339"/>
        <v>代表取締役</v>
      </c>
      <c r="F2747" s="405" t="str">
        <f t="shared" si="340"/>
        <v>北村　與志郎</v>
      </c>
      <c r="G2747" s="405" t="str">
        <f t="shared" si="341"/>
        <v>主たる営業所</v>
      </c>
      <c r="H2747" s="405" t="str">
        <f t="shared" si="342"/>
        <v>佐世保市干尽町６－３</v>
      </c>
      <c r="L2747" s="403" t="s">
        <v>13819</v>
      </c>
      <c r="M2747" s="403" t="s">
        <v>13820</v>
      </c>
      <c r="N2747" s="403" t="s">
        <v>6374</v>
      </c>
      <c r="O2747" s="403" t="s">
        <v>7084</v>
      </c>
      <c r="P2747" s="403" t="s">
        <v>6987</v>
      </c>
      <c r="Q2747" s="403" t="s">
        <v>13821</v>
      </c>
      <c r="R2747" s="403" t="s">
        <v>22986</v>
      </c>
      <c r="S2747" s="403" t="s">
        <v>18451</v>
      </c>
      <c r="T2747" s="403" t="s">
        <v>18452</v>
      </c>
      <c r="U2747" s="403"/>
      <c r="V2747" s="403" t="s">
        <v>23024</v>
      </c>
      <c r="W2747" s="403" t="s">
        <v>23024</v>
      </c>
      <c r="X2747" s="403" t="s">
        <v>23024</v>
      </c>
      <c r="Y2747" s="403" t="s">
        <v>23024</v>
      </c>
    </row>
    <row r="2748" spans="1:25">
      <c r="A2748" s="363">
        <f t="shared" si="343"/>
        <v>2747</v>
      </c>
      <c r="B2748" s="363" t="str">
        <f t="shared" si="336"/>
        <v>42</v>
      </c>
      <c r="C2748" s="405" t="str">
        <f t="shared" si="337"/>
        <v>第014291号</v>
      </c>
      <c r="D2748" s="405" t="str">
        <f t="shared" si="338"/>
        <v>ＮＹクラフト（合）</v>
      </c>
      <c r="E2748" s="405" t="str">
        <f t="shared" si="339"/>
        <v>代表社員</v>
      </c>
      <c r="F2748" s="405" t="str">
        <f t="shared" si="340"/>
        <v>榮村　雄二</v>
      </c>
      <c r="G2748" s="405" t="str">
        <f t="shared" si="341"/>
        <v>主たる営業所</v>
      </c>
      <c r="H2748" s="405" t="str">
        <f t="shared" si="342"/>
        <v>諫早市飯盛町後田１６５２－３</v>
      </c>
      <c r="L2748" s="403" t="s">
        <v>22987</v>
      </c>
      <c r="M2748" s="403" t="s">
        <v>22988</v>
      </c>
      <c r="N2748" s="403" t="s">
        <v>22989</v>
      </c>
      <c r="O2748" s="403" t="s">
        <v>7087</v>
      </c>
      <c r="P2748" s="403" t="s">
        <v>22990</v>
      </c>
      <c r="Q2748" s="403" t="s">
        <v>22991</v>
      </c>
      <c r="R2748" s="403" t="s">
        <v>22992</v>
      </c>
      <c r="S2748" s="403" t="s">
        <v>22993</v>
      </c>
      <c r="T2748" s="403" t="s">
        <v>22994</v>
      </c>
      <c r="U2748" s="403"/>
      <c r="V2748" s="403" t="s">
        <v>23024</v>
      </c>
      <c r="W2748" s="403" t="s">
        <v>23024</v>
      </c>
      <c r="X2748" s="403" t="s">
        <v>23024</v>
      </c>
      <c r="Y2748" s="403" t="s">
        <v>23024</v>
      </c>
    </row>
    <row r="2749" spans="1:25">
      <c r="A2749" s="363">
        <f t="shared" si="343"/>
        <v>2748</v>
      </c>
      <c r="B2749" s="363" t="str">
        <f t="shared" si="336"/>
        <v>43</v>
      </c>
      <c r="C2749" s="405" t="str">
        <f t="shared" si="337"/>
        <v>第004334号</v>
      </c>
      <c r="D2749" s="405" t="str">
        <f t="shared" si="338"/>
        <v>（有）大友地下ボーリング</v>
      </c>
      <c r="E2749" s="405" t="str">
        <f t="shared" si="339"/>
        <v>代表取締役</v>
      </c>
      <c r="F2749" s="405" t="str">
        <f t="shared" si="340"/>
        <v>大友　一雄</v>
      </c>
      <c r="G2749" s="405" t="str">
        <f t="shared" si="341"/>
        <v>主たる営業所</v>
      </c>
      <c r="H2749" s="405" t="str">
        <f t="shared" si="342"/>
        <v>阿蘇市三久保２３３－１３５</v>
      </c>
      <c r="L2749" s="403" t="s">
        <v>13822</v>
      </c>
      <c r="M2749" s="403" t="s">
        <v>13823</v>
      </c>
      <c r="N2749" s="403" t="s">
        <v>6375</v>
      </c>
      <c r="O2749" s="403" t="s">
        <v>7084</v>
      </c>
      <c r="P2749" s="403" t="s">
        <v>6988</v>
      </c>
      <c r="Q2749" s="403" t="s">
        <v>13824</v>
      </c>
      <c r="R2749" s="403" t="s">
        <v>22995</v>
      </c>
      <c r="S2749" s="403" t="s">
        <v>18453</v>
      </c>
      <c r="T2749" s="403" t="s">
        <v>18454</v>
      </c>
      <c r="U2749" s="403"/>
      <c r="V2749" s="403" t="s">
        <v>23024</v>
      </c>
      <c r="W2749" s="403" t="s">
        <v>23024</v>
      </c>
      <c r="X2749" s="403" t="s">
        <v>23024</v>
      </c>
      <c r="Y2749" s="403" t="s">
        <v>23024</v>
      </c>
    </row>
    <row r="2750" spans="1:25">
      <c r="A2750" s="363">
        <f t="shared" si="343"/>
        <v>2749</v>
      </c>
      <c r="B2750" s="363" t="str">
        <f t="shared" si="336"/>
        <v>43</v>
      </c>
      <c r="C2750" s="405" t="str">
        <f t="shared" si="337"/>
        <v>第011903号</v>
      </c>
      <c r="D2750" s="405" t="str">
        <f t="shared" si="338"/>
        <v>九州日商興業（株）</v>
      </c>
      <c r="E2750" s="405" t="str">
        <f t="shared" si="339"/>
        <v>代表取締役</v>
      </c>
      <c r="F2750" s="405" t="str">
        <f t="shared" si="340"/>
        <v>北里　慶祐</v>
      </c>
      <c r="G2750" s="405" t="str">
        <f t="shared" si="341"/>
        <v>主たる営業所</v>
      </c>
      <c r="H2750" s="405" t="str">
        <f t="shared" si="342"/>
        <v>熊本市西区春日５－１－１１</v>
      </c>
      <c r="L2750" s="403" t="s">
        <v>13825</v>
      </c>
      <c r="M2750" s="403" t="s">
        <v>13826</v>
      </c>
      <c r="N2750" s="403" t="s">
        <v>6376</v>
      </c>
      <c r="O2750" s="403" t="s">
        <v>7084</v>
      </c>
      <c r="P2750" s="403" t="s">
        <v>6989</v>
      </c>
      <c r="Q2750" s="403" t="s">
        <v>13827</v>
      </c>
      <c r="R2750" s="403" t="s">
        <v>22996</v>
      </c>
      <c r="S2750" s="403" t="s">
        <v>18455</v>
      </c>
      <c r="T2750" s="403" t="s">
        <v>18456</v>
      </c>
      <c r="U2750" s="403"/>
      <c r="V2750" s="403" t="s">
        <v>23024</v>
      </c>
      <c r="W2750" s="403" t="s">
        <v>23024</v>
      </c>
      <c r="X2750" s="403" t="s">
        <v>23024</v>
      </c>
      <c r="Y2750" s="403" t="s">
        <v>23024</v>
      </c>
    </row>
    <row r="2751" spans="1:25">
      <c r="A2751" s="363">
        <f t="shared" si="343"/>
        <v>2750</v>
      </c>
      <c r="B2751" s="363" t="str">
        <f t="shared" si="336"/>
        <v>43</v>
      </c>
      <c r="C2751" s="405" t="str">
        <f t="shared" si="337"/>
        <v>第013605号</v>
      </c>
      <c r="D2751" s="405" t="str">
        <f t="shared" si="338"/>
        <v>プライムシステム（株）</v>
      </c>
      <c r="E2751" s="405" t="str">
        <f t="shared" si="339"/>
        <v>代表取締役</v>
      </c>
      <c r="F2751" s="405" t="str">
        <f t="shared" si="340"/>
        <v>前田　大貴</v>
      </c>
      <c r="G2751" s="405" t="str">
        <f t="shared" si="341"/>
        <v>主たる営業所</v>
      </c>
      <c r="H2751" s="405" t="str">
        <f t="shared" si="342"/>
        <v>熊本市中央区水前寺６－３－１２</v>
      </c>
      <c r="L2751" s="403" t="s">
        <v>13828</v>
      </c>
      <c r="M2751" s="403" t="s">
        <v>13829</v>
      </c>
      <c r="N2751" s="403" t="s">
        <v>6377</v>
      </c>
      <c r="O2751" s="403" t="s">
        <v>7084</v>
      </c>
      <c r="P2751" s="403" t="s">
        <v>6990</v>
      </c>
      <c r="Q2751" s="403" t="s">
        <v>13830</v>
      </c>
      <c r="R2751" s="403" t="s">
        <v>22997</v>
      </c>
      <c r="S2751" s="403" t="s">
        <v>18457</v>
      </c>
      <c r="T2751" s="403" t="s">
        <v>18458</v>
      </c>
      <c r="U2751" s="403"/>
      <c r="V2751" s="403" t="s">
        <v>23024</v>
      </c>
      <c r="W2751" s="403" t="s">
        <v>23024</v>
      </c>
      <c r="X2751" s="403" t="s">
        <v>23024</v>
      </c>
      <c r="Y2751" s="403" t="s">
        <v>23024</v>
      </c>
    </row>
    <row r="2752" spans="1:25">
      <c r="A2752" s="363">
        <f t="shared" si="343"/>
        <v>2751</v>
      </c>
      <c r="B2752" s="363" t="str">
        <f t="shared" si="336"/>
        <v>43</v>
      </c>
      <c r="C2752" s="405" t="str">
        <f t="shared" si="337"/>
        <v>第013953号</v>
      </c>
      <c r="D2752" s="405" t="str">
        <f t="shared" si="338"/>
        <v>（株）中央精機</v>
      </c>
      <c r="E2752" s="405" t="str">
        <f t="shared" si="339"/>
        <v>代表取締役</v>
      </c>
      <c r="F2752" s="405" t="str">
        <f t="shared" si="340"/>
        <v>田上　大</v>
      </c>
      <c r="G2752" s="405" t="str">
        <f t="shared" si="341"/>
        <v>主たる営業所</v>
      </c>
      <c r="H2752" s="405" t="str">
        <f t="shared" si="342"/>
        <v>熊本市南区良町５－１６－７</v>
      </c>
      <c r="L2752" s="403" t="s">
        <v>13831</v>
      </c>
      <c r="M2752" s="403" t="s">
        <v>13832</v>
      </c>
      <c r="N2752" s="403" t="s">
        <v>6378</v>
      </c>
      <c r="O2752" s="403" t="s">
        <v>7084</v>
      </c>
      <c r="P2752" s="403" t="s">
        <v>6991</v>
      </c>
      <c r="Q2752" s="403" t="s">
        <v>13833</v>
      </c>
      <c r="R2752" s="403" t="s">
        <v>22998</v>
      </c>
      <c r="S2752" s="403" t="s">
        <v>18459</v>
      </c>
      <c r="T2752" s="403" t="s">
        <v>18460</v>
      </c>
      <c r="U2752" s="403"/>
      <c r="V2752" s="403" t="s">
        <v>23024</v>
      </c>
      <c r="W2752" s="403" t="s">
        <v>23024</v>
      </c>
      <c r="X2752" s="403" t="s">
        <v>23024</v>
      </c>
      <c r="Y2752" s="403" t="s">
        <v>23024</v>
      </c>
    </row>
    <row r="2753" spans="1:25">
      <c r="A2753" s="363">
        <f t="shared" si="343"/>
        <v>2752</v>
      </c>
      <c r="B2753" s="363" t="str">
        <f t="shared" si="336"/>
        <v>43</v>
      </c>
      <c r="C2753" s="405" t="str">
        <f t="shared" si="337"/>
        <v>第014018号</v>
      </c>
      <c r="D2753" s="405" t="str">
        <f t="shared" si="338"/>
        <v>九州テクニカルメンテナンス（株）</v>
      </c>
      <c r="E2753" s="405" t="str">
        <f t="shared" si="339"/>
        <v>代表取締役社長</v>
      </c>
      <c r="F2753" s="405" t="str">
        <f t="shared" si="340"/>
        <v>酒井　喜代司</v>
      </c>
      <c r="G2753" s="405" t="str">
        <f t="shared" si="341"/>
        <v>主たる営業所</v>
      </c>
      <c r="H2753" s="405" t="str">
        <f t="shared" si="342"/>
        <v>熊本市東区健軍１－３８－１</v>
      </c>
      <c r="L2753" s="403" t="s">
        <v>13834</v>
      </c>
      <c r="M2753" s="403" t="s">
        <v>13835</v>
      </c>
      <c r="N2753" s="403" t="s">
        <v>6379</v>
      </c>
      <c r="O2753" s="403" t="s">
        <v>7083</v>
      </c>
      <c r="P2753" s="403" t="s">
        <v>6992</v>
      </c>
      <c r="Q2753" s="403" t="s">
        <v>13836</v>
      </c>
      <c r="R2753" s="403" t="s">
        <v>22999</v>
      </c>
      <c r="S2753" s="403" t="s">
        <v>18461</v>
      </c>
      <c r="T2753" s="403" t="s">
        <v>18462</v>
      </c>
      <c r="U2753" s="403"/>
      <c r="V2753" s="403" t="s">
        <v>23024</v>
      </c>
      <c r="W2753" s="403" t="s">
        <v>23024</v>
      </c>
      <c r="X2753" s="403" t="s">
        <v>23024</v>
      </c>
      <c r="Y2753" s="403" t="s">
        <v>23024</v>
      </c>
    </row>
    <row r="2754" spans="1:25">
      <c r="A2754" s="363">
        <f t="shared" si="343"/>
        <v>2753</v>
      </c>
      <c r="B2754" s="363" t="str">
        <f t="shared" ref="B2754:B2817" si="344">LEFT(L2754,2)</f>
        <v>43</v>
      </c>
      <c r="C2754" s="405" t="str">
        <f t="shared" ref="C2754:C2817" si="345">IF(B2754="","","第"&amp;RIGHT(L2754,6)&amp;"号")</f>
        <v>第016931号</v>
      </c>
      <c r="D2754" s="405" t="str">
        <f t="shared" ref="D2754:D2817" si="346">N2754</f>
        <v>丸昭建設（株）</v>
      </c>
      <c r="E2754" s="405" t="str">
        <f t="shared" ref="E2754:E2817" si="347">IF(V2754="　",O2754,"")</f>
        <v>代表取締役</v>
      </c>
      <c r="F2754" s="405" t="str">
        <f t="shared" ref="F2754:F2817" si="348">IF(V2754="　",P2754,W2754)</f>
        <v>松村　陽一郎</v>
      </c>
      <c r="G2754" s="405" t="str">
        <f t="shared" ref="G2754:G2817" si="349">IF(V2754="　","主たる営業所",V2754)</f>
        <v>主たる営業所</v>
      </c>
      <c r="H2754" s="405" t="str">
        <f t="shared" ref="H2754:H2817" si="350">IF(V2754="　",R2754,Y2754)</f>
        <v>人吉市西間上町２４７９－１</v>
      </c>
      <c r="L2754" s="404" t="s">
        <v>13837</v>
      </c>
      <c r="M2754" s="404" t="s">
        <v>13838</v>
      </c>
      <c r="N2754" s="404" t="s">
        <v>6380</v>
      </c>
      <c r="O2754" s="404" t="s">
        <v>7084</v>
      </c>
      <c r="P2754" s="404" t="s">
        <v>6993</v>
      </c>
      <c r="Q2754" s="404" t="s">
        <v>13839</v>
      </c>
      <c r="R2754" s="404" t="s">
        <v>23000</v>
      </c>
      <c r="S2754" s="404" t="s">
        <v>18463</v>
      </c>
      <c r="T2754" s="404" t="s">
        <v>18464</v>
      </c>
      <c r="U2754" s="404"/>
      <c r="V2754" s="403" t="s">
        <v>23024</v>
      </c>
      <c r="W2754" s="403" t="s">
        <v>23024</v>
      </c>
      <c r="X2754" s="403" t="s">
        <v>23024</v>
      </c>
      <c r="Y2754" s="403" t="s">
        <v>23024</v>
      </c>
    </row>
    <row r="2755" spans="1:25">
      <c r="A2755" s="363">
        <f t="shared" ref="A2755:A2818" si="351">IF(B2755="","",A2754+1)</f>
        <v>2754</v>
      </c>
      <c r="B2755" s="363" t="str">
        <f t="shared" si="344"/>
        <v>43</v>
      </c>
      <c r="C2755" s="405" t="str">
        <f t="shared" si="345"/>
        <v>第017132号</v>
      </c>
      <c r="D2755" s="405" t="str">
        <f t="shared" si="346"/>
        <v>アルコ電機（株）</v>
      </c>
      <c r="E2755" s="405" t="str">
        <f t="shared" si="347"/>
        <v/>
      </c>
      <c r="F2755" s="405" t="str">
        <f t="shared" si="348"/>
        <v>福村　竜一</v>
      </c>
      <c r="G2755" s="405" t="str">
        <f t="shared" si="349"/>
        <v>九州営業所</v>
      </c>
      <c r="H2755" s="405" t="str">
        <f t="shared" si="350"/>
        <v>山鹿市鹿本町高橋４７３</v>
      </c>
      <c r="L2755" s="402" t="s">
        <v>13840</v>
      </c>
      <c r="M2755" s="402" t="s">
        <v>13841</v>
      </c>
      <c r="N2755" s="402" t="s">
        <v>6381</v>
      </c>
      <c r="O2755" s="402" t="s">
        <v>7084</v>
      </c>
      <c r="P2755" s="402" t="s">
        <v>6994</v>
      </c>
      <c r="Q2755" s="402" t="s">
        <v>13842</v>
      </c>
      <c r="R2755" s="402" t="s">
        <v>23001</v>
      </c>
      <c r="S2755" s="402" t="s">
        <v>18465</v>
      </c>
      <c r="T2755" s="402" t="s">
        <v>18466</v>
      </c>
      <c r="U2755" s="402"/>
      <c r="V2755" s="402" t="s">
        <v>7012</v>
      </c>
      <c r="W2755" s="402" t="s">
        <v>18467</v>
      </c>
      <c r="X2755" s="402" t="s">
        <v>13842</v>
      </c>
      <c r="Y2755" s="402" t="s">
        <v>23001</v>
      </c>
    </row>
    <row r="2756" spans="1:25">
      <c r="A2756" s="363">
        <f t="shared" si="351"/>
        <v>2755</v>
      </c>
      <c r="B2756" s="363" t="str">
        <f t="shared" si="344"/>
        <v>43</v>
      </c>
      <c r="C2756" s="405" t="str">
        <f t="shared" si="345"/>
        <v>第017268号</v>
      </c>
      <c r="D2756" s="405" t="str">
        <f t="shared" si="346"/>
        <v>ニシダテクノサービス（株）</v>
      </c>
      <c r="E2756" s="405" t="str">
        <f t="shared" si="347"/>
        <v>代表取締役</v>
      </c>
      <c r="F2756" s="405" t="str">
        <f t="shared" si="348"/>
        <v>前田　優</v>
      </c>
      <c r="G2756" s="405" t="str">
        <f t="shared" si="349"/>
        <v>主たる営業所</v>
      </c>
      <c r="H2756" s="405" t="str">
        <f t="shared" si="350"/>
        <v>宇土市松山町１９７４</v>
      </c>
      <c r="L2756" s="403" t="s">
        <v>13843</v>
      </c>
      <c r="M2756" s="403" t="s">
        <v>13844</v>
      </c>
      <c r="N2756" s="403" t="s">
        <v>6382</v>
      </c>
      <c r="O2756" s="403" t="s">
        <v>7084</v>
      </c>
      <c r="P2756" s="403" t="s">
        <v>6995</v>
      </c>
      <c r="Q2756" s="403" t="s">
        <v>13845</v>
      </c>
      <c r="R2756" s="403" t="s">
        <v>23002</v>
      </c>
      <c r="S2756" s="403" t="s">
        <v>18468</v>
      </c>
      <c r="T2756" s="403" t="s">
        <v>18469</v>
      </c>
      <c r="U2756" s="403"/>
      <c r="V2756" s="403" t="s">
        <v>5334</v>
      </c>
      <c r="W2756" s="403" t="s">
        <v>5334</v>
      </c>
      <c r="X2756" s="403" t="s">
        <v>5334</v>
      </c>
      <c r="Y2756" s="403" t="s">
        <v>5334</v>
      </c>
    </row>
    <row r="2757" spans="1:25">
      <c r="A2757" s="363">
        <f t="shared" si="351"/>
        <v>2756</v>
      </c>
      <c r="B2757" s="363" t="str">
        <f t="shared" si="344"/>
        <v>43</v>
      </c>
      <c r="C2757" s="405" t="str">
        <f t="shared" si="345"/>
        <v>第019357号</v>
      </c>
      <c r="D2757" s="405" t="str">
        <f t="shared" si="346"/>
        <v>（株）静岡塗装組</v>
      </c>
      <c r="E2757" s="405" t="str">
        <f t="shared" si="347"/>
        <v>代表取締役</v>
      </c>
      <c r="F2757" s="405" t="str">
        <f t="shared" si="348"/>
        <v>木下　顕</v>
      </c>
      <c r="G2757" s="405" t="str">
        <f t="shared" si="349"/>
        <v>主たる営業所</v>
      </c>
      <c r="H2757" s="405" t="str">
        <f t="shared" si="350"/>
        <v>熊本市中央区水前寺６－４９－５</v>
      </c>
      <c r="L2757" s="403" t="s">
        <v>13846</v>
      </c>
      <c r="M2757" s="403" t="s">
        <v>13847</v>
      </c>
      <c r="N2757" s="403" t="s">
        <v>6383</v>
      </c>
      <c r="O2757" s="403" t="s">
        <v>7084</v>
      </c>
      <c r="P2757" s="403" t="s">
        <v>6996</v>
      </c>
      <c r="Q2757" s="403" t="s">
        <v>13830</v>
      </c>
      <c r="R2757" s="403" t="s">
        <v>23003</v>
      </c>
      <c r="S2757" s="403" t="s">
        <v>18470</v>
      </c>
      <c r="T2757" s="403" t="s">
        <v>18471</v>
      </c>
      <c r="U2757" s="403"/>
      <c r="V2757" s="403" t="s">
        <v>5334</v>
      </c>
      <c r="W2757" s="403" t="s">
        <v>5334</v>
      </c>
      <c r="X2757" s="403" t="s">
        <v>5334</v>
      </c>
      <c r="Y2757" s="403" t="s">
        <v>5334</v>
      </c>
    </row>
    <row r="2758" spans="1:25">
      <c r="A2758" s="363">
        <f t="shared" si="351"/>
        <v>2757</v>
      </c>
      <c r="B2758" s="363" t="str">
        <f t="shared" si="344"/>
        <v>45</v>
      </c>
      <c r="C2758" s="405" t="str">
        <f t="shared" si="345"/>
        <v>第000493号</v>
      </c>
      <c r="D2758" s="405" t="str">
        <f t="shared" si="346"/>
        <v>日本ピー・シー・テー建設（株）</v>
      </c>
      <c r="E2758" s="405" t="str">
        <f t="shared" si="347"/>
        <v>代表取締役</v>
      </c>
      <c r="F2758" s="405" t="str">
        <f t="shared" si="348"/>
        <v>大神　英次郎</v>
      </c>
      <c r="G2758" s="405" t="str">
        <f t="shared" si="349"/>
        <v>主たる営業所</v>
      </c>
      <c r="H2758" s="405" t="str">
        <f t="shared" si="350"/>
        <v>延岡市大武町７８７－１</v>
      </c>
      <c r="L2758" s="403" t="s">
        <v>13848</v>
      </c>
      <c r="M2758" s="403" t="s">
        <v>13849</v>
      </c>
      <c r="N2758" s="403" t="s">
        <v>6384</v>
      </c>
      <c r="O2758" s="403" t="s">
        <v>7084</v>
      </c>
      <c r="P2758" s="403" t="s">
        <v>6997</v>
      </c>
      <c r="Q2758" s="403" t="s">
        <v>13850</v>
      </c>
      <c r="R2758" s="403" t="s">
        <v>23004</v>
      </c>
      <c r="S2758" s="403" t="s">
        <v>18472</v>
      </c>
      <c r="T2758" s="403" t="s">
        <v>18473</v>
      </c>
      <c r="U2758" s="403"/>
      <c r="V2758" s="403" t="s">
        <v>5334</v>
      </c>
      <c r="W2758" s="403" t="s">
        <v>5334</v>
      </c>
      <c r="X2758" s="403" t="s">
        <v>5334</v>
      </c>
      <c r="Y2758" s="403" t="s">
        <v>5334</v>
      </c>
    </row>
    <row r="2759" spans="1:25">
      <c r="A2759" s="363">
        <f t="shared" si="351"/>
        <v>2758</v>
      </c>
      <c r="B2759" s="363" t="str">
        <f t="shared" si="344"/>
        <v>45</v>
      </c>
      <c r="C2759" s="405" t="str">
        <f t="shared" si="345"/>
        <v>第001320号</v>
      </c>
      <c r="D2759" s="405" t="str">
        <f t="shared" si="346"/>
        <v>（株）花菱塗装技研工業</v>
      </c>
      <c r="E2759" s="405" t="str">
        <f t="shared" si="347"/>
        <v>代表取締役</v>
      </c>
      <c r="F2759" s="405" t="str">
        <f t="shared" si="348"/>
        <v>稲田　健</v>
      </c>
      <c r="G2759" s="405" t="str">
        <f t="shared" si="349"/>
        <v>主たる営業所</v>
      </c>
      <c r="H2759" s="405" t="str">
        <f t="shared" si="350"/>
        <v>延岡市大武町３９－７０</v>
      </c>
      <c r="L2759" s="403" t="s">
        <v>13851</v>
      </c>
      <c r="M2759" s="403" t="s">
        <v>13852</v>
      </c>
      <c r="N2759" s="403" t="s">
        <v>6385</v>
      </c>
      <c r="O2759" s="403" t="s">
        <v>7084</v>
      </c>
      <c r="P2759" s="403" t="s">
        <v>6998</v>
      </c>
      <c r="Q2759" s="403" t="s">
        <v>13850</v>
      </c>
      <c r="R2759" s="403" t="s">
        <v>23005</v>
      </c>
      <c r="S2759" s="403" t="s">
        <v>18474</v>
      </c>
      <c r="T2759" s="403" t="s">
        <v>18475</v>
      </c>
      <c r="U2759" s="403"/>
      <c r="V2759" s="403" t="s">
        <v>5334</v>
      </c>
      <c r="W2759" s="403" t="s">
        <v>5334</v>
      </c>
      <c r="X2759" s="403" t="s">
        <v>5334</v>
      </c>
      <c r="Y2759" s="403" t="s">
        <v>5334</v>
      </c>
    </row>
    <row r="2760" spans="1:25">
      <c r="A2760" s="363">
        <f t="shared" si="351"/>
        <v>2759</v>
      </c>
      <c r="B2760" s="363" t="str">
        <f t="shared" si="344"/>
        <v>45</v>
      </c>
      <c r="C2760" s="405" t="str">
        <f t="shared" si="345"/>
        <v>第002036号</v>
      </c>
      <c r="D2760" s="405" t="str">
        <f t="shared" si="346"/>
        <v>倉本鐵工（株）</v>
      </c>
      <c r="E2760" s="405" t="str">
        <f t="shared" si="347"/>
        <v>代表取締役</v>
      </c>
      <c r="F2760" s="405" t="str">
        <f t="shared" si="348"/>
        <v>倉本　英和</v>
      </c>
      <c r="G2760" s="405" t="str">
        <f t="shared" si="349"/>
        <v>主たる営業所</v>
      </c>
      <c r="H2760" s="405" t="str">
        <f t="shared" si="350"/>
        <v>日向市大字日知屋１７３０５</v>
      </c>
      <c r="L2760" s="403" t="s">
        <v>23006</v>
      </c>
      <c r="M2760" s="403" t="s">
        <v>23007</v>
      </c>
      <c r="N2760" s="403" t="s">
        <v>23008</v>
      </c>
      <c r="O2760" s="403" t="s">
        <v>7084</v>
      </c>
      <c r="P2760" s="403" t="s">
        <v>23009</v>
      </c>
      <c r="Q2760" s="403" t="s">
        <v>23010</v>
      </c>
      <c r="R2760" s="403" t="s">
        <v>23011</v>
      </c>
      <c r="S2760" s="403" t="s">
        <v>23012</v>
      </c>
      <c r="T2760" s="403" t="s">
        <v>23013</v>
      </c>
      <c r="U2760" s="403"/>
      <c r="V2760" s="403" t="s">
        <v>5334</v>
      </c>
      <c r="W2760" s="403" t="s">
        <v>5334</v>
      </c>
      <c r="X2760" s="403" t="s">
        <v>5334</v>
      </c>
      <c r="Y2760" s="403" t="s">
        <v>5334</v>
      </c>
    </row>
    <row r="2761" spans="1:25">
      <c r="A2761" s="363">
        <f t="shared" si="351"/>
        <v>2760</v>
      </c>
      <c r="B2761" s="363" t="str">
        <f t="shared" si="344"/>
        <v>45</v>
      </c>
      <c r="C2761" s="405" t="str">
        <f t="shared" si="345"/>
        <v>第002212号</v>
      </c>
      <c r="D2761" s="405" t="str">
        <f t="shared" si="346"/>
        <v>（株）延岡十電舎</v>
      </c>
      <c r="E2761" s="405" t="str">
        <f t="shared" si="347"/>
        <v>代表取締役</v>
      </c>
      <c r="F2761" s="405" t="str">
        <f t="shared" si="348"/>
        <v>牛島　宏</v>
      </c>
      <c r="G2761" s="405" t="str">
        <f t="shared" si="349"/>
        <v>主たる営業所</v>
      </c>
      <c r="H2761" s="405" t="str">
        <f t="shared" si="350"/>
        <v>延岡市大武町５３０４－１</v>
      </c>
      <c r="L2761" s="403" t="s">
        <v>13853</v>
      </c>
      <c r="M2761" s="403" t="s">
        <v>13854</v>
      </c>
      <c r="N2761" s="403" t="s">
        <v>6386</v>
      </c>
      <c r="O2761" s="403" t="s">
        <v>7084</v>
      </c>
      <c r="P2761" s="403" t="s">
        <v>6999</v>
      </c>
      <c r="Q2761" s="403" t="s">
        <v>13850</v>
      </c>
      <c r="R2761" s="403" t="s">
        <v>23014</v>
      </c>
      <c r="S2761" s="403" t="s">
        <v>18476</v>
      </c>
      <c r="T2761" s="403" t="s">
        <v>18477</v>
      </c>
      <c r="U2761" s="403"/>
      <c r="V2761" s="403" t="s">
        <v>5334</v>
      </c>
      <c r="W2761" s="403" t="s">
        <v>5334</v>
      </c>
      <c r="X2761" s="403" t="s">
        <v>5334</v>
      </c>
      <c r="Y2761" s="403" t="s">
        <v>5334</v>
      </c>
    </row>
    <row r="2762" spans="1:25">
      <c r="A2762" s="363">
        <f t="shared" si="351"/>
        <v>2761</v>
      </c>
      <c r="B2762" s="363" t="str">
        <f t="shared" si="344"/>
        <v>45</v>
      </c>
      <c r="C2762" s="405" t="str">
        <f t="shared" si="345"/>
        <v>第003885号</v>
      </c>
      <c r="D2762" s="405" t="str">
        <f t="shared" si="346"/>
        <v>ナンテック（株）</v>
      </c>
      <c r="E2762" s="405" t="str">
        <f t="shared" si="347"/>
        <v>代表取締役</v>
      </c>
      <c r="F2762" s="405" t="str">
        <f t="shared" si="348"/>
        <v>中園　英邦</v>
      </c>
      <c r="G2762" s="405" t="str">
        <f t="shared" si="349"/>
        <v>主たる営業所</v>
      </c>
      <c r="H2762" s="405" t="str">
        <f t="shared" si="350"/>
        <v>宮崎市大字瓜生野６２９８－８</v>
      </c>
      <c r="L2762" s="403" t="s">
        <v>13855</v>
      </c>
      <c r="M2762" s="403" t="s">
        <v>13856</v>
      </c>
      <c r="N2762" s="403" t="s">
        <v>6387</v>
      </c>
      <c r="O2762" s="403" t="s">
        <v>7084</v>
      </c>
      <c r="P2762" s="403" t="s">
        <v>7000</v>
      </c>
      <c r="Q2762" s="403" t="s">
        <v>13857</v>
      </c>
      <c r="R2762" s="403" t="s">
        <v>23015</v>
      </c>
      <c r="S2762" s="403" t="s">
        <v>18478</v>
      </c>
      <c r="T2762" s="403" t="s">
        <v>18479</v>
      </c>
      <c r="U2762" s="403"/>
      <c r="V2762" s="403" t="s">
        <v>5334</v>
      </c>
      <c r="W2762" s="403" t="s">
        <v>5334</v>
      </c>
      <c r="X2762" s="403" t="s">
        <v>5334</v>
      </c>
      <c r="Y2762" s="403" t="s">
        <v>5334</v>
      </c>
    </row>
    <row r="2763" spans="1:25">
      <c r="A2763" s="363">
        <f t="shared" si="351"/>
        <v>2762</v>
      </c>
      <c r="B2763" s="363" t="str">
        <f t="shared" si="344"/>
        <v>45</v>
      </c>
      <c r="C2763" s="405" t="str">
        <f t="shared" si="345"/>
        <v>第005111号</v>
      </c>
      <c r="D2763" s="405" t="str">
        <f t="shared" si="346"/>
        <v>（株）中野管理</v>
      </c>
      <c r="E2763" s="405" t="str">
        <f t="shared" si="347"/>
        <v>代表取締役</v>
      </c>
      <c r="F2763" s="405" t="str">
        <f t="shared" si="348"/>
        <v>久保田　真樹</v>
      </c>
      <c r="G2763" s="405" t="str">
        <f t="shared" si="349"/>
        <v>主たる営業所</v>
      </c>
      <c r="H2763" s="405" t="str">
        <f t="shared" si="350"/>
        <v>宮崎市佐土原町東上那珂１６０７９－７０</v>
      </c>
      <c r="L2763" s="403" t="s">
        <v>13858</v>
      </c>
      <c r="M2763" s="403" t="s">
        <v>13859</v>
      </c>
      <c r="N2763" s="403" t="s">
        <v>6388</v>
      </c>
      <c r="O2763" s="403" t="s">
        <v>7084</v>
      </c>
      <c r="P2763" s="403" t="s">
        <v>7001</v>
      </c>
      <c r="Q2763" s="403" t="s">
        <v>13860</v>
      </c>
      <c r="R2763" s="403" t="s">
        <v>23016</v>
      </c>
      <c r="S2763" s="403" t="s">
        <v>18480</v>
      </c>
      <c r="T2763" s="403" t="s">
        <v>18481</v>
      </c>
      <c r="U2763" s="403"/>
      <c r="V2763" s="403" t="s">
        <v>5334</v>
      </c>
      <c r="W2763" s="403" t="s">
        <v>5334</v>
      </c>
      <c r="X2763" s="403" t="s">
        <v>5334</v>
      </c>
      <c r="Y2763" s="403" t="s">
        <v>5334</v>
      </c>
    </row>
    <row r="2764" spans="1:25">
      <c r="A2764" s="363">
        <f t="shared" si="351"/>
        <v>2763</v>
      </c>
      <c r="B2764" s="363" t="str">
        <f t="shared" si="344"/>
        <v>45</v>
      </c>
      <c r="C2764" s="405" t="str">
        <f t="shared" si="345"/>
        <v>第006529号</v>
      </c>
      <c r="D2764" s="405" t="str">
        <f t="shared" si="346"/>
        <v>南日本興業（株）</v>
      </c>
      <c r="E2764" s="405" t="str">
        <f t="shared" si="347"/>
        <v>代表取締役</v>
      </c>
      <c r="F2764" s="405" t="str">
        <f t="shared" si="348"/>
        <v>大山　真</v>
      </c>
      <c r="G2764" s="405" t="str">
        <f t="shared" si="349"/>
        <v>主たる営業所</v>
      </c>
      <c r="H2764" s="405" t="str">
        <f t="shared" si="350"/>
        <v>宮崎市生目台西３－８－１</v>
      </c>
      <c r="L2764" s="403" t="s">
        <v>13861</v>
      </c>
      <c r="M2764" s="403" t="s">
        <v>13862</v>
      </c>
      <c r="N2764" s="403" t="s">
        <v>6389</v>
      </c>
      <c r="O2764" s="403" t="s">
        <v>7084</v>
      </c>
      <c r="P2764" s="403" t="s">
        <v>23017</v>
      </c>
      <c r="Q2764" s="403" t="s">
        <v>13863</v>
      </c>
      <c r="R2764" s="403" t="s">
        <v>23018</v>
      </c>
      <c r="S2764" s="403" t="s">
        <v>18482</v>
      </c>
      <c r="T2764" s="403" t="s">
        <v>18483</v>
      </c>
      <c r="U2764" s="403"/>
      <c r="V2764" s="403" t="s">
        <v>5334</v>
      </c>
      <c r="W2764" s="403" t="s">
        <v>5334</v>
      </c>
      <c r="X2764" s="403" t="s">
        <v>5334</v>
      </c>
      <c r="Y2764" s="403" t="s">
        <v>5334</v>
      </c>
    </row>
    <row r="2765" spans="1:25">
      <c r="A2765" s="363">
        <f t="shared" si="351"/>
        <v>2764</v>
      </c>
      <c r="B2765" s="363" t="str">
        <f t="shared" si="344"/>
        <v>45</v>
      </c>
      <c r="C2765" s="405" t="str">
        <f t="shared" si="345"/>
        <v>第009782号</v>
      </c>
      <c r="D2765" s="405" t="str">
        <f t="shared" si="346"/>
        <v>アボック（株）</v>
      </c>
      <c r="E2765" s="405" t="str">
        <f t="shared" si="347"/>
        <v>代表取締役</v>
      </c>
      <c r="F2765" s="405" t="str">
        <f t="shared" si="348"/>
        <v>柊山　菜穂子</v>
      </c>
      <c r="G2765" s="405" t="str">
        <f t="shared" si="349"/>
        <v>主たる営業所</v>
      </c>
      <c r="H2765" s="405" t="str">
        <f t="shared" si="350"/>
        <v>宮崎市城ケ崎４－１６－１４</v>
      </c>
      <c r="L2765" s="403" t="s">
        <v>13864</v>
      </c>
      <c r="M2765" s="403" t="s">
        <v>13865</v>
      </c>
      <c r="N2765" s="403" t="s">
        <v>6390</v>
      </c>
      <c r="O2765" s="403" t="s">
        <v>7084</v>
      </c>
      <c r="P2765" s="403" t="s">
        <v>7002</v>
      </c>
      <c r="Q2765" s="403" t="s">
        <v>13866</v>
      </c>
      <c r="R2765" s="403" t="s">
        <v>23019</v>
      </c>
      <c r="S2765" s="403" t="s">
        <v>18484</v>
      </c>
      <c r="T2765" s="403" t="s">
        <v>18485</v>
      </c>
      <c r="U2765" s="403"/>
      <c r="V2765" s="403" t="s">
        <v>5334</v>
      </c>
      <c r="W2765" s="403" t="s">
        <v>5334</v>
      </c>
      <c r="X2765" s="403" t="s">
        <v>5334</v>
      </c>
      <c r="Y2765" s="403" t="s">
        <v>5334</v>
      </c>
    </row>
    <row r="2766" spans="1:25">
      <c r="A2766" s="363">
        <f t="shared" si="351"/>
        <v>2765</v>
      </c>
      <c r="B2766" s="363" t="str">
        <f t="shared" si="344"/>
        <v>45</v>
      </c>
      <c r="C2766" s="405" t="str">
        <f t="shared" si="345"/>
        <v>第014078号</v>
      </c>
      <c r="D2766" s="405" t="str">
        <f t="shared" si="346"/>
        <v>ユニーズ工業（株）</v>
      </c>
      <c r="E2766" s="405" t="str">
        <f t="shared" si="347"/>
        <v>代表取締役</v>
      </c>
      <c r="F2766" s="405" t="str">
        <f t="shared" si="348"/>
        <v>安在　翔一</v>
      </c>
      <c r="G2766" s="405" t="str">
        <f t="shared" si="349"/>
        <v>主たる営業所</v>
      </c>
      <c r="H2766" s="405" t="str">
        <f t="shared" si="350"/>
        <v>延岡市塩浜町３－１７５２－２２</v>
      </c>
      <c r="L2766" s="403" t="s">
        <v>13867</v>
      </c>
      <c r="M2766" s="403" t="s">
        <v>13868</v>
      </c>
      <c r="N2766" s="403" t="s">
        <v>6391</v>
      </c>
      <c r="O2766" s="403" t="s">
        <v>7084</v>
      </c>
      <c r="P2766" s="403" t="s">
        <v>7003</v>
      </c>
      <c r="Q2766" s="403" t="s">
        <v>13030</v>
      </c>
      <c r="R2766" s="403" t="s">
        <v>23020</v>
      </c>
      <c r="S2766" s="403" t="s">
        <v>18486</v>
      </c>
      <c r="T2766" s="403" t="s">
        <v>18487</v>
      </c>
      <c r="U2766" s="403"/>
      <c r="V2766" s="403" t="s">
        <v>5334</v>
      </c>
      <c r="W2766" s="403" t="s">
        <v>5334</v>
      </c>
      <c r="X2766" s="403" t="s">
        <v>5334</v>
      </c>
      <c r="Y2766" s="403" t="s">
        <v>5334</v>
      </c>
    </row>
    <row r="2767" spans="1:25">
      <c r="A2767" s="363">
        <f t="shared" si="351"/>
        <v>2766</v>
      </c>
      <c r="B2767" s="363" t="str">
        <f t="shared" si="344"/>
        <v>46</v>
      </c>
      <c r="C2767" s="405" t="str">
        <f t="shared" si="345"/>
        <v>第001968号</v>
      </c>
      <c r="D2767" s="405" t="str">
        <f t="shared" si="346"/>
        <v>（株）プランテムタナカ</v>
      </c>
      <c r="E2767" s="405" t="str">
        <f t="shared" si="347"/>
        <v>代表取締役</v>
      </c>
      <c r="F2767" s="405" t="str">
        <f t="shared" si="348"/>
        <v>田中　義郎</v>
      </c>
      <c r="G2767" s="405" t="str">
        <f t="shared" si="349"/>
        <v>主たる営業所</v>
      </c>
      <c r="H2767" s="405" t="str">
        <f t="shared" si="350"/>
        <v>鹿児島市七ツ島１－１－２６</v>
      </c>
      <c r="L2767" s="403" t="s">
        <v>13869</v>
      </c>
      <c r="M2767" s="403" t="s">
        <v>13870</v>
      </c>
      <c r="N2767" s="403" t="s">
        <v>6392</v>
      </c>
      <c r="O2767" s="403" t="s">
        <v>7084</v>
      </c>
      <c r="P2767" s="403" t="s">
        <v>7004</v>
      </c>
      <c r="Q2767" s="403" t="s">
        <v>13871</v>
      </c>
      <c r="R2767" s="403" t="s">
        <v>23021</v>
      </c>
      <c r="S2767" s="403" t="s">
        <v>18488</v>
      </c>
      <c r="T2767" s="403" t="s">
        <v>18489</v>
      </c>
      <c r="U2767" s="403"/>
      <c r="V2767" s="403" t="s">
        <v>5334</v>
      </c>
      <c r="W2767" s="403" t="s">
        <v>5334</v>
      </c>
      <c r="X2767" s="403" t="s">
        <v>5334</v>
      </c>
      <c r="Y2767" s="403" t="s">
        <v>5334</v>
      </c>
    </row>
    <row r="2768" spans="1:25">
      <c r="A2768" s="363">
        <f t="shared" si="351"/>
        <v>2767</v>
      </c>
      <c r="B2768" s="363" t="str">
        <f t="shared" si="344"/>
        <v>46</v>
      </c>
      <c r="C2768" s="405" t="str">
        <f t="shared" si="345"/>
        <v>第002127号</v>
      </c>
      <c r="D2768" s="405" t="str">
        <f t="shared" si="346"/>
        <v>（株）サニタリー</v>
      </c>
      <c r="E2768" s="405" t="str">
        <f t="shared" si="347"/>
        <v>代表取締役</v>
      </c>
      <c r="F2768" s="405" t="str">
        <f t="shared" si="348"/>
        <v>尾方　洋輔</v>
      </c>
      <c r="G2768" s="405" t="str">
        <f t="shared" si="349"/>
        <v>主たる営業所</v>
      </c>
      <c r="H2768" s="405" t="str">
        <f t="shared" si="350"/>
        <v>鹿児島市東谷山５－２０－１１</v>
      </c>
      <c r="L2768" s="403" t="s">
        <v>13872</v>
      </c>
      <c r="M2768" s="403" t="s">
        <v>13873</v>
      </c>
      <c r="N2768" s="403" t="s">
        <v>6393</v>
      </c>
      <c r="O2768" s="403" t="s">
        <v>7084</v>
      </c>
      <c r="P2768" s="403" t="s">
        <v>7005</v>
      </c>
      <c r="Q2768" s="403" t="s">
        <v>13874</v>
      </c>
      <c r="R2768" s="403" t="s">
        <v>23022</v>
      </c>
      <c r="S2768" s="403" t="s">
        <v>18490</v>
      </c>
      <c r="T2768" s="403" t="s">
        <v>18491</v>
      </c>
      <c r="U2768" s="403"/>
      <c r="V2768" s="403" t="s">
        <v>5334</v>
      </c>
      <c r="W2768" s="403" t="s">
        <v>5334</v>
      </c>
      <c r="X2768" s="403" t="s">
        <v>5334</v>
      </c>
      <c r="Y2768" s="403" t="s">
        <v>5334</v>
      </c>
    </row>
    <row r="2769" spans="1:25">
      <c r="A2769" s="363">
        <f t="shared" si="351"/>
        <v>2768</v>
      </c>
      <c r="B2769" s="363" t="str">
        <f t="shared" si="344"/>
        <v>46</v>
      </c>
      <c r="C2769" s="405" t="str">
        <f t="shared" si="345"/>
        <v>第007219号</v>
      </c>
      <c r="D2769" s="405" t="str">
        <f t="shared" si="346"/>
        <v>川幸産業（株）</v>
      </c>
      <c r="E2769" s="405" t="str">
        <f t="shared" si="347"/>
        <v>代表取締役</v>
      </c>
      <c r="F2769" s="405" t="str">
        <f t="shared" si="348"/>
        <v>川原　義幸</v>
      </c>
      <c r="G2769" s="405" t="str">
        <f t="shared" si="349"/>
        <v>主たる営業所</v>
      </c>
      <c r="H2769" s="405" t="str">
        <f t="shared" si="350"/>
        <v>鹿児島市田上町４３５１</v>
      </c>
      <c r="L2769" s="403" t="s">
        <v>13875</v>
      </c>
      <c r="M2769" s="403" t="s">
        <v>13876</v>
      </c>
      <c r="N2769" s="403" t="s">
        <v>6394</v>
      </c>
      <c r="O2769" s="403" t="s">
        <v>7084</v>
      </c>
      <c r="P2769" s="403" t="s">
        <v>7006</v>
      </c>
      <c r="Q2769" s="403" t="s">
        <v>13877</v>
      </c>
      <c r="R2769" s="403" t="s">
        <v>23023</v>
      </c>
      <c r="S2769" s="403" t="s">
        <v>18492</v>
      </c>
      <c r="T2769" s="403" t="s">
        <v>18493</v>
      </c>
      <c r="U2769" s="403"/>
      <c r="V2769" s="403" t="s">
        <v>5334</v>
      </c>
      <c r="W2769" s="403" t="s">
        <v>5334</v>
      </c>
      <c r="X2769" s="403" t="s">
        <v>5334</v>
      </c>
      <c r="Y2769" s="403" t="s">
        <v>5334</v>
      </c>
    </row>
    <row r="2770" spans="1:25">
      <c r="A2770" s="363">
        <f t="shared" si="351"/>
        <v>2769</v>
      </c>
      <c r="B2770" s="363" t="str">
        <f t="shared" si="344"/>
        <v>45</v>
      </c>
      <c r="C2770" s="405" t="str">
        <f t="shared" si="345"/>
        <v>第009782号</v>
      </c>
      <c r="D2770" s="405" t="str">
        <f t="shared" si="346"/>
        <v>アボック（株）</v>
      </c>
      <c r="E2770" s="405" t="str">
        <f t="shared" si="347"/>
        <v>代表取締役</v>
      </c>
      <c r="F2770" s="405" t="str">
        <f t="shared" si="348"/>
        <v>柊山　菜穂子</v>
      </c>
      <c r="G2770" s="405" t="str">
        <f t="shared" si="349"/>
        <v>主たる営業所</v>
      </c>
      <c r="H2770" s="405" t="str">
        <f t="shared" si="350"/>
        <v>宮崎県宮崎市城ケ崎４ー１６ー１４</v>
      </c>
      <c r="L2770" s="403" t="s">
        <v>13864</v>
      </c>
      <c r="M2770" s="403" t="s">
        <v>13865</v>
      </c>
      <c r="N2770" s="403" t="s">
        <v>6390</v>
      </c>
      <c r="O2770" s="403" t="s">
        <v>7084</v>
      </c>
      <c r="P2770" s="403" t="s">
        <v>7002</v>
      </c>
      <c r="Q2770" s="403" t="s">
        <v>13866</v>
      </c>
      <c r="R2770" s="403" t="s">
        <v>7078</v>
      </c>
      <c r="S2770" s="403" t="s">
        <v>18484</v>
      </c>
      <c r="T2770" s="403" t="s">
        <v>18485</v>
      </c>
      <c r="U2770" s="403" t="s">
        <v>13887</v>
      </c>
      <c r="V2770" s="403" t="s">
        <v>5334</v>
      </c>
      <c r="W2770" s="403" t="s">
        <v>5334</v>
      </c>
      <c r="X2770" s="403" t="s">
        <v>5334</v>
      </c>
      <c r="Y2770" s="403" t="s">
        <v>5334</v>
      </c>
    </row>
    <row r="2771" spans="1:25">
      <c r="A2771" s="363">
        <f t="shared" si="351"/>
        <v>2770</v>
      </c>
      <c r="B2771" s="363" t="str">
        <f t="shared" si="344"/>
        <v>45</v>
      </c>
      <c r="C2771" s="405" t="str">
        <f t="shared" si="345"/>
        <v>第014078号</v>
      </c>
      <c r="D2771" s="405" t="str">
        <f t="shared" si="346"/>
        <v>ユニーズ工業（株）</v>
      </c>
      <c r="E2771" s="405" t="str">
        <f t="shared" si="347"/>
        <v>代表取締役</v>
      </c>
      <c r="F2771" s="405" t="str">
        <f t="shared" si="348"/>
        <v>安在　翔一</v>
      </c>
      <c r="G2771" s="405" t="str">
        <f t="shared" si="349"/>
        <v>主たる営業所</v>
      </c>
      <c r="H2771" s="405" t="str">
        <f t="shared" si="350"/>
        <v>宮崎県延岡市塩浜町３ー１７５２ー２２</v>
      </c>
      <c r="L2771" s="403" t="s">
        <v>13867</v>
      </c>
      <c r="M2771" s="403" t="s">
        <v>13868</v>
      </c>
      <c r="N2771" s="403" t="s">
        <v>6391</v>
      </c>
      <c r="O2771" s="403" t="s">
        <v>7084</v>
      </c>
      <c r="P2771" s="403" t="s">
        <v>7003</v>
      </c>
      <c r="Q2771" s="403" t="s">
        <v>13030</v>
      </c>
      <c r="R2771" s="403" t="s">
        <v>7079</v>
      </c>
      <c r="S2771" s="403" t="s">
        <v>18486</v>
      </c>
      <c r="T2771" s="403" t="s">
        <v>18487</v>
      </c>
      <c r="U2771" s="403" t="s">
        <v>13887</v>
      </c>
      <c r="V2771" s="403" t="s">
        <v>5334</v>
      </c>
      <c r="W2771" s="403" t="s">
        <v>5334</v>
      </c>
      <c r="X2771" s="403" t="s">
        <v>5334</v>
      </c>
      <c r="Y2771" s="403" t="s">
        <v>5334</v>
      </c>
    </row>
    <row r="2772" spans="1:25">
      <c r="A2772" s="363">
        <f t="shared" si="351"/>
        <v>2771</v>
      </c>
      <c r="B2772" s="363" t="str">
        <f t="shared" si="344"/>
        <v>46</v>
      </c>
      <c r="C2772" s="405" t="str">
        <f t="shared" si="345"/>
        <v>第001968号</v>
      </c>
      <c r="D2772" s="405" t="str">
        <f t="shared" si="346"/>
        <v>（株）プランテムタナカ</v>
      </c>
      <c r="E2772" s="405" t="str">
        <f t="shared" si="347"/>
        <v>代表取締役</v>
      </c>
      <c r="F2772" s="405" t="str">
        <f t="shared" si="348"/>
        <v>田中　義郎</v>
      </c>
      <c r="G2772" s="405" t="str">
        <f t="shared" si="349"/>
        <v>主たる営業所</v>
      </c>
      <c r="H2772" s="405" t="str">
        <f t="shared" si="350"/>
        <v>鹿児島県鹿児島市七ツ島１ー１ー２６</v>
      </c>
      <c r="L2772" s="403" t="s">
        <v>13869</v>
      </c>
      <c r="M2772" s="403" t="s">
        <v>13870</v>
      </c>
      <c r="N2772" s="403" t="s">
        <v>6392</v>
      </c>
      <c r="O2772" s="403" t="s">
        <v>7084</v>
      </c>
      <c r="P2772" s="403" t="s">
        <v>7004</v>
      </c>
      <c r="Q2772" s="403" t="s">
        <v>13871</v>
      </c>
      <c r="R2772" s="403" t="s">
        <v>7080</v>
      </c>
      <c r="S2772" s="403" t="s">
        <v>18488</v>
      </c>
      <c r="T2772" s="403" t="s">
        <v>18489</v>
      </c>
      <c r="U2772" s="403" t="s">
        <v>13887</v>
      </c>
      <c r="V2772" s="403" t="s">
        <v>5334</v>
      </c>
      <c r="W2772" s="403" t="s">
        <v>5334</v>
      </c>
      <c r="X2772" s="403" t="s">
        <v>5334</v>
      </c>
      <c r="Y2772" s="403" t="s">
        <v>5334</v>
      </c>
    </row>
    <row r="2773" spans="1:25">
      <c r="A2773" s="363">
        <f t="shared" si="351"/>
        <v>2772</v>
      </c>
      <c r="B2773" s="363" t="str">
        <f t="shared" si="344"/>
        <v>46</v>
      </c>
      <c r="C2773" s="405" t="str">
        <f t="shared" si="345"/>
        <v>第002127号</v>
      </c>
      <c r="D2773" s="405" t="str">
        <f t="shared" si="346"/>
        <v>（株）サニタリー</v>
      </c>
      <c r="E2773" s="405" t="str">
        <f t="shared" si="347"/>
        <v>代表取締役</v>
      </c>
      <c r="F2773" s="405" t="str">
        <f t="shared" si="348"/>
        <v>尾方　洋輔</v>
      </c>
      <c r="G2773" s="405" t="str">
        <f t="shared" si="349"/>
        <v>主たる営業所</v>
      </c>
      <c r="H2773" s="405" t="str">
        <f t="shared" si="350"/>
        <v>鹿児島県鹿児島市東谷山５ー２０ー１１</v>
      </c>
      <c r="L2773" s="403" t="s">
        <v>13872</v>
      </c>
      <c r="M2773" s="403" t="s">
        <v>13873</v>
      </c>
      <c r="N2773" s="403" t="s">
        <v>6393</v>
      </c>
      <c r="O2773" s="403" t="s">
        <v>7084</v>
      </c>
      <c r="P2773" s="403" t="s">
        <v>7005</v>
      </c>
      <c r="Q2773" s="403" t="s">
        <v>13874</v>
      </c>
      <c r="R2773" s="403" t="s">
        <v>7081</v>
      </c>
      <c r="S2773" s="403" t="s">
        <v>18490</v>
      </c>
      <c r="T2773" s="403" t="s">
        <v>18491</v>
      </c>
      <c r="U2773" s="403" t="s">
        <v>13887</v>
      </c>
      <c r="V2773" s="403" t="s">
        <v>5334</v>
      </c>
      <c r="W2773" s="403" t="s">
        <v>5334</v>
      </c>
      <c r="X2773" s="403" t="s">
        <v>5334</v>
      </c>
      <c r="Y2773" s="403" t="s">
        <v>5334</v>
      </c>
    </row>
    <row r="2774" spans="1:25">
      <c r="A2774" s="363">
        <f t="shared" si="351"/>
        <v>2773</v>
      </c>
      <c r="B2774" s="363" t="str">
        <f t="shared" si="344"/>
        <v>46</v>
      </c>
      <c r="C2774" s="405" t="str">
        <f t="shared" si="345"/>
        <v>第007219号</v>
      </c>
      <c r="D2774" s="405" t="str">
        <f t="shared" si="346"/>
        <v>川幸産業（株）</v>
      </c>
      <c r="E2774" s="405" t="str">
        <f t="shared" si="347"/>
        <v>代表取締役</v>
      </c>
      <c r="F2774" s="405" t="str">
        <f t="shared" si="348"/>
        <v>川原　義幸</v>
      </c>
      <c r="G2774" s="405" t="str">
        <f t="shared" si="349"/>
        <v>主たる営業所</v>
      </c>
      <c r="H2774" s="405" t="str">
        <f t="shared" si="350"/>
        <v>鹿児島県鹿児島市田上町４３５１</v>
      </c>
      <c r="L2774" s="403" t="s">
        <v>13875</v>
      </c>
      <c r="M2774" s="403" t="s">
        <v>13876</v>
      </c>
      <c r="N2774" s="403" t="s">
        <v>6394</v>
      </c>
      <c r="O2774" s="403" t="s">
        <v>7084</v>
      </c>
      <c r="P2774" s="403" t="s">
        <v>7006</v>
      </c>
      <c r="Q2774" s="403" t="s">
        <v>13877</v>
      </c>
      <c r="R2774" s="403" t="s">
        <v>7082</v>
      </c>
      <c r="S2774" s="403" t="s">
        <v>18492</v>
      </c>
      <c r="T2774" s="403" t="s">
        <v>18493</v>
      </c>
      <c r="U2774" s="403" t="s">
        <v>13887</v>
      </c>
      <c r="V2774" s="403" t="s">
        <v>5334</v>
      </c>
      <c r="W2774" s="403" t="s">
        <v>5334</v>
      </c>
      <c r="X2774" s="403" t="s">
        <v>5334</v>
      </c>
      <c r="Y2774" s="403" t="s">
        <v>5334</v>
      </c>
    </row>
    <row r="2775" spans="1:25">
      <c r="A2775" s="363" t="str">
        <f t="shared" si="351"/>
        <v/>
      </c>
      <c r="B2775" s="363" t="str">
        <f t="shared" si="344"/>
        <v/>
      </c>
      <c r="C2775" s="405" t="str">
        <f t="shared" si="345"/>
        <v/>
      </c>
      <c r="D2775" s="405">
        <f t="shared" si="346"/>
        <v>0</v>
      </c>
      <c r="E2775" s="405" t="str">
        <f t="shared" si="347"/>
        <v/>
      </c>
      <c r="F2775" s="405">
        <f t="shared" si="348"/>
        <v>0</v>
      </c>
      <c r="G2775" s="405">
        <f t="shared" si="349"/>
        <v>0</v>
      </c>
      <c r="H2775" s="405">
        <f t="shared" si="350"/>
        <v>0</v>
      </c>
    </row>
    <row r="2776" spans="1:25">
      <c r="A2776" s="363" t="str">
        <f t="shared" si="351"/>
        <v/>
      </c>
      <c r="B2776" s="363" t="str">
        <f t="shared" si="344"/>
        <v/>
      </c>
      <c r="C2776" s="405" t="str">
        <f t="shared" si="345"/>
        <v/>
      </c>
      <c r="D2776" s="405">
        <f t="shared" si="346"/>
        <v>0</v>
      </c>
      <c r="E2776" s="405" t="str">
        <f t="shared" si="347"/>
        <v/>
      </c>
      <c r="F2776" s="405">
        <f t="shared" si="348"/>
        <v>0</v>
      </c>
      <c r="G2776" s="405">
        <f t="shared" si="349"/>
        <v>0</v>
      </c>
      <c r="H2776" s="405">
        <f t="shared" si="350"/>
        <v>0</v>
      </c>
    </row>
    <row r="2777" spans="1:25">
      <c r="A2777" s="363" t="str">
        <f t="shared" si="351"/>
        <v/>
      </c>
      <c r="B2777" s="363" t="str">
        <f t="shared" si="344"/>
        <v/>
      </c>
      <c r="C2777" s="405" t="str">
        <f t="shared" si="345"/>
        <v/>
      </c>
      <c r="D2777" s="405">
        <f t="shared" si="346"/>
        <v>0</v>
      </c>
      <c r="E2777" s="405" t="str">
        <f t="shared" si="347"/>
        <v/>
      </c>
      <c r="F2777" s="405">
        <f t="shared" si="348"/>
        <v>0</v>
      </c>
      <c r="G2777" s="405">
        <f t="shared" si="349"/>
        <v>0</v>
      </c>
      <c r="H2777" s="405">
        <f t="shared" si="350"/>
        <v>0</v>
      </c>
    </row>
    <row r="2778" spans="1:25">
      <c r="A2778" s="363" t="str">
        <f t="shared" si="351"/>
        <v/>
      </c>
      <c r="B2778" s="363" t="str">
        <f t="shared" si="344"/>
        <v/>
      </c>
      <c r="C2778" s="405" t="str">
        <f t="shared" si="345"/>
        <v/>
      </c>
      <c r="D2778" s="405">
        <f t="shared" si="346"/>
        <v>0</v>
      </c>
      <c r="E2778" s="405" t="str">
        <f t="shared" si="347"/>
        <v/>
      </c>
      <c r="F2778" s="405">
        <f t="shared" si="348"/>
        <v>0</v>
      </c>
      <c r="G2778" s="405">
        <f t="shared" si="349"/>
        <v>0</v>
      </c>
      <c r="H2778" s="405">
        <f t="shared" si="350"/>
        <v>0</v>
      </c>
    </row>
    <row r="2779" spans="1:25">
      <c r="A2779" s="363" t="str">
        <f t="shared" si="351"/>
        <v/>
      </c>
      <c r="B2779" s="363" t="str">
        <f t="shared" si="344"/>
        <v/>
      </c>
      <c r="C2779" s="405" t="str">
        <f t="shared" si="345"/>
        <v/>
      </c>
      <c r="D2779" s="405">
        <f t="shared" si="346"/>
        <v>0</v>
      </c>
      <c r="E2779" s="405" t="str">
        <f t="shared" si="347"/>
        <v/>
      </c>
      <c r="F2779" s="405">
        <f t="shared" si="348"/>
        <v>0</v>
      </c>
      <c r="G2779" s="405">
        <f t="shared" si="349"/>
        <v>0</v>
      </c>
      <c r="H2779" s="405">
        <f t="shared" si="350"/>
        <v>0</v>
      </c>
    </row>
    <row r="2780" spans="1:25">
      <c r="A2780" s="363" t="str">
        <f t="shared" si="351"/>
        <v/>
      </c>
      <c r="B2780" s="363" t="str">
        <f t="shared" si="344"/>
        <v/>
      </c>
      <c r="C2780" s="405" t="str">
        <f t="shared" si="345"/>
        <v/>
      </c>
      <c r="D2780" s="405">
        <f t="shared" si="346"/>
        <v>0</v>
      </c>
      <c r="E2780" s="405" t="str">
        <f t="shared" si="347"/>
        <v/>
      </c>
      <c r="F2780" s="405">
        <f t="shared" si="348"/>
        <v>0</v>
      </c>
      <c r="G2780" s="405">
        <f t="shared" si="349"/>
        <v>0</v>
      </c>
      <c r="H2780" s="405">
        <f t="shared" si="350"/>
        <v>0</v>
      </c>
    </row>
    <row r="2781" spans="1:25">
      <c r="A2781" s="363" t="str">
        <f t="shared" si="351"/>
        <v/>
      </c>
      <c r="B2781" s="363" t="str">
        <f t="shared" si="344"/>
        <v/>
      </c>
      <c r="C2781" s="405" t="str">
        <f t="shared" si="345"/>
        <v/>
      </c>
      <c r="D2781" s="405">
        <f t="shared" si="346"/>
        <v>0</v>
      </c>
      <c r="E2781" s="405" t="str">
        <f t="shared" si="347"/>
        <v/>
      </c>
      <c r="F2781" s="405">
        <f t="shared" si="348"/>
        <v>0</v>
      </c>
      <c r="G2781" s="405">
        <f t="shared" si="349"/>
        <v>0</v>
      </c>
      <c r="H2781" s="405">
        <f t="shared" si="350"/>
        <v>0</v>
      </c>
    </row>
    <row r="2782" spans="1:25">
      <c r="A2782" s="363" t="str">
        <f t="shared" si="351"/>
        <v/>
      </c>
      <c r="B2782" s="363" t="str">
        <f t="shared" si="344"/>
        <v/>
      </c>
      <c r="C2782" s="405" t="str">
        <f t="shared" si="345"/>
        <v/>
      </c>
      <c r="D2782" s="405">
        <f t="shared" si="346"/>
        <v>0</v>
      </c>
      <c r="E2782" s="405" t="str">
        <f t="shared" si="347"/>
        <v/>
      </c>
      <c r="F2782" s="405">
        <f t="shared" si="348"/>
        <v>0</v>
      </c>
      <c r="G2782" s="405">
        <f t="shared" si="349"/>
        <v>0</v>
      </c>
      <c r="H2782" s="405">
        <f t="shared" si="350"/>
        <v>0</v>
      </c>
    </row>
    <row r="2783" spans="1:25">
      <c r="A2783" s="363" t="str">
        <f t="shared" si="351"/>
        <v/>
      </c>
      <c r="B2783" s="363" t="str">
        <f t="shared" si="344"/>
        <v/>
      </c>
      <c r="C2783" s="405" t="str">
        <f t="shared" si="345"/>
        <v/>
      </c>
      <c r="D2783" s="405">
        <f t="shared" si="346"/>
        <v>0</v>
      </c>
      <c r="E2783" s="405" t="str">
        <f t="shared" si="347"/>
        <v/>
      </c>
      <c r="F2783" s="405">
        <f t="shared" si="348"/>
        <v>0</v>
      </c>
      <c r="G2783" s="405">
        <f t="shared" si="349"/>
        <v>0</v>
      </c>
      <c r="H2783" s="405">
        <f t="shared" si="350"/>
        <v>0</v>
      </c>
    </row>
    <row r="2784" spans="1:25">
      <c r="A2784" s="363" t="str">
        <f t="shared" si="351"/>
        <v/>
      </c>
      <c r="B2784" s="363" t="str">
        <f t="shared" si="344"/>
        <v/>
      </c>
      <c r="C2784" s="405" t="str">
        <f t="shared" si="345"/>
        <v/>
      </c>
      <c r="D2784" s="405">
        <f t="shared" si="346"/>
        <v>0</v>
      </c>
      <c r="E2784" s="405" t="str">
        <f t="shared" si="347"/>
        <v/>
      </c>
      <c r="F2784" s="405">
        <f t="shared" si="348"/>
        <v>0</v>
      </c>
      <c r="G2784" s="405">
        <f t="shared" si="349"/>
        <v>0</v>
      </c>
      <c r="H2784" s="405">
        <f t="shared" si="350"/>
        <v>0</v>
      </c>
    </row>
    <row r="2785" spans="1:8">
      <c r="A2785" s="363" t="str">
        <f t="shared" si="351"/>
        <v/>
      </c>
      <c r="B2785" s="363" t="str">
        <f t="shared" si="344"/>
        <v/>
      </c>
      <c r="C2785" s="405" t="str">
        <f t="shared" si="345"/>
        <v/>
      </c>
      <c r="D2785" s="405">
        <f t="shared" si="346"/>
        <v>0</v>
      </c>
      <c r="E2785" s="405" t="str">
        <f t="shared" si="347"/>
        <v/>
      </c>
      <c r="F2785" s="405">
        <f t="shared" si="348"/>
        <v>0</v>
      </c>
      <c r="G2785" s="405">
        <f t="shared" si="349"/>
        <v>0</v>
      </c>
      <c r="H2785" s="405">
        <f t="shared" si="350"/>
        <v>0</v>
      </c>
    </row>
    <row r="2786" spans="1:8">
      <c r="A2786" s="363" t="str">
        <f t="shared" si="351"/>
        <v/>
      </c>
      <c r="B2786" s="363" t="str">
        <f t="shared" si="344"/>
        <v/>
      </c>
      <c r="C2786" s="405" t="str">
        <f t="shared" si="345"/>
        <v/>
      </c>
      <c r="D2786" s="405">
        <f t="shared" si="346"/>
        <v>0</v>
      </c>
      <c r="E2786" s="405" t="str">
        <f t="shared" si="347"/>
        <v/>
      </c>
      <c r="F2786" s="405">
        <f t="shared" si="348"/>
        <v>0</v>
      </c>
      <c r="G2786" s="405">
        <f t="shared" si="349"/>
        <v>0</v>
      </c>
      <c r="H2786" s="405">
        <f t="shared" si="350"/>
        <v>0</v>
      </c>
    </row>
    <row r="2787" spans="1:8">
      <c r="A2787" s="363" t="str">
        <f t="shared" si="351"/>
        <v/>
      </c>
      <c r="B2787" s="363" t="str">
        <f t="shared" si="344"/>
        <v/>
      </c>
      <c r="C2787" s="405" t="str">
        <f t="shared" si="345"/>
        <v/>
      </c>
      <c r="D2787" s="405">
        <f t="shared" si="346"/>
        <v>0</v>
      </c>
      <c r="E2787" s="405" t="str">
        <f t="shared" si="347"/>
        <v/>
      </c>
      <c r="F2787" s="405">
        <f t="shared" si="348"/>
        <v>0</v>
      </c>
      <c r="G2787" s="405">
        <f t="shared" si="349"/>
        <v>0</v>
      </c>
      <c r="H2787" s="405">
        <f t="shared" si="350"/>
        <v>0</v>
      </c>
    </row>
    <row r="2788" spans="1:8">
      <c r="A2788" s="363" t="str">
        <f t="shared" si="351"/>
        <v/>
      </c>
      <c r="B2788" s="363" t="str">
        <f t="shared" si="344"/>
        <v/>
      </c>
      <c r="C2788" s="405" t="str">
        <f t="shared" si="345"/>
        <v/>
      </c>
      <c r="D2788" s="405">
        <f t="shared" si="346"/>
        <v>0</v>
      </c>
      <c r="E2788" s="405" t="str">
        <f t="shared" si="347"/>
        <v/>
      </c>
      <c r="F2788" s="405">
        <f t="shared" si="348"/>
        <v>0</v>
      </c>
      <c r="G2788" s="405">
        <f t="shared" si="349"/>
        <v>0</v>
      </c>
      <c r="H2788" s="405">
        <f t="shared" si="350"/>
        <v>0</v>
      </c>
    </row>
    <row r="2789" spans="1:8">
      <c r="A2789" s="363" t="str">
        <f t="shared" si="351"/>
        <v/>
      </c>
      <c r="B2789" s="363" t="str">
        <f t="shared" si="344"/>
        <v/>
      </c>
      <c r="C2789" s="405" t="str">
        <f t="shared" si="345"/>
        <v/>
      </c>
      <c r="D2789" s="405">
        <f t="shared" si="346"/>
        <v>0</v>
      </c>
      <c r="E2789" s="405" t="str">
        <f t="shared" si="347"/>
        <v/>
      </c>
      <c r="F2789" s="405">
        <f t="shared" si="348"/>
        <v>0</v>
      </c>
      <c r="G2789" s="405">
        <f t="shared" si="349"/>
        <v>0</v>
      </c>
      <c r="H2789" s="405">
        <f t="shared" si="350"/>
        <v>0</v>
      </c>
    </row>
    <row r="2790" spans="1:8">
      <c r="A2790" s="363" t="str">
        <f t="shared" si="351"/>
        <v/>
      </c>
      <c r="B2790" s="363" t="str">
        <f t="shared" si="344"/>
        <v/>
      </c>
      <c r="C2790" s="405" t="str">
        <f t="shared" si="345"/>
        <v/>
      </c>
      <c r="D2790" s="405">
        <f t="shared" si="346"/>
        <v>0</v>
      </c>
      <c r="E2790" s="405" t="str">
        <f t="shared" si="347"/>
        <v/>
      </c>
      <c r="F2790" s="405">
        <f t="shared" si="348"/>
        <v>0</v>
      </c>
      <c r="G2790" s="405">
        <f t="shared" si="349"/>
        <v>0</v>
      </c>
      <c r="H2790" s="405">
        <f t="shared" si="350"/>
        <v>0</v>
      </c>
    </row>
    <row r="2791" spans="1:8">
      <c r="A2791" s="363" t="str">
        <f t="shared" si="351"/>
        <v/>
      </c>
      <c r="B2791" s="363" t="str">
        <f t="shared" si="344"/>
        <v/>
      </c>
      <c r="C2791" s="405" t="str">
        <f t="shared" si="345"/>
        <v/>
      </c>
      <c r="D2791" s="405">
        <f t="shared" si="346"/>
        <v>0</v>
      </c>
      <c r="E2791" s="405" t="str">
        <f t="shared" si="347"/>
        <v/>
      </c>
      <c r="F2791" s="405">
        <f t="shared" si="348"/>
        <v>0</v>
      </c>
      <c r="G2791" s="405">
        <f t="shared" si="349"/>
        <v>0</v>
      </c>
      <c r="H2791" s="405">
        <f t="shared" si="350"/>
        <v>0</v>
      </c>
    </row>
    <row r="2792" spans="1:8">
      <c r="A2792" s="363" t="str">
        <f t="shared" si="351"/>
        <v/>
      </c>
      <c r="B2792" s="363" t="str">
        <f t="shared" si="344"/>
        <v/>
      </c>
      <c r="C2792" s="405" t="str">
        <f t="shared" si="345"/>
        <v/>
      </c>
      <c r="D2792" s="405">
        <f t="shared" si="346"/>
        <v>0</v>
      </c>
      <c r="E2792" s="405" t="str">
        <f t="shared" si="347"/>
        <v/>
      </c>
      <c r="F2792" s="405">
        <f t="shared" si="348"/>
        <v>0</v>
      </c>
      <c r="G2792" s="405">
        <f t="shared" si="349"/>
        <v>0</v>
      </c>
      <c r="H2792" s="405">
        <f t="shared" si="350"/>
        <v>0</v>
      </c>
    </row>
    <row r="2793" spans="1:8">
      <c r="A2793" s="363" t="str">
        <f t="shared" si="351"/>
        <v/>
      </c>
      <c r="B2793" s="363" t="str">
        <f t="shared" si="344"/>
        <v/>
      </c>
      <c r="C2793" s="405" t="str">
        <f t="shared" si="345"/>
        <v/>
      </c>
      <c r="D2793" s="405">
        <f t="shared" si="346"/>
        <v>0</v>
      </c>
      <c r="E2793" s="405" t="str">
        <f t="shared" si="347"/>
        <v/>
      </c>
      <c r="F2793" s="405">
        <f t="shared" si="348"/>
        <v>0</v>
      </c>
      <c r="G2793" s="405">
        <f t="shared" si="349"/>
        <v>0</v>
      </c>
      <c r="H2793" s="405">
        <f t="shared" si="350"/>
        <v>0</v>
      </c>
    </row>
    <row r="2794" spans="1:8">
      <c r="A2794" s="363" t="str">
        <f t="shared" si="351"/>
        <v/>
      </c>
      <c r="B2794" s="363" t="str">
        <f t="shared" si="344"/>
        <v/>
      </c>
      <c r="C2794" s="405" t="str">
        <f t="shared" si="345"/>
        <v/>
      </c>
      <c r="D2794" s="405">
        <f t="shared" si="346"/>
        <v>0</v>
      </c>
      <c r="E2794" s="405" t="str">
        <f t="shared" si="347"/>
        <v/>
      </c>
      <c r="F2794" s="405">
        <f t="shared" si="348"/>
        <v>0</v>
      </c>
      <c r="G2794" s="405">
        <f t="shared" si="349"/>
        <v>0</v>
      </c>
      <c r="H2794" s="405">
        <f t="shared" si="350"/>
        <v>0</v>
      </c>
    </row>
    <row r="2795" spans="1:8">
      <c r="A2795" s="363" t="str">
        <f t="shared" si="351"/>
        <v/>
      </c>
      <c r="B2795" s="363" t="str">
        <f t="shared" si="344"/>
        <v/>
      </c>
      <c r="C2795" s="405" t="str">
        <f t="shared" si="345"/>
        <v/>
      </c>
      <c r="D2795" s="405">
        <f t="shared" si="346"/>
        <v>0</v>
      </c>
      <c r="E2795" s="405" t="str">
        <f t="shared" si="347"/>
        <v/>
      </c>
      <c r="F2795" s="405">
        <f t="shared" si="348"/>
        <v>0</v>
      </c>
      <c r="G2795" s="405">
        <f t="shared" si="349"/>
        <v>0</v>
      </c>
      <c r="H2795" s="405">
        <f t="shared" si="350"/>
        <v>0</v>
      </c>
    </row>
    <row r="2796" spans="1:8">
      <c r="A2796" s="363" t="str">
        <f t="shared" si="351"/>
        <v/>
      </c>
      <c r="B2796" s="363" t="str">
        <f t="shared" si="344"/>
        <v/>
      </c>
      <c r="C2796" s="405" t="str">
        <f t="shared" si="345"/>
        <v/>
      </c>
      <c r="D2796" s="405">
        <f t="shared" si="346"/>
        <v>0</v>
      </c>
      <c r="E2796" s="405" t="str">
        <f t="shared" si="347"/>
        <v/>
      </c>
      <c r="F2796" s="405">
        <f t="shared" si="348"/>
        <v>0</v>
      </c>
      <c r="G2796" s="405">
        <f t="shared" si="349"/>
        <v>0</v>
      </c>
      <c r="H2796" s="405">
        <f t="shared" si="350"/>
        <v>0</v>
      </c>
    </row>
    <row r="2797" spans="1:8">
      <c r="A2797" s="363" t="str">
        <f t="shared" si="351"/>
        <v/>
      </c>
      <c r="B2797" s="363" t="str">
        <f t="shared" si="344"/>
        <v/>
      </c>
      <c r="C2797" s="405" t="str">
        <f t="shared" si="345"/>
        <v/>
      </c>
      <c r="D2797" s="405">
        <f t="shared" si="346"/>
        <v>0</v>
      </c>
      <c r="E2797" s="405" t="str">
        <f t="shared" si="347"/>
        <v/>
      </c>
      <c r="F2797" s="405">
        <f t="shared" si="348"/>
        <v>0</v>
      </c>
      <c r="G2797" s="405">
        <f t="shared" si="349"/>
        <v>0</v>
      </c>
      <c r="H2797" s="405">
        <f t="shared" si="350"/>
        <v>0</v>
      </c>
    </row>
    <row r="2798" spans="1:8">
      <c r="A2798" s="363" t="str">
        <f t="shared" si="351"/>
        <v/>
      </c>
      <c r="B2798" s="363" t="str">
        <f t="shared" si="344"/>
        <v/>
      </c>
      <c r="C2798" s="405" t="str">
        <f t="shared" si="345"/>
        <v/>
      </c>
      <c r="D2798" s="405">
        <f t="shared" si="346"/>
        <v>0</v>
      </c>
      <c r="E2798" s="405" t="str">
        <f t="shared" si="347"/>
        <v/>
      </c>
      <c r="F2798" s="405">
        <f t="shared" si="348"/>
        <v>0</v>
      </c>
      <c r="G2798" s="405">
        <f t="shared" si="349"/>
        <v>0</v>
      </c>
      <c r="H2798" s="405">
        <f t="shared" si="350"/>
        <v>0</v>
      </c>
    </row>
    <row r="2799" spans="1:8">
      <c r="A2799" s="363" t="str">
        <f t="shared" si="351"/>
        <v/>
      </c>
      <c r="B2799" s="363" t="str">
        <f t="shared" si="344"/>
        <v/>
      </c>
      <c r="C2799" s="405" t="str">
        <f t="shared" si="345"/>
        <v/>
      </c>
      <c r="D2799" s="405">
        <f t="shared" si="346"/>
        <v>0</v>
      </c>
      <c r="E2799" s="405" t="str">
        <f t="shared" si="347"/>
        <v/>
      </c>
      <c r="F2799" s="405">
        <f t="shared" si="348"/>
        <v>0</v>
      </c>
      <c r="G2799" s="405">
        <f t="shared" si="349"/>
        <v>0</v>
      </c>
      <c r="H2799" s="405">
        <f t="shared" si="350"/>
        <v>0</v>
      </c>
    </row>
    <row r="2800" spans="1:8">
      <c r="A2800" s="363" t="str">
        <f t="shared" si="351"/>
        <v/>
      </c>
      <c r="B2800" s="363" t="str">
        <f t="shared" si="344"/>
        <v/>
      </c>
      <c r="C2800" s="405" t="str">
        <f t="shared" si="345"/>
        <v/>
      </c>
      <c r="D2800" s="405">
        <f t="shared" si="346"/>
        <v>0</v>
      </c>
      <c r="E2800" s="405" t="str">
        <f t="shared" si="347"/>
        <v/>
      </c>
      <c r="F2800" s="405">
        <f t="shared" si="348"/>
        <v>0</v>
      </c>
      <c r="G2800" s="405">
        <f t="shared" si="349"/>
        <v>0</v>
      </c>
      <c r="H2800" s="405">
        <f t="shared" si="350"/>
        <v>0</v>
      </c>
    </row>
    <row r="2801" spans="1:8">
      <c r="A2801" s="363" t="str">
        <f t="shared" si="351"/>
        <v/>
      </c>
      <c r="B2801" s="363" t="str">
        <f t="shared" si="344"/>
        <v/>
      </c>
      <c r="C2801" s="405" t="str">
        <f t="shared" si="345"/>
        <v/>
      </c>
      <c r="D2801" s="405">
        <f t="shared" si="346"/>
        <v>0</v>
      </c>
      <c r="E2801" s="405" t="str">
        <f t="shared" si="347"/>
        <v/>
      </c>
      <c r="F2801" s="405">
        <f t="shared" si="348"/>
        <v>0</v>
      </c>
      <c r="G2801" s="405">
        <f t="shared" si="349"/>
        <v>0</v>
      </c>
      <c r="H2801" s="405">
        <f t="shared" si="350"/>
        <v>0</v>
      </c>
    </row>
    <row r="2802" spans="1:8">
      <c r="A2802" s="363" t="str">
        <f t="shared" si="351"/>
        <v/>
      </c>
      <c r="B2802" s="363" t="str">
        <f t="shared" si="344"/>
        <v/>
      </c>
      <c r="C2802" s="405" t="str">
        <f t="shared" si="345"/>
        <v/>
      </c>
      <c r="D2802" s="405">
        <f t="shared" si="346"/>
        <v>0</v>
      </c>
      <c r="E2802" s="405" t="str">
        <f t="shared" si="347"/>
        <v/>
      </c>
      <c r="F2802" s="405">
        <f t="shared" si="348"/>
        <v>0</v>
      </c>
      <c r="G2802" s="405">
        <f t="shared" si="349"/>
        <v>0</v>
      </c>
      <c r="H2802" s="405">
        <f t="shared" si="350"/>
        <v>0</v>
      </c>
    </row>
    <row r="2803" spans="1:8">
      <c r="A2803" s="363" t="str">
        <f t="shared" si="351"/>
        <v/>
      </c>
      <c r="B2803" s="363" t="str">
        <f t="shared" si="344"/>
        <v/>
      </c>
      <c r="C2803" s="405" t="str">
        <f t="shared" si="345"/>
        <v/>
      </c>
      <c r="D2803" s="405">
        <f t="shared" si="346"/>
        <v>0</v>
      </c>
      <c r="E2803" s="405" t="str">
        <f t="shared" si="347"/>
        <v/>
      </c>
      <c r="F2803" s="405">
        <f t="shared" si="348"/>
        <v>0</v>
      </c>
      <c r="G2803" s="405">
        <f t="shared" si="349"/>
        <v>0</v>
      </c>
      <c r="H2803" s="405">
        <f t="shared" si="350"/>
        <v>0</v>
      </c>
    </row>
    <row r="2804" spans="1:8">
      <c r="A2804" s="363" t="str">
        <f t="shared" si="351"/>
        <v/>
      </c>
      <c r="B2804" s="363" t="str">
        <f t="shared" si="344"/>
        <v/>
      </c>
      <c r="C2804" s="405" t="str">
        <f t="shared" si="345"/>
        <v/>
      </c>
      <c r="D2804" s="405">
        <f t="shared" si="346"/>
        <v>0</v>
      </c>
      <c r="E2804" s="405" t="str">
        <f t="shared" si="347"/>
        <v/>
      </c>
      <c r="F2804" s="405">
        <f t="shared" si="348"/>
        <v>0</v>
      </c>
      <c r="G2804" s="405">
        <f t="shared" si="349"/>
        <v>0</v>
      </c>
      <c r="H2804" s="405">
        <f t="shared" si="350"/>
        <v>0</v>
      </c>
    </row>
    <row r="2805" spans="1:8">
      <c r="A2805" s="363" t="str">
        <f t="shared" si="351"/>
        <v/>
      </c>
      <c r="B2805" s="363" t="str">
        <f t="shared" si="344"/>
        <v/>
      </c>
      <c r="C2805" s="405" t="str">
        <f t="shared" si="345"/>
        <v/>
      </c>
      <c r="D2805" s="405">
        <f t="shared" si="346"/>
        <v>0</v>
      </c>
      <c r="E2805" s="405" t="str">
        <f t="shared" si="347"/>
        <v/>
      </c>
      <c r="F2805" s="405">
        <f t="shared" si="348"/>
        <v>0</v>
      </c>
      <c r="G2805" s="405">
        <f t="shared" si="349"/>
        <v>0</v>
      </c>
      <c r="H2805" s="405">
        <f t="shared" si="350"/>
        <v>0</v>
      </c>
    </row>
    <row r="2806" spans="1:8">
      <c r="A2806" s="363" t="str">
        <f t="shared" si="351"/>
        <v/>
      </c>
      <c r="B2806" s="363" t="str">
        <f t="shared" si="344"/>
        <v/>
      </c>
      <c r="C2806" s="405" t="str">
        <f t="shared" si="345"/>
        <v/>
      </c>
      <c r="D2806" s="405">
        <f t="shared" si="346"/>
        <v>0</v>
      </c>
      <c r="E2806" s="405" t="str">
        <f t="shared" si="347"/>
        <v/>
      </c>
      <c r="F2806" s="405">
        <f t="shared" si="348"/>
        <v>0</v>
      </c>
      <c r="G2806" s="405">
        <f t="shared" si="349"/>
        <v>0</v>
      </c>
      <c r="H2806" s="405">
        <f t="shared" si="350"/>
        <v>0</v>
      </c>
    </row>
    <row r="2807" spans="1:8">
      <c r="A2807" s="363" t="str">
        <f t="shared" si="351"/>
        <v/>
      </c>
      <c r="B2807" s="363" t="str">
        <f t="shared" si="344"/>
        <v/>
      </c>
      <c r="C2807" s="405" t="str">
        <f t="shared" si="345"/>
        <v/>
      </c>
      <c r="D2807" s="405">
        <f t="shared" si="346"/>
        <v>0</v>
      </c>
      <c r="E2807" s="405" t="str">
        <f t="shared" si="347"/>
        <v/>
      </c>
      <c r="F2807" s="405">
        <f t="shared" si="348"/>
        <v>0</v>
      </c>
      <c r="G2807" s="405">
        <f t="shared" si="349"/>
        <v>0</v>
      </c>
      <c r="H2807" s="405">
        <f t="shared" si="350"/>
        <v>0</v>
      </c>
    </row>
    <row r="2808" spans="1:8">
      <c r="A2808" s="363" t="str">
        <f t="shared" si="351"/>
        <v/>
      </c>
      <c r="B2808" s="363" t="str">
        <f t="shared" si="344"/>
        <v/>
      </c>
      <c r="C2808" s="405" t="str">
        <f t="shared" si="345"/>
        <v/>
      </c>
      <c r="D2808" s="405">
        <f t="shared" si="346"/>
        <v>0</v>
      </c>
      <c r="E2808" s="405" t="str">
        <f t="shared" si="347"/>
        <v/>
      </c>
      <c r="F2808" s="405">
        <f t="shared" si="348"/>
        <v>0</v>
      </c>
      <c r="G2808" s="405">
        <f t="shared" si="349"/>
        <v>0</v>
      </c>
      <c r="H2808" s="405">
        <f t="shared" si="350"/>
        <v>0</v>
      </c>
    </row>
    <row r="2809" spans="1:8">
      <c r="A2809" s="363" t="str">
        <f t="shared" si="351"/>
        <v/>
      </c>
      <c r="B2809" s="363" t="str">
        <f t="shared" si="344"/>
        <v/>
      </c>
      <c r="C2809" s="405" t="str">
        <f t="shared" si="345"/>
        <v/>
      </c>
      <c r="D2809" s="405">
        <f t="shared" si="346"/>
        <v>0</v>
      </c>
      <c r="E2809" s="405" t="str">
        <f t="shared" si="347"/>
        <v/>
      </c>
      <c r="F2809" s="405">
        <f t="shared" si="348"/>
        <v>0</v>
      </c>
      <c r="G2809" s="405">
        <f t="shared" si="349"/>
        <v>0</v>
      </c>
      <c r="H2809" s="405">
        <f t="shared" si="350"/>
        <v>0</v>
      </c>
    </row>
    <row r="2810" spans="1:8">
      <c r="A2810" s="363" t="str">
        <f t="shared" si="351"/>
        <v/>
      </c>
      <c r="B2810" s="363" t="str">
        <f t="shared" si="344"/>
        <v/>
      </c>
      <c r="C2810" s="405" t="str">
        <f t="shared" si="345"/>
        <v/>
      </c>
      <c r="D2810" s="405">
        <f t="shared" si="346"/>
        <v>0</v>
      </c>
      <c r="E2810" s="405" t="str">
        <f t="shared" si="347"/>
        <v/>
      </c>
      <c r="F2810" s="405">
        <f t="shared" si="348"/>
        <v>0</v>
      </c>
      <c r="G2810" s="405">
        <f t="shared" si="349"/>
        <v>0</v>
      </c>
      <c r="H2810" s="405">
        <f t="shared" si="350"/>
        <v>0</v>
      </c>
    </row>
    <row r="2811" spans="1:8">
      <c r="A2811" s="363" t="str">
        <f t="shared" si="351"/>
        <v/>
      </c>
      <c r="B2811" s="363" t="str">
        <f t="shared" si="344"/>
        <v/>
      </c>
      <c r="C2811" s="405" t="str">
        <f t="shared" si="345"/>
        <v/>
      </c>
      <c r="D2811" s="405">
        <f t="shared" si="346"/>
        <v>0</v>
      </c>
      <c r="E2811" s="405" t="str">
        <f t="shared" si="347"/>
        <v/>
      </c>
      <c r="F2811" s="405">
        <f t="shared" si="348"/>
        <v>0</v>
      </c>
      <c r="G2811" s="405">
        <f t="shared" si="349"/>
        <v>0</v>
      </c>
      <c r="H2811" s="405">
        <f t="shared" si="350"/>
        <v>0</v>
      </c>
    </row>
    <row r="2812" spans="1:8">
      <c r="A2812" s="363" t="str">
        <f t="shared" si="351"/>
        <v/>
      </c>
      <c r="B2812" s="363" t="str">
        <f t="shared" si="344"/>
        <v/>
      </c>
      <c r="C2812" s="405" t="str">
        <f t="shared" si="345"/>
        <v/>
      </c>
      <c r="D2812" s="405">
        <f t="shared" si="346"/>
        <v>0</v>
      </c>
      <c r="E2812" s="405" t="str">
        <f t="shared" si="347"/>
        <v/>
      </c>
      <c r="F2812" s="405">
        <f t="shared" si="348"/>
        <v>0</v>
      </c>
      <c r="G2812" s="405">
        <f t="shared" si="349"/>
        <v>0</v>
      </c>
      <c r="H2812" s="405">
        <f t="shared" si="350"/>
        <v>0</v>
      </c>
    </row>
    <row r="2813" spans="1:8">
      <c r="A2813" s="363" t="str">
        <f t="shared" si="351"/>
        <v/>
      </c>
      <c r="B2813" s="363" t="str">
        <f t="shared" si="344"/>
        <v/>
      </c>
      <c r="C2813" s="405" t="str">
        <f t="shared" si="345"/>
        <v/>
      </c>
      <c r="D2813" s="405">
        <f t="shared" si="346"/>
        <v>0</v>
      </c>
      <c r="E2813" s="405" t="str">
        <f t="shared" si="347"/>
        <v/>
      </c>
      <c r="F2813" s="405">
        <f t="shared" si="348"/>
        <v>0</v>
      </c>
      <c r="G2813" s="405">
        <f t="shared" si="349"/>
        <v>0</v>
      </c>
      <c r="H2813" s="405">
        <f t="shared" si="350"/>
        <v>0</v>
      </c>
    </row>
    <row r="2814" spans="1:8">
      <c r="A2814" s="363" t="str">
        <f t="shared" si="351"/>
        <v/>
      </c>
      <c r="B2814" s="363" t="str">
        <f t="shared" si="344"/>
        <v/>
      </c>
      <c r="C2814" s="405" t="str">
        <f t="shared" si="345"/>
        <v/>
      </c>
      <c r="D2814" s="405">
        <f t="shared" si="346"/>
        <v>0</v>
      </c>
      <c r="E2814" s="405" t="str">
        <f t="shared" si="347"/>
        <v/>
      </c>
      <c r="F2814" s="405">
        <f t="shared" si="348"/>
        <v>0</v>
      </c>
      <c r="G2814" s="405">
        <f t="shared" si="349"/>
        <v>0</v>
      </c>
      <c r="H2814" s="405">
        <f t="shared" si="350"/>
        <v>0</v>
      </c>
    </row>
    <row r="2815" spans="1:8">
      <c r="A2815" s="363" t="str">
        <f t="shared" si="351"/>
        <v/>
      </c>
      <c r="B2815" s="363" t="str">
        <f t="shared" si="344"/>
        <v/>
      </c>
      <c r="C2815" s="405" t="str">
        <f t="shared" si="345"/>
        <v/>
      </c>
      <c r="D2815" s="405">
        <f t="shared" si="346"/>
        <v>0</v>
      </c>
      <c r="E2815" s="405" t="str">
        <f t="shared" si="347"/>
        <v/>
      </c>
      <c r="F2815" s="405">
        <f t="shared" si="348"/>
        <v>0</v>
      </c>
      <c r="G2815" s="405">
        <f t="shared" si="349"/>
        <v>0</v>
      </c>
      <c r="H2815" s="405">
        <f t="shared" si="350"/>
        <v>0</v>
      </c>
    </row>
    <row r="2816" spans="1:8">
      <c r="A2816" s="363" t="str">
        <f t="shared" si="351"/>
        <v/>
      </c>
      <c r="B2816" s="363" t="str">
        <f t="shared" si="344"/>
        <v/>
      </c>
      <c r="C2816" s="405" t="str">
        <f t="shared" si="345"/>
        <v/>
      </c>
      <c r="D2816" s="405">
        <f t="shared" si="346"/>
        <v>0</v>
      </c>
      <c r="E2816" s="405" t="str">
        <f t="shared" si="347"/>
        <v/>
      </c>
      <c r="F2816" s="405">
        <f t="shared" si="348"/>
        <v>0</v>
      </c>
      <c r="G2816" s="405">
        <f t="shared" si="349"/>
        <v>0</v>
      </c>
      <c r="H2816" s="405">
        <f t="shared" si="350"/>
        <v>0</v>
      </c>
    </row>
    <row r="2817" spans="1:8">
      <c r="A2817" s="363" t="str">
        <f t="shared" si="351"/>
        <v/>
      </c>
      <c r="B2817" s="363" t="str">
        <f t="shared" si="344"/>
        <v/>
      </c>
      <c r="C2817" s="405" t="str">
        <f t="shared" si="345"/>
        <v/>
      </c>
      <c r="D2817" s="405">
        <f t="shared" si="346"/>
        <v>0</v>
      </c>
      <c r="E2817" s="405" t="str">
        <f t="shared" si="347"/>
        <v/>
      </c>
      <c r="F2817" s="405">
        <f t="shared" si="348"/>
        <v>0</v>
      </c>
      <c r="G2817" s="405">
        <f t="shared" si="349"/>
        <v>0</v>
      </c>
      <c r="H2817" s="405">
        <f t="shared" si="350"/>
        <v>0</v>
      </c>
    </row>
    <row r="2818" spans="1:8">
      <c r="A2818" s="363" t="str">
        <f t="shared" si="351"/>
        <v/>
      </c>
      <c r="B2818" s="363" t="str">
        <f t="shared" ref="B2818:B2881" si="352">LEFT(L2818,2)</f>
        <v/>
      </c>
      <c r="C2818" s="405" t="str">
        <f t="shared" ref="C2818:C2881" si="353">IF(B2818="","","第"&amp;RIGHT(L2818,6)&amp;"号")</f>
        <v/>
      </c>
      <c r="D2818" s="405">
        <f t="shared" ref="D2818:D2881" si="354">N2818</f>
        <v>0</v>
      </c>
      <c r="E2818" s="405" t="str">
        <f t="shared" ref="E2818:E2881" si="355">IF(V2818="　",O2818,"")</f>
        <v/>
      </c>
      <c r="F2818" s="405">
        <f t="shared" ref="F2818:F2881" si="356">IF(V2818="　",P2818,W2818)</f>
        <v>0</v>
      </c>
      <c r="G2818" s="405">
        <f t="shared" ref="G2818:G2881" si="357">IF(V2818="　","主たる営業所",V2818)</f>
        <v>0</v>
      </c>
      <c r="H2818" s="405">
        <f t="shared" ref="H2818:H2881" si="358">IF(V2818="　",R2818,Y2818)</f>
        <v>0</v>
      </c>
    </row>
    <row r="2819" spans="1:8">
      <c r="A2819" s="363" t="str">
        <f t="shared" ref="A2819:A2882" si="359">IF(B2819="","",A2818+1)</f>
        <v/>
      </c>
      <c r="B2819" s="363" t="str">
        <f t="shared" si="352"/>
        <v/>
      </c>
      <c r="C2819" s="405" t="str">
        <f t="shared" si="353"/>
        <v/>
      </c>
      <c r="D2819" s="405">
        <f t="shared" si="354"/>
        <v>0</v>
      </c>
      <c r="E2819" s="405" t="str">
        <f t="shared" si="355"/>
        <v/>
      </c>
      <c r="F2819" s="405">
        <f t="shared" si="356"/>
        <v>0</v>
      </c>
      <c r="G2819" s="405">
        <f t="shared" si="357"/>
        <v>0</v>
      </c>
      <c r="H2819" s="405">
        <f t="shared" si="358"/>
        <v>0</v>
      </c>
    </row>
    <row r="2820" spans="1:8">
      <c r="A2820" s="363" t="str">
        <f t="shared" si="359"/>
        <v/>
      </c>
      <c r="B2820" s="363" t="str">
        <f t="shared" si="352"/>
        <v/>
      </c>
      <c r="C2820" s="405" t="str">
        <f t="shared" si="353"/>
        <v/>
      </c>
      <c r="D2820" s="405">
        <f t="shared" si="354"/>
        <v>0</v>
      </c>
      <c r="E2820" s="405" t="str">
        <f t="shared" si="355"/>
        <v/>
      </c>
      <c r="F2820" s="405">
        <f t="shared" si="356"/>
        <v>0</v>
      </c>
      <c r="G2820" s="405">
        <f t="shared" si="357"/>
        <v>0</v>
      </c>
      <c r="H2820" s="405">
        <f t="shared" si="358"/>
        <v>0</v>
      </c>
    </row>
    <row r="2821" spans="1:8">
      <c r="A2821" s="363" t="str">
        <f t="shared" si="359"/>
        <v/>
      </c>
      <c r="B2821" s="363" t="str">
        <f t="shared" si="352"/>
        <v/>
      </c>
      <c r="C2821" s="405" t="str">
        <f t="shared" si="353"/>
        <v/>
      </c>
      <c r="D2821" s="405">
        <f t="shared" si="354"/>
        <v>0</v>
      </c>
      <c r="E2821" s="405" t="str">
        <f t="shared" si="355"/>
        <v/>
      </c>
      <c r="F2821" s="405">
        <f t="shared" si="356"/>
        <v>0</v>
      </c>
      <c r="G2821" s="405">
        <f t="shared" si="357"/>
        <v>0</v>
      </c>
      <c r="H2821" s="405">
        <f t="shared" si="358"/>
        <v>0</v>
      </c>
    </row>
    <row r="2822" spans="1:8">
      <c r="A2822" s="363" t="str">
        <f t="shared" si="359"/>
        <v/>
      </c>
      <c r="B2822" s="363" t="str">
        <f t="shared" si="352"/>
        <v/>
      </c>
      <c r="C2822" s="405" t="str">
        <f t="shared" si="353"/>
        <v/>
      </c>
      <c r="D2822" s="405">
        <f t="shared" si="354"/>
        <v>0</v>
      </c>
      <c r="E2822" s="405" t="str">
        <f t="shared" si="355"/>
        <v/>
      </c>
      <c r="F2822" s="405">
        <f t="shared" si="356"/>
        <v>0</v>
      </c>
      <c r="G2822" s="405">
        <f t="shared" si="357"/>
        <v>0</v>
      </c>
      <c r="H2822" s="405">
        <f t="shared" si="358"/>
        <v>0</v>
      </c>
    </row>
    <row r="2823" spans="1:8">
      <c r="A2823" s="363" t="str">
        <f t="shared" si="359"/>
        <v/>
      </c>
      <c r="B2823" s="363" t="str">
        <f t="shared" si="352"/>
        <v/>
      </c>
      <c r="C2823" s="405" t="str">
        <f t="shared" si="353"/>
        <v/>
      </c>
      <c r="D2823" s="405">
        <f t="shared" si="354"/>
        <v>0</v>
      </c>
      <c r="E2823" s="405" t="str">
        <f t="shared" si="355"/>
        <v/>
      </c>
      <c r="F2823" s="405">
        <f t="shared" si="356"/>
        <v>0</v>
      </c>
      <c r="G2823" s="405">
        <f t="shared" si="357"/>
        <v>0</v>
      </c>
      <c r="H2823" s="405">
        <f t="shared" si="358"/>
        <v>0</v>
      </c>
    </row>
    <row r="2824" spans="1:8">
      <c r="A2824" s="363" t="str">
        <f t="shared" si="359"/>
        <v/>
      </c>
      <c r="B2824" s="363" t="str">
        <f t="shared" si="352"/>
        <v/>
      </c>
      <c r="C2824" s="405" t="str">
        <f t="shared" si="353"/>
        <v/>
      </c>
      <c r="D2824" s="405">
        <f t="shared" si="354"/>
        <v>0</v>
      </c>
      <c r="E2824" s="405" t="str">
        <f t="shared" si="355"/>
        <v/>
      </c>
      <c r="F2824" s="405">
        <f t="shared" si="356"/>
        <v>0</v>
      </c>
      <c r="G2824" s="405">
        <f t="shared" si="357"/>
        <v>0</v>
      </c>
      <c r="H2824" s="405">
        <f t="shared" si="358"/>
        <v>0</v>
      </c>
    </row>
    <row r="2825" spans="1:8">
      <c r="A2825" s="363" t="str">
        <f t="shared" si="359"/>
        <v/>
      </c>
      <c r="B2825" s="363" t="str">
        <f t="shared" si="352"/>
        <v/>
      </c>
      <c r="C2825" s="405" t="str">
        <f t="shared" si="353"/>
        <v/>
      </c>
      <c r="D2825" s="405">
        <f t="shared" si="354"/>
        <v>0</v>
      </c>
      <c r="E2825" s="405" t="str">
        <f t="shared" si="355"/>
        <v/>
      </c>
      <c r="F2825" s="405">
        <f t="shared" si="356"/>
        <v>0</v>
      </c>
      <c r="G2825" s="405">
        <f t="shared" si="357"/>
        <v>0</v>
      </c>
      <c r="H2825" s="405">
        <f t="shared" si="358"/>
        <v>0</v>
      </c>
    </row>
    <row r="2826" spans="1:8">
      <c r="A2826" s="363" t="str">
        <f t="shared" si="359"/>
        <v/>
      </c>
      <c r="B2826" s="363" t="str">
        <f t="shared" si="352"/>
        <v/>
      </c>
      <c r="C2826" s="405" t="str">
        <f t="shared" si="353"/>
        <v/>
      </c>
      <c r="D2826" s="405">
        <f t="shared" si="354"/>
        <v>0</v>
      </c>
      <c r="E2826" s="405" t="str">
        <f t="shared" si="355"/>
        <v/>
      </c>
      <c r="F2826" s="405">
        <f t="shared" si="356"/>
        <v>0</v>
      </c>
      <c r="G2826" s="405">
        <f t="shared" si="357"/>
        <v>0</v>
      </c>
      <c r="H2826" s="405">
        <f t="shared" si="358"/>
        <v>0</v>
      </c>
    </row>
    <row r="2827" spans="1:8">
      <c r="A2827" s="363" t="str">
        <f t="shared" si="359"/>
        <v/>
      </c>
      <c r="B2827" s="363" t="str">
        <f t="shared" si="352"/>
        <v/>
      </c>
      <c r="C2827" s="405" t="str">
        <f t="shared" si="353"/>
        <v/>
      </c>
      <c r="D2827" s="405">
        <f t="shared" si="354"/>
        <v>0</v>
      </c>
      <c r="E2827" s="405" t="str">
        <f t="shared" si="355"/>
        <v/>
      </c>
      <c r="F2827" s="405">
        <f t="shared" si="356"/>
        <v>0</v>
      </c>
      <c r="G2827" s="405">
        <f t="shared" si="357"/>
        <v>0</v>
      </c>
      <c r="H2827" s="405">
        <f t="shared" si="358"/>
        <v>0</v>
      </c>
    </row>
    <row r="2828" spans="1:8">
      <c r="A2828" s="363" t="str">
        <f t="shared" si="359"/>
        <v/>
      </c>
      <c r="B2828" s="363" t="str">
        <f t="shared" si="352"/>
        <v/>
      </c>
      <c r="C2828" s="405" t="str">
        <f t="shared" si="353"/>
        <v/>
      </c>
      <c r="D2828" s="405">
        <f t="shared" si="354"/>
        <v>0</v>
      </c>
      <c r="E2828" s="405" t="str">
        <f t="shared" si="355"/>
        <v/>
      </c>
      <c r="F2828" s="405">
        <f t="shared" si="356"/>
        <v>0</v>
      </c>
      <c r="G2828" s="405">
        <f t="shared" si="357"/>
        <v>0</v>
      </c>
      <c r="H2828" s="405">
        <f t="shared" si="358"/>
        <v>0</v>
      </c>
    </row>
    <row r="2829" spans="1:8">
      <c r="A2829" s="363" t="str">
        <f t="shared" si="359"/>
        <v/>
      </c>
      <c r="B2829" s="363" t="str">
        <f t="shared" si="352"/>
        <v/>
      </c>
      <c r="C2829" s="405" t="str">
        <f t="shared" si="353"/>
        <v/>
      </c>
      <c r="D2829" s="405">
        <f t="shared" si="354"/>
        <v>0</v>
      </c>
      <c r="E2829" s="405" t="str">
        <f t="shared" si="355"/>
        <v/>
      </c>
      <c r="F2829" s="405">
        <f t="shared" si="356"/>
        <v>0</v>
      </c>
      <c r="G2829" s="405">
        <f t="shared" si="357"/>
        <v>0</v>
      </c>
      <c r="H2829" s="405">
        <f t="shared" si="358"/>
        <v>0</v>
      </c>
    </row>
    <row r="2830" spans="1:8">
      <c r="A2830" s="363" t="str">
        <f t="shared" si="359"/>
        <v/>
      </c>
      <c r="B2830" s="363" t="str">
        <f t="shared" si="352"/>
        <v/>
      </c>
      <c r="C2830" s="405" t="str">
        <f t="shared" si="353"/>
        <v/>
      </c>
      <c r="D2830" s="405">
        <f t="shared" si="354"/>
        <v>0</v>
      </c>
      <c r="E2830" s="405" t="str">
        <f t="shared" si="355"/>
        <v/>
      </c>
      <c r="F2830" s="405">
        <f t="shared" si="356"/>
        <v>0</v>
      </c>
      <c r="G2830" s="405">
        <f t="shared" si="357"/>
        <v>0</v>
      </c>
      <c r="H2830" s="405">
        <f t="shared" si="358"/>
        <v>0</v>
      </c>
    </row>
    <row r="2831" spans="1:8">
      <c r="A2831" s="363" t="str">
        <f t="shared" si="359"/>
        <v/>
      </c>
      <c r="B2831" s="363" t="str">
        <f t="shared" si="352"/>
        <v/>
      </c>
      <c r="C2831" s="405" t="str">
        <f t="shared" si="353"/>
        <v/>
      </c>
      <c r="D2831" s="405">
        <f t="shared" si="354"/>
        <v>0</v>
      </c>
      <c r="E2831" s="405" t="str">
        <f t="shared" si="355"/>
        <v/>
      </c>
      <c r="F2831" s="405">
        <f t="shared" si="356"/>
        <v>0</v>
      </c>
      <c r="G2831" s="405">
        <f t="shared" si="357"/>
        <v>0</v>
      </c>
      <c r="H2831" s="405">
        <f t="shared" si="358"/>
        <v>0</v>
      </c>
    </row>
    <row r="2832" spans="1:8">
      <c r="A2832" s="363" t="str">
        <f t="shared" si="359"/>
        <v/>
      </c>
      <c r="B2832" s="363" t="str">
        <f t="shared" si="352"/>
        <v/>
      </c>
      <c r="C2832" s="405" t="str">
        <f t="shared" si="353"/>
        <v/>
      </c>
      <c r="D2832" s="405">
        <f t="shared" si="354"/>
        <v>0</v>
      </c>
      <c r="E2832" s="405" t="str">
        <f t="shared" si="355"/>
        <v/>
      </c>
      <c r="F2832" s="405">
        <f t="shared" si="356"/>
        <v>0</v>
      </c>
      <c r="G2832" s="405">
        <f t="shared" si="357"/>
        <v>0</v>
      </c>
      <c r="H2832" s="405">
        <f t="shared" si="358"/>
        <v>0</v>
      </c>
    </row>
    <row r="2833" spans="1:8">
      <c r="A2833" s="363" t="str">
        <f t="shared" si="359"/>
        <v/>
      </c>
      <c r="B2833" s="363" t="str">
        <f t="shared" si="352"/>
        <v/>
      </c>
      <c r="C2833" s="405" t="str">
        <f t="shared" si="353"/>
        <v/>
      </c>
      <c r="D2833" s="405">
        <f t="shared" si="354"/>
        <v>0</v>
      </c>
      <c r="E2833" s="405" t="str">
        <f t="shared" si="355"/>
        <v/>
      </c>
      <c r="F2833" s="405">
        <f t="shared" si="356"/>
        <v>0</v>
      </c>
      <c r="G2833" s="405">
        <f t="shared" si="357"/>
        <v>0</v>
      </c>
      <c r="H2833" s="405">
        <f t="shared" si="358"/>
        <v>0</v>
      </c>
    </row>
    <row r="2834" spans="1:8">
      <c r="A2834" s="363" t="str">
        <f t="shared" si="359"/>
        <v/>
      </c>
      <c r="B2834" s="363" t="str">
        <f t="shared" si="352"/>
        <v/>
      </c>
      <c r="C2834" s="405" t="str">
        <f t="shared" si="353"/>
        <v/>
      </c>
      <c r="D2834" s="405">
        <f t="shared" si="354"/>
        <v>0</v>
      </c>
      <c r="E2834" s="405" t="str">
        <f t="shared" si="355"/>
        <v/>
      </c>
      <c r="F2834" s="405">
        <f t="shared" si="356"/>
        <v>0</v>
      </c>
      <c r="G2834" s="405">
        <f t="shared" si="357"/>
        <v>0</v>
      </c>
      <c r="H2834" s="405">
        <f t="shared" si="358"/>
        <v>0</v>
      </c>
    </row>
    <row r="2835" spans="1:8">
      <c r="A2835" s="363" t="str">
        <f t="shared" si="359"/>
        <v/>
      </c>
      <c r="B2835" s="363" t="str">
        <f t="shared" si="352"/>
        <v/>
      </c>
      <c r="C2835" s="405" t="str">
        <f t="shared" si="353"/>
        <v/>
      </c>
      <c r="D2835" s="405">
        <f t="shared" si="354"/>
        <v>0</v>
      </c>
      <c r="E2835" s="405" t="str">
        <f t="shared" si="355"/>
        <v/>
      </c>
      <c r="F2835" s="405">
        <f t="shared" si="356"/>
        <v>0</v>
      </c>
      <c r="G2835" s="405">
        <f t="shared" si="357"/>
        <v>0</v>
      </c>
      <c r="H2835" s="405">
        <f t="shared" si="358"/>
        <v>0</v>
      </c>
    </row>
    <row r="2836" spans="1:8">
      <c r="A2836" s="363" t="str">
        <f t="shared" si="359"/>
        <v/>
      </c>
      <c r="B2836" s="363" t="str">
        <f t="shared" si="352"/>
        <v/>
      </c>
      <c r="C2836" s="405" t="str">
        <f t="shared" si="353"/>
        <v/>
      </c>
      <c r="D2836" s="405">
        <f t="shared" si="354"/>
        <v>0</v>
      </c>
      <c r="E2836" s="405" t="str">
        <f t="shared" si="355"/>
        <v/>
      </c>
      <c r="F2836" s="405">
        <f t="shared" si="356"/>
        <v>0</v>
      </c>
      <c r="G2836" s="405">
        <f t="shared" si="357"/>
        <v>0</v>
      </c>
      <c r="H2836" s="405">
        <f t="shared" si="358"/>
        <v>0</v>
      </c>
    </row>
    <row r="2837" spans="1:8">
      <c r="A2837" s="363" t="str">
        <f t="shared" si="359"/>
        <v/>
      </c>
      <c r="B2837" s="363" t="str">
        <f t="shared" si="352"/>
        <v/>
      </c>
      <c r="C2837" s="405" t="str">
        <f t="shared" si="353"/>
        <v/>
      </c>
      <c r="D2837" s="405">
        <f t="shared" si="354"/>
        <v>0</v>
      </c>
      <c r="E2837" s="405" t="str">
        <f t="shared" si="355"/>
        <v/>
      </c>
      <c r="F2837" s="405">
        <f t="shared" si="356"/>
        <v>0</v>
      </c>
      <c r="G2837" s="405">
        <f t="shared" si="357"/>
        <v>0</v>
      </c>
      <c r="H2837" s="405">
        <f t="shared" si="358"/>
        <v>0</v>
      </c>
    </row>
    <row r="2838" spans="1:8">
      <c r="A2838" s="363" t="str">
        <f t="shared" si="359"/>
        <v/>
      </c>
      <c r="B2838" s="363" t="str">
        <f t="shared" si="352"/>
        <v/>
      </c>
      <c r="C2838" s="405" t="str">
        <f t="shared" si="353"/>
        <v/>
      </c>
      <c r="D2838" s="405">
        <f t="shared" si="354"/>
        <v>0</v>
      </c>
      <c r="E2838" s="405" t="str">
        <f t="shared" si="355"/>
        <v/>
      </c>
      <c r="F2838" s="405">
        <f t="shared" si="356"/>
        <v>0</v>
      </c>
      <c r="G2838" s="405">
        <f t="shared" si="357"/>
        <v>0</v>
      </c>
      <c r="H2838" s="405">
        <f t="shared" si="358"/>
        <v>0</v>
      </c>
    </row>
    <row r="2839" spans="1:8">
      <c r="A2839" s="363" t="str">
        <f t="shared" si="359"/>
        <v/>
      </c>
      <c r="B2839" s="363" t="str">
        <f t="shared" si="352"/>
        <v/>
      </c>
      <c r="C2839" s="405" t="str">
        <f t="shared" si="353"/>
        <v/>
      </c>
      <c r="D2839" s="405">
        <f t="shared" si="354"/>
        <v>0</v>
      </c>
      <c r="E2839" s="405" t="str">
        <f t="shared" si="355"/>
        <v/>
      </c>
      <c r="F2839" s="405">
        <f t="shared" si="356"/>
        <v>0</v>
      </c>
      <c r="G2839" s="405">
        <f t="shared" si="357"/>
        <v>0</v>
      </c>
      <c r="H2839" s="405">
        <f t="shared" si="358"/>
        <v>0</v>
      </c>
    </row>
    <row r="2840" spans="1:8">
      <c r="A2840" s="363" t="str">
        <f t="shared" si="359"/>
        <v/>
      </c>
      <c r="B2840" s="363" t="str">
        <f t="shared" si="352"/>
        <v/>
      </c>
      <c r="C2840" s="405" t="str">
        <f t="shared" si="353"/>
        <v/>
      </c>
      <c r="D2840" s="405">
        <f t="shared" si="354"/>
        <v>0</v>
      </c>
      <c r="E2840" s="405" t="str">
        <f t="shared" si="355"/>
        <v/>
      </c>
      <c r="F2840" s="405">
        <f t="shared" si="356"/>
        <v>0</v>
      </c>
      <c r="G2840" s="405">
        <f t="shared" si="357"/>
        <v>0</v>
      </c>
      <c r="H2840" s="405">
        <f t="shared" si="358"/>
        <v>0</v>
      </c>
    </row>
    <row r="2841" spans="1:8">
      <c r="A2841" s="363" t="str">
        <f t="shared" si="359"/>
        <v/>
      </c>
      <c r="B2841" s="363" t="str">
        <f t="shared" si="352"/>
        <v/>
      </c>
      <c r="C2841" s="405" t="str">
        <f t="shared" si="353"/>
        <v/>
      </c>
      <c r="D2841" s="405">
        <f t="shared" si="354"/>
        <v>0</v>
      </c>
      <c r="E2841" s="405" t="str">
        <f t="shared" si="355"/>
        <v/>
      </c>
      <c r="F2841" s="405">
        <f t="shared" si="356"/>
        <v>0</v>
      </c>
      <c r="G2841" s="405">
        <f t="shared" si="357"/>
        <v>0</v>
      </c>
      <c r="H2841" s="405">
        <f t="shared" si="358"/>
        <v>0</v>
      </c>
    </row>
    <row r="2842" spans="1:8">
      <c r="A2842" s="363" t="str">
        <f t="shared" si="359"/>
        <v/>
      </c>
      <c r="B2842" s="363" t="str">
        <f t="shared" si="352"/>
        <v/>
      </c>
      <c r="C2842" s="405" t="str">
        <f t="shared" si="353"/>
        <v/>
      </c>
      <c r="D2842" s="405">
        <f t="shared" si="354"/>
        <v>0</v>
      </c>
      <c r="E2842" s="405" t="str">
        <f t="shared" si="355"/>
        <v/>
      </c>
      <c r="F2842" s="405">
        <f t="shared" si="356"/>
        <v>0</v>
      </c>
      <c r="G2842" s="405">
        <f t="shared" si="357"/>
        <v>0</v>
      </c>
      <c r="H2842" s="405">
        <f t="shared" si="358"/>
        <v>0</v>
      </c>
    </row>
    <row r="2843" spans="1:8">
      <c r="A2843" s="363" t="str">
        <f t="shared" si="359"/>
        <v/>
      </c>
      <c r="B2843" s="363" t="str">
        <f t="shared" si="352"/>
        <v/>
      </c>
      <c r="C2843" s="405" t="str">
        <f t="shared" si="353"/>
        <v/>
      </c>
      <c r="D2843" s="405">
        <f t="shared" si="354"/>
        <v>0</v>
      </c>
      <c r="E2843" s="405" t="str">
        <f t="shared" si="355"/>
        <v/>
      </c>
      <c r="F2843" s="405">
        <f t="shared" si="356"/>
        <v>0</v>
      </c>
      <c r="G2843" s="405">
        <f t="shared" si="357"/>
        <v>0</v>
      </c>
      <c r="H2843" s="405">
        <f t="shared" si="358"/>
        <v>0</v>
      </c>
    </row>
    <row r="2844" spans="1:8">
      <c r="A2844" s="363" t="str">
        <f t="shared" si="359"/>
        <v/>
      </c>
      <c r="B2844" s="363" t="str">
        <f t="shared" si="352"/>
        <v/>
      </c>
      <c r="C2844" s="405" t="str">
        <f t="shared" si="353"/>
        <v/>
      </c>
      <c r="D2844" s="405">
        <f t="shared" si="354"/>
        <v>0</v>
      </c>
      <c r="E2844" s="405" t="str">
        <f t="shared" si="355"/>
        <v/>
      </c>
      <c r="F2844" s="405">
        <f t="shared" si="356"/>
        <v>0</v>
      </c>
      <c r="G2844" s="405">
        <f t="shared" si="357"/>
        <v>0</v>
      </c>
      <c r="H2844" s="405">
        <f t="shared" si="358"/>
        <v>0</v>
      </c>
    </row>
    <row r="2845" spans="1:8">
      <c r="A2845" s="363" t="str">
        <f t="shared" si="359"/>
        <v/>
      </c>
      <c r="B2845" s="363" t="str">
        <f t="shared" si="352"/>
        <v/>
      </c>
      <c r="C2845" s="405" t="str">
        <f t="shared" si="353"/>
        <v/>
      </c>
      <c r="D2845" s="405">
        <f t="shared" si="354"/>
        <v>0</v>
      </c>
      <c r="E2845" s="405" t="str">
        <f t="shared" si="355"/>
        <v/>
      </c>
      <c r="F2845" s="405">
        <f t="shared" si="356"/>
        <v>0</v>
      </c>
      <c r="G2845" s="405">
        <f t="shared" si="357"/>
        <v>0</v>
      </c>
      <c r="H2845" s="405">
        <f t="shared" si="358"/>
        <v>0</v>
      </c>
    </row>
    <row r="2846" spans="1:8">
      <c r="A2846" s="363" t="str">
        <f t="shared" si="359"/>
        <v/>
      </c>
      <c r="B2846" s="363" t="str">
        <f t="shared" si="352"/>
        <v/>
      </c>
      <c r="C2846" s="405" t="str">
        <f t="shared" si="353"/>
        <v/>
      </c>
      <c r="D2846" s="405">
        <f t="shared" si="354"/>
        <v>0</v>
      </c>
      <c r="E2846" s="405" t="str">
        <f t="shared" si="355"/>
        <v/>
      </c>
      <c r="F2846" s="405">
        <f t="shared" si="356"/>
        <v>0</v>
      </c>
      <c r="G2846" s="405">
        <f t="shared" si="357"/>
        <v>0</v>
      </c>
      <c r="H2846" s="405">
        <f t="shared" si="358"/>
        <v>0</v>
      </c>
    </row>
    <row r="2847" spans="1:8">
      <c r="A2847" s="363" t="str">
        <f t="shared" si="359"/>
        <v/>
      </c>
      <c r="B2847" s="363" t="str">
        <f t="shared" si="352"/>
        <v/>
      </c>
      <c r="C2847" s="405" t="str">
        <f t="shared" si="353"/>
        <v/>
      </c>
      <c r="D2847" s="405">
        <f t="shared" si="354"/>
        <v>0</v>
      </c>
      <c r="E2847" s="405" t="str">
        <f t="shared" si="355"/>
        <v/>
      </c>
      <c r="F2847" s="405">
        <f t="shared" si="356"/>
        <v>0</v>
      </c>
      <c r="G2847" s="405">
        <f t="shared" si="357"/>
        <v>0</v>
      </c>
      <c r="H2847" s="405">
        <f t="shared" si="358"/>
        <v>0</v>
      </c>
    </row>
    <row r="2848" spans="1:8">
      <c r="A2848" s="363" t="str">
        <f t="shared" si="359"/>
        <v/>
      </c>
      <c r="B2848" s="363" t="str">
        <f t="shared" si="352"/>
        <v/>
      </c>
      <c r="C2848" s="405" t="str">
        <f t="shared" si="353"/>
        <v/>
      </c>
      <c r="D2848" s="405">
        <f t="shared" si="354"/>
        <v>0</v>
      </c>
      <c r="E2848" s="405" t="str">
        <f t="shared" si="355"/>
        <v/>
      </c>
      <c r="F2848" s="405">
        <f t="shared" si="356"/>
        <v>0</v>
      </c>
      <c r="G2848" s="405">
        <f t="shared" si="357"/>
        <v>0</v>
      </c>
      <c r="H2848" s="405">
        <f t="shared" si="358"/>
        <v>0</v>
      </c>
    </row>
    <row r="2849" spans="1:8">
      <c r="A2849" s="363" t="str">
        <f t="shared" si="359"/>
        <v/>
      </c>
      <c r="B2849" s="363" t="str">
        <f t="shared" si="352"/>
        <v/>
      </c>
      <c r="C2849" s="405" t="str">
        <f t="shared" si="353"/>
        <v/>
      </c>
      <c r="D2849" s="405">
        <f t="shared" si="354"/>
        <v>0</v>
      </c>
      <c r="E2849" s="405" t="str">
        <f t="shared" si="355"/>
        <v/>
      </c>
      <c r="F2849" s="405">
        <f t="shared" si="356"/>
        <v>0</v>
      </c>
      <c r="G2849" s="405">
        <f t="shared" si="357"/>
        <v>0</v>
      </c>
      <c r="H2849" s="405">
        <f t="shared" si="358"/>
        <v>0</v>
      </c>
    </row>
    <row r="2850" spans="1:8">
      <c r="A2850" s="363" t="str">
        <f t="shared" si="359"/>
        <v/>
      </c>
      <c r="B2850" s="363" t="str">
        <f t="shared" si="352"/>
        <v/>
      </c>
      <c r="C2850" s="405" t="str">
        <f t="shared" si="353"/>
        <v/>
      </c>
      <c r="D2850" s="405">
        <f t="shared" si="354"/>
        <v>0</v>
      </c>
      <c r="E2850" s="405" t="str">
        <f t="shared" si="355"/>
        <v/>
      </c>
      <c r="F2850" s="405">
        <f t="shared" si="356"/>
        <v>0</v>
      </c>
      <c r="G2850" s="405">
        <f t="shared" si="357"/>
        <v>0</v>
      </c>
      <c r="H2850" s="405">
        <f t="shared" si="358"/>
        <v>0</v>
      </c>
    </row>
    <row r="2851" spans="1:8">
      <c r="A2851" s="363" t="str">
        <f t="shared" si="359"/>
        <v/>
      </c>
      <c r="B2851" s="363" t="str">
        <f t="shared" si="352"/>
        <v/>
      </c>
      <c r="C2851" s="405" t="str">
        <f t="shared" si="353"/>
        <v/>
      </c>
      <c r="D2851" s="405">
        <f t="shared" si="354"/>
        <v>0</v>
      </c>
      <c r="E2851" s="405" t="str">
        <f t="shared" si="355"/>
        <v/>
      </c>
      <c r="F2851" s="405">
        <f t="shared" si="356"/>
        <v>0</v>
      </c>
      <c r="G2851" s="405">
        <f t="shared" si="357"/>
        <v>0</v>
      </c>
      <c r="H2851" s="405">
        <f t="shared" si="358"/>
        <v>0</v>
      </c>
    </row>
    <row r="2852" spans="1:8">
      <c r="A2852" s="363" t="str">
        <f t="shared" si="359"/>
        <v/>
      </c>
      <c r="B2852" s="363" t="str">
        <f t="shared" si="352"/>
        <v/>
      </c>
      <c r="C2852" s="405" t="str">
        <f t="shared" si="353"/>
        <v/>
      </c>
      <c r="D2852" s="405">
        <f t="shared" si="354"/>
        <v>0</v>
      </c>
      <c r="E2852" s="405" t="str">
        <f t="shared" si="355"/>
        <v/>
      </c>
      <c r="F2852" s="405">
        <f t="shared" si="356"/>
        <v>0</v>
      </c>
      <c r="G2852" s="405">
        <f t="shared" si="357"/>
        <v>0</v>
      </c>
      <c r="H2852" s="405">
        <f t="shared" si="358"/>
        <v>0</v>
      </c>
    </row>
    <row r="2853" spans="1:8">
      <c r="A2853" s="363" t="str">
        <f t="shared" si="359"/>
        <v/>
      </c>
      <c r="B2853" s="363" t="str">
        <f t="shared" si="352"/>
        <v/>
      </c>
      <c r="C2853" s="405" t="str">
        <f t="shared" si="353"/>
        <v/>
      </c>
      <c r="D2853" s="405">
        <f t="shared" si="354"/>
        <v>0</v>
      </c>
      <c r="E2853" s="405" t="str">
        <f t="shared" si="355"/>
        <v/>
      </c>
      <c r="F2853" s="405">
        <f t="shared" si="356"/>
        <v>0</v>
      </c>
      <c r="G2853" s="405">
        <f t="shared" si="357"/>
        <v>0</v>
      </c>
      <c r="H2853" s="405">
        <f t="shared" si="358"/>
        <v>0</v>
      </c>
    </row>
    <row r="2854" spans="1:8">
      <c r="A2854" s="363" t="str">
        <f t="shared" si="359"/>
        <v/>
      </c>
      <c r="B2854" s="363" t="str">
        <f t="shared" si="352"/>
        <v/>
      </c>
      <c r="C2854" s="405" t="str">
        <f t="shared" si="353"/>
        <v/>
      </c>
      <c r="D2854" s="405">
        <f t="shared" si="354"/>
        <v>0</v>
      </c>
      <c r="E2854" s="405" t="str">
        <f t="shared" si="355"/>
        <v/>
      </c>
      <c r="F2854" s="405">
        <f t="shared" si="356"/>
        <v>0</v>
      </c>
      <c r="G2854" s="405">
        <f t="shared" si="357"/>
        <v>0</v>
      </c>
      <c r="H2854" s="405">
        <f t="shared" si="358"/>
        <v>0</v>
      </c>
    </row>
    <row r="2855" spans="1:8">
      <c r="A2855" s="363" t="str">
        <f t="shared" si="359"/>
        <v/>
      </c>
      <c r="B2855" s="363" t="str">
        <f t="shared" si="352"/>
        <v/>
      </c>
      <c r="C2855" s="405" t="str">
        <f t="shared" si="353"/>
        <v/>
      </c>
      <c r="D2855" s="405">
        <f t="shared" si="354"/>
        <v>0</v>
      </c>
      <c r="E2855" s="405" t="str">
        <f t="shared" si="355"/>
        <v/>
      </c>
      <c r="F2855" s="405">
        <f t="shared" si="356"/>
        <v>0</v>
      </c>
      <c r="G2855" s="405">
        <f t="shared" si="357"/>
        <v>0</v>
      </c>
      <c r="H2855" s="405">
        <f t="shared" si="358"/>
        <v>0</v>
      </c>
    </row>
    <row r="2856" spans="1:8">
      <c r="A2856" s="363" t="str">
        <f t="shared" si="359"/>
        <v/>
      </c>
      <c r="B2856" s="363" t="str">
        <f t="shared" si="352"/>
        <v/>
      </c>
      <c r="C2856" s="405" t="str">
        <f t="shared" si="353"/>
        <v/>
      </c>
      <c r="D2856" s="405">
        <f t="shared" si="354"/>
        <v>0</v>
      </c>
      <c r="E2856" s="405" t="str">
        <f t="shared" si="355"/>
        <v/>
      </c>
      <c r="F2856" s="405">
        <f t="shared" si="356"/>
        <v>0</v>
      </c>
      <c r="G2856" s="405">
        <f t="shared" si="357"/>
        <v>0</v>
      </c>
      <c r="H2856" s="405">
        <f t="shared" si="358"/>
        <v>0</v>
      </c>
    </row>
    <row r="2857" spans="1:8">
      <c r="A2857" s="363" t="str">
        <f t="shared" si="359"/>
        <v/>
      </c>
      <c r="B2857" s="363" t="str">
        <f t="shared" si="352"/>
        <v/>
      </c>
      <c r="C2857" s="405" t="str">
        <f t="shared" si="353"/>
        <v/>
      </c>
      <c r="D2857" s="405">
        <f t="shared" si="354"/>
        <v>0</v>
      </c>
      <c r="E2857" s="405" t="str">
        <f t="shared" si="355"/>
        <v/>
      </c>
      <c r="F2857" s="405">
        <f t="shared" si="356"/>
        <v>0</v>
      </c>
      <c r="G2857" s="405">
        <f t="shared" si="357"/>
        <v>0</v>
      </c>
      <c r="H2857" s="405">
        <f t="shared" si="358"/>
        <v>0</v>
      </c>
    </row>
    <row r="2858" spans="1:8">
      <c r="A2858" s="363" t="str">
        <f t="shared" si="359"/>
        <v/>
      </c>
      <c r="B2858" s="363" t="str">
        <f t="shared" si="352"/>
        <v/>
      </c>
      <c r="C2858" s="405" t="str">
        <f t="shared" si="353"/>
        <v/>
      </c>
      <c r="D2858" s="405">
        <f t="shared" si="354"/>
        <v>0</v>
      </c>
      <c r="E2858" s="405" t="str">
        <f t="shared" si="355"/>
        <v/>
      </c>
      <c r="F2858" s="405">
        <f t="shared" si="356"/>
        <v>0</v>
      </c>
      <c r="G2858" s="405">
        <f t="shared" si="357"/>
        <v>0</v>
      </c>
      <c r="H2858" s="405">
        <f t="shared" si="358"/>
        <v>0</v>
      </c>
    </row>
    <row r="2859" spans="1:8">
      <c r="A2859" s="363" t="str">
        <f t="shared" si="359"/>
        <v/>
      </c>
      <c r="B2859" s="363" t="str">
        <f t="shared" si="352"/>
        <v/>
      </c>
      <c r="C2859" s="405" t="str">
        <f t="shared" si="353"/>
        <v/>
      </c>
      <c r="D2859" s="405">
        <f t="shared" si="354"/>
        <v>0</v>
      </c>
      <c r="E2859" s="405" t="str">
        <f t="shared" si="355"/>
        <v/>
      </c>
      <c r="F2859" s="405">
        <f t="shared" si="356"/>
        <v>0</v>
      </c>
      <c r="G2859" s="405">
        <f t="shared" si="357"/>
        <v>0</v>
      </c>
      <c r="H2859" s="405">
        <f t="shared" si="358"/>
        <v>0</v>
      </c>
    </row>
    <row r="2860" spans="1:8">
      <c r="A2860" s="363" t="str">
        <f t="shared" si="359"/>
        <v/>
      </c>
      <c r="B2860" s="363" t="str">
        <f t="shared" si="352"/>
        <v/>
      </c>
      <c r="C2860" s="405" t="str">
        <f t="shared" si="353"/>
        <v/>
      </c>
      <c r="D2860" s="405">
        <f t="shared" si="354"/>
        <v>0</v>
      </c>
      <c r="E2860" s="405" t="str">
        <f t="shared" si="355"/>
        <v/>
      </c>
      <c r="F2860" s="405">
        <f t="shared" si="356"/>
        <v>0</v>
      </c>
      <c r="G2860" s="405">
        <f t="shared" si="357"/>
        <v>0</v>
      </c>
      <c r="H2860" s="405">
        <f t="shared" si="358"/>
        <v>0</v>
      </c>
    </row>
    <row r="2861" spans="1:8">
      <c r="A2861" s="363" t="str">
        <f t="shared" si="359"/>
        <v/>
      </c>
      <c r="B2861" s="363" t="str">
        <f t="shared" si="352"/>
        <v/>
      </c>
      <c r="C2861" s="405" t="str">
        <f t="shared" si="353"/>
        <v/>
      </c>
      <c r="D2861" s="405">
        <f t="shared" si="354"/>
        <v>0</v>
      </c>
      <c r="E2861" s="405" t="str">
        <f t="shared" si="355"/>
        <v/>
      </c>
      <c r="F2861" s="405">
        <f t="shared" si="356"/>
        <v>0</v>
      </c>
      <c r="G2861" s="405">
        <f t="shared" si="357"/>
        <v>0</v>
      </c>
      <c r="H2861" s="405">
        <f t="shared" si="358"/>
        <v>0</v>
      </c>
    </row>
    <row r="2862" spans="1:8">
      <c r="A2862" s="363" t="str">
        <f t="shared" si="359"/>
        <v/>
      </c>
      <c r="B2862" s="363" t="str">
        <f t="shared" si="352"/>
        <v/>
      </c>
      <c r="C2862" s="405" t="str">
        <f t="shared" si="353"/>
        <v/>
      </c>
      <c r="D2862" s="405">
        <f t="shared" si="354"/>
        <v>0</v>
      </c>
      <c r="E2862" s="405" t="str">
        <f t="shared" si="355"/>
        <v/>
      </c>
      <c r="F2862" s="405">
        <f t="shared" si="356"/>
        <v>0</v>
      </c>
      <c r="G2862" s="405">
        <f t="shared" si="357"/>
        <v>0</v>
      </c>
      <c r="H2862" s="405">
        <f t="shared" si="358"/>
        <v>0</v>
      </c>
    </row>
    <row r="2863" spans="1:8">
      <c r="A2863" s="363" t="str">
        <f t="shared" si="359"/>
        <v/>
      </c>
      <c r="B2863" s="363" t="str">
        <f t="shared" si="352"/>
        <v/>
      </c>
      <c r="C2863" s="405" t="str">
        <f t="shared" si="353"/>
        <v/>
      </c>
      <c r="D2863" s="405">
        <f t="shared" si="354"/>
        <v>0</v>
      </c>
      <c r="E2863" s="405" t="str">
        <f t="shared" si="355"/>
        <v/>
      </c>
      <c r="F2863" s="405">
        <f t="shared" si="356"/>
        <v>0</v>
      </c>
      <c r="G2863" s="405">
        <f t="shared" si="357"/>
        <v>0</v>
      </c>
      <c r="H2863" s="405">
        <f t="shared" si="358"/>
        <v>0</v>
      </c>
    </row>
    <row r="2864" spans="1:8">
      <c r="A2864" s="363" t="str">
        <f t="shared" si="359"/>
        <v/>
      </c>
      <c r="B2864" s="363" t="str">
        <f t="shared" si="352"/>
        <v/>
      </c>
      <c r="C2864" s="405" t="str">
        <f t="shared" si="353"/>
        <v/>
      </c>
      <c r="D2864" s="405">
        <f t="shared" si="354"/>
        <v>0</v>
      </c>
      <c r="E2864" s="405" t="str">
        <f t="shared" si="355"/>
        <v/>
      </c>
      <c r="F2864" s="405">
        <f t="shared" si="356"/>
        <v>0</v>
      </c>
      <c r="G2864" s="405">
        <f t="shared" si="357"/>
        <v>0</v>
      </c>
      <c r="H2864" s="405">
        <f t="shared" si="358"/>
        <v>0</v>
      </c>
    </row>
    <row r="2865" spans="1:8">
      <c r="A2865" s="363" t="str">
        <f t="shared" si="359"/>
        <v/>
      </c>
      <c r="B2865" s="363" t="str">
        <f t="shared" si="352"/>
        <v/>
      </c>
      <c r="C2865" s="405" t="str">
        <f t="shared" si="353"/>
        <v/>
      </c>
      <c r="D2865" s="405">
        <f t="shared" si="354"/>
        <v>0</v>
      </c>
      <c r="E2865" s="405" t="str">
        <f t="shared" si="355"/>
        <v/>
      </c>
      <c r="F2865" s="405">
        <f t="shared" si="356"/>
        <v>0</v>
      </c>
      <c r="G2865" s="405">
        <f t="shared" si="357"/>
        <v>0</v>
      </c>
      <c r="H2865" s="405">
        <f t="shared" si="358"/>
        <v>0</v>
      </c>
    </row>
    <row r="2866" spans="1:8">
      <c r="A2866" s="363" t="str">
        <f t="shared" si="359"/>
        <v/>
      </c>
      <c r="B2866" s="363" t="str">
        <f t="shared" si="352"/>
        <v/>
      </c>
      <c r="C2866" s="405" t="str">
        <f t="shared" si="353"/>
        <v/>
      </c>
      <c r="D2866" s="405">
        <f t="shared" si="354"/>
        <v>0</v>
      </c>
      <c r="E2866" s="405" t="str">
        <f t="shared" si="355"/>
        <v/>
      </c>
      <c r="F2866" s="405">
        <f t="shared" si="356"/>
        <v>0</v>
      </c>
      <c r="G2866" s="405">
        <f t="shared" si="357"/>
        <v>0</v>
      </c>
      <c r="H2866" s="405">
        <f t="shared" si="358"/>
        <v>0</v>
      </c>
    </row>
    <row r="2867" spans="1:8">
      <c r="A2867" s="363" t="str">
        <f t="shared" si="359"/>
        <v/>
      </c>
      <c r="B2867" s="363" t="str">
        <f t="shared" si="352"/>
        <v/>
      </c>
      <c r="C2867" s="405" t="str">
        <f t="shared" si="353"/>
        <v/>
      </c>
      <c r="D2867" s="405">
        <f t="shared" si="354"/>
        <v>0</v>
      </c>
      <c r="E2867" s="405" t="str">
        <f t="shared" si="355"/>
        <v/>
      </c>
      <c r="F2867" s="405">
        <f t="shared" si="356"/>
        <v>0</v>
      </c>
      <c r="G2867" s="405">
        <f t="shared" si="357"/>
        <v>0</v>
      </c>
      <c r="H2867" s="405">
        <f t="shared" si="358"/>
        <v>0</v>
      </c>
    </row>
    <row r="2868" spans="1:8">
      <c r="A2868" s="363" t="str">
        <f t="shared" si="359"/>
        <v/>
      </c>
      <c r="B2868" s="363" t="str">
        <f t="shared" si="352"/>
        <v/>
      </c>
      <c r="C2868" s="405" t="str">
        <f t="shared" si="353"/>
        <v/>
      </c>
      <c r="D2868" s="405">
        <f t="shared" si="354"/>
        <v>0</v>
      </c>
      <c r="E2868" s="405" t="str">
        <f t="shared" si="355"/>
        <v/>
      </c>
      <c r="F2868" s="405">
        <f t="shared" si="356"/>
        <v>0</v>
      </c>
      <c r="G2868" s="405">
        <f t="shared" si="357"/>
        <v>0</v>
      </c>
      <c r="H2868" s="405">
        <f t="shared" si="358"/>
        <v>0</v>
      </c>
    </row>
    <row r="2869" spans="1:8">
      <c r="A2869" s="363" t="str">
        <f t="shared" si="359"/>
        <v/>
      </c>
      <c r="B2869" s="363" t="str">
        <f t="shared" si="352"/>
        <v/>
      </c>
      <c r="C2869" s="405" t="str">
        <f t="shared" si="353"/>
        <v/>
      </c>
      <c r="D2869" s="405">
        <f t="shared" si="354"/>
        <v>0</v>
      </c>
      <c r="E2869" s="405" t="str">
        <f t="shared" si="355"/>
        <v/>
      </c>
      <c r="F2869" s="405">
        <f t="shared" si="356"/>
        <v>0</v>
      </c>
      <c r="G2869" s="405">
        <f t="shared" si="357"/>
        <v>0</v>
      </c>
      <c r="H2869" s="405">
        <f t="shared" si="358"/>
        <v>0</v>
      </c>
    </row>
    <row r="2870" spans="1:8">
      <c r="A2870" s="363" t="str">
        <f t="shared" si="359"/>
        <v/>
      </c>
      <c r="B2870" s="363" t="str">
        <f t="shared" si="352"/>
        <v/>
      </c>
      <c r="C2870" s="405" t="str">
        <f t="shared" si="353"/>
        <v/>
      </c>
      <c r="D2870" s="405">
        <f t="shared" si="354"/>
        <v>0</v>
      </c>
      <c r="E2870" s="405" t="str">
        <f t="shared" si="355"/>
        <v/>
      </c>
      <c r="F2870" s="405">
        <f t="shared" si="356"/>
        <v>0</v>
      </c>
      <c r="G2870" s="405">
        <f t="shared" si="357"/>
        <v>0</v>
      </c>
      <c r="H2870" s="405">
        <f t="shared" si="358"/>
        <v>0</v>
      </c>
    </row>
    <row r="2871" spans="1:8">
      <c r="A2871" s="363" t="str">
        <f t="shared" si="359"/>
        <v/>
      </c>
      <c r="B2871" s="363" t="str">
        <f t="shared" si="352"/>
        <v/>
      </c>
      <c r="C2871" s="405" t="str">
        <f t="shared" si="353"/>
        <v/>
      </c>
      <c r="D2871" s="405">
        <f t="shared" si="354"/>
        <v>0</v>
      </c>
      <c r="E2871" s="405" t="str">
        <f t="shared" si="355"/>
        <v/>
      </c>
      <c r="F2871" s="405">
        <f t="shared" si="356"/>
        <v>0</v>
      </c>
      <c r="G2871" s="405">
        <f t="shared" si="357"/>
        <v>0</v>
      </c>
      <c r="H2871" s="405">
        <f t="shared" si="358"/>
        <v>0</v>
      </c>
    </row>
    <row r="2872" spans="1:8">
      <c r="A2872" s="363" t="str">
        <f t="shared" si="359"/>
        <v/>
      </c>
      <c r="B2872" s="363" t="str">
        <f t="shared" si="352"/>
        <v/>
      </c>
      <c r="C2872" s="405" t="str">
        <f t="shared" si="353"/>
        <v/>
      </c>
      <c r="D2872" s="405">
        <f t="shared" si="354"/>
        <v>0</v>
      </c>
      <c r="E2872" s="405" t="str">
        <f t="shared" si="355"/>
        <v/>
      </c>
      <c r="F2872" s="405">
        <f t="shared" si="356"/>
        <v>0</v>
      </c>
      <c r="G2872" s="405">
        <f t="shared" si="357"/>
        <v>0</v>
      </c>
      <c r="H2872" s="405">
        <f t="shared" si="358"/>
        <v>0</v>
      </c>
    </row>
    <row r="2873" spans="1:8">
      <c r="A2873" s="363" t="str">
        <f t="shared" si="359"/>
        <v/>
      </c>
      <c r="B2873" s="363" t="str">
        <f t="shared" si="352"/>
        <v/>
      </c>
      <c r="C2873" s="405" t="str">
        <f t="shared" si="353"/>
        <v/>
      </c>
      <c r="D2873" s="405">
        <f t="shared" si="354"/>
        <v>0</v>
      </c>
      <c r="E2873" s="405" t="str">
        <f t="shared" si="355"/>
        <v/>
      </c>
      <c r="F2873" s="405">
        <f t="shared" si="356"/>
        <v>0</v>
      </c>
      <c r="G2873" s="405">
        <f t="shared" si="357"/>
        <v>0</v>
      </c>
      <c r="H2873" s="405">
        <f t="shared" si="358"/>
        <v>0</v>
      </c>
    </row>
    <row r="2874" spans="1:8">
      <c r="A2874" s="363" t="str">
        <f t="shared" si="359"/>
        <v/>
      </c>
      <c r="B2874" s="363" t="str">
        <f t="shared" si="352"/>
        <v/>
      </c>
      <c r="C2874" s="405" t="str">
        <f t="shared" si="353"/>
        <v/>
      </c>
      <c r="D2874" s="405">
        <f t="shared" si="354"/>
        <v>0</v>
      </c>
      <c r="E2874" s="405" t="str">
        <f t="shared" si="355"/>
        <v/>
      </c>
      <c r="F2874" s="405">
        <f t="shared" si="356"/>
        <v>0</v>
      </c>
      <c r="G2874" s="405">
        <f t="shared" si="357"/>
        <v>0</v>
      </c>
      <c r="H2874" s="405">
        <f t="shared" si="358"/>
        <v>0</v>
      </c>
    </row>
    <row r="2875" spans="1:8">
      <c r="A2875" s="363" t="str">
        <f t="shared" si="359"/>
        <v/>
      </c>
      <c r="B2875" s="363" t="str">
        <f t="shared" si="352"/>
        <v/>
      </c>
      <c r="C2875" s="405" t="str">
        <f t="shared" si="353"/>
        <v/>
      </c>
      <c r="D2875" s="405">
        <f t="shared" si="354"/>
        <v>0</v>
      </c>
      <c r="E2875" s="405" t="str">
        <f t="shared" si="355"/>
        <v/>
      </c>
      <c r="F2875" s="405">
        <f t="shared" si="356"/>
        <v>0</v>
      </c>
      <c r="G2875" s="405">
        <f t="shared" si="357"/>
        <v>0</v>
      </c>
      <c r="H2875" s="405">
        <f t="shared" si="358"/>
        <v>0</v>
      </c>
    </row>
    <row r="2876" spans="1:8">
      <c r="A2876" s="363" t="str">
        <f t="shared" si="359"/>
        <v/>
      </c>
      <c r="B2876" s="363" t="str">
        <f t="shared" si="352"/>
        <v/>
      </c>
      <c r="C2876" s="405" t="str">
        <f t="shared" si="353"/>
        <v/>
      </c>
      <c r="D2876" s="405">
        <f t="shared" si="354"/>
        <v>0</v>
      </c>
      <c r="E2876" s="405" t="str">
        <f t="shared" si="355"/>
        <v/>
      </c>
      <c r="F2876" s="405">
        <f t="shared" si="356"/>
        <v>0</v>
      </c>
      <c r="G2876" s="405">
        <f t="shared" si="357"/>
        <v>0</v>
      </c>
      <c r="H2876" s="405">
        <f t="shared" si="358"/>
        <v>0</v>
      </c>
    </row>
    <row r="2877" spans="1:8">
      <c r="A2877" s="363" t="str">
        <f t="shared" si="359"/>
        <v/>
      </c>
      <c r="B2877" s="363" t="str">
        <f t="shared" si="352"/>
        <v/>
      </c>
      <c r="C2877" s="405" t="str">
        <f t="shared" si="353"/>
        <v/>
      </c>
      <c r="D2877" s="405">
        <f t="shared" si="354"/>
        <v>0</v>
      </c>
      <c r="E2877" s="405" t="str">
        <f t="shared" si="355"/>
        <v/>
      </c>
      <c r="F2877" s="405">
        <f t="shared" si="356"/>
        <v>0</v>
      </c>
      <c r="G2877" s="405">
        <f t="shared" si="357"/>
        <v>0</v>
      </c>
      <c r="H2877" s="405">
        <f t="shared" si="358"/>
        <v>0</v>
      </c>
    </row>
    <row r="2878" spans="1:8">
      <c r="A2878" s="363" t="str">
        <f t="shared" si="359"/>
        <v/>
      </c>
      <c r="B2878" s="363" t="str">
        <f t="shared" si="352"/>
        <v/>
      </c>
      <c r="C2878" s="405" t="str">
        <f t="shared" si="353"/>
        <v/>
      </c>
      <c r="D2878" s="405">
        <f t="shared" si="354"/>
        <v>0</v>
      </c>
      <c r="E2878" s="405" t="str">
        <f t="shared" si="355"/>
        <v/>
      </c>
      <c r="F2878" s="405">
        <f t="shared" si="356"/>
        <v>0</v>
      </c>
      <c r="G2878" s="405">
        <f t="shared" si="357"/>
        <v>0</v>
      </c>
      <c r="H2878" s="405">
        <f t="shared" si="358"/>
        <v>0</v>
      </c>
    </row>
    <row r="2879" spans="1:8">
      <c r="A2879" s="363" t="str">
        <f t="shared" si="359"/>
        <v/>
      </c>
      <c r="B2879" s="363" t="str">
        <f t="shared" si="352"/>
        <v/>
      </c>
      <c r="C2879" s="405" t="str">
        <f t="shared" si="353"/>
        <v/>
      </c>
      <c r="D2879" s="405">
        <f t="shared" si="354"/>
        <v>0</v>
      </c>
      <c r="E2879" s="405" t="str">
        <f t="shared" si="355"/>
        <v/>
      </c>
      <c r="F2879" s="405">
        <f t="shared" si="356"/>
        <v>0</v>
      </c>
      <c r="G2879" s="405">
        <f t="shared" si="357"/>
        <v>0</v>
      </c>
      <c r="H2879" s="405">
        <f t="shared" si="358"/>
        <v>0</v>
      </c>
    </row>
    <row r="2880" spans="1:8">
      <c r="A2880" s="363" t="str">
        <f t="shared" si="359"/>
        <v/>
      </c>
      <c r="B2880" s="363" t="str">
        <f t="shared" si="352"/>
        <v/>
      </c>
      <c r="C2880" s="405" t="str">
        <f t="shared" si="353"/>
        <v/>
      </c>
      <c r="D2880" s="405">
        <f t="shared" si="354"/>
        <v>0</v>
      </c>
      <c r="E2880" s="405" t="str">
        <f t="shared" si="355"/>
        <v/>
      </c>
      <c r="F2880" s="405">
        <f t="shared" si="356"/>
        <v>0</v>
      </c>
      <c r="G2880" s="405">
        <f t="shared" si="357"/>
        <v>0</v>
      </c>
      <c r="H2880" s="405">
        <f t="shared" si="358"/>
        <v>0</v>
      </c>
    </row>
    <row r="2881" spans="1:8">
      <c r="A2881" s="363" t="str">
        <f t="shared" si="359"/>
        <v/>
      </c>
      <c r="B2881" s="363" t="str">
        <f t="shared" si="352"/>
        <v/>
      </c>
      <c r="C2881" s="405" t="str">
        <f t="shared" si="353"/>
        <v/>
      </c>
      <c r="D2881" s="405">
        <f t="shared" si="354"/>
        <v>0</v>
      </c>
      <c r="E2881" s="405" t="str">
        <f t="shared" si="355"/>
        <v/>
      </c>
      <c r="F2881" s="405">
        <f t="shared" si="356"/>
        <v>0</v>
      </c>
      <c r="G2881" s="405">
        <f t="shared" si="357"/>
        <v>0</v>
      </c>
      <c r="H2881" s="405">
        <f t="shared" si="358"/>
        <v>0</v>
      </c>
    </row>
    <row r="2882" spans="1:8">
      <c r="A2882" s="363" t="str">
        <f t="shared" si="359"/>
        <v/>
      </c>
      <c r="B2882" s="363" t="str">
        <f t="shared" ref="B2882:B2945" si="360">LEFT(L2882,2)</f>
        <v/>
      </c>
      <c r="C2882" s="405" t="str">
        <f t="shared" ref="C2882:C2945" si="361">IF(B2882="","","第"&amp;RIGHT(L2882,6)&amp;"号")</f>
        <v/>
      </c>
      <c r="D2882" s="405">
        <f t="shared" ref="D2882:D2945" si="362">N2882</f>
        <v>0</v>
      </c>
      <c r="E2882" s="405" t="str">
        <f t="shared" ref="E2882:E2945" si="363">IF(V2882="　",O2882,"")</f>
        <v/>
      </c>
      <c r="F2882" s="405">
        <f t="shared" ref="F2882:F2945" si="364">IF(V2882="　",P2882,W2882)</f>
        <v>0</v>
      </c>
      <c r="G2882" s="405">
        <f t="shared" ref="G2882:G2945" si="365">IF(V2882="　","主たる営業所",V2882)</f>
        <v>0</v>
      </c>
      <c r="H2882" s="405">
        <f t="shared" ref="H2882:H2945" si="366">IF(V2882="　",R2882,Y2882)</f>
        <v>0</v>
      </c>
    </row>
    <row r="2883" spans="1:8">
      <c r="A2883" s="363" t="str">
        <f t="shared" ref="A2883:A2946" si="367">IF(B2883="","",A2882+1)</f>
        <v/>
      </c>
      <c r="B2883" s="363" t="str">
        <f t="shared" si="360"/>
        <v/>
      </c>
      <c r="C2883" s="405" t="str">
        <f t="shared" si="361"/>
        <v/>
      </c>
      <c r="D2883" s="405">
        <f t="shared" si="362"/>
        <v>0</v>
      </c>
      <c r="E2883" s="405" t="str">
        <f t="shared" si="363"/>
        <v/>
      </c>
      <c r="F2883" s="405">
        <f t="shared" si="364"/>
        <v>0</v>
      </c>
      <c r="G2883" s="405">
        <f t="shared" si="365"/>
        <v>0</v>
      </c>
      <c r="H2883" s="405">
        <f t="shared" si="366"/>
        <v>0</v>
      </c>
    </row>
    <row r="2884" spans="1:8">
      <c r="A2884" s="363" t="str">
        <f t="shared" si="367"/>
        <v/>
      </c>
      <c r="B2884" s="363" t="str">
        <f t="shared" si="360"/>
        <v/>
      </c>
      <c r="C2884" s="405" t="str">
        <f t="shared" si="361"/>
        <v/>
      </c>
      <c r="D2884" s="405">
        <f t="shared" si="362"/>
        <v>0</v>
      </c>
      <c r="E2884" s="405" t="str">
        <f t="shared" si="363"/>
        <v/>
      </c>
      <c r="F2884" s="405">
        <f t="shared" si="364"/>
        <v>0</v>
      </c>
      <c r="G2884" s="405">
        <f t="shared" si="365"/>
        <v>0</v>
      </c>
      <c r="H2884" s="405">
        <f t="shared" si="366"/>
        <v>0</v>
      </c>
    </row>
    <row r="2885" spans="1:8">
      <c r="A2885" s="363" t="str">
        <f t="shared" si="367"/>
        <v/>
      </c>
      <c r="B2885" s="363" t="str">
        <f t="shared" si="360"/>
        <v/>
      </c>
      <c r="C2885" s="405" t="str">
        <f t="shared" si="361"/>
        <v/>
      </c>
      <c r="D2885" s="405">
        <f t="shared" si="362"/>
        <v>0</v>
      </c>
      <c r="E2885" s="405" t="str">
        <f t="shared" si="363"/>
        <v/>
      </c>
      <c r="F2885" s="405">
        <f t="shared" si="364"/>
        <v>0</v>
      </c>
      <c r="G2885" s="405">
        <f t="shared" si="365"/>
        <v>0</v>
      </c>
      <c r="H2885" s="405">
        <f t="shared" si="366"/>
        <v>0</v>
      </c>
    </row>
    <row r="2886" spans="1:8">
      <c r="A2886" s="363" t="str">
        <f t="shared" si="367"/>
        <v/>
      </c>
      <c r="B2886" s="363" t="str">
        <f t="shared" si="360"/>
        <v/>
      </c>
      <c r="C2886" s="405" t="str">
        <f t="shared" si="361"/>
        <v/>
      </c>
      <c r="D2886" s="405">
        <f t="shared" si="362"/>
        <v>0</v>
      </c>
      <c r="E2886" s="405" t="str">
        <f t="shared" si="363"/>
        <v/>
      </c>
      <c r="F2886" s="405">
        <f t="shared" si="364"/>
        <v>0</v>
      </c>
      <c r="G2886" s="405">
        <f t="shared" si="365"/>
        <v>0</v>
      </c>
      <c r="H2886" s="405">
        <f t="shared" si="366"/>
        <v>0</v>
      </c>
    </row>
    <row r="2887" spans="1:8">
      <c r="A2887" s="363" t="str">
        <f t="shared" si="367"/>
        <v/>
      </c>
      <c r="B2887" s="363" t="str">
        <f t="shared" si="360"/>
        <v/>
      </c>
      <c r="C2887" s="405" t="str">
        <f t="shared" si="361"/>
        <v/>
      </c>
      <c r="D2887" s="405">
        <f t="shared" si="362"/>
        <v>0</v>
      </c>
      <c r="E2887" s="405" t="str">
        <f t="shared" si="363"/>
        <v/>
      </c>
      <c r="F2887" s="405">
        <f t="shared" si="364"/>
        <v>0</v>
      </c>
      <c r="G2887" s="405">
        <f t="shared" si="365"/>
        <v>0</v>
      </c>
      <c r="H2887" s="405">
        <f t="shared" si="366"/>
        <v>0</v>
      </c>
    </row>
    <row r="2888" spans="1:8">
      <c r="A2888" s="363" t="str">
        <f t="shared" si="367"/>
        <v/>
      </c>
      <c r="B2888" s="363" t="str">
        <f t="shared" si="360"/>
        <v/>
      </c>
      <c r="C2888" s="405" t="str">
        <f t="shared" si="361"/>
        <v/>
      </c>
      <c r="D2888" s="405">
        <f t="shared" si="362"/>
        <v>0</v>
      </c>
      <c r="E2888" s="405" t="str">
        <f t="shared" si="363"/>
        <v/>
      </c>
      <c r="F2888" s="405">
        <f t="shared" si="364"/>
        <v>0</v>
      </c>
      <c r="G2888" s="405">
        <f t="shared" si="365"/>
        <v>0</v>
      </c>
      <c r="H2888" s="405">
        <f t="shared" si="366"/>
        <v>0</v>
      </c>
    </row>
    <row r="2889" spans="1:8">
      <c r="A2889" s="363" t="str">
        <f t="shared" si="367"/>
        <v/>
      </c>
      <c r="B2889" s="363" t="str">
        <f t="shared" si="360"/>
        <v/>
      </c>
      <c r="C2889" s="405" t="str">
        <f t="shared" si="361"/>
        <v/>
      </c>
      <c r="D2889" s="405">
        <f t="shared" si="362"/>
        <v>0</v>
      </c>
      <c r="E2889" s="405" t="str">
        <f t="shared" si="363"/>
        <v/>
      </c>
      <c r="F2889" s="405">
        <f t="shared" si="364"/>
        <v>0</v>
      </c>
      <c r="G2889" s="405">
        <f t="shared" si="365"/>
        <v>0</v>
      </c>
      <c r="H2889" s="405">
        <f t="shared" si="366"/>
        <v>0</v>
      </c>
    </row>
    <row r="2890" spans="1:8">
      <c r="A2890" s="363" t="str">
        <f t="shared" si="367"/>
        <v/>
      </c>
      <c r="B2890" s="363" t="str">
        <f t="shared" si="360"/>
        <v/>
      </c>
      <c r="C2890" s="405" t="str">
        <f t="shared" si="361"/>
        <v/>
      </c>
      <c r="D2890" s="405">
        <f t="shared" si="362"/>
        <v>0</v>
      </c>
      <c r="E2890" s="405" t="str">
        <f t="shared" si="363"/>
        <v/>
      </c>
      <c r="F2890" s="405">
        <f t="shared" si="364"/>
        <v>0</v>
      </c>
      <c r="G2890" s="405">
        <f t="shared" si="365"/>
        <v>0</v>
      </c>
      <c r="H2890" s="405">
        <f t="shared" si="366"/>
        <v>0</v>
      </c>
    </row>
    <row r="2891" spans="1:8">
      <c r="A2891" s="363" t="str">
        <f t="shared" si="367"/>
        <v/>
      </c>
      <c r="B2891" s="363" t="str">
        <f t="shared" si="360"/>
        <v/>
      </c>
      <c r="C2891" s="405" t="str">
        <f t="shared" si="361"/>
        <v/>
      </c>
      <c r="D2891" s="405">
        <f t="shared" si="362"/>
        <v>0</v>
      </c>
      <c r="E2891" s="405" t="str">
        <f t="shared" si="363"/>
        <v/>
      </c>
      <c r="F2891" s="405">
        <f t="shared" si="364"/>
        <v>0</v>
      </c>
      <c r="G2891" s="405">
        <f t="shared" si="365"/>
        <v>0</v>
      </c>
      <c r="H2891" s="405">
        <f t="shared" si="366"/>
        <v>0</v>
      </c>
    </row>
    <row r="2892" spans="1:8">
      <c r="A2892" s="363" t="str">
        <f t="shared" si="367"/>
        <v/>
      </c>
      <c r="B2892" s="363" t="str">
        <f t="shared" si="360"/>
        <v/>
      </c>
      <c r="C2892" s="405" t="str">
        <f t="shared" si="361"/>
        <v/>
      </c>
      <c r="D2892" s="405">
        <f t="shared" si="362"/>
        <v>0</v>
      </c>
      <c r="E2892" s="405" t="str">
        <f t="shared" si="363"/>
        <v/>
      </c>
      <c r="F2892" s="405">
        <f t="shared" si="364"/>
        <v>0</v>
      </c>
      <c r="G2892" s="405">
        <f t="shared" si="365"/>
        <v>0</v>
      </c>
      <c r="H2892" s="405">
        <f t="shared" si="366"/>
        <v>0</v>
      </c>
    </row>
    <row r="2893" spans="1:8">
      <c r="A2893" s="363" t="str">
        <f t="shared" si="367"/>
        <v/>
      </c>
      <c r="B2893" s="363" t="str">
        <f t="shared" si="360"/>
        <v/>
      </c>
      <c r="C2893" s="405" t="str">
        <f t="shared" si="361"/>
        <v/>
      </c>
      <c r="D2893" s="405">
        <f t="shared" si="362"/>
        <v>0</v>
      </c>
      <c r="E2893" s="405" t="str">
        <f t="shared" si="363"/>
        <v/>
      </c>
      <c r="F2893" s="405">
        <f t="shared" si="364"/>
        <v>0</v>
      </c>
      <c r="G2893" s="405">
        <f t="shared" si="365"/>
        <v>0</v>
      </c>
      <c r="H2893" s="405">
        <f t="shared" si="366"/>
        <v>0</v>
      </c>
    </row>
    <row r="2894" spans="1:8">
      <c r="A2894" s="363" t="str">
        <f t="shared" si="367"/>
        <v/>
      </c>
      <c r="B2894" s="363" t="str">
        <f t="shared" si="360"/>
        <v/>
      </c>
      <c r="C2894" s="405" t="str">
        <f t="shared" si="361"/>
        <v/>
      </c>
      <c r="D2894" s="405">
        <f t="shared" si="362"/>
        <v>0</v>
      </c>
      <c r="E2894" s="405" t="str">
        <f t="shared" si="363"/>
        <v/>
      </c>
      <c r="F2894" s="405">
        <f t="shared" si="364"/>
        <v>0</v>
      </c>
      <c r="G2894" s="405">
        <f t="shared" si="365"/>
        <v>0</v>
      </c>
      <c r="H2894" s="405">
        <f t="shared" si="366"/>
        <v>0</v>
      </c>
    </row>
    <row r="2895" spans="1:8">
      <c r="A2895" s="363" t="str">
        <f t="shared" si="367"/>
        <v/>
      </c>
      <c r="B2895" s="363" t="str">
        <f t="shared" si="360"/>
        <v/>
      </c>
      <c r="C2895" s="405" t="str">
        <f t="shared" si="361"/>
        <v/>
      </c>
      <c r="D2895" s="405">
        <f t="shared" si="362"/>
        <v>0</v>
      </c>
      <c r="E2895" s="405" t="str">
        <f t="shared" si="363"/>
        <v/>
      </c>
      <c r="F2895" s="405">
        <f t="shared" si="364"/>
        <v>0</v>
      </c>
      <c r="G2895" s="405">
        <f t="shared" si="365"/>
        <v>0</v>
      </c>
      <c r="H2895" s="405">
        <f t="shared" si="366"/>
        <v>0</v>
      </c>
    </row>
    <row r="2896" spans="1:8">
      <c r="A2896" s="363" t="str">
        <f t="shared" si="367"/>
        <v/>
      </c>
      <c r="B2896" s="363" t="str">
        <f t="shared" si="360"/>
        <v/>
      </c>
      <c r="C2896" s="405" t="str">
        <f t="shared" si="361"/>
        <v/>
      </c>
      <c r="D2896" s="405">
        <f t="shared" si="362"/>
        <v>0</v>
      </c>
      <c r="E2896" s="405" t="str">
        <f t="shared" si="363"/>
        <v/>
      </c>
      <c r="F2896" s="405">
        <f t="shared" si="364"/>
        <v>0</v>
      </c>
      <c r="G2896" s="405">
        <f t="shared" si="365"/>
        <v>0</v>
      </c>
      <c r="H2896" s="405">
        <f t="shared" si="366"/>
        <v>0</v>
      </c>
    </row>
    <row r="2897" spans="1:8">
      <c r="A2897" s="363" t="str">
        <f t="shared" si="367"/>
        <v/>
      </c>
      <c r="B2897" s="363" t="str">
        <f t="shared" si="360"/>
        <v/>
      </c>
      <c r="C2897" s="405" t="str">
        <f t="shared" si="361"/>
        <v/>
      </c>
      <c r="D2897" s="405">
        <f t="shared" si="362"/>
        <v>0</v>
      </c>
      <c r="E2897" s="405" t="str">
        <f t="shared" si="363"/>
        <v/>
      </c>
      <c r="F2897" s="405">
        <f t="shared" si="364"/>
        <v>0</v>
      </c>
      <c r="G2897" s="405">
        <f t="shared" si="365"/>
        <v>0</v>
      </c>
      <c r="H2897" s="405">
        <f t="shared" si="366"/>
        <v>0</v>
      </c>
    </row>
    <row r="2898" spans="1:8">
      <c r="A2898" s="363" t="str">
        <f t="shared" si="367"/>
        <v/>
      </c>
      <c r="B2898" s="363" t="str">
        <f t="shared" si="360"/>
        <v/>
      </c>
      <c r="C2898" s="405" t="str">
        <f t="shared" si="361"/>
        <v/>
      </c>
      <c r="D2898" s="405">
        <f t="shared" si="362"/>
        <v>0</v>
      </c>
      <c r="E2898" s="405" t="str">
        <f t="shared" si="363"/>
        <v/>
      </c>
      <c r="F2898" s="405">
        <f t="shared" si="364"/>
        <v>0</v>
      </c>
      <c r="G2898" s="405">
        <f t="shared" si="365"/>
        <v>0</v>
      </c>
      <c r="H2898" s="405">
        <f t="shared" si="366"/>
        <v>0</v>
      </c>
    </row>
    <row r="2899" spans="1:8">
      <c r="A2899" s="363" t="str">
        <f t="shared" si="367"/>
        <v/>
      </c>
      <c r="B2899" s="363" t="str">
        <f t="shared" si="360"/>
        <v/>
      </c>
      <c r="C2899" s="405" t="str">
        <f t="shared" si="361"/>
        <v/>
      </c>
      <c r="D2899" s="405">
        <f t="shared" si="362"/>
        <v>0</v>
      </c>
      <c r="E2899" s="405" t="str">
        <f t="shared" si="363"/>
        <v/>
      </c>
      <c r="F2899" s="405">
        <f t="shared" si="364"/>
        <v>0</v>
      </c>
      <c r="G2899" s="405">
        <f t="shared" si="365"/>
        <v>0</v>
      </c>
      <c r="H2899" s="405">
        <f t="shared" si="366"/>
        <v>0</v>
      </c>
    </row>
    <row r="2900" spans="1:8">
      <c r="A2900" s="363" t="str">
        <f t="shared" si="367"/>
        <v/>
      </c>
      <c r="B2900" s="363" t="str">
        <f t="shared" si="360"/>
        <v/>
      </c>
      <c r="C2900" s="405" t="str">
        <f t="shared" si="361"/>
        <v/>
      </c>
      <c r="D2900" s="405">
        <f t="shared" si="362"/>
        <v>0</v>
      </c>
      <c r="E2900" s="405" t="str">
        <f t="shared" si="363"/>
        <v/>
      </c>
      <c r="F2900" s="405">
        <f t="shared" si="364"/>
        <v>0</v>
      </c>
      <c r="G2900" s="405">
        <f t="shared" si="365"/>
        <v>0</v>
      </c>
      <c r="H2900" s="405">
        <f t="shared" si="366"/>
        <v>0</v>
      </c>
    </row>
    <row r="2901" spans="1:8">
      <c r="A2901" s="363" t="str">
        <f t="shared" si="367"/>
        <v/>
      </c>
      <c r="B2901" s="363" t="str">
        <f t="shared" si="360"/>
        <v/>
      </c>
      <c r="C2901" s="405" t="str">
        <f t="shared" si="361"/>
        <v/>
      </c>
      <c r="D2901" s="405">
        <f t="shared" si="362"/>
        <v>0</v>
      </c>
      <c r="E2901" s="405" t="str">
        <f t="shared" si="363"/>
        <v/>
      </c>
      <c r="F2901" s="405">
        <f t="shared" si="364"/>
        <v>0</v>
      </c>
      <c r="G2901" s="405">
        <f t="shared" si="365"/>
        <v>0</v>
      </c>
      <c r="H2901" s="405">
        <f t="shared" si="366"/>
        <v>0</v>
      </c>
    </row>
    <row r="2902" spans="1:8">
      <c r="A2902" s="363" t="str">
        <f t="shared" si="367"/>
        <v/>
      </c>
      <c r="B2902" s="363" t="str">
        <f t="shared" si="360"/>
        <v/>
      </c>
      <c r="C2902" s="405" t="str">
        <f t="shared" si="361"/>
        <v/>
      </c>
      <c r="D2902" s="405">
        <f t="shared" si="362"/>
        <v>0</v>
      </c>
      <c r="E2902" s="405" t="str">
        <f t="shared" si="363"/>
        <v/>
      </c>
      <c r="F2902" s="405">
        <f t="shared" si="364"/>
        <v>0</v>
      </c>
      <c r="G2902" s="405">
        <f t="shared" si="365"/>
        <v>0</v>
      </c>
      <c r="H2902" s="405">
        <f t="shared" si="366"/>
        <v>0</v>
      </c>
    </row>
    <row r="2903" spans="1:8">
      <c r="A2903" s="363" t="str">
        <f t="shared" si="367"/>
        <v/>
      </c>
      <c r="B2903" s="363" t="str">
        <f t="shared" si="360"/>
        <v/>
      </c>
      <c r="C2903" s="405" t="str">
        <f t="shared" si="361"/>
        <v/>
      </c>
      <c r="D2903" s="405">
        <f t="shared" si="362"/>
        <v>0</v>
      </c>
      <c r="E2903" s="405" t="str">
        <f t="shared" si="363"/>
        <v/>
      </c>
      <c r="F2903" s="405">
        <f t="shared" si="364"/>
        <v>0</v>
      </c>
      <c r="G2903" s="405">
        <f t="shared" si="365"/>
        <v>0</v>
      </c>
      <c r="H2903" s="405">
        <f t="shared" si="366"/>
        <v>0</v>
      </c>
    </row>
    <row r="2904" spans="1:8">
      <c r="A2904" s="363" t="str">
        <f t="shared" si="367"/>
        <v/>
      </c>
      <c r="B2904" s="363" t="str">
        <f t="shared" si="360"/>
        <v/>
      </c>
      <c r="C2904" s="405" t="str">
        <f t="shared" si="361"/>
        <v/>
      </c>
      <c r="D2904" s="405">
        <f t="shared" si="362"/>
        <v>0</v>
      </c>
      <c r="E2904" s="405" t="str">
        <f t="shared" si="363"/>
        <v/>
      </c>
      <c r="F2904" s="405">
        <f t="shared" si="364"/>
        <v>0</v>
      </c>
      <c r="G2904" s="405">
        <f t="shared" si="365"/>
        <v>0</v>
      </c>
      <c r="H2904" s="405">
        <f t="shared" si="366"/>
        <v>0</v>
      </c>
    </row>
    <row r="2905" spans="1:8">
      <c r="A2905" s="363" t="str">
        <f t="shared" si="367"/>
        <v/>
      </c>
      <c r="B2905" s="363" t="str">
        <f t="shared" si="360"/>
        <v/>
      </c>
      <c r="C2905" s="405" t="str">
        <f t="shared" si="361"/>
        <v/>
      </c>
      <c r="D2905" s="405">
        <f t="shared" si="362"/>
        <v>0</v>
      </c>
      <c r="E2905" s="405" t="str">
        <f t="shared" si="363"/>
        <v/>
      </c>
      <c r="F2905" s="405">
        <f t="shared" si="364"/>
        <v>0</v>
      </c>
      <c r="G2905" s="405">
        <f t="shared" si="365"/>
        <v>0</v>
      </c>
      <c r="H2905" s="405">
        <f t="shared" si="366"/>
        <v>0</v>
      </c>
    </row>
    <row r="2906" spans="1:8">
      <c r="A2906" s="363" t="str">
        <f t="shared" si="367"/>
        <v/>
      </c>
      <c r="B2906" s="363" t="str">
        <f t="shared" si="360"/>
        <v/>
      </c>
      <c r="C2906" s="405" t="str">
        <f t="shared" si="361"/>
        <v/>
      </c>
      <c r="D2906" s="405">
        <f t="shared" si="362"/>
        <v>0</v>
      </c>
      <c r="E2906" s="405" t="str">
        <f t="shared" si="363"/>
        <v/>
      </c>
      <c r="F2906" s="405">
        <f t="shared" si="364"/>
        <v>0</v>
      </c>
      <c r="G2906" s="405">
        <f t="shared" si="365"/>
        <v>0</v>
      </c>
      <c r="H2906" s="405">
        <f t="shared" si="366"/>
        <v>0</v>
      </c>
    </row>
    <row r="2907" spans="1:8">
      <c r="A2907" s="363" t="str">
        <f t="shared" si="367"/>
        <v/>
      </c>
      <c r="B2907" s="363" t="str">
        <f t="shared" si="360"/>
        <v/>
      </c>
      <c r="C2907" s="405" t="str">
        <f t="shared" si="361"/>
        <v/>
      </c>
      <c r="D2907" s="405">
        <f t="shared" si="362"/>
        <v>0</v>
      </c>
      <c r="E2907" s="405" t="str">
        <f t="shared" si="363"/>
        <v/>
      </c>
      <c r="F2907" s="405">
        <f t="shared" si="364"/>
        <v>0</v>
      </c>
      <c r="G2907" s="405">
        <f t="shared" si="365"/>
        <v>0</v>
      </c>
      <c r="H2907" s="405">
        <f t="shared" si="366"/>
        <v>0</v>
      </c>
    </row>
    <row r="2908" spans="1:8">
      <c r="A2908" s="363" t="str">
        <f t="shared" si="367"/>
        <v/>
      </c>
      <c r="B2908" s="363" t="str">
        <f t="shared" si="360"/>
        <v/>
      </c>
      <c r="C2908" s="405" t="str">
        <f t="shared" si="361"/>
        <v/>
      </c>
      <c r="D2908" s="405">
        <f t="shared" si="362"/>
        <v>0</v>
      </c>
      <c r="E2908" s="405" t="str">
        <f t="shared" si="363"/>
        <v/>
      </c>
      <c r="F2908" s="405">
        <f t="shared" si="364"/>
        <v>0</v>
      </c>
      <c r="G2908" s="405">
        <f t="shared" si="365"/>
        <v>0</v>
      </c>
      <c r="H2908" s="405">
        <f t="shared" si="366"/>
        <v>0</v>
      </c>
    </row>
    <row r="2909" spans="1:8">
      <c r="A2909" s="363" t="str">
        <f t="shared" si="367"/>
        <v/>
      </c>
      <c r="B2909" s="363" t="str">
        <f t="shared" si="360"/>
        <v/>
      </c>
      <c r="C2909" s="405" t="str">
        <f t="shared" si="361"/>
        <v/>
      </c>
      <c r="D2909" s="405">
        <f t="shared" si="362"/>
        <v>0</v>
      </c>
      <c r="E2909" s="405" t="str">
        <f t="shared" si="363"/>
        <v/>
      </c>
      <c r="F2909" s="405">
        <f t="shared" si="364"/>
        <v>0</v>
      </c>
      <c r="G2909" s="405">
        <f t="shared" si="365"/>
        <v>0</v>
      </c>
      <c r="H2909" s="405">
        <f t="shared" si="366"/>
        <v>0</v>
      </c>
    </row>
    <row r="2910" spans="1:8">
      <c r="A2910" s="363" t="str">
        <f t="shared" si="367"/>
        <v/>
      </c>
      <c r="B2910" s="363" t="str">
        <f t="shared" si="360"/>
        <v/>
      </c>
      <c r="C2910" s="405" t="str">
        <f t="shared" si="361"/>
        <v/>
      </c>
      <c r="D2910" s="405">
        <f t="shared" si="362"/>
        <v>0</v>
      </c>
      <c r="E2910" s="405" t="str">
        <f t="shared" si="363"/>
        <v/>
      </c>
      <c r="F2910" s="405">
        <f t="shared" si="364"/>
        <v>0</v>
      </c>
      <c r="G2910" s="405">
        <f t="shared" si="365"/>
        <v>0</v>
      </c>
      <c r="H2910" s="405">
        <f t="shared" si="366"/>
        <v>0</v>
      </c>
    </row>
    <row r="2911" spans="1:8">
      <c r="A2911" s="363" t="str">
        <f t="shared" si="367"/>
        <v/>
      </c>
      <c r="B2911" s="363" t="str">
        <f t="shared" si="360"/>
        <v/>
      </c>
      <c r="C2911" s="405" t="str">
        <f t="shared" si="361"/>
        <v/>
      </c>
      <c r="D2911" s="405">
        <f t="shared" si="362"/>
        <v>0</v>
      </c>
      <c r="E2911" s="405" t="str">
        <f t="shared" si="363"/>
        <v/>
      </c>
      <c r="F2911" s="405">
        <f t="shared" si="364"/>
        <v>0</v>
      </c>
      <c r="G2911" s="405">
        <f t="shared" si="365"/>
        <v>0</v>
      </c>
      <c r="H2911" s="405">
        <f t="shared" si="366"/>
        <v>0</v>
      </c>
    </row>
    <row r="2912" spans="1:8">
      <c r="A2912" s="363" t="str">
        <f t="shared" si="367"/>
        <v/>
      </c>
      <c r="B2912" s="363" t="str">
        <f t="shared" si="360"/>
        <v/>
      </c>
      <c r="C2912" s="405" t="str">
        <f t="shared" si="361"/>
        <v/>
      </c>
      <c r="D2912" s="405">
        <f t="shared" si="362"/>
        <v>0</v>
      </c>
      <c r="E2912" s="405" t="str">
        <f t="shared" si="363"/>
        <v/>
      </c>
      <c r="F2912" s="405">
        <f t="shared" si="364"/>
        <v>0</v>
      </c>
      <c r="G2912" s="405">
        <f t="shared" si="365"/>
        <v>0</v>
      </c>
      <c r="H2912" s="405">
        <f t="shared" si="366"/>
        <v>0</v>
      </c>
    </row>
    <row r="2913" spans="1:8">
      <c r="A2913" s="363" t="str">
        <f t="shared" si="367"/>
        <v/>
      </c>
      <c r="B2913" s="363" t="str">
        <f t="shared" si="360"/>
        <v/>
      </c>
      <c r="C2913" s="405" t="str">
        <f t="shared" si="361"/>
        <v/>
      </c>
      <c r="D2913" s="405">
        <f t="shared" si="362"/>
        <v>0</v>
      </c>
      <c r="E2913" s="405" t="str">
        <f t="shared" si="363"/>
        <v/>
      </c>
      <c r="F2913" s="405">
        <f t="shared" si="364"/>
        <v>0</v>
      </c>
      <c r="G2913" s="405">
        <f t="shared" si="365"/>
        <v>0</v>
      </c>
      <c r="H2913" s="405">
        <f t="shared" si="366"/>
        <v>0</v>
      </c>
    </row>
    <row r="2914" spans="1:8">
      <c r="A2914" s="363" t="str">
        <f t="shared" si="367"/>
        <v/>
      </c>
      <c r="B2914" s="363" t="str">
        <f t="shared" si="360"/>
        <v/>
      </c>
      <c r="C2914" s="405" t="str">
        <f t="shared" si="361"/>
        <v/>
      </c>
      <c r="D2914" s="405">
        <f t="shared" si="362"/>
        <v>0</v>
      </c>
      <c r="E2914" s="405" t="str">
        <f t="shared" si="363"/>
        <v/>
      </c>
      <c r="F2914" s="405">
        <f t="shared" si="364"/>
        <v>0</v>
      </c>
      <c r="G2914" s="405">
        <f t="shared" si="365"/>
        <v>0</v>
      </c>
      <c r="H2914" s="405">
        <f t="shared" si="366"/>
        <v>0</v>
      </c>
    </row>
    <row r="2915" spans="1:8">
      <c r="A2915" s="363" t="str">
        <f t="shared" si="367"/>
        <v/>
      </c>
      <c r="B2915" s="363" t="str">
        <f t="shared" si="360"/>
        <v/>
      </c>
      <c r="C2915" s="405" t="str">
        <f t="shared" si="361"/>
        <v/>
      </c>
      <c r="D2915" s="405">
        <f t="shared" si="362"/>
        <v>0</v>
      </c>
      <c r="E2915" s="405" t="str">
        <f t="shared" si="363"/>
        <v/>
      </c>
      <c r="F2915" s="405">
        <f t="shared" si="364"/>
        <v>0</v>
      </c>
      <c r="G2915" s="405">
        <f t="shared" si="365"/>
        <v>0</v>
      </c>
      <c r="H2915" s="405">
        <f t="shared" si="366"/>
        <v>0</v>
      </c>
    </row>
    <row r="2916" spans="1:8">
      <c r="A2916" s="363" t="str">
        <f t="shared" si="367"/>
        <v/>
      </c>
      <c r="B2916" s="363" t="str">
        <f t="shared" si="360"/>
        <v/>
      </c>
      <c r="C2916" s="405" t="str">
        <f t="shared" si="361"/>
        <v/>
      </c>
      <c r="D2916" s="405">
        <f t="shared" si="362"/>
        <v>0</v>
      </c>
      <c r="E2916" s="405" t="str">
        <f t="shared" si="363"/>
        <v/>
      </c>
      <c r="F2916" s="405">
        <f t="shared" si="364"/>
        <v>0</v>
      </c>
      <c r="G2916" s="405">
        <f t="shared" si="365"/>
        <v>0</v>
      </c>
      <c r="H2916" s="405">
        <f t="shared" si="366"/>
        <v>0</v>
      </c>
    </row>
    <row r="2917" spans="1:8">
      <c r="A2917" s="363" t="str">
        <f t="shared" si="367"/>
        <v/>
      </c>
      <c r="B2917" s="363" t="str">
        <f t="shared" si="360"/>
        <v/>
      </c>
      <c r="C2917" s="405" t="str">
        <f t="shared" si="361"/>
        <v/>
      </c>
      <c r="D2917" s="405">
        <f t="shared" si="362"/>
        <v>0</v>
      </c>
      <c r="E2917" s="405" t="str">
        <f t="shared" si="363"/>
        <v/>
      </c>
      <c r="F2917" s="405">
        <f t="shared" si="364"/>
        <v>0</v>
      </c>
      <c r="G2917" s="405">
        <f t="shared" si="365"/>
        <v>0</v>
      </c>
      <c r="H2917" s="405">
        <f t="shared" si="366"/>
        <v>0</v>
      </c>
    </row>
    <row r="2918" spans="1:8">
      <c r="A2918" s="363" t="str">
        <f t="shared" si="367"/>
        <v/>
      </c>
      <c r="B2918" s="363" t="str">
        <f t="shared" si="360"/>
        <v/>
      </c>
      <c r="C2918" s="405" t="str">
        <f t="shared" si="361"/>
        <v/>
      </c>
      <c r="D2918" s="405">
        <f t="shared" si="362"/>
        <v>0</v>
      </c>
      <c r="E2918" s="405" t="str">
        <f t="shared" si="363"/>
        <v/>
      </c>
      <c r="F2918" s="405">
        <f t="shared" si="364"/>
        <v>0</v>
      </c>
      <c r="G2918" s="405">
        <f t="shared" si="365"/>
        <v>0</v>
      </c>
      <c r="H2918" s="405">
        <f t="shared" si="366"/>
        <v>0</v>
      </c>
    </row>
    <row r="2919" spans="1:8">
      <c r="A2919" s="363" t="str">
        <f t="shared" si="367"/>
        <v/>
      </c>
      <c r="B2919" s="363" t="str">
        <f t="shared" si="360"/>
        <v/>
      </c>
      <c r="C2919" s="405" t="str">
        <f t="shared" si="361"/>
        <v/>
      </c>
      <c r="D2919" s="405">
        <f t="shared" si="362"/>
        <v>0</v>
      </c>
      <c r="E2919" s="405" t="str">
        <f t="shared" si="363"/>
        <v/>
      </c>
      <c r="F2919" s="405">
        <f t="shared" si="364"/>
        <v>0</v>
      </c>
      <c r="G2919" s="405">
        <f t="shared" si="365"/>
        <v>0</v>
      </c>
      <c r="H2919" s="405">
        <f t="shared" si="366"/>
        <v>0</v>
      </c>
    </row>
    <row r="2920" spans="1:8">
      <c r="A2920" s="363" t="str">
        <f t="shared" si="367"/>
        <v/>
      </c>
      <c r="B2920" s="363" t="str">
        <f t="shared" si="360"/>
        <v/>
      </c>
      <c r="C2920" s="405" t="str">
        <f t="shared" si="361"/>
        <v/>
      </c>
      <c r="D2920" s="405">
        <f t="shared" si="362"/>
        <v>0</v>
      </c>
      <c r="E2920" s="405" t="str">
        <f t="shared" si="363"/>
        <v/>
      </c>
      <c r="F2920" s="405">
        <f t="shared" si="364"/>
        <v>0</v>
      </c>
      <c r="G2920" s="405">
        <f t="shared" si="365"/>
        <v>0</v>
      </c>
      <c r="H2920" s="405">
        <f t="shared" si="366"/>
        <v>0</v>
      </c>
    </row>
    <row r="2921" spans="1:8">
      <c r="A2921" s="363" t="str">
        <f t="shared" si="367"/>
        <v/>
      </c>
      <c r="B2921" s="363" t="str">
        <f t="shared" si="360"/>
        <v/>
      </c>
      <c r="C2921" s="405" t="str">
        <f t="shared" si="361"/>
        <v/>
      </c>
      <c r="D2921" s="405">
        <f t="shared" si="362"/>
        <v>0</v>
      </c>
      <c r="E2921" s="405" t="str">
        <f t="shared" si="363"/>
        <v/>
      </c>
      <c r="F2921" s="405">
        <f t="shared" si="364"/>
        <v>0</v>
      </c>
      <c r="G2921" s="405">
        <f t="shared" si="365"/>
        <v>0</v>
      </c>
      <c r="H2921" s="405">
        <f t="shared" si="366"/>
        <v>0</v>
      </c>
    </row>
    <row r="2922" spans="1:8">
      <c r="A2922" s="363" t="str">
        <f t="shared" si="367"/>
        <v/>
      </c>
      <c r="B2922" s="363" t="str">
        <f t="shared" si="360"/>
        <v/>
      </c>
      <c r="C2922" s="405" t="str">
        <f t="shared" si="361"/>
        <v/>
      </c>
      <c r="D2922" s="405">
        <f t="shared" si="362"/>
        <v>0</v>
      </c>
      <c r="E2922" s="405" t="str">
        <f t="shared" si="363"/>
        <v/>
      </c>
      <c r="F2922" s="405">
        <f t="shared" si="364"/>
        <v>0</v>
      </c>
      <c r="G2922" s="405">
        <f t="shared" si="365"/>
        <v>0</v>
      </c>
      <c r="H2922" s="405">
        <f t="shared" si="366"/>
        <v>0</v>
      </c>
    </row>
    <row r="2923" spans="1:8">
      <c r="A2923" s="363" t="str">
        <f t="shared" si="367"/>
        <v/>
      </c>
      <c r="B2923" s="363" t="str">
        <f t="shared" si="360"/>
        <v/>
      </c>
      <c r="C2923" s="405" t="str">
        <f t="shared" si="361"/>
        <v/>
      </c>
      <c r="D2923" s="405">
        <f t="shared" si="362"/>
        <v>0</v>
      </c>
      <c r="E2923" s="405" t="str">
        <f t="shared" si="363"/>
        <v/>
      </c>
      <c r="F2923" s="405">
        <f t="shared" si="364"/>
        <v>0</v>
      </c>
      <c r="G2923" s="405">
        <f t="shared" si="365"/>
        <v>0</v>
      </c>
      <c r="H2923" s="405">
        <f t="shared" si="366"/>
        <v>0</v>
      </c>
    </row>
    <row r="2924" spans="1:8">
      <c r="A2924" s="363" t="str">
        <f t="shared" si="367"/>
        <v/>
      </c>
      <c r="B2924" s="363" t="str">
        <f t="shared" si="360"/>
        <v/>
      </c>
      <c r="C2924" s="405" t="str">
        <f t="shared" si="361"/>
        <v/>
      </c>
      <c r="D2924" s="405">
        <f t="shared" si="362"/>
        <v>0</v>
      </c>
      <c r="E2924" s="405" t="str">
        <f t="shared" si="363"/>
        <v/>
      </c>
      <c r="F2924" s="405">
        <f t="shared" si="364"/>
        <v>0</v>
      </c>
      <c r="G2924" s="405">
        <f t="shared" si="365"/>
        <v>0</v>
      </c>
      <c r="H2924" s="405">
        <f t="shared" si="366"/>
        <v>0</v>
      </c>
    </row>
    <row r="2925" spans="1:8">
      <c r="A2925" s="363" t="str">
        <f t="shared" si="367"/>
        <v/>
      </c>
      <c r="B2925" s="363" t="str">
        <f t="shared" si="360"/>
        <v/>
      </c>
      <c r="C2925" s="405" t="str">
        <f t="shared" si="361"/>
        <v/>
      </c>
      <c r="D2925" s="405">
        <f t="shared" si="362"/>
        <v>0</v>
      </c>
      <c r="E2925" s="405" t="str">
        <f t="shared" si="363"/>
        <v/>
      </c>
      <c r="F2925" s="405">
        <f t="shared" si="364"/>
        <v>0</v>
      </c>
      <c r="G2925" s="405">
        <f t="shared" si="365"/>
        <v>0</v>
      </c>
      <c r="H2925" s="405">
        <f t="shared" si="366"/>
        <v>0</v>
      </c>
    </row>
    <row r="2926" spans="1:8">
      <c r="A2926" s="363" t="str">
        <f t="shared" si="367"/>
        <v/>
      </c>
      <c r="B2926" s="363" t="str">
        <f t="shared" si="360"/>
        <v/>
      </c>
      <c r="C2926" s="405" t="str">
        <f t="shared" si="361"/>
        <v/>
      </c>
      <c r="D2926" s="405">
        <f t="shared" si="362"/>
        <v>0</v>
      </c>
      <c r="E2926" s="405" t="str">
        <f t="shared" si="363"/>
        <v/>
      </c>
      <c r="F2926" s="405">
        <f t="shared" si="364"/>
        <v>0</v>
      </c>
      <c r="G2926" s="405">
        <f t="shared" si="365"/>
        <v>0</v>
      </c>
      <c r="H2926" s="405">
        <f t="shared" si="366"/>
        <v>0</v>
      </c>
    </row>
    <row r="2927" spans="1:8">
      <c r="A2927" s="363" t="str">
        <f t="shared" si="367"/>
        <v/>
      </c>
      <c r="B2927" s="363" t="str">
        <f t="shared" si="360"/>
        <v/>
      </c>
      <c r="C2927" s="405" t="str">
        <f t="shared" si="361"/>
        <v/>
      </c>
      <c r="D2927" s="405">
        <f t="shared" si="362"/>
        <v>0</v>
      </c>
      <c r="E2927" s="405" t="str">
        <f t="shared" si="363"/>
        <v/>
      </c>
      <c r="F2927" s="405">
        <f t="shared" si="364"/>
        <v>0</v>
      </c>
      <c r="G2927" s="405">
        <f t="shared" si="365"/>
        <v>0</v>
      </c>
      <c r="H2927" s="405">
        <f t="shared" si="366"/>
        <v>0</v>
      </c>
    </row>
    <row r="2928" spans="1:8">
      <c r="A2928" s="363" t="str">
        <f t="shared" si="367"/>
        <v/>
      </c>
      <c r="B2928" s="363" t="str">
        <f t="shared" si="360"/>
        <v/>
      </c>
      <c r="C2928" s="405" t="str">
        <f t="shared" si="361"/>
        <v/>
      </c>
      <c r="D2928" s="405">
        <f t="shared" si="362"/>
        <v>0</v>
      </c>
      <c r="E2928" s="405" t="str">
        <f t="shared" si="363"/>
        <v/>
      </c>
      <c r="F2928" s="405">
        <f t="shared" si="364"/>
        <v>0</v>
      </c>
      <c r="G2928" s="405">
        <f t="shared" si="365"/>
        <v>0</v>
      </c>
      <c r="H2928" s="405">
        <f t="shared" si="366"/>
        <v>0</v>
      </c>
    </row>
    <row r="2929" spans="1:8">
      <c r="A2929" s="363" t="str">
        <f t="shared" si="367"/>
        <v/>
      </c>
      <c r="B2929" s="363" t="str">
        <f t="shared" si="360"/>
        <v/>
      </c>
      <c r="C2929" s="405" t="str">
        <f t="shared" si="361"/>
        <v/>
      </c>
      <c r="D2929" s="405">
        <f t="shared" si="362"/>
        <v>0</v>
      </c>
      <c r="E2929" s="405" t="str">
        <f t="shared" si="363"/>
        <v/>
      </c>
      <c r="F2929" s="405">
        <f t="shared" si="364"/>
        <v>0</v>
      </c>
      <c r="G2929" s="405">
        <f t="shared" si="365"/>
        <v>0</v>
      </c>
      <c r="H2929" s="405">
        <f t="shared" si="366"/>
        <v>0</v>
      </c>
    </row>
    <row r="2930" spans="1:8">
      <c r="A2930" s="363" t="str">
        <f t="shared" si="367"/>
        <v/>
      </c>
      <c r="B2930" s="363" t="str">
        <f t="shared" si="360"/>
        <v/>
      </c>
      <c r="C2930" s="405" t="str">
        <f t="shared" si="361"/>
        <v/>
      </c>
      <c r="D2930" s="405">
        <f t="shared" si="362"/>
        <v>0</v>
      </c>
      <c r="E2930" s="405" t="str">
        <f t="shared" si="363"/>
        <v/>
      </c>
      <c r="F2930" s="405">
        <f t="shared" si="364"/>
        <v>0</v>
      </c>
      <c r="G2930" s="405">
        <f t="shared" si="365"/>
        <v>0</v>
      </c>
      <c r="H2930" s="405">
        <f t="shared" si="366"/>
        <v>0</v>
      </c>
    </row>
    <row r="2931" spans="1:8">
      <c r="A2931" s="363" t="str">
        <f t="shared" si="367"/>
        <v/>
      </c>
      <c r="B2931" s="363" t="str">
        <f t="shared" si="360"/>
        <v/>
      </c>
      <c r="C2931" s="405" t="str">
        <f t="shared" si="361"/>
        <v/>
      </c>
      <c r="D2931" s="405">
        <f t="shared" si="362"/>
        <v>0</v>
      </c>
      <c r="E2931" s="405" t="str">
        <f t="shared" si="363"/>
        <v/>
      </c>
      <c r="F2931" s="405">
        <f t="shared" si="364"/>
        <v>0</v>
      </c>
      <c r="G2931" s="405">
        <f t="shared" si="365"/>
        <v>0</v>
      </c>
      <c r="H2931" s="405">
        <f t="shared" si="366"/>
        <v>0</v>
      </c>
    </row>
    <row r="2932" spans="1:8">
      <c r="A2932" s="363" t="str">
        <f t="shared" si="367"/>
        <v/>
      </c>
      <c r="B2932" s="363" t="str">
        <f t="shared" si="360"/>
        <v/>
      </c>
      <c r="C2932" s="405" t="str">
        <f t="shared" si="361"/>
        <v/>
      </c>
      <c r="D2932" s="405">
        <f t="shared" si="362"/>
        <v>0</v>
      </c>
      <c r="E2932" s="405" t="str">
        <f t="shared" si="363"/>
        <v/>
      </c>
      <c r="F2932" s="405">
        <f t="shared" si="364"/>
        <v>0</v>
      </c>
      <c r="G2932" s="405">
        <f t="shared" si="365"/>
        <v>0</v>
      </c>
      <c r="H2932" s="405">
        <f t="shared" si="366"/>
        <v>0</v>
      </c>
    </row>
    <row r="2933" spans="1:8">
      <c r="A2933" s="363" t="str">
        <f t="shared" si="367"/>
        <v/>
      </c>
      <c r="B2933" s="363" t="str">
        <f t="shared" si="360"/>
        <v/>
      </c>
      <c r="C2933" s="405" t="str">
        <f t="shared" si="361"/>
        <v/>
      </c>
      <c r="D2933" s="405">
        <f t="shared" si="362"/>
        <v>0</v>
      </c>
      <c r="E2933" s="405" t="str">
        <f t="shared" si="363"/>
        <v/>
      </c>
      <c r="F2933" s="405">
        <f t="shared" si="364"/>
        <v>0</v>
      </c>
      <c r="G2933" s="405">
        <f t="shared" si="365"/>
        <v>0</v>
      </c>
      <c r="H2933" s="405">
        <f t="shared" si="366"/>
        <v>0</v>
      </c>
    </row>
    <row r="2934" spans="1:8">
      <c r="A2934" s="363" t="str">
        <f t="shared" si="367"/>
        <v/>
      </c>
      <c r="B2934" s="363" t="str">
        <f t="shared" si="360"/>
        <v/>
      </c>
      <c r="C2934" s="405" t="str">
        <f t="shared" si="361"/>
        <v/>
      </c>
      <c r="D2934" s="405">
        <f t="shared" si="362"/>
        <v>0</v>
      </c>
      <c r="E2934" s="405" t="str">
        <f t="shared" si="363"/>
        <v/>
      </c>
      <c r="F2934" s="405">
        <f t="shared" si="364"/>
        <v>0</v>
      </c>
      <c r="G2934" s="405">
        <f t="shared" si="365"/>
        <v>0</v>
      </c>
      <c r="H2934" s="405">
        <f t="shared" si="366"/>
        <v>0</v>
      </c>
    </row>
    <row r="2935" spans="1:8">
      <c r="A2935" s="363" t="str">
        <f t="shared" si="367"/>
        <v/>
      </c>
      <c r="B2935" s="363" t="str">
        <f t="shared" si="360"/>
        <v/>
      </c>
      <c r="C2935" s="405" t="str">
        <f t="shared" si="361"/>
        <v/>
      </c>
      <c r="D2935" s="405">
        <f t="shared" si="362"/>
        <v>0</v>
      </c>
      <c r="E2935" s="405" t="str">
        <f t="shared" si="363"/>
        <v/>
      </c>
      <c r="F2935" s="405">
        <f t="shared" si="364"/>
        <v>0</v>
      </c>
      <c r="G2935" s="405">
        <f t="shared" si="365"/>
        <v>0</v>
      </c>
      <c r="H2935" s="405">
        <f t="shared" si="366"/>
        <v>0</v>
      </c>
    </row>
    <row r="2936" spans="1:8">
      <c r="A2936" s="363" t="str">
        <f t="shared" si="367"/>
        <v/>
      </c>
      <c r="B2936" s="363" t="str">
        <f t="shared" si="360"/>
        <v/>
      </c>
      <c r="C2936" s="405" t="str">
        <f t="shared" si="361"/>
        <v/>
      </c>
      <c r="D2936" s="405">
        <f t="shared" si="362"/>
        <v>0</v>
      </c>
      <c r="E2936" s="405" t="str">
        <f t="shared" si="363"/>
        <v/>
      </c>
      <c r="F2936" s="405">
        <f t="shared" si="364"/>
        <v>0</v>
      </c>
      <c r="G2936" s="405">
        <f t="shared" si="365"/>
        <v>0</v>
      </c>
      <c r="H2936" s="405">
        <f t="shared" si="366"/>
        <v>0</v>
      </c>
    </row>
    <row r="2937" spans="1:8">
      <c r="A2937" s="363" t="str">
        <f t="shared" si="367"/>
        <v/>
      </c>
      <c r="B2937" s="363" t="str">
        <f t="shared" si="360"/>
        <v/>
      </c>
      <c r="C2937" s="405" t="str">
        <f t="shared" si="361"/>
        <v/>
      </c>
      <c r="D2937" s="405">
        <f t="shared" si="362"/>
        <v>0</v>
      </c>
      <c r="E2937" s="405" t="str">
        <f t="shared" si="363"/>
        <v/>
      </c>
      <c r="F2937" s="405">
        <f t="shared" si="364"/>
        <v>0</v>
      </c>
      <c r="G2937" s="405">
        <f t="shared" si="365"/>
        <v>0</v>
      </c>
      <c r="H2937" s="405">
        <f t="shared" si="366"/>
        <v>0</v>
      </c>
    </row>
    <row r="2938" spans="1:8">
      <c r="A2938" s="363" t="str">
        <f t="shared" si="367"/>
        <v/>
      </c>
      <c r="B2938" s="363" t="str">
        <f t="shared" si="360"/>
        <v/>
      </c>
      <c r="C2938" s="405" t="str">
        <f t="shared" si="361"/>
        <v/>
      </c>
      <c r="D2938" s="405">
        <f t="shared" si="362"/>
        <v>0</v>
      </c>
      <c r="E2938" s="405" t="str">
        <f t="shared" si="363"/>
        <v/>
      </c>
      <c r="F2938" s="405">
        <f t="shared" si="364"/>
        <v>0</v>
      </c>
      <c r="G2938" s="405">
        <f t="shared" si="365"/>
        <v>0</v>
      </c>
      <c r="H2938" s="405">
        <f t="shared" si="366"/>
        <v>0</v>
      </c>
    </row>
    <row r="2939" spans="1:8">
      <c r="A2939" s="363" t="str">
        <f t="shared" si="367"/>
        <v/>
      </c>
      <c r="B2939" s="363" t="str">
        <f t="shared" si="360"/>
        <v/>
      </c>
      <c r="C2939" s="405" t="str">
        <f t="shared" si="361"/>
        <v/>
      </c>
      <c r="D2939" s="405">
        <f t="shared" si="362"/>
        <v>0</v>
      </c>
      <c r="E2939" s="405" t="str">
        <f t="shared" si="363"/>
        <v/>
      </c>
      <c r="F2939" s="405">
        <f t="shared" si="364"/>
        <v>0</v>
      </c>
      <c r="G2939" s="405">
        <f t="shared" si="365"/>
        <v>0</v>
      </c>
      <c r="H2939" s="405">
        <f t="shared" si="366"/>
        <v>0</v>
      </c>
    </row>
    <row r="2940" spans="1:8">
      <c r="A2940" s="363" t="str">
        <f t="shared" si="367"/>
        <v/>
      </c>
      <c r="B2940" s="363" t="str">
        <f t="shared" si="360"/>
        <v/>
      </c>
      <c r="C2940" s="405" t="str">
        <f t="shared" si="361"/>
        <v/>
      </c>
      <c r="D2940" s="405">
        <f t="shared" si="362"/>
        <v>0</v>
      </c>
      <c r="E2940" s="405" t="str">
        <f t="shared" si="363"/>
        <v/>
      </c>
      <c r="F2940" s="405">
        <f t="shared" si="364"/>
        <v>0</v>
      </c>
      <c r="G2940" s="405">
        <f t="shared" si="365"/>
        <v>0</v>
      </c>
      <c r="H2940" s="405">
        <f t="shared" si="366"/>
        <v>0</v>
      </c>
    </row>
    <row r="2941" spans="1:8">
      <c r="A2941" s="363" t="str">
        <f t="shared" si="367"/>
        <v/>
      </c>
      <c r="B2941" s="363" t="str">
        <f t="shared" si="360"/>
        <v/>
      </c>
      <c r="C2941" s="405" t="str">
        <f t="shared" si="361"/>
        <v/>
      </c>
      <c r="D2941" s="405">
        <f t="shared" si="362"/>
        <v>0</v>
      </c>
      <c r="E2941" s="405" t="str">
        <f t="shared" si="363"/>
        <v/>
      </c>
      <c r="F2941" s="405">
        <f t="shared" si="364"/>
        <v>0</v>
      </c>
      <c r="G2941" s="405">
        <f t="shared" si="365"/>
        <v>0</v>
      </c>
      <c r="H2941" s="405">
        <f t="shared" si="366"/>
        <v>0</v>
      </c>
    </row>
    <row r="2942" spans="1:8">
      <c r="A2942" s="363" t="str">
        <f t="shared" si="367"/>
        <v/>
      </c>
      <c r="B2942" s="363" t="str">
        <f t="shared" si="360"/>
        <v/>
      </c>
      <c r="C2942" s="405" t="str">
        <f t="shared" si="361"/>
        <v/>
      </c>
      <c r="D2942" s="405">
        <f t="shared" si="362"/>
        <v>0</v>
      </c>
      <c r="E2942" s="405" t="str">
        <f t="shared" si="363"/>
        <v/>
      </c>
      <c r="F2942" s="405">
        <f t="shared" si="364"/>
        <v>0</v>
      </c>
      <c r="G2942" s="405">
        <f t="shared" si="365"/>
        <v>0</v>
      </c>
      <c r="H2942" s="405">
        <f t="shared" si="366"/>
        <v>0</v>
      </c>
    </row>
    <row r="2943" spans="1:8">
      <c r="A2943" s="363" t="str">
        <f t="shared" si="367"/>
        <v/>
      </c>
      <c r="B2943" s="363" t="str">
        <f t="shared" si="360"/>
        <v/>
      </c>
      <c r="C2943" s="405" t="str">
        <f t="shared" si="361"/>
        <v/>
      </c>
      <c r="D2943" s="405">
        <f t="shared" si="362"/>
        <v>0</v>
      </c>
      <c r="E2943" s="405" t="str">
        <f t="shared" si="363"/>
        <v/>
      </c>
      <c r="F2943" s="405">
        <f t="shared" si="364"/>
        <v>0</v>
      </c>
      <c r="G2943" s="405">
        <f t="shared" si="365"/>
        <v>0</v>
      </c>
      <c r="H2943" s="405">
        <f t="shared" si="366"/>
        <v>0</v>
      </c>
    </row>
    <row r="2944" spans="1:8">
      <c r="A2944" s="363" t="str">
        <f t="shared" si="367"/>
        <v/>
      </c>
      <c r="B2944" s="363" t="str">
        <f t="shared" si="360"/>
        <v/>
      </c>
      <c r="C2944" s="405" t="str">
        <f t="shared" si="361"/>
        <v/>
      </c>
      <c r="D2944" s="405">
        <f t="shared" si="362"/>
        <v>0</v>
      </c>
      <c r="E2944" s="405" t="str">
        <f t="shared" si="363"/>
        <v/>
      </c>
      <c r="F2944" s="405">
        <f t="shared" si="364"/>
        <v>0</v>
      </c>
      <c r="G2944" s="405">
        <f t="shared" si="365"/>
        <v>0</v>
      </c>
      <c r="H2944" s="405">
        <f t="shared" si="366"/>
        <v>0</v>
      </c>
    </row>
    <row r="2945" spans="1:8">
      <c r="A2945" s="363" t="str">
        <f t="shared" si="367"/>
        <v/>
      </c>
      <c r="B2945" s="363" t="str">
        <f t="shared" si="360"/>
        <v/>
      </c>
      <c r="C2945" s="405" t="str">
        <f t="shared" si="361"/>
        <v/>
      </c>
      <c r="D2945" s="405">
        <f t="shared" si="362"/>
        <v>0</v>
      </c>
      <c r="E2945" s="405" t="str">
        <f t="shared" si="363"/>
        <v/>
      </c>
      <c r="F2945" s="405">
        <f t="shared" si="364"/>
        <v>0</v>
      </c>
      <c r="G2945" s="405">
        <f t="shared" si="365"/>
        <v>0</v>
      </c>
      <c r="H2945" s="405">
        <f t="shared" si="366"/>
        <v>0</v>
      </c>
    </row>
    <row r="2946" spans="1:8">
      <c r="A2946" s="363" t="str">
        <f t="shared" si="367"/>
        <v/>
      </c>
      <c r="B2946" s="363" t="str">
        <f t="shared" ref="B2946:B3009" si="368">LEFT(L2946,2)</f>
        <v/>
      </c>
      <c r="C2946" s="405" t="str">
        <f t="shared" ref="C2946:C3009" si="369">IF(B2946="","","第"&amp;RIGHT(L2946,6)&amp;"号")</f>
        <v/>
      </c>
      <c r="D2946" s="405">
        <f t="shared" ref="D2946:D3009" si="370">N2946</f>
        <v>0</v>
      </c>
      <c r="E2946" s="405" t="str">
        <f t="shared" ref="E2946:E3009" si="371">IF(V2946="　",O2946,"")</f>
        <v/>
      </c>
      <c r="F2946" s="405">
        <f t="shared" ref="F2946:F3009" si="372">IF(V2946="　",P2946,W2946)</f>
        <v>0</v>
      </c>
      <c r="G2946" s="405">
        <f t="shared" ref="G2946:G3009" si="373">IF(V2946="　","主たる営業所",V2946)</f>
        <v>0</v>
      </c>
      <c r="H2946" s="405">
        <f t="shared" ref="H2946:H3009" si="374">IF(V2946="　",R2946,Y2946)</f>
        <v>0</v>
      </c>
    </row>
    <row r="2947" spans="1:8">
      <c r="A2947" s="363" t="str">
        <f t="shared" ref="A2947:A3010" si="375">IF(B2947="","",A2946+1)</f>
        <v/>
      </c>
      <c r="B2947" s="363" t="str">
        <f t="shared" si="368"/>
        <v/>
      </c>
      <c r="C2947" s="405" t="str">
        <f t="shared" si="369"/>
        <v/>
      </c>
      <c r="D2947" s="405">
        <f t="shared" si="370"/>
        <v>0</v>
      </c>
      <c r="E2947" s="405" t="str">
        <f t="shared" si="371"/>
        <v/>
      </c>
      <c r="F2947" s="405">
        <f t="shared" si="372"/>
        <v>0</v>
      </c>
      <c r="G2947" s="405">
        <f t="shared" si="373"/>
        <v>0</v>
      </c>
      <c r="H2947" s="405">
        <f t="shared" si="374"/>
        <v>0</v>
      </c>
    </row>
    <row r="2948" spans="1:8">
      <c r="A2948" s="363" t="str">
        <f t="shared" si="375"/>
        <v/>
      </c>
      <c r="B2948" s="363" t="str">
        <f t="shared" si="368"/>
        <v/>
      </c>
      <c r="C2948" s="405" t="str">
        <f t="shared" si="369"/>
        <v/>
      </c>
      <c r="D2948" s="405">
        <f t="shared" si="370"/>
        <v>0</v>
      </c>
      <c r="E2948" s="405" t="str">
        <f t="shared" si="371"/>
        <v/>
      </c>
      <c r="F2948" s="405">
        <f t="shared" si="372"/>
        <v>0</v>
      </c>
      <c r="G2948" s="405">
        <f t="shared" si="373"/>
        <v>0</v>
      </c>
      <c r="H2948" s="405">
        <f t="shared" si="374"/>
        <v>0</v>
      </c>
    </row>
    <row r="2949" spans="1:8">
      <c r="A2949" s="363" t="str">
        <f t="shared" si="375"/>
        <v/>
      </c>
      <c r="B2949" s="363" t="str">
        <f t="shared" si="368"/>
        <v/>
      </c>
      <c r="C2949" s="405" t="str">
        <f t="shared" si="369"/>
        <v/>
      </c>
      <c r="D2949" s="405">
        <f t="shared" si="370"/>
        <v>0</v>
      </c>
      <c r="E2949" s="405" t="str">
        <f t="shared" si="371"/>
        <v/>
      </c>
      <c r="F2949" s="405">
        <f t="shared" si="372"/>
        <v>0</v>
      </c>
      <c r="G2949" s="405">
        <f t="shared" si="373"/>
        <v>0</v>
      </c>
      <c r="H2949" s="405">
        <f t="shared" si="374"/>
        <v>0</v>
      </c>
    </row>
    <row r="2950" spans="1:8">
      <c r="A2950" s="363" t="str">
        <f t="shared" si="375"/>
        <v/>
      </c>
      <c r="B2950" s="363" t="str">
        <f t="shared" si="368"/>
        <v/>
      </c>
      <c r="C2950" s="405" t="str">
        <f t="shared" si="369"/>
        <v/>
      </c>
      <c r="D2950" s="405">
        <f t="shared" si="370"/>
        <v>0</v>
      </c>
      <c r="E2950" s="405" t="str">
        <f t="shared" si="371"/>
        <v/>
      </c>
      <c r="F2950" s="405">
        <f t="shared" si="372"/>
        <v>0</v>
      </c>
      <c r="G2950" s="405">
        <f t="shared" si="373"/>
        <v>0</v>
      </c>
      <c r="H2950" s="405">
        <f t="shared" si="374"/>
        <v>0</v>
      </c>
    </row>
    <row r="2951" spans="1:8">
      <c r="A2951" s="363" t="str">
        <f t="shared" si="375"/>
        <v/>
      </c>
      <c r="B2951" s="363" t="str">
        <f t="shared" si="368"/>
        <v/>
      </c>
      <c r="C2951" s="405" t="str">
        <f t="shared" si="369"/>
        <v/>
      </c>
      <c r="D2951" s="405">
        <f t="shared" si="370"/>
        <v>0</v>
      </c>
      <c r="E2951" s="405" t="str">
        <f t="shared" si="371"/>
        <v/>
      </c>
      <c r="F2951" s="405">
        <f t="shared" si="372"/>
        <v>0</v>
      </c>
      <c r="G2951" s="405">
        <f t="shared" si="373"/>
        <v>0</v>
      </c>
      <c r="H2951" s="405">
        <f t="shared" si="374"/>
        <v>0</v>
      </c>
    </row>
    <row r="2952" spans="1:8">
      <c r="A2952" s="363" t="str">
        <f t="shared" si="375"/>
        <v/>
      </c>
      <c r="B2952" s="363" t="str">
        <f t="shared" si="368"/>
        <v/>
      </c>
      <c r="C2952" s="405" t="str">
        <f t="shared" si="369"/>
        <v/>
      </c>
      <c r="D2952" s="405">
        <f t="shared" si="370"/>
        <v>0</v>
      </c>
      <c r="E2952" s="405" t="str">
        <f t="shared" si="371"/>
        <v/>
      </c>
      <c r="F2952" s="405">
        <f t="shared" si="372"/>
        <v>0</v>
      </c>
      <c r="G2952" s="405">
        <f t="shared" si="373"/>
        <v>0</v>
      </c>
      <c r="H2952" s="405">
        <f t="shared" si="374"/>
        <v>0</v>
      </c>
    </row>
    <row r="2953" spans="1:8">
      <c r="A2953" s="363" t="str">
        <f t="shared" si="375"/>
        <v/>
      </c>
      <c r="B2953" s="363" t="str">
        <f t="shared" si="368"/>
        <v/>
      </c>
      <c r="C2953" s="405" t="str">
        <f t="shared" si="369"/>
        <v/>
      </c>
      <c r="D2953" s="405">
        <f t="shared" si="370"/>
        <v>0</v>
      </c>
      <c r="E2953" s="405" t="str">
        <f t="shared" si="371"/>
        <v/>
      </c>
      <c r="F2953" s="405">
        <f t="shared" si="372"/>
        <v>0</v>
      </c>
      <c r="G2953" s="405">
        <f t="shared" si="373"/>
        <v>0</v>
      </c>
      <c r="H2953" s="405">
        <f t="shared" si="374"/>
        <v>0</v>
      </c>
    </row>
    <row r="2954" spans="1:8">
      <c r="A2954" s="363" t="str">
        <f t="shared" si="375"/>
        <v/>
      </c>
      <c r="B2954" s="363" t="str">
        <f t="shared" si="368"/>
        <v/>
      </c>
      <c r="C2954" s="405" t="str">
        <f t="shared" si="369"/>
        <v/>
      </c>
      <c r="D2954" s="405">
        <f t="shared" si="370"/>
        <v>0</v>
      </c>
      <c r="E2954" s="405" t="str">
        <f t="shared" si="371"/>
        <v/>
      </c>
      <c r="F2954" s="405">
        <f t="shared" si="372"/>
        <v>0</v>
      </c>
      <c r="G2954" s="405">
        <f t="shared" si="373"/>
        <v>0</v>
      </c>
      <c r="H2954" s="405">
        <f t="shared" si="374"/>
        <v>0</v>
      </c>
    </row>
    <row r="2955" spans="1:8">
      <c r="A2955" s="363" t="str">
        <f t="shared" si="375"/>
        <v/>
      </c>
      <c r="B2955" s="363" t="str">
        <f t="shared" si="368"/>
        <v/>
      </c>
      <c r="C2955" s="405" t="str">
        <f t="shared" si="369"/>
        <v/>
      </c>
      <c r="D2955" s="405">
        <f t="shared" si="370"/>
        <v>0</v>
      </c>
      <c r="E2955" s="405" t="str">
        <f t="shared" si="371"/>
        <v/>
      </c>
      <c r="F2955" s="405">
        <f t="shared" si="372"/>
        <v>0</v>
      </c>
      <c r="G2955" s="405">
        <f t="shared" si="373"/>
        <v>0</v>
      </c>
      <c r="H2955" s="405">
        <f t="shared" si="374"/>
        <v>0</v>
      </c>
    </row>
    <row r="2956" spans="1:8">
      <c r="A2956" s="363" t="str">
        <f t="shared" si="375"/>
        <v/>
      </c>
      <c r="B2956" s="363" t="str">
        <f t="shared" si="368"/>
        <v/>
      </c>
      <c r="C2956" s="405" t="str">
        <f t="shared" si="369"/>
        <v/>
      </c>
      <c r="D2956" s="405">
        <f t="shared" si="370"/>
        <v>0</v>
      </c>
      <c r="E2956" s="405" t="str">
        <f t="shared" si="371"/>
        <v/>
      </c>
      <c r="F2956" s="405">
        <f t="shared" si="372"/>
        <v>0</v>
      </c>
      <c r="G2956" s="405">
        <f t="shared" si="373"/>
        <v>0</v>
      </c>
      <c r="H2956" s="405">
        <f t="shared" si="374"/>
        <v>0</v>
      </c>
    </row>
    <row r="2957" spans="1:8">
      <c r="A2957" s="363" t="str">
        <f t="shared" si="375"/>
        <v/>
      </c>
      <c r="B2957" s="363" t="str">
        <f t="shared" si="368"/>
        <v/>
      </c>
      <c r="C2957" s="405" t="str">
        <f t="shared" si="369"/>
        <v/>
      </c>
      <c r="D2957" s="405">
        <f t="shared" si="370"/>
        <v>0</v>
      </c>
      <c r="E2957" s="405" t="str">
        <f t="shared" si="371"/>
        <v/>
      </c>
      <c r="F2957" s="405">
        <f t="shared" si="372"/>
        <v>0</v>
      </c>
      <c r="G2957" s="405">
        <f t="shared" si="373"/>
        <v>0</v>
      </c>
      <c r="H2957" s="405">
        <f t="shared" si="374"/>
        <v>0</v>
      </c>
    </row>
    <row r="2958" spans="1:8">
      <c r="A2958" s="363" t="str">
        <f t="shared" si="375"/>
        <v/>
      </c>
      <c r="B2958" s="363" t="str">
        <f t="shared" si="368"/>
        <v/>
      </c>
      <c r="C2958" s="405" t="str">
        <f t="shared" si="369"/>
        <v/>
      </c>
      <c r="D2958" s="405">
        <f t="shared" si="370"/>
        <v>0</v>
      </c>
      <c r="E2958" s="405" t="str">
        <f t="shared" si="371"/>
        <v/>
      </c>
      <c r="F2958" s="405">
        <f t="shared" si="372"/>
        <v>0</v>
      </c>
      <c r="G2958" s="405">
        <f t="shared" si="373"/>
        <v>0</v>
      </c>
      <c r="H2958" s="405">
        <f t="shared" si="374"/>
        <v>0</v>
      </c>
    </row>
    <row r="2959" spans="1:8">
      <c r="A2959" s="363" t="str">
        <f t="shared" si="375"/>
        <v/>
      </c>
      <c r="B2959" s="363" t="str">
        <f t="shared" si="368"/>
        <v/>
      </c>
      <c r="C2959" s="405" t="str">
        <f t="shared" si="369"/>
        <v/>
      </c>
      <c r="D2959" s="405">
        <f t="shared" si="370"/>
        <v>0</v>
      </c>
      <c r="E2959" s="405" t="str">
        <f t="shared" si="371"/>
        <v/>
      </c>
      <c r="F2959" s="405">
        <f t="shared" si="372"/>
        <v>0</v>
      </c>
      <c r="G2959" s="405">
        <f t="shared" si="373"/>
        <v>0</v>
      </c>
      <c r="H2959" s="405">
        <f t="shared" si="374"/>
        <v>0</v>
      </c>
    </row>
    <row r="2960" spans="1:8">
      <c r="A2960" s="363" t="str">
        <f t="shared" si="375"/>
        <v/>
      </c>
      <c r="B2960" s="363" t="str">
        <f t="shared" si="368"/>
        <v/>
      </c>
      <c r="C2960" s="405" t="str">
        <f t="shared" si="369"/>
        <v/>
      </c>
      <c r="D2960" s="405">
        <f t="shared" si="370"/>
        <v>0</v>
      </c>
      <c r="E2960" s="405" t="str">
        <f t="shared" si="371"/>
        <v/>
      </c>
      <c r="F2960" s="405">
        <f t="shared" si="372"/>
        <v>0</v>
      </c>
      <c r="G2960" s="405">
        <f t="shared" si="373"/>
        <v>0</v>
      </c>
      <c r="H2960" s="405">
        <f t="shared" si="374"/>
        <v>0</v>
      </c>
    </row>
    <row r="2961" spans="1:8">
      <c r="A2961" s="363" t="str">
        <f t="shared" si="375"/>
        <v/>
      </c>
      <c r="B2961" s="363" t="str">
        <f t="shared" si="368"/>
        <v/>
      </c>
      <c r="C2961" s="405" t="str">
        <f t="shared" si="369"/>
        <v/>
      </c>
      <c r="D2961" s="405">
        <f t="shared" si="370"/>
        <v>0</v>
      </c>
      <c r="E2961" s="405" t="str">
        <f t="shared" si="371"/>
        <v/>
      </c>
      <c r="F2961" s="405">
        <f t="shared" si="372"/>
        <v>0</v>
      </c>
      <c r="G2961" s="405">
        <f t="shared" si="373"/>
        <v>0</v>
      </c>
      <c r="H2961" s="405">
        <f t="shared" si="374"/>
        <v>0</v>
      </c>
    </row>
    <row r="2962" spans="1:8">
      <c r="A2962" s="363" t="str">
        <f t="shared" si="375"/>
        <v/>
      </c>
      <c r="B2962" s="363" t="str">
        <f t="shared" si="368"/>
        <v/>
      </c>
      <c r="C2962" s="405" t="str">
        <f t="shared" si="369"/>
        <v/>
      </c>
      <c r="D2962" s="405">
        <f t="shared" si="370"/>
        <v>0</v>
      </c>
      <c r="E2962" s="405" t="str">
        <f t="shared" si="371"/>
        <v/>
      </c>
      <c r="F2962" s="405">
        <f t="shared" si="372"/>
        <v>0</v>
      </c>
      <c r="G2962" s="405">
        <f t="shared" si="373"/>
        <v>0</v>
      </c>
      <c r="H2962" s="405">
        <f t="shared" si="374"/>
        <v>0</v>
      </c>
    </row>
    <row r="2963" spans="1:8">
      <c r="A2963" s="363" t="str">
        <f t="shared" si="375"/>
        <v/>
      </c>
      <c r="B2963" s="363" t="str">
        <f t="shared" si="368"/>
        <v/>
      </c>
      <c r="C2963" s="405" t="str">
        <f t="shared" si="369"/>
        <v/>
      </c>
      <c r="D2963" s="405">
        <f t="shared" si="370"/>
        <v>0</v>
      </c>
      <c r="E2963" s="405" t="str">
        <f t="shared" si="371"/>
        <v/>
      </c>
      <c r="F2963" s="405">
        <f t="shared" si="372"/>
        <v>0</v>
      </c>
      <c r="G2963" s="405">
        <f t="shared" si="373"/>
        <v>0</v>
      </c>
      <c r="H2963" s="405">
        <f t="shared" si="374"/>
        <v>0</v>
      </c>
    </row>
    <row r="2964" spans="1:8">
      <c r="A2964" s="363" t="str">
        <f t="shared" si="375"/>
        <v/>
      </c>
      <c r="B2964" s="363" t="str">
        <f t="shared" si="368"/>
        <v/>
      </c>
      <c r="C2964" s="405" t="str">
        <f t="shared" si="369"/>
        <v/>
      </c>
      <c r="D2964" s="405">
        <f t="shared" si="370"/>
        <v>0</v>
      </c>
      <c r="E2964" s="405" t="str">
        <f t="shared" si="371"/>
        <v/>
      </c>
      <c r="F2964" s="405">
        <f t="shared" si="372"/>
        <v>0</v>
      </c>
      <c r="G2964" s="405">
        <f t="shared" si="373"/>
        <v>0</v>
      </c>
      <c r="H2964" s="405">
        <f t="shared" si="374"/>
        <v>0</v>
      </c>
    </row>
    <row r="2965" spans="1:8">
      <c r="A2965" s="363" t="str">
        <f t="shared" si="375"/>
        <v/>
      </c>
      <c r="B2965" s="363" t="str">
        <f t="shared" si="368"/>
        <v/>
      </c>
      <c r="C2965" s="405" t="str">
        <f t="shared" si="369"/>
        <v/>
      </c>
      <c r="D2965" s="405">
        <f t="shared" si="370"/>
        <v>0</v>
      </c>
      <c r="E2965" s="405" t="str">
        <f t="shared" si="371"/>
        <v/>
      </c>
      <c r="F2965" s="405">
        <f t="shared" si="372"/>
        <v>0</v>
      </c>
      <c r="G2965" s="405">
        <f t="shared" si="373"/>
        <v>0</v>
      </c>
      <c r="H2965" s="405">
        <f t="shared" si="374"/>
        <v>0</v>
      </c>
    </row>
    <row r="2966" spans="1:8">
      <c r="A2966" s="363" t="str">
        <f t="shared" si="375"/>
        <v/>
      </c>
      <c r="B2966" s="363" t="str">
        <f t="shared" si="368"/>
        <v/>
      </c>
      <c r="C2966" s="405" t="str">
        <f t="shared" si="369"/>
        <v/>
      </c>
      <c r="D2966" s="405">
        <f t="shared" si="370"/>
        <v>0</v>
      </c>
      <c r="E2966" s="405" t="str">
        <f t="shared" si="371"/>
        <v/>
      </c>
      <c r="F2966" s="405">
        <f t="shared" si="372"/>
        <v>0</v>
      </c>
      <c r="G2966" s="405">
        <f t="shared" si="373"/>
        <v>0</v>
      </c>
      <c r="H2966" s="405">
        <f t="shared" si="374"/>
        <v>0</v>
      </c>
    </row>
    <row r="2967" spans="1:8">
      <c r="A2967" s="363" t="str">
        <f t="shared" si="375"/>
        <v/>
      </c>
      <c r="B2967" s="363" t="str">
        <f t="shared" si="368"/>
        <v/>
      </c>
      <c r="C2967" s="405" t="str">
        <f t="shared" si="369"/>
        <v/>
      </c>
      <c r="D2967" s="405">
        <f t="shared" si="370"/>
        <v>0</v>
      </c>
      <c r="E2967" s="405" t="str">
        <f t="shared" si="371"/>
        <v/>
      </c>
      <c r="F2967" s="405">
        <f t="shared" si="372"/>
        <v>0</v>
      </c>
      <c r="G2967" s="405">
        <f t="shared" si="373"/>
        <v>0</v>
      </c>
      <c r="H2967" s="405">
        <f t="shared" si="374"/>
        <v>0</v>
      </c>
    </row>
    <row r="2968" spans="1:8">
      <c r="A2968" s="363" t="str">
        <f t="shared" si="375"/>
        <v/>
      </c>
      <c r="B2968" s="363" t="str">
        <f t="shared" si="368"/>
        <v/>
      </c>
      <c r="C2968" s="405" t="str">
        <f t="shared" si="369"/>
        <v/>
      </c>
      <c r="D2968" s="405">
        <f t="shared" si="370"/>
        <v>0</v>
      </c>
      <c r="E2968" s="405" t="str">
        <f t="shared" si="371"/>
        <v/>
      </c>
      <c r="F2968" s="405">
        <f t="shared" si="372"/>
        <v>0</v>
      </c>
      <c r="G2968" s="405">
        <f t="shared" si="373"/>
        <v>0</v>
      </c>
      <c r="H2968" s="405">
        <f t="shared" si="374"/>
        <v>0</v>
      </c>
    </row>
    <row r="2969" spans="1:8">
      <c r="A2969" s="363" t="str">
        <f t="shared" si="375"/>
        <v/>
      </c>
      <c r="B2969" s="363" t="str">
        <f t="shared" si="368"/>
        <v/>
      </c>
      <c r="C2969" s="405" t="str">
        <f t="shared" si="369"/>
        <v/>
      </c>
      <c r="D2969" s="405">
        <f t="shared" si="370"/>
        <v>0</v>
      </c>
      <c r="E2969" s="405" t="str">
        <f t="shared" si="371"/>
        <v/>
      </c>
      <c r="F2969" s="405">
        <f t="shared" si="372"/>
        <v>0</v>
      </c>
      <c r="G2969" s="405">
        <f t="shared" si="373"/>
        <v>0</v>
      </c>
      <c r="H2969" s="405">
        <f t="shared" si="374"/>
        <v>0</v>
      </c>
    </row>
    <row r="2970" spans="1:8">
      <c r="A2970" s="363" t="str">
        <f t="shared" si="375"/>
        <v/>
      </c>
      <c r="B2970" s="363" t="str">
        <f t="shared" si="368"/>
        <v/>
      </c>
      <c r="C2970" s="405" t="str">
        <f t="shared" si="369"/>
        <v/>
      </c>
      <c r="D2970" s="405">
        <f t="shared" si="370"/>
        <v>0</v>
      </c>
      <c r="E2970" s="405" t="str">
        <f t="shared" si="371"/>
        <v/>
      </c>
      <c r="F2970" s="405">
        <f t="shared" si="372"/>
        <v>0</v>
      </c>
      <c r="G2970" s="405">
        <f t="shared" si="373"/>
        <v>0</v>
      </c>
      <c r="H2970" s="405">
        <f t="shared" si="374"/>
        <v>0</v>
      </c>
    </row>
    <row r="2971" spans="1:8">
      <c r="A2971" s="363" t="str">
        <f t="shared" si="375"/>
        <v/>
      </c>
      <c r="B2971" s="363" t="str">
        <f t="shared" si="368"/>
        <v/>
      </c>
      <c r="C2971" s="405" t="str">
        <f t="shared" si="369"/>
        <v/>
      </c>
      <c r="D2971" s="405">
        <f t="shared" si="370"/>
        <v>0</v>
      </c>
      <c r="E2971" s="405" t="str">
        <f t="shared" si="371"/>
        <v/>
      </c>
      <c r="F2971" s="405">
        <f t="shared" si="372"/>
        <v>0</v>
      </c>
      <c r="G2971" s="405">
        <f t="shared" si="373"/>
        <v>0</v>
      </c>
      <c r="H2971" s="405">
        <f t="shared" si="374"/>
        <v>0</v>
      </c>
    </row>
    <row r="2972" spans="1:8">
      <c r="A2972" s="363" t="str">
        <f t="shared" si="375"/>
        <v/>
      </c>
      <c r="B2972" s="363" t="str">
        <f t="shared" si="368"/>
        <v/>
      </c>
      <c r="C2972" s="405" t="str">
        <f t="shared" si="369"/>
        <v/>
      </c>
      <c r="D2972" s="405">
        <f t="shared" si="370"/>
        <v>0</v>
      </c>
      <c r="E2972" s="405" t="str">
        <f t="shared" si="371"/>
        <v/>
      </c>
      <c r="F2972" s="405">
        <f t="shared" si="372"/>
        <v>0</v>
      </c>
      <c r="G2972" s="405">
        <f t="shared" si="373"/>
        <v>0</v>
      </c>
      <c r="H2972" s="405">
        <f t="shared" si="374"/>
        <v>0</v>
      </c>
    </row>
    <row r="2973" spans="1:8">
      <c r="A2973" s="363" t="str">
        <f t="shared" si="375"/>
        <v/>
      </c>
      <c r="B2973" s="363" t="str">
        <f t="shared" si="368"/>
        <v/>
      </c>
      <c r="C2973" s="405" t="str">
        <f t="shared" si="369"/>
        <v/>
      </c>
      <c r="D2973" s="405">
        <f t="shared" si="370"/>
        <v>0</v>
      </c>
      <c r="E2973" s="405" t="str">
        <f t="shared" si="371"/>
        <v/>
      </c>
      <c r="F2973" s="405">
        <f t="shared" si="372"/>
        <v>0</v>
      </c>
      <c r="G2973" s="405">
        <f t="shared" si="373"/>
        <v>0</v>
      </c>
      <c r="H2973" s="405">
        <f t="shared" si="374"/>
        <v>0</v>
      </c>
    </row>
    <row r="2974" spans="1:8">
      <c r="A2974" s="363" t="str">
        <f t="shared" si="375"/>
        <v/>
      </c>
      <c r="B2974" s="363" t="str">
        <f t="shared" si="368"/>
        <v/>
      </c>
      <c r="C2974" s="405" t="str">
        <f t="shared" si="369"/>
        <v/>
      </c>
      <c r="D2974" s="405">
        <f t="shared" si="370"/>
        <v>0</v>
      </c>
      <c r="E2974" s="405" t="str">
        <f t="shared" si="371"/>
        <v/>
      </c>
      <c r="F2974" s="405">
        <f t="shared" si="372"/>
        <v>0</v>
      </c>
      <c r="G2974" s="405">
        <f t="shared" si="373"/>
        <v>0</v>
      </c>
      <c r="H2974" s="405">
        <f t="shared" si="374"/>
        <v>0</v>
      </c>
    </row>
    <row r="2975" spans="1:8">
      <c r="A2975" s="363" t="str">
        <f t="shared" si="375"/>
        <v/>
      </c>
      <c r="B2975" s="363" t="str">
        <f t="shared" si="368"/>
        <v/>
      </c>
      <c r="C2975" s="405" t="str">
        <f t="shared" si="369"/>
        <v/>
      </c>
      <c r="D2975" s="405">
        <f t="shared" si="370"/>
        <v>0</v>
      </c>
      <c r="E2975" s="405" t="str">
        <f t="shared" si="371"/>
        <v/>
      </c>
      <c r="F2975" s="405">
        <f t="shared" si="372"/>
        <v>0</v>
      </c>
      <c r="G2975" s="405">
        <f t="shared" si="373"/>
        <v>0</v>
      </c>
      <c r="H2975" s="405">
        <f t="shared" si="374"/>
        <v>0</v>
      </c>
    </row>
    <row r="2976" spans="1:8">
      <c r="A2976" s="363" t="str">
        <f t="shared" si="375"/>
        <v/>
      </c>
      <c r="B2976" s="363" t="str">
        <f t="shared" si="368"/>
        <v/>
      </c>
      <c r="C2976" s="405" t="str">
        <f t="shared" si="369"/>
        <v/>
      </c>
      <c r="D2976" s="405">
        <f t="shared" si="370"/>
        <v>0</v>
      </c>
      <c r="E2976" s="405" t="str">
        <f t="shared" si="371"/>
        <v/>
      </c>
      <c r="F2976" s="405">
        <f t="shared" si="372"/>
        <v>0</v>
      </c>
      <c r="G2976" s="405">
        <f t="shared" si="373"/>
        <v>0</v>
      </c>
      <c r="H2976" s="405">
        <f t="shared" si="374"/>
        <v>0</v>
      </c>
    </row>
    <row r="2977" spans="1:8">
      <c r="A2977" s="363" t="str">
        <f t="shared" si="375"/>
        <v/>
      </c>
      <c r="B2977" s="363" t="str">
        <f t="shared" si="368"/>
        <v/>
      </c>
      <c r="C2977" s="405" t="str">
        <f t="shared" si="369"/>
        <v/>
      </c>
      <c r="D2977" s="405">
        <f t="shared" si="370"/>
        <v>0</v>
      </c>
      <c r="E2977" s="405" t="str">
        <f t="shared" si="371"/>
        <v/>
      </c>
      <c r="F2977" s="405">
        <f t="shared" si="372"/>
        <v>0</v>
      </c>
      <c r="G2977" s="405">
        <f t="shared" si="373"/>
        <v>0</v>
      </c>
      <c r="H2977" s="405">
        <f t="shared" si="374"/>
        <v>0</v>
      </c>
    </row>
    <row r="2978" spans="1:8">
      <c r="A2978" s="363" t="str">
        <f t="shared" si="375"/>
        <v/>
      </c>
      <c r="B2978" s="363" t="str">
        <f t="shared" si="368"/>
        <v/>
      </c>
      <c r="C2978" s="405" t="str">
        <f t="shared" si="369"/>
        <v/>
      </c>
      <c r="D2978" s="405">
        <f t="shared" si="370"/>
        <v>0</v>
      </c>
      <c r="E2978" s="405" t="str">
        <f t="shared" si="371"/>
        <v/>
      </c>
      <c r="F2978" s="405">
        <f t="shared" si="372"/>
        <v>0</v>
      </c>
      <c r="G2978" s="405">
        <f t="shared" si="373"/>
        <v>0</v>
      </c>
      <c r="H2978" s="405">
        <f t="shared" si="374"/>
        <v>0</v>
      </c>
    </row>
    <row r="2979" spans="1:8">
      <c r="A2979" s="363" t="str">
        <f t="shared" si="375"/>
        <v/>
      </c>
      <c r="B2979" s="363" t="str">
        <f t="shared" si="368"/>
        <v/>
      </c>
      <c r="C2979" s="405" t="str">
        <f t="shared" si="369"/>
        <v/>
      </c>
      <c r="D2979" s="405">
        <f t="shared" si="370"/>
        <v>0</v>
      </c>
      <c r="E2979" s="405" t="str">
        <f t="shared" si="371"/>
        <v/>
      </c>
      <c r="F2979" s="405">
        <f t="shared" si="372"/>
        <v>0</v>
      </c>
      <c r="G2979" s="405">
        <f t="shared" si="373"/>
        <v>0</v>
      </c>
      <c r="H2979" s="405">
        <f t="shared" si="374"/>
        <v>0</v>
      </c>
    </row>
    <row r="2980" spans="1:8">
      <c r="A2980" s="363" t="str">
        <f t="shared" si="375"/>
        <v/>
      </c>
      <c r="B2980" s="363" t="str">
        <f t="shared" si="368"/>
        <v/>
      </c>
      <c r="C2980" s="405" t="str">
        <f t="shared" si="369"/>
        <v/>
      </c>
      <c r="D2980" s="405">
        <f t="shared" si="370"/>
        <v>0</v>
      </c>
      <c r="E2980" s="405" t="str">
        <f t="shared" si="371"/>
        <v/>
      </c>
      <c r="F2980" s="405">
        <f t="shared" si="372"/>
        <v>0</v>
      </c>
      <c r="G2980" s="405">
        <f t="shared" si="373"/>
        <v>0</v>
      </c>
      <c r="H2980" s="405">
        <f t="shared" si="374"/>
        <v>0</v>
      </c>
    </row>
    <row r="2981" spans="1:8">
      <c r="A2981" s="363" t="str">
        <f t="shared" si="375"/>
        <v/>
      </c>
      <c r="B2981" s="363" t="str">
        <f t="shared" si="368"/>
        <v/>
      </c>
      <c r="C2981" s="405" t="str">
        <f t="shared" si="369"/>
        <v/>
      </c>
      <c r="D2981" s="405">
        <f t="shared" si="370"/>
        <v>0</v>
      </c>
      <c r="E2981" s="405" t="str">
        <f t="shared" si="371"/>
        <v/>
      </c>
      <c r="F2981" s="405">
        <f t="shared" si="372"/>
        <v>0</v>
      </c>
      <c r="G2981" s="405">
        <f t="shared" si="373"/>
        <v>0</v>
      </c>
      <c r="H2981" s="405">
        <f t="shared" si="374"/>
        <v>0</v>
      </c>
    </row>
    <row r="2982" spans="1:8">
      <c r="A2982" s="363" t="str">
        <f t="shared" si="375"/>
        <v/>
      </c>
      <c r="B2982" s="363" t="str">
        <f t="shared" si="368"/>
        <v/>
      </c>
      <c r="C2982" s="405" t="str">
        <f t="shared" si="369"/>
        <v/>
      </c>
      <c r="D2982" s="405">
        <f t="shared" si="370"/>
        <v>0</v>
      </c>
      <c r="E2982" s="405" t="str">
        <f t="shared" si="371"/>
        <v/>
      </c>
      <c r="F2982" s="405">
        <f t="shared" si="372"/>
        <v>0</v>
      </c>
      <c r="G2982" s="405">
        <f t="shared" si="373"/>
        <v>0</v>
      </c>
      <c r="H2982" s="405">
        <f t="shared" si="374"/>
        <v>0</v>
      </c>
    </row>
    <row r="2983" spans="1:8">
      <c r="A2983" s="363" t="str">
        <f t="shared" si="375"/>
        <v/>
      </c>
      <c r="B2983" s="363" t="str">
        <f t="shared" si="368"/>
        <v/>
      </c>
      <c r="C2983" s="405" t="str">
        <f t="shared" si="369"/>
        <v/>
      </c>
      <c r="D2983" s="405">
        <f t="shared" si="370"/>
        <v>0</v>
      </c>
      <c r="E2983" s="405" t="str">
        <f t="shared" si="371"/>
        <v/>
      </c>
      <c r="F2983" s="405">
        <f t="shared" si="372"/>
        <v>0</v>
      </c>
      <c r="G2983" s="405">
        <f t="shared" si="373"/>
        <v>0</v>
      </c>
      <c r="H2983" s="405">
        <f t="shared" si="374"/>
        <v>0</v>
      </c>
    </row>
    <row r="2984" spans="1:8">
      <c r="A2984" s="363" t="str">
        <f t="shared" si="375"/>
        <v/>
      </c>
      <c r="B2984" s="363" t="str">
        <f t="shared" si="368"/>
        <v/>
      </c>
      <c r="C2984" s="405" t="str">
        <f t="shared" si="369"/>
        <v/>
      </c>
      <c r="D2984" s="405">
        <f t="shared" si="370"/>
        <v>0</v>
      </c>
      <c r="E2984" s="405" t="str">
        <f t="shared" si="371"/>
        <v/>
      </c>
      <c r="F2984" s="405">
        <f t="shared" si="372"/>
        <v>0</v>
      </c>
      <c r="G2984" s="405">
        <f t="shared" si="373"/>
        <v>0</v>
      </c>
      <c r="H2984" s="405">
        <f t="shared" si="374"/>
        <v>0</v>
      </c>
    </row>
    <row r="2985" spans="1:8">
      <c r="A2985" s="363" t="str">
        <f t="shared" si="375"/>
        <v/>
      </c>
      <c r="B2985" s="363" t="str">
        <f t="shared" si="368"/>
        <v/>
      </c>
      <c r="C2985" s="405" t="str">
        <f t="shared" si="369"/>
        <v/>
      </c>
      <c r="D2985" s="405">
        <f t="shared" si="370"/>
        <v>0</v>
      </c>
      <c r="E2985" s="405" t="str">
        <f t="shared" si="371"/>
        <v/>
      </c>
      <c r="F2985" s="405">
        <f t="shared" si="372"/>
        <v>0</v>
      </c>
      <c r="G2985" s="405">
        <f t="shared" si="373"/>
        <v>0</v>
      </c>
      <c r="H2985" s="405">
        <f t="shared" si="374"/>
        <v>0</v>
      </c>
    </row>
    <row r="2986" spans="1:8">
      <c r="A2986" s="363" t="str">
        <f t="shared" si="375"/>
        <v/>
      </c>
      <c r="B2986" s="363" t="str">
        <f t="shared" si="368"/>
        <v/>
      </c>
      <c r="C2986" s="405" t="str">
        <f t="shared" si="369"/>
        <v/>
      </c>
      <c r="D2986" s="405">
        <f t="shared" si="370"/>
        <v>0</v>
      </c>
      <c r="E2986" s="405" t="str">
        <f t="shared" si="371"/>
        <v/>
      </c>
      <c r="F2986" s="405">
        <f t="shared" si="372"/>
        <v>0</v>
      </c>
      <c r="G2986" s="405">
        <f t="shared" si="373"/>
        <v>0</v>
      </c>
      <c r="H2986" s="405">
        <f t="shared" si="374"/>
        <v>0</v>
      </c>
    </row>
    <row r="2987" spans="1:8">
      <c r="A2987" s="363" t="str">
        <f t="shared" si="375"/>
        <v/>
      </c>
      <c r="B2987" s="363" t="str">
        <f t="shared" si="368"/>
        <v/>
      </c>
      <c r="C2987" s="405" t="str">
        <f t="shared" si="369"/>
        <v/>
      </c>
      <c r="D2987" s="405">
        <f t="shared" si="370"/>
        <v>0</v>
      </c>
      <c r="E2987" s="405" t="str">
        <f t="shared" si="371"/>
        <v/>
      </c>
      <c r="F2987" s="405">
        <f t="shared" si="372"/>
        <v>0</v>
      </c>
      <c r="G2987" s="405">
        <f t="shared" si="373"/>
        <v>0</v>
      </c>
      <c r="H2987" s="405">
        <f t="shared" si="374"/>
        <v>0</v>
      </c>
    </row>
    <row r="2988" spans="1:8">
      <c r="A2988" s="363" t="str">
        <f t="shared" si="375"/>
        <v/>
      </c>
      <c r="B2988" s="363" t="str">
        <f t="shared" si="368"/>
        <v/>
      </c>
      <c r="C2988" s="405" t="str">
        <f t="shared" si="369"/>
        <v/>
      </c>
      <c r="D2988" s="405">
        <f t="shared" si="370"/>
        <v>0</v>
      </c>
      <c r="E2988" s="405" t="str">
        <f t="shared" si="371"/>
        <v/>
      </c>
      <c r="F2988" s="405">
        <f t="shared" si="372"/>
        <v>0</v>
      </c>
      <c r="G2988" s="405">
        <f t="shared" si="373"/>
        <v>0</v>
      </c>
      <c r="H2988" s="405">
        <f t="shared" si="374"/>
        <v>0</v>
      </c>
    </row>
    <row r="2989" spans="1:8">
      <c r="A2989" s="363" t="str">
        <f t="shared" si="375"/>
        <v/>
      </c>
      <c r="B2989" s="363" t="str">
        <f t="shared" si="368"/>
        <v/>
      </c>
      <c r="C2989" s="405" t="str">
        <f t="shared" si="369"/>
        <v/>
      </c>
      <c r="D2989" s="405">
        <f t="shared" si="370"/>
        <v>0</v>
      </c>
      <c r="E2989" s="405" t="str">
        <f t="shared" si="371"/>
        <v/>
      </c>
      <c r="F2989" s="405">
        <f t="shared" si="372"/>
        <v>0</v>
      </c>
      <c r="G2989" s="405">
        <f t="shared" si="373"/>
        <v>0</v>
      </c>
      <c r="H2989" s="405">
        <f t="shared" si="374"/>
        <v>0</v>
      </c>
    </row>
    <row r="2990" spans="1:8">
      <c r="A2990" s="363" t="str">
        <f t="shared" si="375"/>
        <v/>
      </c>
      <c r="B2990" s="363" t="str">
        <f t="shared" si="368"/>
        <v/>
      </c>
      <c r="C2990" s="405" t="str">
        <f t="shared" si="369"/>
        <v/>
      </c>
      <c r="D2990" s="405">
        <f t="shared" si="370"/>
        <v>0</v>
      </c>
      <c r="E2990" s="405" t="str">
        <f t="shared" si="371"/>
        <v/>
      </c>
      <c r="F2990" s="405">
        <f t="shared" si="372"/>
        <v>0</v>
      </c>
      <c r="G2990" s="405">
        <f t="shared" si="373"/>
        <v>0</v>
      </c>
      <c r="H2990" s="405">
        <f t="shared" si="374"/>
        <v>0</v>
      </c>
    </row>
    <row r="2991" spans="1:8">
      <c r="A2991" s="363" t="str">
        <f t="shared" si="375"/>
        <v/>
      </c>
      <c r="B2991" s="363" t="str">
        <f t="shared" si="368"/>
        <v/>
      </c>
      <c r="C2991" s="405" t="str">
        <f t="shared" si="369"/>
        <v/>
      </c>
      <c r="D2991" s="405">
        <f t="shared" si="370"/>
        <v>0</v>
      </c>
      <c r="E2991" s="405" t="str">
        <f t="shared" si="371"/>
        <v/>
      </c>
      <c r="F2991" s="405">
        <f t="shared" si="372"/>
        <v>0</v>
      </c>
      <c r="G2991" s="405">
        <f t="shared" si="373"/>
        <v>0</v>
      </c>
      <c r="H2991" s="405">
        <f t="shared" si="374"/>
        <v>0</v>
      </c>
    </row>
    <row r="2992" spans="1:8">
      <c r="A2992" s="363" t="str">
        <f t="shared" si="375"/>
        <v/>
      </c>
      <c r="B2992" s="363" t="str">
        <f t="shared" si="368"/>
        <v/>
      </c>
      <c r="C2992" s="405" t="str">
        <f t="shared" si="369"/>
        <v/>
      </c>
      <c r="D2992" s="405">
        <f t="shared" si="370"/>
        <v>0</v>
      </c>
      <c r="E2992" s="405" t="str">
        <f t="shared" si="371"/>
        <v/>
      </c>
      <c r="F2992" s="405">
        <f t="shared" si="372"/>
        <v>0</v>
      </c>
      <c r="G2992" s="405">
        <f t="shared" si="373"/>
        <v>0</v>
      </c>
      <c r="H2992" s="405">
        <f t="shared" si="374"/>
        <v>0</v>
      </c>
    </row>
    <row r="2993" spans="1:8">
      <c r="A2993" s="363" t="str">
        <f t="shared" si="375"/>
        <v/>
      </c>
      <c r="B2993" s="363" t="str">
        <f t="shared" si="368"/>
        <v/>
      </c>
      <c r="C2993" s="405" t="str">
        <f t="shared" si="369"/>
        <v/>
      </c>
      <c r="D2993" s="405">
        <f t="shared" si="370"/>
        <v>0</v>
      </c>
      <c r="E2993" s="405" t="str">
        <f t="shared" si="371"/>
        <v/>
      </c>
      <c r="F2993" s="405">
        <f t="shared" si="372"/>
        <v>0</v>
      </c>
      <c r="G2993" s="405">
        <f t="shared" si="373"/>
        <v>0</v>
      </c>
      <c r="H2993" s="405">
        <f t="shared" si="374"/>
        <v>0</v>
      </c>
    </row>
    <row r="2994" spans="1:8">
      <c r="A2994" s="363" t="str">
        <f t="shared" si="375"/>
        <v/>
      </c>
      <c r="B2994" s="363" t="str">
        <f t="shared" si="368"/>
        <v/>
      </c>
      <c r="C2994" s="405" t="str">
        <f t="shared" si="369"/>
        <v/>
      </c>
      <c r="D2994" s="405">
        <f t="shared" si="370"/>
        <v>0</v>
      </c>
      <c r="E2994" s="405" t="str">
        <f t="shared" si="371"/>
        <v/>
      </c>
      <c r="F2994" s="405">
        <f t="shared" si="372"/>
        <v>0</v>
      </c>
      <c r="G2994" s="405">
        <f t="shared" si="373"/>
        <v>0</v>
      </c>
      <c r="H2994" s="405">
        <f t="shared" si="374"/>
        <v>0</v>
      </c>
    </row>
    <row r="2995" spans="1:8">
      <c r="A2995" s="363" t="str">
        <f t="shared" si="375"/>
        <v/>
      </c>
      <c r="B2995" s="363" t="str">
        <f t="shared" si="368"/>
        <v/>
      </c>
      <c r="C2995" s="405" t="str">
        <f t="shared" si="369"/>
        <v/>
      </c>
      <c r="D2995" s="405">
        <f t="shared" si="370"/>
        <v>0</v>
      </c>
      <c r="E2995" s="405" t="str">
        <f t="shared" si="371"/>
        <v/>
      </c>
      <c r="F2995" s="405">
        <f t="shared" si="372"/>
        <v>0</v>
      </c>
      <c r="G2995" s="405">
        <f t="shared" si="373"/>
        <v>0</v>
      </c>
      <c r="H2995" s="405">
        <f t="shared" si="374"/>
        <v>0</v>
      </c>
    </row>
    <row r="2996" spans="1:8">
      <c r="A2996" s="363" t="str">
        <f t="shared" si="375"/>
        <v/>
      </c>
      <c r="B2996" s="363" t="str">
        <f t="shared" si="368"/>
        <v/>
      </c>
      <c r="C2996" s="405" t="str">
        <f t="shared" si="369"/>
        <v/>
      </c>
      <c r="D2996" s="405">
        <f t="shared" si="370"/>
        <v>0</v>
      </c>
      <c r="E2996" s="405" t="str">
        <f t="shared" si="371"/>
        <v/>
      </c>
      <c r="F2996" s="405">
        <f t="shared" si="372"/>
        <v>0</v>
      </c>
      <c r="G2996" s="405">
        <f t="shared" si="373"/>
        <v>0</v>
      </c>
      <c r="H2996" s="405">
        <f t="shared" si="374"/>
        <v>0</v>
      </c>
    </row>
    <row r="2997" spans="1:8">
      <c r="A2997" s="363" t="str">
        <f t="shared" si="375"/>
        <v/>
      </c>
      <c r="B2997" s="363" t="str">
        <f t="shared" si="368"/>
        <v/>
      </c>
      <c r="C2997" s="405" t="str">
        <f t="shared" si="369"/>
        <v/>
      </c>
      <c r="D2997" s="405">
        <f t="shared" si="370"/>
        <v>0</v>
      </c>
      <c r="E2997" s="405" t="str">
        <f t="shared" si="371"/>
        <v/>
      </c>
      <c r="F2997" s="405">
        <f t="shared" si="372"/>
        <v>0</v>
      </c>
      <c r="G2997" s="405">
        <f t="shared" si="373"/>
        <v>0</v>
      </c>
      <c r="H2997" s="405">
        <f t="shared" si="374"/>
        <v>0</v>
      </c>
    </row>
    <row r="2998" spans="1:8">
      <c r="A2998" s="363" t="str">
        <f t="shared" si="375"/>
        <v/>
      </c>
      <c r="B2998" s="363" t="str">
        <f t="shared" si="368"/>
        <v/>
      </c>
      <c r="C2998" s="405" t="str">
        <f t="shared" si="369"/>
        <v/>
      </c>
      <c r="D2998" s="405">
        <f t="shared" si="370"/>
        <v>0</v>
      </c>
      <c r="E2998" s="405" t="str">
        <f t="shared" si="371"/>
        <v/>
      </c>
      <c r="F2998" s="405">
        <f t="shared" si="372"/>
        <v>0</v>
      </c>
      <c r="G2998" s="405">
        <f t="shared" si="373"/>
        <v>0</v>
      </c>
      <c r="H2998" s="405">
        <f t="shared" si="374"/>
        <v>0</v>
      </c>
    </row>
    <row r="2999" spans="1:8">
      <c r="A2999" s="363" t="str">
        <f t="shared" si="375"/>
        <v/>
      </c>
      <c r="B2999" s="363" t="str">
        <f t="shared" si="368"/>
        <v/>
      </c>
      <c r="C2999" s="405" t="str">
        <f t="shared" si="369"/>
        <v/>
      </c>
      <c r="D2999" s="405">
        <f t="shared" si="370"/>
        <v>0</v>
      </c>
      <c r="E2999" s="405" t="str">
        <f t="shared" si="371"/>
        <v/>
      </c>
      <c r="F2999" s="405">
        <f t="shared" si="372"/>
        <v>0</v>
      </c>
      <c r="G2999" s="405">
        <f t="shared" si="373"/>
        <v>0</v>
      </c>
      <c r="H2999" s="405">
        <f t="shared" si="374"/>
        <v>0</v>
      </c>
    </row>
    <row r="3000" spans="1:8">
      <c r="A3000" s="363" t="str">
        <f t="shared" si="375"/>
        <v/>
      </c>
      <c r="B3000" s="363" t="str">
        <f t="shared" si="368"/>
        <v/>
      </c>
      <c r="C3000" s="405" t="str">
        <f t="shared" si="369"/>
        <v/>
      </c>
      <c r="D3000" s="405">
        <f t="shared" si="370"/>
        <v>0</v>
      </c>
      <c r="E3000" s="405" t="str">
        <f t="shared" si="371"/>
        <v/>
      </c>
      <c r="F3000" s="405">
        <f t="shared" si="372"/>
        <v>0</v>
      </c>
      <c r="G3000" s="405">
        <f t="shared" si="373"/>
        <v>0</v>
      </c>
      <c r="H3000" s="405">
        <f t="shared" si="374"/>
        <v>0</v>
      </c>
    </row>
    <row r="3001" spans="1:8">
      <c r="A3001" s="363" t="str">
        <f t="shared" si="375"/>
        <v/>
      </c>
      <c r="B3001" s="363" t="str">
        <f t="shared" si="368"/>
        <v/>
      </c>
      <c r="C3001" s="405" t="str">
        <f t="shared" si="369"/>
        <v/>
      </c>
      <c r="D3001" s="405">
        <f t="shared" si="370"/>
        <v>0</v>
      </c>
      <c r="E3001" s="405" t="str">
        <f t="shared" si="371"/>
        <v/>
      </c>
      <c r="F3001" s="405">
        <f t="shared" si="372"/>
        <v>0</v>
      </c>
      <c r="G3001" s="405">
        <f t="shared" si="373"/>
        <v>0</v>
      </c>
      <c r="H3001" s="405">
        <f t="shared" si="374"/>
        <v>0</v>
      </c>
    </row>
    <row r="3002" spans="1:8">
      <c r="A3002" s="363" t="str">
        <f t="shared" si="375"/>
        <v/>
      </c>
      <c r="B3002" s="363" t="str">
        <f t="shared" si="368"/>
        <v/>
      </c>
      <c r="C3002" s="405" t="str">
        <f t="shared" si="369"/>
        <v/>
      </c>
      <c r="D3002" s="405">
        <f t="shared" si="370"/>
        <v>0</v>
      </c>
      <c r="E3002" s="405" t="str">
        <f t="shared" si="371"/>
        <v/>
      </c>
      <c r="F3002" s="405">
        <f t="shared" si="372"/>
        <v>0</v>
      </c>
      <c r="G3002" s="405">
        <f t="shared" si="373"/>
        <v>0</v>
      </c>
      <c r="H3002" s="405">
        <f t="shared" si="374"/>
        <v>0</v>
      </c>
    </row>
    <row r="3003" spans="1:8">
      <c r="A3003" s="363" t="str">
        <f t="shared" si="375"/>
        <v/>
      </c>
      <c r="B3003" s="363" t="str">
        <f t="shared" si="368"/>
        <v/>
      </c>
      <c r="C3003" s="405" t="str">
        <f t="shared" si="369"/>
        <v/>
      </c>
      <c r="D3003" s="405">
        <f t="shared" si="370"/>
        <v>0</v>
      </c>
      <c r="E3003" s="405" t="str">
        <f t="shared" si="371"/>
        <v/>
      </c>
      <c r="F3003" s="405">
        <f t="shared" si="372"/>
        <v>0</v>
      </c>
      <c r="G3003" s="405">
        <f t="shared" si="373"/>
        <v>0</v>
      </c>
      <c r="H3003" s="405">
        <f t="shared" si="374"/>
        <v>0</v>
      </c>
    </row>
    <row r="3004" spans="1:8">
      <c r="A3004" s="363" t="str">
        <f t="shared" si="375"/>
        <v/>
      </c>
      <c r="B3004" s="363" t="str">
        <f t="shared" si="368"/>
        <v/>
      </c>
      <c r="C3004" s="405" t="str">
        <f t="shared" si="369"/>
        <v/>
      </c>
      <c r="D3004" s="405">
        <f t="shared" si="370"/>
        <v>0</v>
      </c>
      <c r="E3004" s="405" t="str">
        <f t="shared" si="371"/>
        <v/>
      </c>
      <c r="F3004" s="405">
        <f t="shared" si="372"/>
        <v>0</v>
      </c>
      <c r="G3004" s="405">
        <f t="shared" si="373"/>
        <v>0</v>
      </c>
      <c r="H3004" s="405">
        <f t="shared" si="374"/>
        <v>0</v>
      </c>
    </row>
    <row r="3005" spans="1:8">
      <c r="A3005" s="363" t="str">
        <f t="shared" si="375"/>
        <v/>
      </c>
      <c r="B3005" s="363" t="str">
        <f t="shared" si="368"/>
        <v/>
      </c>
      <c r="C3005" s="405" t="str">
        <f t="shared" si="369"/>
        <v/>
      </c>
      <c r="D3005" s="405">
        <f t="shared" si="370"/>
        <v>0</v>
      </c>
      <c r="E3005" s="405" t="str">
        <f t="shared" si="371"/>
        <v/>
      </c>
      <c r="F3005" s="405">
        <f t="shared" si="372"/>
        <v>0</v>
      </c>
      <c r="G3005" s="405">
        <f t="shared" si="373"/>
        <v>0</v>
      </c>
      <c r="H3005" s="405">
        <f t="shared" si="374"/>
        <v>0</v>
      </c>
    </row>
    <row r="3006" spans="1:8">
      <c r="A3006" s="363" t="str">
        <f t="shared" si="375"/>
        <v/>
      </c>
      <c r="B3006" s="363" t="str">
        <f t="shared" si="368"/>
        <v/>
      </c>
      <c r="C3006" s="405" t="str">
        <f t="shared" si="369"/>
        <v/>
      </c>
      <c r="D3006" s="405">
        <f t="shared" si="370"/>
        <v>0</v>
      </c>
      <c r="E3006" s="405" t="str">
        <f t="shared" si="371"/>
        <v/>
      </c>
      <c r="F3006" s="405">
        <f t="shared" si="372"/>
        <v>0</v>
      </c>
      <c r="G3006" s="405">
        <f t="shared" si="373"/>
        <v>0</v>
      </c>
      <c r="H3006" s="405">
        <f t="shared" si="374"/>
        <v>0</v>
      </c>
    </row>
    <row r="3007" spans="1:8">
      <c r="A3007" s="363" t="str">
        <f t="shared" si="375"/>
        <v/>
      </c>
      <c r="B3007" s="363" t="str">
        <f t="shared" si="368"/>
        <v/>
      </c>
      <c r="C3007" s="405" t="str">
        <f t="shared" si="369"/>
        <v/>
      </c>
      <c r="D3007" s="405">
        <f t="shared" si="370"/>
        <v>0</v>
      </c>
      <c r="E3007" s="405" t="str">
        <f t="shared" si="371"/>
        <v/>
      </c>
      <c r="F3007" s="405">
        <f t="shared" si="372"/>
        <v>0</v>
      </c>
      <c r="G3007" s="405">
        <f t="shared" si="373"/>
        <v>0</v>
      </c>
      <c r="H3007" s="405">
        <f t="shared" si="374"/>
        <v>0</v>
      </c>
    </row>
    <row r="3008" spans="1:8">
      <c r="A3008" s="363" t="str">
        <f t="shared" si="375"/>
        <v/>
      </c>
      <c r="B3008" s="363" t="str">
        <f t="shared" si="368"/>
        <v/>
      </c>
      <c r="C3008" s="405" t="str">
        <f t="shared" si="369"/>
        <v/>
      </c>
      <c r="D3008" s="405">
        <f t="shared" si="370"/>
        <v>0</v>
      </c>
      <c r="E3008" s="405" t="str">
        <f t="shared" si="371"/>
        <v/>
      </c>
      <c r="F3008" s="405">
        <f t="shared" si="372"/>
        <v>0</v>
      </c>
      <c r="G3008" s="405">
        <f t="shared" si="373"/>
        <v>0</v>
      </c>
      <c r="H3008" s="405">
        <f t="shared" si="374"/>
        <v>0</v>
      </c>
    </row>
    <row r="3009" spans="1:8">
      <c r="A3009" s="363" t="str">
        <f t="shared" si="375"/>
        <v/>
      </c>
      <c r="B3009" s="363" t="str">
        <f t="shared" si="368"/>
        <v/>
      </c>
      <c r="C3009" s="405" t="str">
        <f t="shared" si="369"/>
        <v/>
      </c>
      <c r="D3009" s="405">
        <f t="shared" si="370"/>
        <v>0</v>
      </c>
      <c r="E3009" s="405" t="str">
        <f t="shared" si="371"/>
        <v/>
      </c>
      <c r="F3009" s="405">
        <f t="shared" si="372"/>
        <v>0</v>
      </c>
      <c r="G3009" s="405">
        <f t="shared" si="373"/>
        <v>0</v>
      </c>
      <c r="H3009" s="405">
        <f t="shared" si="374"/>
        <v>0</v>
      </c>
    </row>
    <row r="3010" spans="1:8">
      <c r="A3010" s="363" t="str">
        <f t="shared" si="375"/>
        <v/>
      </c>
      <c r="B3010" s="363" t="str">
        <f t="shared" ref="B3010:B3073" si="376">LEFT(L3010,2)</f>
        <v/>
      </c>
      <c r="C3010" s="405" t="str">
        <f t="shared" ref="C3010:C3073" si="377">IF(B3010="","","第"&amp;RIGHT(L3010,6)&amp;"号")</f>
        <v/>
      </c>
      <c r="D3010" s="405">
        <f t="shared" ref="D3010:D3073" si="378">N3010</f>
        <v>0</v>
      </c>
      <c r="E3010" s="405" t="str">
        <f t="shared" ref="E3010:E3073" si="379">IF(V3010="　",O3010,"")</f>
        <v/>
      </c>
      <c r="F3010" s="405">
        <f t="shared" ref="F3010:F3073" si="380">IF(V3010="　",P3010,W3010)</f>
        <v>0</v>
      </c>
      <c r="G3010" s="405">
        <f t="shared" ref="G3010:G3073" si="381">IF(V3010="　","主たる営業所",V3010)</f>
        <v>0</v>
      </c>
      <c r="H3010" s="405">
        <f t="shared" ref="H3010:H3073" si="382">IF(V3010="　",R3010,Y3010)</f>
        <v>0</v>
      </c>
    </row>
    <row r="3011" spans="1:8">
      <c r="A3011" s="363" t="str">
        <f t="shared" ref="A3011:A3074" si="383">IF(B3011="","",A3010+1)</f>
        <v/>
      </c>
      <c r="B3011" s="363" t="str">
        <f t="shared" si="376"/>
        <v/>
      </c>
      <c r="C3011" s="405" t="str">
        <f t="shared" si="377"/>
        <v/>
      </c>
      <c r="D3011" s="405">
        <f t="shared" si="378"/>
        <v>0</v>
      </c>
      <c r="E3011" s="405" t="str">
        <f t="shared" si="379"/>
        <v/>
      </c>
      <c r="F3011" s="405">
        <f t="shared" si="380"/>
        <v>0</v>
      </c>
      <c r="G3011" s="405">
        <f t="shared" si="381"/>
        <v>0</v>
      </c>
      <c r="H3011" s="405">
        <f t="shared" si="382"/>
        <v>0</v>
      </c>
    </row>
    <row r="3012" spans="1:8">
      <c r="A3012" s="363" t="str">
        <f t="shared" si="383"/>
        <v/>
      </c>
      <c r="B3012" s="363" t="str">
        <f t="shared" si="376"/>
        <v/>
      </c>
      <c r="C3012" s="405" t="str">
        <f t="shared" si="377"/>
        <v/>
      </c>
      <c r="D3012" s="405">
        <f t="shared" si="378"/>
        <v>0</v>
      </c>
      <c r="E3012" s="405" t="str">
        <f t="shared" si="379"/>
        <v/>
      </c>
      <c r="F3012" s="405">
        <f t="shared" si="380"/>
        <v>0</v>
      </c>
      <c r="G3012" s="405">
        <f t="shared" si="381"/>
        <v>0</v>
      </c>
      <c r="H3012" s="405">
        <f t="shared" si="382"/>
        <v>0</v>
      </c>
    </row>
    <row r="3013" spans="1:8">
      <c r="A3013" s="363" t="str">
        <f t="shared" si="383"/>
        <v/>
      </c>
      <c r="B3013" s="363" t="str">
        <f t="shared" si="376"/>
        <v/>
      </c>
      <c r="C3013" s="405" t="str">
        <f t="shared" si="377"/>
        <v/>
      </c>
      <c r="D3013" s="405">
        <f t="shared" si="378"/>
        <v>0</v>
      </c>
      <c r="E3013" s="405" t="str">
        <f t="shared" si="379"/>
        <v/>
      </c>
      <c r="F3013" s="405">
        <f t="shared" si="380"/>
        <v>0</v>
      </c>
      <c r="G3013" s="405">
        <f t="shared" si="381"/>
        <v>0</v>
      </c>
      <c r="H3013" s="405">
        <f t="shared" si="382"/>
        <v>0</v>
      </c>
    </row>
    <row r="3014" spans="1:8">
      <c r="A3014" s="363" t="str">
        <f t="shared" si="383"/>
        <v/>
      </c>
      <c r="B3014" s="363" t="str">
        <f t="shared" si="376"/>
        <v/>
      </c>
      <c r="C3014" s="405" t="str">
        <f t="shared" si="377"/>
        <v/>
      </c>
      <c r="D3014" s="405">
        <f t="shared" si="378"/>
        <v>0</v>
      </c>
      <c r="E3014" s="405" t="str">
        <f t="shared" si="379"/>
        <v/>
      </c>
      <c r="F3014" s="405">
        <f t="shared" si="380"/>
        <v>0</v>
      </c>
      <c r="G3014" s="405">
        <f t="shared" si="381"/>
        <v>0</v>
      </c>
      <c r="H3014" s="405">
        <f t="shared" si="382"/>
        <v>0</v>
      </c>
    </row>
    <row r="3015" spans="1:8">
      <c r="A3015" s="363" t="str">
        <f t="shared" si="383"/>
        <v/>
      </c>
      <c r="B3015" s="363" t="str">
        <f t="shared" si="376"/>
        <v/>
      </c>
      <c r="C3015" s="405" t="str">
        <f t="shared" si="377"/>
        <v/>
      </c>
      <c r="D3015" s="405">
        <f t="shared" si="378"/>
        <v>0</v>
      </c>
      <c r="E3015" s="405" t="str">
        <f t="shared" si="379"/>
        <v/>
      </c>
      <c r="F3015" s="405">
        <f t="shared" si="380"/>
        <v>0</v>
      </c>
      <c r="G3015" s="405">
        <f t="shared" si="381"/>
        <v>0</v>
      </c>
      <c r="H3015" s="405">
        <f t="shared" si="382"/>
        <v>0</v>
      </c>
    </row>
    <row r="3016" spans="1:8">
      <c r="A3016" s="363" t="str">
        <f t="shared" si="383"/>
        <v/>
      </c>
      <c r="B3016" s="363" t="str">
        <f t="shared" si="376"/>
        <v/>
      </c>
      <c r="C3016" s="405" t="str">
        <f t="shared" si="377"/>
        <v/>
      </c>
      <c r="D3016" s="405">
        <f t="shared" si="378"/>
        <v>0</v>
      </c>
      <c r="E3016" s="405" t="str">
        <f t="shared" si="379"/>
        <v/>
      </c>
      <c r="F3016" s="405">
        <f t="shared" si="380"/>
        <v>0</v>
      </c>
      <c r="G3016" s="405">
        <f t="shared" si="381"/>
        <v>0</v>
      </c>
      <c r="H3016" s="405">
        <f t="shared" si="382"/>
        <v>0</v>
      </c>
    </row>
    <row r="3017" spans="1:8">
      <c r="A3017" s="363" t="str">
        <f t="shared" si="383"/>
        <v/>
      </c>
      <c r="B3017" s="363" t="str">
        <f t="shared" si="376"/>
        <v/>
      </c>
      <c r="C3017" s="405" t="str">
        <f t="shared" si="377"/>
        <v/>
      </c>
      <c r="D3017" s="405">
        <f t="shared" si="378"/>
        <v>0</v>
      </c>
      <c r="E3017" s="405" t="str">
        <f t="shared" si="379"/>
        <v/>
      </c>
      <c r="F3017" s="405">
        <f t="shared" si="380"/>
        <v>0</v>
      </c>
      <c r="G3017" s="405">
        <f t="shared" si="381"/>
        <v>0</v>
      </c>
      <c r="H3017" s="405">
        <f t="shared" si="382"/>
        <v>0</v>
      </c>
    </row>
    <row r="3018" spans="1:8">
      <c r="A3018" s="363" t="str">
        <f t="shared" si="383"/>
        <v/>
      </c>
      <c r="B3018" s="363" t="str">
        <f t="shared" si="376"/>
        <v/>
      </c>
      <c r="C3018" s="405" t="str">
        <f t="shared" si="377"/>
        <v/>
      </c>
      <c r="D3018" s="405">
        <f t="shared" si="378"/>
        <v>0</v>
      </c>
      <c r="E3018" s="405" t="str">
        <f t="shared" si="379"/>
        <v/>
      </c>
      <c r="F3018" s="405">
        <f t="shared" si="380"/>
        <v>0</v>
      </c>
      <c r="G3018" s="405">
        <f t="shared" si="381"/>
        <v>0</v>
      </c>
      <c r="H3018" s="405">
        <f t="shared" si="382"/>
        <v>0</v>
      </c>
    </row>
    <row r="3019" spans="1:8">
      <c r="A3019" s="363" t="str">
        <f t="shared" si="383"/>
        <v/>
      </c>
      <c r="B3019" s="363" t="str">
        <f t="shared" si="376"/>
        <v/>
      </c>
      <c r="C3019" s="405" t="str">
        <f t="shared" si="377"/>
        <v/>
      </c>
      <c r="D3019" s="405">
        <f t="shared" si="378"/>
        <v>0</v>
      </c>
      <c r="E3019" s="405" t="str">
        <f t="shared" si="379"/>
        <v/>
      </c>
      <c r="F3019" s="405">
        <f t="shared" si="380"/>
        <v>0</v>
      </c>
      <c r="G3019" s="405">
        <f t="shared" si="381"/>
        <v>0</v>
      </c>
      <c r="H3019" s="405">
        <f t="shared" si="382"/>
        <v>0</v>
      </c>
    </row>
    <row r="3020" spans="1:8">
      <c r="A3020" s="363" t="str">
        <f t="shared" si="383"/>
        <v/>
      </c>
      <c r="B3020" s="363" t="str">
        <f t="shared" si="376"/>
        <v/>
      </c>
      <c r="C3020" s="405" t="str">
        <f t="shared" si="377"/>
        <v/>
      </c>
      <c r="D3020" s="405">
        <f t="shared" si="378"/>
        <v>0</v>
      </c>
      <c r="E3020" s="405" t="str">
        <f t="shared" si="379"/>
        <v/>
      </c>
      <c r="F3020" s="405">
        <f t="shared" si="380"/>
        <v>0</v>
      </c>
      <c r="G3020" s="405">
        <f t="shared" si="381"/>
        <v>0</v>
      </c>
      <c r="H3020" s="405">
        <f t="shared" si="382"/>
        <v>0</v>
      </c>
    </row>
    <row r="3021" spans="1:8">
      <c r="A3021" s="363" t="str">
        <f t="shared" si="383"/>
        <v/>
      </c>
      <c r="B3021" s="363" t="str">
        <f t="shared" si="376"/>
        <v/>
      </c>
      <c r="C3021" s="405" t="str">
        <f t="shared" si="377"/>
        <v/>
      </c>
      <c r="D3021" s="405">
        <f t="shared" si="378"/>
        <v>0</v>
      </c>
      <c r="E3021" s="405" t="str">
        <f t="shared" si="379"/>
        <v/>
      </c>
      <c r="F3021" s="405">
        <f t="shared" si="380"/>
        <v>0</v>
      </c>
      <c r="G3021" s="405">
        <f t="shared" si="381"/>
        <v>0</v>
      </c>
      <c r="H3021" s="405">
        <f t="shared" si="382"/>
        <v>0</v>
      </c>
    </row>
    <row r="3022" spans="1:8">
      <c r="A3022" s="363" t="str">
        <f t="shared" si="383"/>
        <v/>
      </c>
      <c r="B3022" s="363" t="str">
        <f t="shared" si="376"/>
        <v/>
      </c>
      <c r="C3022" s="405" t="str">
        <f t="shared" si="377"/>
        <v/>
      </c>
      <c r="D3022" s="405">
        <f t="shared" si="378"/>
        <v>0</v>
      </c>
      <c r="E3022" s="405" t="str">
        <f t="shared" si="379"/>
        <v/>
      </c>
      <c r="F3022" s="405">
        <f t="shared" si="380"/>
        <v>0</v>
      </c>
      <c r="G3022" s="405">
        <f t="shared" si="381"/>
        <v>0</v>
      </c>
      <c r="H3022" s="405">
        <f t="shared" si="382"/>
        <v>0</v>
      </c>
    </row>
    <row r="3023" spans="1:8">
      <c r="A3023" s="363" t="str">
        <f t="shared" si="383"/>
        <v/>
      </c>
      <c r="B3023" s="363" t="str">
        <f t="shared" si="376"/>
        <v/>
      </c>
      <c r="C3023" s="405" t="str">
        <f t="shared" si="377"/>
        <v/>
      </c>
      <c r="D3023" s="405">
        <f t="shared" si="378"/>
        <v>0</v>
      </c>
      <c r="E3023" s="405" t="str">
        <f t="shared" si="379"/>
        <v/>
      </c>
      <c r="F3023" s="405">
        <f t="shared" si="380"/>
        <v>0</v>
      </c>
      <c r="G3023" s="405">
        <f t="shared" si="381"/>
        <v>0</v>
      </c>
      <c r="H3023" s="405">
        <f t="shared" si="382"/>
        <v>0</v>
      </c>
    </row>
    <row r="3024" spans="1:8">
      <c r="A3024" s="363" t="str">
        <f t="shared" si="383"/>
        <v/>
      </c>
      <c r="B3024" s="363" t="str">
        <f t="shared" si="376"/>
        <v/>
      </c>
      <c r="C3024" s="405" t="str">
        <f t="shared" si="377"/>
        <v/>
      </c>
      <c r="D3024" s="405">
        <f t="shared" si="378"/>
        <v>0</v>
      </c>
      <c r="E3024" s="405" t="str">
        <f t="shared" si="379"/>
        <v/>
      </c>
      <c r="F3024" s="405">
        <f t="shared" si="380"/>
        <v>0</v>
      </c>
      <c r="G3024" s="405">
        <f t="shared" si="381"/>
        <v>0</v>
      </c>
      <c r="H3024" s="405">
        <f t="shared" si="382"/>
        <v>0</v>
      </c>
    </row>
    <row r="3025" spans="1:8">
      <c r="A3025" s="363" t="str">
        <f t="shared" si="383"/>
        <v/>
      </c>
      <c r="B3025" s="363" t="str">
        <f t="shared" si="376"/>
        <v/>
      </c>
      <c r="C3025" s="405" t="str">
        <f t="shared" si="377"/>
        <v/>
      </c>
      <c r="D3025" s="405">
        <f t="shared" si="378"/>
        <v>0</v>
      </c>
      <c r="E3025" s="405" t="str">
        <f t="shared" si="379"/>
        <v/>
      </c>
      <c r="F3025" s="405">
        <f t="shared" si="380"/>
        <v>0</v>
      </c>
      <c r="G3025" s="405">
        <f t="shared" si="381"/>
        <v>0</v>
      </c>
      <c r="H3025" s="405">
        <f t="shared" si="382"/>
        <v>0</v>
      </c>
    </row>
    <row r="3026" spans="1:8">
      <c r="A3026" s="363" t="str">
        <f t="shared" si="383"/>
        <v/>
      </c>
      <c r="B3026" s="363" t="str">
        <f t="shared" si="376"/>
        <v/>
      </c>
      <c r="C3026" s="405" t="str">
        <f t="shared" si="377"/>
        <v/>
      </c>
      <c r="D3026" s="405">
        <f t="shared" si="378"/>
        <v>0</v>
      </c>
      <c r="E3026" s="405" t="str">
        <f t="shared" si="379"/>
        <v/>
      </c>
      <c r="F3026" s="405">
        <f t="shared" si="380"/>
        <v>0</v>
      </c>
      <c r="G3026" s="405">
        <f t="shared" si="381"/>
        <v>0</v>
      </c>
      <c r="H3026" s="405">
        <f t="shared" si="382"/>
        <v>0</v>
      </c>
    </row>
    <row r="3027" spans="1:8">
      <c r="A3027" s="363" t="str">
        <f t="shared" si="383"/>
        <v/>
      </c>
      <c r="B3027" s="363" t="str">
        <f t="shared" si="376"/>
        <v/>
      </c>
      <c r="C3027" s="405" t="str">
        <f t="shared" si="377"/>
        <v/>
      </c>
      <c r="D3027" s="405">
        <f t="shared" si="378"/>
        <v>0</v>
      </c>
      <c r="E3027" s="405" t="str">
        <f t="shared" si="379"/>
        <v/>
      </c>
      <c r="F3027" s="405">
        <f t="shared" si="380"/>
        <v>0</v>
      </c>
      <c r="G3027" s="405">
        <f t="shared" si="381"/>
        <v>0</v>
      </c>
      <c r="H3027" s="405">
        <f t="shared" si="382"/>
        <v>0</v>
      </c>
    </row>
    <row r="3028" spans="1:8">
      <c r="A3028" s="363" t="str">
        <f t="shared" si="383"/>
        <v/>
      </c>
      <c r="B3028" s="363" t="str">
        <f t="shared" si="376"/>
        <v/>
      </c>
      <c r="C3028" s="405" t="str">
        <f t="shared" si="377"/>
        <v/>
      </c>
      <c r="D3028" s="405">
        <f t="shared" si="378"/>
        <v>0</v>
      </c>
      <c r="E3028" s="405" t="str">
        <f t="shared" si="379"/>
        <v/>
      </c>
      <c r="F3028" s="405">
        <f t="shared" si="380"/>
        <v>0</v>
      </c>
      <c r="G3028" s="405">
        <f t="shared" si="381"/>
        <v>0</v>
      </c>
      <c r="H3028" s="405">
        <f t="shared" si="382"/>
        <v>0</v>
      </c>
    </row>
    <row r="3029" spans="1:8">
      <c r="A3029" s="363" t="str">
        <f t="shared" si="383"/>
        <v/>
      </c>
      <c r="B3029" s="363" t="str">
        <f t="shared" si="376"/>
        <v/>
      </c>
      <c r="C3029" s="405" t="str">
        <f t="shared" si="377"/>
        <v/>
      </c>
      <c r="D3029" s="405">
        <f t="shared" si="378"/>
        <v>0</v>
      </c>
      <c r="E3029" s="405" t="str">
        <f t="shared" si="379"/>
        <v/>
      </c>
      <c r="F3029" s="405">
        <f t="shared" si="380"/>
        <v>0</v>
      </c>
      <c r="G3029" s="405">
        <f t="shared" si="381"/>
        <v>0</v>
      </c>
      <c r="H3029" s="405">
        <f t="shared" si="382"/>
        <v>0</v>
      </c>
    </row>
    <row r="3030" spans="1:8">
      <c r="A3030" s="363" t="str">
        <f t="shared" si="383"/>
        <v/>
      </c>
      <c r="B3030" s="363" t="str">
        <f t="shared" si="376"/>
        <v/>
      </c>
      <c r="C3030" s="405" t="str">
        <f t="shared" si="377"/>
        <v/>
      </c>
      <c r="D3030" s="405">
        <f t="shared" si="378"/>
        <v>0</v>
      </c>
      <c r="E3030" s="405" t="str">
        <f t="shared" si="379"/>
        <v/>
      </c>
      <c r="F3030" s="405">
        <f t="shared" si="380"/>
        <v>0</v>
      </c>
      <c r="G3030" s="405">
        <f t="shared" si="381"/>
        <v>0</v>
      </c>
      <c r="H3030" s="405">
        <f t="shared" si="382"/>
        <v>0</v>
      </c>
    </row>
    <row r="3031" spans="1:8">
      <c r="A3031" s="363" t="str">
        <f t="shared" si="383"/>
        <v/>
      </c>
      <c r="B3031" s="363" t="str">
        <f t="shared" si="376"/>
        <v/>
      </c>
      <c r="C3031" s="405" t="str">
        <f t="shared" si="377"/>
        <v/>
      </c>
      <c r="D3031" s="405">
        <f t="shared" si="378"/>
        <v>0</v>
      </c>
      <c r="E3031" s="405" t="str">
        <f t="shared" si="379"/>
        <v/>
      </c>
      <c r="F3031" s="405">
        <f t="shared" si="380"/>
        <v>0</v>
      </c>
      <c r="G3031" s="405">
        <f t="shared" si="381"/>
        <v>0</v>
      </c>
      <c r="H3031" s="405">
        <f t="shared" si="382"/>
        <v>0</v>
      </c>
    </row>
    <row r="3032" spans="1:8">
      <c r="A3032" s="363" t="str">
        <f t="shared" si="383"/>
        <v/>
      </c>
      <c r="B3032" s="363" t="str">
        <f t="shared" si="376"/>
        <v/>
      </c>
      <c r="C3032" s="405" t="str">
        <f t="shared" si="377"/>
        <v/>
      </c>
      <c r="D3032" s="405">
        <f t="shared" si="378"/>
        <v>0</v>
      </c>
      <c r="E3032" s="405" t="str">
        <f t="shared" si="379"/>
        <v/>
      </c>
      <c r="F3032" s="405">
        <f t="shared" si="380"/>
        <v>0</v>
      </c>
      <c r="G3032" s="405">
        <f t="shared" si="381"/>
        <v>0</v>
      </c>
      <c r="H3032" s="405">
        <f t="shared" si="382"/>
        <v>0</v>
      </c>
    </row>
    <row r="3033" spans="1:8">
      <c r="A3033" s="363" t="str">
        <f t="shared" si="383"/>
        <v/>
      </c>
      <c r="B3033" s="363" t="str">
        <f t="shared" si="376"/>
        <v/>
      </c>
      <c r="C3033" s="405" t="str">
        <f t="shared" si="377"/>
        <v/>
      </c>
      <c r="D3033" s="405">
        <f t="shared" si="378"/>
        <v>0</v>
      </c>
      <c r="E3033" s="405" t="str">
        <f t="shared" si="379"/>
        <v/>
      </c>
      <c r="F3033" s="405">
        <f t="shared" si="380"/>
        <v>0</v>
      </c>
      <c r="G3033" s="405">
        <f t="shared" si="381"/>
        <v>0</v>
      </c>
      <c r="H3033" s="405">
        <f t="shared" si="382"/>
        <v>0</v>
      </c>
    </row>
    <row r="3034" spans="1:8">
      <c r="A3034" s="363" t="str">
        <f t="shared" si="383"/>
        <v/>
      </c>
      <c r="B3034" s="363" t="str">
        <f t="shared" si="376"/>
        <v/>
      </c>
      <c r="C3034" s="405" t="str">
        <f t="shared" si="377"/>
        <v/>
      </c>
      <c r="D3034" s="405">
        <f t="shared" si="378"/>
        <v>0</v>
      </c>
      <c r="E3034" s="405" t="str">
        <f t="shared" si="379"/>
        <v/>
      </c>
      <c r="F3034" s="405">
        <f t="shared" si="380"/>
        <v>0</v>
      </c>
      <c r="G3034" s="405">
        <f t="shared" si="381"/>
        <v>0</v>
      </c>
      <c r="H3034" s="405">
        <f t="shared" si="382"/>
        <v>0</v>
      </c>
    </row>
    <row r="3035" spans="1:8">
      <c r="A3035" s="363" t="str">
        <f t="shared" si="383"/>
        <v/>
      </c>
      <c r="B3035" s="363" t="str">
        <f t="shared" si="376"/>
        <v/>
      </c>
      <c r="C3035" s="405" t="str">
        <f t="shared" si="377"/>
        <v/>
      </c>
      <c r="D3035" s="405">
        <f t="shared" si="378"/>
        <v>0</v>
      </c>
      <c r="E3035" s="405" t="str">
        <f t="shared" si="379"/>
        <v/>
      </c>
      <c r="F3035" s="405">
        <f t="shared" si="380"/>
        <v>0</v>
      </c>
      <c r="G3035" s="405">
        <f t="shared" si="381"/>
        <v>0</v>
      </c>
      <c r="H3035" s="405">
        <f t="shared" si="382"/>
        <v>0</v>
      </c>
    </row>
    <row r="3036" spans="1:8">
      <c r="A3036" s="363" t="str">
        <f t="shared" si="383"/>
        <v/>
      </c>
      <c r="B3036" s="363" t="str">
        <f t="shared" si="376"/>
        <v/>
      </c>
      <c r="C3036" s="405" t="str">
        <f t="shared" si="377"/>
        <v/>
      </c>
      <c r="D3036" s="405">
        <f t="shared" si="378"/>
        <v>0</v>
      </c>
      <c r="E3036" s="405" t="str">
        <f t="shared" si="379"/>
        <v/>
      </c>
      <c r="F3036" s="405">
        <f t="shared" si="380"/>
        <v>0</v>
      </c>
      <c r="G3036" s="405">
        <f t="shared" si="381"/>
        <v>0</v>
      </c>
      <c r="H3036" s="405">
        <f t="shared" si="382"/>
        <v>0</v>
      </c>
    </row>
    <row r="3037" spans="1:8">
      <c r="A3037" s="363" t="str">
        <f t="shared" si="383"/>
        <v/>
      </c>
      <c r="B3037" s="363" t="str">
        <f t="shared" si="376"/>
        <v/>
      </c>
      <c r="C3037" s="405" t="str">
        <f t="shared" si="377"/>
        <v/>
      </c>
      <c r="D3037" s="405">
        <f t="shared" si="378"/>
        <v>0</v>
      </c>
      <c r="E3037" s="405" t="str">
        <f t="shared" si="379"/>
        <v/>
      </c>
      <c r="F3037" s="405">
        <f t="shared" si="380"/>
        <v>0</v>
      </c>
      <c r="G3037" s="405">
        <f t="shared" si="381"/>
        <v>0</v>
      </c>
      <c r="H3037" s="405">
        <f t="shared" si="382"/>
        <v>0</v>
      </c>
    </row>
    <row r="3038" spans="1:8">
      <c r="A3038" s="363" t="str">
        <f t="shared" si="383"/>
        <v/>
      </c>
      <c r="B3038" s="363" t="str">
        <f t="shared" si="376"/>
        <v/>
      </c>
      <c r="C3038" s="405" t="str">
        <f t="shared" si="377"/>
        <v/>
      </c>
      <c r="D3038" s="405">
        <f t="shared" si="378"/>
        <v>0</v>
      </c>
      <c r="E3038" s="405" t="str">
        <f t="shared" si="379"/>
        <v/>
      </c>
      <c r="F3038" s="405">
        <f t="shared" si="380"/>
        <v>0</v>
      </c>
      <c r="G3038" s="405">
        <f t="shared" si="381"/>
        <v>0</v>
      </c>
      <c r="H3038" s="405">
        <f t="shared" si="382"/>
        <v>0</v>
      </c>
    </row>
    <row r="3039" spans="1:8">
      <c r="A3039" s="363" t="str">
        <f t="shared" si="383"/>
        <v/>
      </c>
      <c r="B3039" s="363" t="str">
        <f t="shared" si="376"/>
        <v/>
      </c>
      <c r="C3039" s="405" t="str">
        <f t="shared" si="377"/>
        <v/>
      </c>
      <c r="D3039" s="405">
        <f t="shared" si="378"/>
        <v>0</v>
      </c>
      <c r="E3039" s="405" t="str">
        <f t="shared" si="379"/>
        <v/>
      </c>
      <c r="F3039" s="405">
        <f t="shared" si="380"/>
        <v>0</v>
      </c>
      <c r="G3039" s="405">
        <f t="shared" si="381"/>
        <v>0</v>
      </c>
      <c r="H3039" s="405">
        <f t="shared" si="382"/>
        <v>0</v>
      </c>
    </row>
    <row r="3040" spans="1:8">
      <c r="A3040" s="363" t="str">
        <f t="shared" si="383"/>
        <v/>
      </c>
      <c r="B3040" s="363" t="str">
        <f t="shared" si="376"/>
        <v/>
      </c>
      <c r="C3040" s="405" t="str">
        <f t="shared" si="377"/>
        <v/>
      </c>
      <c r="D3040" s="405">
        <f t="shared" si="378"/>
        <v>0</v>
      </c>
      <c r="E3040" s="405" t="str">
        <f t="shared" si="379"/>
        <v/>
      </c>
      <c r="F3040" s="405">
        <f t="shared" si="380"/>
        <v>0</v>
      </c>
      <c r="G3040" s="405">
        <f t="shared" si="381"/>
        <v>0</v>
      </c>
      <c r="H3040" s="405">
        <f t="shared" si="382"/>
        <v>0</v>
      </c>
    </row>
    <row r="3041" spans="1:8">
      <c r="A3041" s="363" t="str">
        <f t="shared" si="383"/>
        <v/>
      </c>
      <c r="B3041" s="363" t="str">
        <f t="shared" si="376"/>
        <v/>
      </c>
      <c r="C3041" s="405" t="str">
        <f t="shared" si="377"/>
        <v/>
      </c>
      <c r="D3041" s="405">
        <f t="shared" si="378"/>
        <v>0</v>
      </c>
      <c r="E3041" s="405" t="str">
        <f t="shared" si="379"/>
        <v/>
      </c>
      <c r="F3041" s="405">
        <f t="shared" si="380"/>
        <v>0</v>
      </c>
      <c r="G3041" s="405">
        <f t="shared" si="381"/>
        <v>0</v>
      </c>
      <c r="H3041" s="405">
        <f t="shared" si="382"/>
        <v>0</v>
      </c>
    </row>
    <row r="3042" spans="1:8">
      <c r="A3042" s="363" t="str">
        <f t="shared" si="383"/>
        <v/>
      </c>
      <c r="B3042" s="363" t="str">
        <f t="shared" si="376"/>
        <v/>
      </c>
      <c r="C3042" s="405" t="str">
        <f t="shared" si="377"/>
        <v/>
      </c>
      <c r="D3042" s="405">
        <f t="shared" si="378"/>
        <v>0</v>
      </c>
      <c r="E3042" s="405" t="str">
        <f t="shared" si="379"/>
        <v/>
      </c>
      <c r="F3042" s="405">
        <f t="shared" si="380"/>
        <v>0</v>
      </c>
      <c r="G3042" s="405">
        <f t="shared" si="381"/>
        <v>0</v>
      </c>
      <c r="H3042" s="405">
        <f t="shared" si="382"/>
        <v>0</v>
      </c>
    </row>
    <row r="3043" spans="1:8">
      <c r="A3043" s="363" t="str">
        <f t="shared" si="383"/>
        <v/>
      </c>
      <c r="B3043" s="363" t="str">
        <f t="shared" si="376"/>
        <v/>
      </c>
      <c r="C3043" s="405" t="str">
        <f t="shared" si="377"/>
        <v/>
      </c>
      <c r="D3043" s="405">
        <f t="shared" si="378"/>
        <v>0</v>
      </c>
      <c r="E3043" s="405" t="str">
        <f t="shared" si="379"/>
        <v/>
      </c>
      <c r="F3043" s="405">
        <f t="shared" si="380"/>
        <v>0</v>
      </c>
      <c r="G3043" s="405">
        <f t="shared" si="381"/>
        <v>0</v>
      </c>
      <c r="H3043" s="405">
        <f t="shared" si="382"/>
        <v>0</v>
      </c>
    </row>
    <row r="3044" spans="1:8">
      <c r="A3044" s="363" t="str">
        <f t="shared" si="383"/>
        <v/>
      </c>
      <c r="B3044" s="363" t="str">
        <f t="shared" si="376"/>
        <v/>
      </c>
      <c r="C3044" s="405" t="str">
        <f t="shared" si="377"/>
        <v/>
      </c>
      <c r="D3044" s="405">
        <f t="shared" si="378"/>
        <v>0</v>
      </c>
      <c r="E3044" s="405" t="str">
        <f t="shared" si="379"/>
        <v/>
      </c>
      <c r="F3044" s="405">
        <f t="shared" si="380"/>
        <v>0</v>
      </c>
      <c r="G3044" s="405">
        <f t="shared" si="381"/>
        <v>0</v>
      </c>
      <c r="H3044" s="405">
        <f t="shared" si="382"/>
        <v>0</v>
      </c>
    </row>
    <row r="3045" spans="1:8">
      <c r="A3045" s="363" t="str">
        <f t="shared" si="383"/>
        <v/>
      </c>
      <c r="B3045" s="363" t="str">
        <f t="shared" si="376"/>
        <v/>
      </c>
      <c r="C3045" s="405" t="str">
        <f t="shared" si="377"/>
        <v/>
      </c>
      <c r="D3045" s="405">
        <f t="shared" si="378"/>
        <v>0</v>
      </c>
      <c r="E3045" s="405" t="str">
        <f t="shared" si="379"/>
        <v/>
      </c>
      <c r="F3045" s="405">
        <f t="shared" si="380"/>
        <v>0</v>
      </c>
      <c r="G3045" s="405">
        <f t="shared" si="381"/>
        <v>0</v>
      </c>
      <c r="H3045" s="405">
        <f t="shared" si="382"/>
        <v>0</v>
      </c>
    </row>
    <row r="3046" spans="1:8">
      <c r="A3046" s="363" t="str">
        <f t="shared" si="383"/>
        <v/>
      </c>
      <c r="B3046" s="363" t="str">
        <f t="shared" si="376"/>
        <v/>
      </c>
      <c r="C3046" s="405" t="str">
        <f t="shared" si="377"/>
        <v/>
      </c>
      <c r="D3046" s="405">
        <f t="shared" si="378"/>
        <v>0</v>
      </c>
      <c r="E3046" s="405" t="str">
        <f t="shared" si="379"/>
        <v/>
      </c>
      <c r="F3046" s="405">
        <f t="shared" si="380"/>
        <v>0</v>
      </c>
      <c r="G3046" s="405">
        <f t="shared" si="381"/>
        <v>0</v>
      </c>
      <c r="H3046" s="405">
        <f t="shared" si="382"/>
        <v>0</v>
      </c>
    </row>
    <row r="3047" spans="1:8">
      <c r="A3047" s="363" t="str">
        <f t="shared" si="383"/>
        <v/>
      </c>
      <c r="B3047" s="363" t="str">
        <f t="shared" si="376"/>
        <v/>
      </c>
      <c r="C3047" s="405" t="str">
        <f t="shared" si="377"/>
        <v/>
      </c>
      <c r="D3047" s="405">
        <f t="shared" si="378"/>
        <v>0</v>
      </c>
      <c r="E3047" s="405" t="str">
        <f t="shared" si="379"/>
        <v/>
      </c>
      <c r="F3047" s="405">
        <f t="shared" si="380"/>
        <v>0</v>
      </c>
      <c r="G3047" s="405">
        <f t="shared" si="381"/>
        <v>0</v>
      </c>
      <c r="H3047" s="405">
        <f t="shared" si="382"/>
        <v>0</v>
      </c>
    </row>
    <row r="3048" spans="1:8">
      <c r="A3048" s="363" t="str">
        <f t="shared" si="383"/>
        <v/>
      </c>
      <c r="B3048" s="363" t="str">
        <f t="shared" si="376"/>
        <v/>
      </c>
      <c r="C3048" s="405" t="str">
        <f t="shared" si="377"/>
        <v/>
      </c>
      <c r="D3048" s="405">
        <f t="shared" si="378"/>
        <v>0</v>
      </c>
      <c r="E3048" s="405" t="str">
        <f t="shared" si="379"/>
        <v/>
      </c>
      <c r="F3048" s="405">
        <f t="shared" si="380"/>
        <v>0</v>
      </c>
      <c r="G3048" s="405">
        <f t="shared" si="381"/>
        <v>0</v>
      </c>
      <c r="H3048" s="405">
        <f t="shared" si="382"/>
        <v>0</v>
      </c>
    </row>
    <row r="3049" spans="1:8">
      <c r="A3049" s="363" t="str">
        <f t="shared" si="383"/>
        <v/>
      </c>
      <c r="B3049" s="363" t="str">
        <f t="shared" si="376"/>
        <v/>
      </c>
      <c r="C3049" s="405" t="str">
        <f t="shared" si="377"/>
        <v/>
      </c>
      <c r="D3049" s="405">
        <f t="shared" si="378"/>
        <v>0</v>
      </c>
      <c r="E3049" s="405" t="str">
        <f t="shared" si="379"/>
        <v/>
      </c>
      <c r="F3049" s="405">
        <f t="shared" si="380"/>
        <v>0</v>
      </c>
      <c r="G3049" s="405">
        <f t="shared" si="381"/>
        <v>0</v>
      </c>
      <c r="H3049" s="405">
        <f t="shared" si="382"/>
        <v>0</v>
      </c>
    </row>
    <row r="3050" spans="1:8">
      <c r="A3050" s="363" t="str">
        <f t="shared" si="383"/>
        <v/>
      </c>
      <c r="B3050" s="363" t="str">
        <f t="shared" si="376"/>
        <v/>
      </c>
      <c r="C3050" s="405" t="str">
        <f t="shared" si="377"/>
        <v/>
      </c>
      <c r="D3050" s="405">
        <f t="shared" si="378"/>
        <v>0</v>
      </c>
      <c r="E3050" s="405" t="str">
        <f t="shared" si="379"/>
        <v/>
      </c>
      <c r="F3050" s="405">
        <f t="shared" si="380"/>
        <v>0</v>
      </c>
      <c r="G3050" s="405">
        <f t="shared" si="381"/>
        <v>0</v>
      </c>
      <c r="H3050" s="405">
        <f t="shared" si="382"/>
        <v>0</v>
      </c>
    </row>
    <row r="3051" spans="1:8">
      <c r="A3051" s="363" t="str">
        <f t="shared" si="383"/>
        <v/>
      </c>
      <c r="B3051" s="363" t="str">
        <f t="shared" si="376"/>
        <v/>
      </c>
      <c r="C3051" s="405" t="str">
        <f t="shared" si="377"/>
        <v/>
      </c>
      <c r="D3051" s="405">
        <f t="shared" si="378"/>
        <v>0</v>
      </c>
      <c r="E3051" s="405" t="str">
        <f t="shared" si="379"/>
        <v/>
      </c>
      <c r="F3051" s="405">
        <f t="shared" si="380"/>
        <v>0</v>
      </c>
      <c r="G3051" s="405">
        <f t="shared" si="381"/>
        <v>0</v>
      </c>
      <c r="H3051" s="405">
        <f t="shared" si="382"/>
        <v>0</v>
      </c>
    </row>
    <row r="3052" spans="1:8">
      <c r="A3052" s="363" t="str">
        <f t="shared" si="383"/>
        <v/>
      </c>
      <c r="B3052" s="363" t="str">
        <f t="shared" si="376"/>
        <v/>
      </c>
      <c r="C3052" s="405" t="str">
        <f t="shared" si="377"/>
        <v/>
      </c>
      <c r="D3052" s="405">
        <f t="shared" si="378"/>
        <v>0</v>
      </c>
      <c r="E3052" s="405" t="str">
        <f t="shared" si="379"/>
        <v/>
      </c>
      <c r="F3052" s="405">
        <f t="shared" si="380"/>
        <v>0</v>
      </c>
      <c r="G3052" s="405">
        <f t="shared" si="381"/>
        <v>0</v>
      </c>
      <c r="H3052" s="405">
        <f t="shared" si="382"/>
        <v>0</v>
      </c>
    </row>
    <row r="3053" spans="1:8">
      <c r="A3053" s="363" t="str">
        <f t="shared" si="383"/>
        <v/>
      </c>
      <c r="B3053" s="363" t="str">
        <f t="shared" si="376"/>
        <v/>
      </c>
      <c r="C3053" s="405" t="str">
        <f t="shared" si="377"/>
        <v/>
      </c>
      <c r="D3053" s="405">
        <f t="shared" si="378"/>
        <v>0</v>
      </c>
      <c r="E3053" s="405" t="str">
        <f t="shared" si="379"/>
        <v/>
      </c>
      <c r="F3053" s="405">
        <f t="shared" si="380"/>
        <v>0</v>
      </c>
      <c r="G3053" s="405">
        <f t="shared" si="381"/>
        <v>0</v>
      </c>
      <c r="H3053" s="405">
        <f t="shared" si="382"/>
        <v>0</v>
      </c>
    </row>
    <row r="3054" spans="1:8">
      <c r="A3054" s="363" t="str">
        <f t="shared" si="383"/>
        <v/>
      </c>
      <c r="B3054" s="363" t="str">
        <f t="shared" si="376"/>
        <v/>
      </c>
      <c r="C3054" s="405" t="str">
        <f t="shared" si="377"/>
        <v/>
      </c>
      <c r="D3054" s="405">
        <f t="shared" si="378"/>
        <v>0</v>
      </c>
      <c r="E3054" s="405" t="str">
        <f t="shared" si="379"/>
        <v/>
      </c>
      <c r="F3054" s="405">
        <f t="shared" si="380"/>
        <v>0</v>
      </c>
      <c r="G3054" s="405">
        <f t="shared" si="381"/>
        <v>0</v>
      </c>
      <c r="H3054" s="405">
        <f t="shared" si="382"/>
        <v>0</v>
      </c>
    </row>
    <row r="3055" spans="1:8">
      <c r="A3055" s="363" t="str">
        <f t="shared" si="383"/>
        <v/>
      </c>
      <c r="B3055" s="363" t="str">
        <f t="shared" si="376"/>
        <v/>
      </c>
      <c r="C3055" s="405" t="str">
        <f t="shared" si="377"/>
        <v/>
      </c>
      <c r="D3055" s="405">
        <f t="shared" si="378"/>
        <v>0</v>
      </c>
      <c r="E3055" s="405" t="str">
        <f t="shared" si="379"/>
        <v/>
      </c>
      <c r="F3055" s="405">
        <f t="shared" si="380"/>
        <v>0</v>
      </c>
      <c r="G3055" s="405">
        <f t="shared" si="381"/>
        <v>0</v>
      </c>
      <c r="H3055" s="405">
        <f t="shared" si="382"/>
        <v>0</v>
      </c>
    </row>
    <row r="3056" spans="1:8">
      <c r="A3056" s="363" t="str">
        <f t="shared" si="383"/>
        <v/>
      </c>
      <c r="B3056" s="363" t="str">
        <f t="shared" si="376"/>
        <v/>
      </c>
      <c r="C3056" s="405" t="str">
        <f t="shared" si="377"/>
        <v/>
      </c>
      <c r="D3056" s="405">
        <f t="shared" si="378"/>
        <v>0</v>
      </c>
      <c r="E3056" s="405" t="str">
        <f t="shared" si="379"/>
        <v/>
      </c>
      <c r="F3056" s="405">
        <f t="shared" si="380"/>
        <v>0</v>
      </c>
      <c r="G3056" s="405">
        <f t="shared" si="381"/>
        <v>0</v>
      </c>
      <c r="H3056" s="405">
        <f t="shared" si="382"/>
        <v>0</v>
      </c>
    </row>
    <row r="3057" spans="1:8">
      <c r="A3057" s="363" t="str">
        <f t="shared" si="383"/>
        <v/>
      </c>
      <c r="B3057" s="363" t="str">
        <f t="shared" si="376"/>
        <v/>
      </c>
      <c r="C3057" s="405" t="str">
        <f t="shared" si="377"/>
        <v/>
      </c>
      <c r="D3057" s="405">
        <f t="shared" si="378"/>
        <v>0</v>
      </c>
      <c r="E3057" s="405" t="str">
        <f t="shared" si="379"/>
        <v/>
      </c>
      <c r="F3057" s="405">
        <f t="shared" si="380"/>
        <v>0</v>
      </c>
      <c r="G3057" s="405">
        <f t="shared" si="381"/>
        <v>0</v>
      </c>
      <c r="H3057" s="405">
        <f t="shared" si="382"/>
        <v>0</v>
      </c>
    </row>
    <row r="3058" spans="1:8">
      <c r="A3058" s="363" t="str">
        <f t="shared" si="383"/>
        <v/>
      </c>
      <c r="B3058" s="363" t="str">
        <f t="shared" si="376"/>
        <v/>
      </c>
      <c r="C3058" s="405" t="str">
        <f t="shared" si="377"/>
        <v/>
      </c>
      <c r="D3058" s="405">
        <f t="shared" si="378"/>
        <v>0</v>
      </c>
      <c r="E3058" s="405" t="str">
        <f t="shared" si="379"/>
        <v/>
      </c>
      <c r="F3058" s="405">
        <f t="shared" si="380"/>
        <v>0</v>
      </c>
      <c r="G3058" s="405">
        <f t="shared" si="381"/>
        <v>0</v>
      </c>
      <c r="H3058" s="405">
        <f t="shared" si="382"/>
        <v>0</v>
      </c>
    </row>
    <row r="3059" spans="1:8">
      <c r="A3059" s="363" t="str">
        <f t="shared" si="383"/>
        <v/>
      </c>
      <c r="B3059" s="363" t="str">
        <f t="shared" si="376"/>
        <v/>
      </c>
      <c r="C3059" s="405" t="str">
        <f t="shared" si="377"/>
        <v/>
      </c>
      <c r="D3059" s="405">
        <f t="shared" si="378"/>
        <v>0</v>
      </c>
      <c r="E3059" s="405" t="str">
        <f t="shared" si="379"/>
        <v/>
      </c>
      <c r="F3059" s="405">
        <f t="shared" si="380"/>
        <v>0</v>
      </c>
      <c r="G3059" s="405">
        <f t="shared" si="381"/>
        <v>0</v>
      </c>
      <c r="H3059" s="405">
        <f t="shared" si="382"/>
        <v>0</v>
      </c>
    </row>
    <row r="3060" spans="1:8">
      <c r="A3060" s="363" t="str">
        <f t="shared" si="383"/>
        <v/>
      </c>
      <c r="B3060" s="363" t="str">
        <f t="shared" si="376"/>
        <v/>
      </c>
      <c r="C3060" s="405" t="str">
        <f t="shared" si="377"/>
        <v/>
      </c>
      <c r="D3060" s="405">
        <f t="shared" si="378"/>
        <v>0</v>
      </c>
      <c r="E3060" s="405" t="str">
        <f t="shared" si="379"/>
        <v/>
      </c>
      <c r="F3060" s="405">
        <f t="shared" si="380"/>
        <v>0</v>
      </c>
      <c r="G3060" s="405">
        <f t="shared" si="381"/>
        <v>0</v>
      </c>
      <c r="H3060" s="405">
        <f t="shared" si="382"/>
        <v>0</v>
      </c>
    </row>
    <row r="3061" spans="1:8">
      <c r="A3061" s="363" t="str">
        <f t="shared" si="383"/>
        <v/>
      </c>
      <c r="B3061" s="363" t="str">
        <f t="shared" si="376"/>
        <v/>
      </c>
      <c r="C3061" s="405" t="str">
        <f t="shared" si="377"/>
        <v/>
      </c>
      <c r="D3061" s="405">
        <f t="shared" si="378"/>
        <v>0</v>
      </c>
      <c r="E3061" s="405" t="str">
        <f t="shared" si="379"/>
        <v/>
      </c>
      <c r="F3061" s="405">
        <f t="shared" si="380"/>
        <v>0</v>
      </c>
      <c r="G3061" s="405">
        <f t="shared" si="381"/>
        <v>0</v>
      </c>
      <c r="H3061" s="405">
        <f t="shared" si="382"/>
        <v>0</v>
      </c>
    </row>
    <row r="3062" spans="1:8">
      <c r="A3062" s="363" t="str">
        <f t="shared" si="383"/>
        <v/>
      </c>
      <c r="B3062" s="363" t="str">
        <f t="shared" si="376"/>
        <v/>
      </c>
      <c r="C3062" s="405" t="str">
        <f t="shared" si="377"/>
        <v/>
      </c>
      <c r="D3062" s="405">
        <f t="shared" si="378"/>
        <v>0</v>
      </c>
      <c r="E3062" s="405" t="str">
        <f t="shared" si="379"/>
        <v/>
      </c>
      <c r="F3062" s="405">
        <f t="shared" si="380"/>
        <v>0</v>
      </c>
      <c r="G3062" s="405">
        <f t="shared" si="381"/>
        <v>0</v>
      </c>
      <c r="H3062" s="405">
        <f t="shared" si="382"/>
        <v>0</v>
      </c>
    </row>
    <row r="3063" spans="1:8">
      <c r="A3063" s="363" t="str">
        <f t="shared" si="383"/>
        <v/>
      </c>
      <c r="B3063" s="363" t="str">
        <f t="shared" si="376"/>
        <v/>
      </c>
      <c r="C3063" s="405" t="str">
        <f t="shared" si="377"/>
        <v/>
      </c>
      <c r="D3063" s="405">
        <f t="shared" si="378"/>
        <v>0</v>
      </c>
      <c r="E3063" s="405" t="str">
        <f t="shared" si="379"/>
        <v/>
      </c>
      <c r="F3063" s="405">
        <f t="shared" si="380"/>
        <v>0</v>
      </c>
      <c r="G3063" s="405">
        <f t="shared" si="381"/>
        <v>0</v>
      </c>
      <c r="H3063" s="405">
        <f t="shared" si="382"/>
        <v>0</v>
      </c>
    </row>
    <row r="3064" spans="1:8">
      <c r="A3064" s="363" t="str">
        <f t="shared" si="383"/>
        <v/>
      </c>
      <c r="B3064" s="363" t="str">
        <f t="shared" si="376"/>
        <v/>
      </c>
      <c r="C3064" s="405" t="str">
        <f t="shared" si="377"/>
        <v/>
      </c>
      <c r="D3064" s="405">
        <f t="shared" si="378"/>
        <v>0</v>
      </c>
      <c r="E3064" s="405" t="str">
        <f t="shared" si="379"/>
        <v/>
      </c>
      <c r="F3064" s="405">
        <f t="shared" si="380"/>
        <v>0</v>
      </c>
      <c r="G3064" s="405">
        <f t="shared" si="381"/>
        <v>0</v>
      </c>
      <c r="H3064" s="405">
        <f t="shared" si="382"/>
        <v>0</v>
      </c>
    </row>
    <row r="3065" spans="1:8">
      <c r="A3065" s="363" t="str">
        <f t="shared" si="383"/>
        <v/>
      </c>
      <c r="B3065" s="363" t="str">
        <f t="shared" si="376"/>
        <v/>
      </c>
      <c r="C3065" s="405" t="str">
        <f t="shared" si="377"/>
        <v/>
      </c>
      <c r="D3065" s="405">
        <f t="shared" si="378"/>
        <v>0</v>
      </c>
      <c r="E3065" s="405" t="str">
        <f t="shared" si="379"/>
        <v/>
      </c>
      <c r="F3065" s="405">
        <f t="shared" si="380"/>
        <v>0</v>
      </c>
      <c r="G3065" s="405">
        <f t="shared" si="381"/>
        <v>0</v>
      </c>
      <c r="H3065" s="405">
        <f t="shared" si="382"/>
        <v>0</v>
      </c>
    </row>
    <row r="3066" spans="1:8">
      <c r="A3066" s="363" t="str">
        <f t="shared" si="383"/>
        <v/>
      </c>
      <c r="B3066" s="363" t="str">
        <f t="shared" si="376"/>
        <v/>
      </c>
      <c r="C3066" s="405" t="str">
        <f t="shared" si="377"/>
        <v/>
      </c>
      <c r="D3066" s="405">
        <f t="shared" si="378"/>
        <v>0</v>
      </c>
      <c r="E3066" s="405" t="str">
        <f t="shared" si="379"/>
        <v/>
      </c>
      <c r="F3066" s="405">
        <f t="shared" si="380"/>
        <v>0</v>
      </c>
      <c r="G3066" s="405">
        <f t="shared" si="381"/>
        <v>0</v>
      </c>
      <c r="H3066" s="405">
        <f t="shared" si="382"/>
        <v>0</v>
      </c>
    </row>
    <row r="3067" spans="1:8">
      <c r="A3067" s="363" t="str">
        <f t="shared" si="383"/>
        <v/>
      </c>
      <c r="B3067" s="363" t="str">
        <f t="shared" si="376"/>
        <v/>
      </c>
      <c r="C3067" s="405" t="str">
        <f t="shared" si="377"/>
        <v/>
      </c>
      <c r="D3067" s="405">
        <f t="shared" si="378"/>
        <v>0</v>
      </c>
      <c r="E3067" s="405" t="str">
        <f t="shared" si="379"/>
        <v/>
      </c>
      <c r="F3067" s="405">
        <f t="shared" si="380"/>
        <v>0</v>
      </c>
      <c r="G3067" s="405">
        <f t="shared" si="381"/>
        <v>0</v>
      </c>
      <c r="H3067" s="405">
        <f t="shared" si="382"/>
        <v>0</v>
      </c>
    </row>
    <row r="3068" spans="1:8">
      <c r="A3068" s="363" t="str">
        <f t="shared" si="383"/>
        <v/>
      </c>
      <c r="B3068" s="363" t="str">
        <f t="shared" si="376"/>
        <v/>
      </c>
      <c r="C3068" s="405" t="str">
        <f t="shared" si="377"/>
        <v/>
      </c>
      <c r="D3068" s="405">
        <f t="shared" si="378"/>
        <v>0</v>
      </c>
      <c r="E3068" s="405" t="str">
        <f t="shared" si="379"/>
        <v/>
      </c>
      <c r="F3068" s="405">
        <f t="shared" si="380"/>
        <v>0</v>
      </c>
      <c r="G3068" s="405">
        <f t="shared" si="381"/>
        <v>0</v>
      </c>
      <c r="H3068" s="405">
        <f t="shared" si="382"/>
        <v>0</v>
      </c>
    </row>
    <row r="3069" spans="1:8">
      <c r="A3069" s="363" t="str">
        <f t="shared" si="383"/>
        <v/>
      </c>
      <c r="B3069" s="363" t="str">
        <f t="shared" si="376"/>
        <v/>
      </c>
      <c r="C3069" s="405" t="str">
        <f t="shared" si="377"/>
        <v/>
      </c>
      <c r="D3069" s="405">
        <f t="shared" si="378"/>
        <v>0</v>
      </c>
      <c r="E3069" s="405" t="str">
        <f t="shared" si="379"/>
        <v/>
      </c>
      <c r="F3069" s="405">
        <f t="shared" si="380"/>
        <v>0</v>
      </c>
      <c r="G3069" s="405">
        <f t="shared" si="381"/>
        <v>0</v>
      </c>
      <c r="H3069" s="405">
        <f t="shared" si="382"/>
        <v>0</v>
      </c>
    </row>
    <row r="3070" spans="1:8">
      <c r="A3070" s="363" t="str">
        <f t="shared" si="383"/>
        <v/>
      </c>
      <c r="B3070" s="363" t="str">
        <f t="shared" si="376"/>
        <v/>
      </c>
      <c r="C3070" s="405" t="str">
        <f t="shared" si="377"/>
        <v/>
      </c>
      <c r="D3070" s="405">
        <f t="shared" si="378"/>
        <v>0</v>
      </c>
      <c r="E3070" s="405" t="str">
        <f t="shared" si="379"/>
        <v/>
      </c>
      <c r="F3070" s="405">
        <f t="shared" si="380"/>
        <v>0</v>
      </c>
      <c r="G3070" s="405">
        <f t="shared" si="381"/>
        <v>0</v>
      </c>
      <c r="H3070" s="405">
        <f t="shared" si="382"/>
        <v>0</v>
      </c>
    </row>
    <row r="3071" spans="1:8">
      <c r="A3071" s="363" t="str">
        <f t="shared" si="383"/>
        <v/>
      </c>
      <c r="B3071" s="363" t="str">
        <f t="shared" si="376"/>
        <v/>
      </c>
      <c r="C3071" s="405" t="str">
        <f t="shared" si="377"/>
        <v/>
      </c>
      <c r="D3071" s="405">
        <f t="shared" si="378"/>
        <v>0</v>
      </c>
      <c r="E3071" s="405" t="str">
        <f t="shared" si="379"/>
        <v/>
      </c>
      <c r="F3071" s="405">
        <f t="shared" si="380"/>
        <v>0</v>
      </c>
      <c r="G3071" s="405">
        <f t="shared" si="381"/>
        <v>0</v>
      </c>
      <c r="H3071" s="405">
        <f t="shared" si="382"/>
        <v>0</v>
      </c>
    </row>
    <row r="3072" spans="1:8">
      <c r="A3072" s="363" t="str">
        <f t="shared" si="383"/>
        <v/>
      </c>
      <c r="B3072" s="363" t="str">
        <f t="shared" si="376"/>
        <v/>
      </c>
      <c r="C3072" s="405" t="str">
        <f t="shared" si="377"/>
        <v/>
      </c>
      <c r="D3072" s="405">
        <f t="shared" si="378"/>
        <v>0</v>
      </c>
      <c r="E3072" s="405" t="str">
        <f t="shared" si="379"/>
        <v/>
      </c>
      <c r="F3072" s="405">
        <f t="shared" si="380"/>
        <v>0</v>
      </c>
      <c r="G3072" s="405">
        <f t="shared" si="381"/>
        <v>0</v>
      </c>
      <c r="H3072" s="405">
        <f t="shared" si="382"/>
        <v>0</v>
      </c>
    </row>
    <row r="3073" spans="1:8">
      <c r="A3073" s="363" t="str">
        <f t="shared" si="383"/>
        <v/>
      </c>
      <c r="B3073" s="363" t="str">
        <f t="shared" si="376"/>
        <v/>
      </c>
      <c r="C3073" s="405" t="str">
        <f t="shared" si="377"/>
        <v/>
      </c>
      <c r="D3073" s="405">
        <f t="shared" si="378"/>
        <v>0</v>
      </c>
      <c r="E3073" s="405" t="str">
        <f t="shared" si="379"/>
        <v/>
      </c>
      <c r="F3073" s="405">
        <f t="shared" si="380"/>
        <v>0</v>
      </c>
      <c r="G3073" s="405">
        <f t="shared" si="381"/>
        <v>0</v>
      </c>
      <c r="H3073" s="405">
        <f t="shared" si="382"/>
        <v>0</v>
      </c>
    </row>
    <row r="3074" spans="1:8">
      <c r="A3074" s="363" t="str">
        <f t="shared" si="383"/>
        <v/>
      </c>
      <c r="B3074" s="363" t="str">
        <f t="shared" ref="B3074:B3137" si="384">LEFT(L3074,2)</f>
        <v/>
      </c>
      <c r="C3074" s="405" t="str">
        <f t="shared" ref="C3074:C3137" si="385">IF(B3074="","","第"&amp;RIGHT(L3074,6)&amp;"号")</f>
        <v/>
      </c>
      <c r="D3074" s="405">
        <f t="shared" ref="D3074:D3137" si="386">N3074</f>
        <v>0</v>
      </c>
      <c r="E3074" s="405" t="str">
        <f t="shared" ref="E3074:E3137" si="387">IF(V3074="　",O3074,"")</f>
        <v/>
      </c>
      <c r="F3074" s="405">
        <f t="shared" ref="F3074:F3137" si="388">IF(V3074="　",P3074,W3074)</f>
        <v>0</v>
      </c>
      <c r="G3074" s="405">
        <f t="shared" ref="G3074:G3137" si="389">IF(V3074="　","主たる営業所",V3074)</f>
        <v>0</v>
      </c>
      <c r="H3074" s="405">
        <f t="shared" ref="H3074:H3137" si="390">IF(V3074="　",R3074,Y3074)</f>
        <v>0</v>
      </c>
    </row>
    <row r="3075" spans="1:8">
      <c r="A3075" s="363" t="str">
        <f t="shared" ref="A3075:A3138" si="391">IF(B3075="","",A3074+1)</f>
        <v/>
      </c>
      <c r="B3075" s="363" t="str">
        <f t="shared" si="384"/>
        <v/>
      </c>
      <c r="C3075" s="405" t="str">
        <f t="shared" si="385"/>
        <v/>
      </c>
      <c r="D3075" s="405">
        <f t="shared" si="386"/>
        <v>0</v>
      </c>
      <c r="E3075" s="405" t="str">
        <f t="shared" si="387"/>
        <v/>
      </c>
      <c r="F3075" s="405">
        <f t="shared" si="388"/>
        <v>0</v>
      </c>
      <c r="G3075" s="405">
        <f t="shared" si="389"/>
        <v>0</v>
      </c>
      <c r="H3075" s="405">
        <f t="shared" si="390"/>
        <v>0</v>
      </c>
    </row>
    <row r="3076" spans="1:8">
      <c r="A3076" s="363" t="str">
        <f t="shared" si="391"/>
        <v/>
      </c>
      <c r="B3076" s="363" t="str">
        <f t="shared" si="384"/>
        <v/>
      </c>
      <c r="C3076" s="405" t="str">
        <f t="shared" si="385"/>
        <v/>
      </c>
      <c r="D3076" s="405">
        <f t="shared" si="386"/>
        <v>0</v>
      </c>
      <c r="E3076" s="405" t="str">
        <f t="shared" si="387"/>
        <v/>
      </c>
      <c r="F3076" s="405">
        <f t="shared" si="388"/>
        <v>0</v>
      </c>
      <c r="G3076" s="405">
        <f t="shared" si="389"/>
        <v>0</v>
      </c>
      <c r="H3076" s="405">
        <f t="shared" si="390"/>
        <v>0</v>
      </c>
    </row>
    <row r="3077" spans="1:8">
      <c r="A3077" s="363" t="str">
        <f t="shared" si="391"/>
        <v/>
      </c>
      <c r="B3077" s="363" t="str">
        <f t="shared" si="384"/>
        <v/>
      </c>
      <c r="C3077" s="405" t="str">
        <f t="shared" si="385"/>
        <v/>
      </c>
      <c r="D3077" s="405">
        <f t="shared" si="386"/>
        <v>0</v>
      </c>
      <c r="E3077" s="405" t="str">
        <f t="shared" si="387"/>
        <v/>
      </c>
      <c r="F3077" s="405">
        <f t="shared" si="388"/>
        <v>0</v>
      </c>
      <c r="G3077" s="405">
        <f t="shared" si="389"/>
        <v>0</v>
      </c>
      <c r="H3077" s="405">
        <f t="shared" si="390"/>
        <v>0</v>
      </c>
    </row>
    <row r="3078" spans="1:8">
      <c r="A3078" s="363" t="str">
        <f t="shared" si="391"/>
        <v/>
      </c>
      <c r="B3078" s="363" t="str">
        <f t="shared" si="384"/>
        <v/>
      </c>
      <c r="C3078" s="405" t="str">
        <f t="shared" si="385"/>
        <v/>
      </c>
      <c r="D3078" s="405">
        <f t="shared" si="386"/>
        <v>0</v>
      </c>
      <c r="E3078" s="405" t="str">
        <f t="shared" si="387"/>
        <v/>
      </c>
      <c r="F3078" s="405">
        <f t="shared" si="388"/>
        <v>0</v>
      </c>
      <c r="G3078" s="405">
        <f t="shared" si="389"/>
        <v>0</v>
      </c>
      <c r="H3078" s="405">
        <f t="shared" si="390"/>
        <v>0</v>
      </c>
    </row>
    <row r="3079" spans="1:8">
      <c r="A3079" s="363" t="str">
        <f t="shared" si="391"/>
        <v/>
      </c>
      <c r="B3079" s="363" t="str">
        <f t="shared" si="384"/>
        <v/>
      </c>
      <c r="C3079" s="405" t="str">
        <f t="shared" si="385"/>
        <v/>
      </c>
      <c r="D3079" s="405">
        <f t="shared" si="386"/>
        <v>0</v>
      </c>
      <c r="E3079" s="405" t="str">
        <f t="shared" si="387"/>
        <v/>
      </c>
      <c r="F3079" s="405">
        <f t="shared" si="388"/>
        <v>0</v>
      </c>
      <c r="G3079" s="405">
        <f t="shared" si="389"/>
        <v>0</v>
      </c>
      <c r="H3079" s="405">
        <f t="shared" si="390"/>
        <v>0</v>
      </c>
    </row>
    <row r="3080" spans="1:8">
      <c r="A3080" s="363" t="str">
        <f t="shared" si="391"/>
        <v/>
      </c>
      <c r="B3080" s="363" t="str">
        <f t="shared" si="384"/>
        <v/>
      </c>
      <c r="C3080" s="405" t="str">
        <f t="shared" si="385"/>
        <v/>
      </c>
      <c r="D3080" s="405">
        <f t="shared" si="386"/>
        <v>0</v>
      </c>
      <c r="E3080" s="405" t="str">
        <f t="shared" si="387"/>
        <v/>
      </c>
      <c r="F3080" s="405">
        <f t="shared" si="388"/>
        <v>0</v>
      </c>
      <c r="G3080" s="405">
        <f t="shared" si="389"/>
        <v>0</v>
      </c>
      <c r="H3080" s="405">
        <f t="shared" si="390"/>
        <v>0</v>
      </c>
    </row>
    <row r="3081" spans="1:8">
      <c r="A3081" s="363" t="str">
        <f t="shared" si="391"/>
        <v/>
      </c>
      <c r="B3081" s="363" t="str">
        <f t="shared" si="384"/>
        <v/>
      </c>
      <c r="C3081" s="405" t="str">
        <f t="shared" si="385"/>
        <v/>
      </c>
      <c r="D3081" s="405">
        <f t="shared" si="386"/>
        <v>0</v>
      </c>
      <c r="E3081" s="405" t="str">
        <f t="shared" si="387"/>
        <v/>
      </c>
      <c r="F3081" s="405">
        <f t="shared" si="388"/>
        <v>0</v>
      </c>
      <c r="G3081" s="405">
        <f t="shared" si="389"/>
        <v>0</v>
      </c>
      <c r="H3081" s="405">
        <f t="shared" si="390"/>
        <v>0</v>
      </c>
    </row>
    <row r="3082" spans="1:8">
      <c r="A3082" s="363" t="str">
        <f t="shared" si="391"/>
        <v/>
      </c>
      <c r="B3082" s="363" t="str">
        <f t="shared" si="384"/>
        <v/>
      </c>
      <c r="C3082" s="405" t="str">
        <f t="shared" si="385"/>
        <v/>
      </c>
      <c r="D3082" s="405">
        <f t="shared" si="386"/>
        <v>0</v>
      </c>
      <c r="E3082" s="405" t="str">
        <f t="shared" si="387"/>
        <v/>
      </c>
      <c r="F3082" s="405">
        <f t="shared" si="388"/>
        <v>0</v>
      </c>
      <c r="G3082" s="405">
        <f t="shared" si="389"/>
        <v>0</v>
      </c>
      <c r="H3082" s="405">
        <f t="shared" si="390"/>
        <v>0</v>
      </c>
    </row>
    <row r="3083" spans="1:8">
      <c r="A3083" s="363" t="str">
        <f t="shared" si="391"/>
        <v/>
      </c>
      <c r="B3083" s="363" t="str">
        <f t="shared" si="384"/>
        <v/>
      </c>
      <c r="C3083" s="405" t="str">
        <f t="shared" si="385"/>
        <v/>
      </c>
      <c r="D3083" s="405">
        <f t="shared" si="386"/>
        <v>0</v>
      </c>
      <c r="E3083" s="405" t="str">
        <f t="shared" si="387"/>
        <v/>
      </c>
      <c r="F3083" s="405">
        <f t="shared" si="388"/>
        <v>0</v>
      </c>
      <c r="G3083" s="405">
        <f t="shared" si="389"/>
        <v>0</v>
      </c>
      <c r="H3083" s="405">
        <f t="shared" si="390"/>
        <v>0</v>
      </c>
    </row>
    <row r="3084" spans="1:8">
      <c r="A3084" s="363" t="str">
        <f t="shared" si="391"/>
        <v/>
      </c>
      <c r="B3084" s="363" t="str">
        <f t="shared" si="384"/>
        <v/>
      </c>
      <c r="C3084" s="405" t="str">
        <f t="shared" si="385"/>
        <v/>
      </c>
      <c r="D3084" s="405">
        <f t="shared" si="386"/>
        <v>0</v>
      </c>
      <c r="E3084" s="405" t="str">
        <f t="shared" si="387"/>
        <v/>
      </c>
      <c r="F3084" s="405">
        <f t="shared" si="388"/>
        <v>0</v>
      </c>
      <c r="G3084" s="405">
        <f t="shared" si="389"/>
        <v>0</v>
      </c>
      <c r="H3084" s="405">
        <f t="shared" si="390"/>
        <v>0</v>
      </c>
    </row>
    <row r="3085" spans="1:8">
      <c r="A3085" s="363" t="str">
        <f t="shared" si="391"/>
        <v/>
      </c>
      <c r="B3085" s="363" t="str">
        <f t="shared" si="384"/>
        <v/>
      </c>
      <c r="C3085" s="405" t="str">
        <f t="shared" si="385"/>
        <v/>
      </c>
      <c r="D3085" s="405">
        <f t="shared" si="386"/>
        <v>0</v>
      </c>
      <c r="E3085" s="405" t="str">
        <f t="shared" si="387"/>
        <v/>
      </c>
      <c r="F3085" s="405">
        <f t="shared" si="388"/>
        <v>0</v>
      </c>
      <c r="G3085" s="405">
        <f t="shared" si="389"/>
        <v>0</v>
      </c>
      <c r="H3085" s="405">
        <f t="shared" si="390"/>
        <v>0</v>
      </c>
    </row>
    <row r="3086" spans="1:8">
      <c r="A3086" s="363" t="str">
        <f t="shared" si="391"/>
        <v/>
      </c>
      <c r="B3086" s="363" t="str">
        <f t="shared" si="384"/>
        <v/>
      </c>
      <c r="C3086" s="405" t="str">
        <f t="shared" si="385"/>
        <v/>
      </c>
      <c r="D3086" s="405">
        <f t="shared" si="386"/>
        <v>0</v>
      </c>
      <c r="E3086" s="405" t="str">
        <f t="shared" si="387"/>
        <v/>
      </c>
      <c r="F3086" s="405">
        <f t="shared" si="388"/>
        <v>0</v>
      </c>
      <c r="G3086" s="405">
        <f t="shared" si="389"/>
        <v>0</v>
      </c>
      <c r="H3086" s="405">
        <f t="shared" si="390"/>
        <v>0</v>
      </c>
    </row>
    <row r="3087" spans="1:8">
      <c r="A3087" s="363" t="str">
        <f t="shared" si="391"/>
        <v/>
      </c>
      <c r="B3087" s="363" t="str">
        <f t="shared" si="384"/>
        <v/>
      </c>
      <c r="C3087" s="405" t="str">
        <f t="shared" si="385"/>
        <v/>
      </c>
      <c r="D3087" s="405">
        <f t="shared" si="386"/>
        <v>0</v>
      </c>
      <c r="E3087" s="405" t="str">
        <f t="shared" si="387"/>
        <v/>
      </c>
      <c r="F3087" s="405">
        <f t="shared" si="388"/>
        <v>0</v>
      </c>
      <c r="G3087" s="405">
        <f t="shared" si="389"/>
        <v>0</v>
      </c>
      <c r="H3087" s="405">
        <f t="shared" si="390"/>
        <v>0</v>
      </c>
    </row>
    <row r="3088" spans="1:8">
      <c r="A3088" s="363" t="str">
        <f t="shared" si="391"/>
        <v/>
      </c>
      <c r="B3088" s="363" t="str">
        <f t="shared" si="384"/>
        <v/>
      </c>
      <c r="C3088" s="405" t="str">
        <f t="shared" si="385"/>
        <v/>
      </c>
      <c r="D3088" s="405">
        <f t="shared" si="386"/>
        <v>0</v>
      </c>
      <c r="E3088" s="405" t="str">
        <f t="shared" si="387"/>
        <v/>
      </c>
      <c r="F3088" s="405">
        <f t="shared" si="388"/>
        <v>0</v>
      </c>
      <c r="G3088" s="405">
        <f t="shared" si="389"/>
        <v>0</v>
      </c>
      <c r="H3088" s="405">
        <f t="shared" si="390"/>
        <v>0</v>
      </c>
    </row>
    <row r="3089" spans="1:8">
      <c r="A3089" s="363" t="str">
        <f t="shared" si="391"/>
        <v/>
      </c>
      <c r="B3089" s="363" t="str">
        <f t="shared" si="384"/>
        <v/>
      </c>
      <c r="C3089" s="405" t="str">
        <f t="shared" si="385"/>
        <v/>
      </c>
      <c r="D3089" s="405">
        <f t="shared" si="386"/>
        <v>0</v>
      </c>
      <c r="E3089" s="405" t="str">
        <f t="shared" si="387"/>
        <v/>
      </c>
      <c r="F3089" s="405">
        <f t="shared" si="388"/>
        <v>0</v>
      </c>
      <c r="G3089" s="405">
        <f t="shared" si="389"/>
        <v>0</v>
      </c>
      <c r="H3089" s="405">
        <f t="shared" si="390"/>
        <v>0</v>
      </c>
    </row>
    <row r="3090" spans="1:8">
      <c r="A3090" s="363" t="str">
        <f t="shared" si="391"/>
        <v/>
      </c>
      <c r="B3090" s="363" t="str">
        <f t="shared" si="384"/>
        <v/>
      </c>
      <c r="C3090" s="405" t="str">
        <f t="shared" si="385"/>
        <v/>
      </c>
      <c r="D3090" s="405">
        <f t="shared" si="386"/>
        <v>0</v>
      </c>
      <c r="E3090" s="405" t="str">
        <f t="shared" si="387"/>
        <v/>
      </c>
      <c r="F3090" s="405">
        <f t="shared" si="388"/>
        <v>0</v>
      </c>
      <c r="G3090" s="405">
        <f t="shared" si="389"/>
        <v>0</v>
      </c>
      <c r="H3090" s="405">
        <f t="shared" si="390"/>
        <v>0</v>
      </c>
    </row>
    <row r="3091" spans="1:8">
      <c r="A3091" s="363" t="str">
        <f t="shared" si="391"/>
        <v/>
      </c>
      <c r="B3091" s="363" t="str">
        <f t="shared" si="384"/>
        <v/>
      </c>
      <c r="C3091" s="405" t="str">
        <f t="shared" si="385"/>
        <v/>
      </c>
      <c r="D3091" s="405">
        <f t="shared" si="386"/>
        <v>0</v>
      </c>
      <c r="E3091" s="405" t="str">
        <f t="shared" si="387"/>
        <v/>
      </c>
      <c r="F3091" s="405">
        <f t="shared" si="388"/>
        <v>0</v>
      </c>
      <c r="G3091" s="405">
        <f t="shared" si="389"/>
        <v>0</v>
      </c>
      <c r="H3091" s="405">
        <f t="shared" si="390"/>
        <v>0</v>
      </c>
    </row>
    <row r="3092" spans="1:8">
      <c r="A3092" s="363" t="str">
        <f t="shared" si="391"/>
        <v/>
      </c>
      <c r="B3092" s="363" t="str">
        <f t="shared" si="384"/>
        <v/>
      </c>
      <c r="C3092" s="405" t="str">
        <f t="shared" si="385"/>
        <v/>
      </c>
      <c r="D3092" s="405">
        <f t="shared" si="386"/>
        <v>0</v>
      </c>
      <c r="E3092" s="405" t="str">
        <f t="shared" si="387"/>
        <v/>
      </c>
      <c r="F3092" s="405">
        <f t="shared" si="388"/>
        <v>0</v>
      </c>
      <c r="G3092" s="405">
        <f t="shared" si="389"/>
        <v>0</v>
      </c>
      <c r="H3092" s="405">
        <f t="shared" si="390"/>
        <v>0</v>
      </c>
    </row>
    <row r="3093" spans="1:8">
      <c r="A3093" s="363" t="str">
        <f t="shared" si="391"/>
        <v/>
      </c>
      <c r="B3093" s="363" t="str">
        <f t="shared" si="384"/>
        <v/>
      </c>
      <c r="C3093" s="405" t="str">
        <f t="shared" si="385"/>
        <v/>
      </c>
      <c r="D3093" s="405">
        <f t="shared" si="386"/>
        <v>0</v>
      </c>
      <c r="E3093" s="405" t="str">
        <f t="shared" si="387"/>
        <v/>
      </c>
      <c r="F3093" s="405">
        <f t="shared" si="388"/>
        <v>0</v>
      </c>
      <c r="G3093" s="405">
        <f t="shared" si="389"/>
        <v>0</v>
      </c>
      <c r="H3093" s="405">
        <f t="shared" si="390"/>
        <v>0</v>
      </c>
    </row>
    <row r="3094" spans="1:8">
      <c r="A3094" s="363" t="str">
        <f t="shared" si="391"/>
        <v/>
      </c>
      <c r="B3094" s="363" t="str">
        <f t="shared" si="384"/>
        <v/>
      </c>
      <c r="C3094" s="405" t="str">
        <f t="shared" si="385"/>
        <v/>
      </c>
      <c r="D3094" s="405">
        <f t="shared" si="386"/>
        <v>0</v>
      </c>
      <c r="E3094" s="405" t="str">
        <f t="shared" si="387"/>
        <v/>
      </c>
      <c r="F3094" s="405">
        <f t="shared" si="388"/>
        <v>0</v>
      </c>
      <c r="G3094" s="405">
        <f t="shared" si="389"/>
        <v>0</v>
      </c>
      <c r="H3094" s="405">
        <f t="shared" si="390"/>
        <v>0</v>
      </c>
    </row>
    <row r="3095" spans="1:8">
      <c r="A3095" s="363" t="str">
        <f t="shared" si="391"/>
        <v/>
      </c>
      <c r="B3095" s="363" t="str">
        <f t="shared" si="384"/>
        <v/>
      </c>
      <c r="C3095" s="405" t="str">
        <f t="shared" si="385"/>
        <v/>
      </c>
      <c r="D3095" s="405">
        <f t="shared" si="386"/>
        <v>0</v>
      </c>
      <c r="E3095" s="405" t="str">
        <f t="shared" si="387"/>
        <v/>
      </c>
      <c r="F3095" s="405">
        <f t="shared" si="388"/>
        <v>0</v>
      </c>
      <c r="G3095" s="405">
        <f t="shared" si="389"/>
        <v>0</v>
      </c>
      <c r="H3095" s="405">
        <f t="shared" si="390"/>
        <v>0</v>
      </c>
    </row>
    <row r="3096" spans="1:8">
      <c r="A3096" s="363" t="str">
        <f t="shared" si="391"/>
        <v/>
      </c>
      <c r="B3096" s="363" t="str">
        <f t="shared" si="384"/>
        <v/>
      </c>
      <c r="C3096" s="405" t="str">
        <f t="shared" si="385"/>
        <v/>
      </c>
      <c r="D3096" s="405">
        <f t="shared" si="386"/>
        <v>0</v>
      </c>
      <c r="E3096" s="405" t="str">
        <f t="shared" si="387"/>
        <v/>
      </c>
      <c r="F3096" s="405">
        <f t="shared" si="388"/>
        <v>0</v>
      </c>
      <c r="G3096" s="405">
        <f t="shared" si="389"/>
        <v>0</v>
      </c>
      <c r="H3096" s="405">
        <f t="shared" si="390"/>
        <v>0</v>
      </c>
    </row>
    <row r="3097" spans="1:8">
      <c r="A3097" s="363" t="str">
        <f t="shared" si="391"/>
        <v/>
      </c>
      <c r="B3097" s="363" t="str">
        <f t="shared" si="384"/>
        <v/>
      </c>
      <c r="C3097" s="405" t="str">
        <f t="shared" si="385"/>
        <v/>
      </c>
      <c r="D3097" s="405">
        <f t="shared" si="386"/>
        <v>0</v>
      </c>
      <c r="E3097" s="405" t="str">
        <f t="shared" si="387"/>
        <v/>
      </c>
      <c r="F3097" s="405">
        <f t="shared" si="388"/>
        <v>0</v>
      </c>
      <c r="G3097" s="405">
        <f t="shared" si="389"/>
        <v>0</v>
      </c>
      <c r="H3097" s="405">
        <f t="shared" si="390"/>
        <v>0</v>
      </c>
    </row>
    <row r="3098" spans="1:8">
      <c r="A3098" s="363" t="str">
        <f t="shared" si="391"/>
        <v/>
      </c>
      <c r="B3098" s="363" t="str">
        <f t="shared" si="384"/>
        <v/>
      </c>
      <c r="C3098" s="405" t="str">
        <f t="shared" si="385"/>
        <v/>
      </c>
      <c r="D3098" s="405">
        <f t="shared" si="386"/>
        <v>0</v>
      </c>
      <c r="E3098" s="405" t="str">
        <f t="shared" si="387"/>
        <v/>
      </c>
      <c r="F3098" s="405">
        <f t="shared" si="388"/>
        <v>0</v>
      </c>
      <c r="G3098" s="405">
        <f t="shared" si="389"/>
        <v>0</v>
      </c>
      <c r="H3098" s="405">
        <f t="shared" si="390"/>
        <v>0</v>
      </c>
    </row>
    <row r="3099" spans="1:8">
      <c r="A3099" s="363" t="str">
        <f t="shared" si="391"/>
        <v/>
      </c>
      <c r="B3099" s="363" t="str">
        <f t="shared" si="384"/>
        <v/>
      </c>
      <c r="C3099" s="405" t="str">
        <f t="shared" si="385"/>
        <v/>
      </c>
      <c r="D3099" s="405">
        <f t="shared" si="386"/>
        <v>0</v>
      </c>
      <c r="E3099" s="405" t="str">
        <f t="shared" si="387"/>
        <v/>
      </c>
      <c r="F3099" s="405">
        <f t="shared" si="388"/>
        <v>0</v>
      </c>
      <c r="G3099" s="405">
        <f t="shared" si="389"/>
        <v>0</v>
      </c>
      <c r="H3099" s="405">
        <f t="shared" si="390"/>
        <v>0</v>
      </c>
    </row>
    <row r="3100" spans="1:8">
      <c r="A3100" s="363" t="str">
        <f t="shared" si="391"/>
        <v/>
      </c>
      <c r="B3100" s="363" t="str">
        <f t="shared" si="384"/>
        <v/>
      </c>
      <c r="C3100" s="405" t="str">
        <f t="shared" si="385"/>
        <v/>
      </c>
      <c r="D3100" s="405">
        <f t="shared" si="386"/>
        <v>0</v>
      </c>
      <c r="E3100" s="405" t="str">
        <f t="shared" si="387"/>
        <v/>
      </c>
      <c r="F3100" s="405">
        <f t="shared" si="388"/>
        <v>0</v>
      </c>
      <c r="G3100" s="405">
        <f t="shared" si="389"/>
        <v>0</v>
      </c>
      <c r="H3100" s="405">
        <f t="shared" si="390"/>
        <v>0</v>
      </c>
    </row>
    <row r="3101" spans="1:8">
      <c r="A3101" s="363" t="str">
        <f t="shared" si="391"/>
        <v/>
      </c>
      <c r="B3101" s="363" t="str">
        <f t="shared" si="384"/>
        <v/>
      </c>
      <c r="C3101" s="405" t="str">
        <f t="shared" si="385"/>
        <v/>
      </c>
      <c r="D3101" s="405">
        <f t="shared" si="386"/>
        <v>0</v>
      </c>
      <c r="E3101" s="405" t="str">
        <f t="shared" si="387"/>
        <v/>
      </c>
      <c r="F3101" s="405">
        <f t="shared" si="388"/>
        <v>0</v>
      </c>
      <c r="G3101" s="405">
        <f t="shared" si="389"/>
        <v>0</v>
      </c>
      <c r="H3101" s="405">
        <f t="shared" si="390"/>
        <v>0</v>
      </c>
    </row>
    <row r="3102" spans="1:8">
      <c r="A3102" s="363" t="str">
        <f t="shared" si="391"/>
        <v/>
      </c>
      <c r="B3102" s="363" t="str">
        <f t="shared" si="384"/>
        <v/>
      </c>
      <c r="C3102" s="405" t="str">
        <f t="shared" si="385"/>
        <v/>
      </c>
      <c r="D3102" s="405">
        <f t="shared" si="386"/>
        <v>0</v>
      </c>
      <c r="E3102" s="405" t="str">
        <f t="shared" si="387"/>
        <v/>
      </c>
      <c r="F3102" s="405">
        <f t="shared" si="388"/>
        <v>0</v>
      </c>
      <c r="G3102" s="405">
        <f t="shared" si="389"/>
        <v>0</v>
      </c>
      <c r="H3102" s="405">
        <f t="shared" si="390"/>
        <v>0</v>
      </c>
    </row>
    <row r="3103" spans="1:8">
      <c r="A3103" s="363" t="str">
        <f t="shared" si="391"/>
        <v/>
      </c>
      <c r="B3103" s="363" t="str">
        <f t="shared" si="384"/>
        <v/>
      </c>
      <c r="C3103" s="405" t="str">
        <f t="shared" si="385"/>
        <v/>
      </c>
      <c r="D3103" s="405">
        <f t="shared" si="386"/>
        <v>0</v>
      </c>
      <c r="E3103" s="405" t="str">
        <f t="shared" si="387"/>
        <v/>
      </c>
      <c r="F3103" s="405">
        <f t="shared" si="388"/>
        <v>0</v>
      </c>
      <c r="G3103" s="405">
        <f t="shared" si="389"/>
        <v>0</v>
      </c>
      <c r="H3103" s="405">
        <f t="shared" si="390"/>
        <v>0</v>
      </c>
    </row>
    <row r="3104" spans="1:8">
      <c r="A3104" s="363" t="str">
        <f t="shared" si="391"/>
        <v/>
      </c>
      <c r="B3104" s="363" t="str">
        <f t="shared" si="384"/>
        <v/>
      </c>
      <c r="C3104" s="405" t="str">
        <f t="shared" si="385"/>
        <v/>
      </c>
      <c r="D3104" s="405">
        <f t="shared" si="386"/>
        <v>0</v>
      </c>
      <c r="E3104" s="405" t="str">
        <f t="shared" si="387"/>
        <v/>
      </c>
      <c r="F3104" s="405">
        <f t="shared" si="388"/>
        <v>0</v>
      </c>
      <c r="G3104" s="405">
        <f t="shared" si="389"/>
        <v>0</v>
      </c>
      <c r="H3104" s="405">
        <f t="shared" si="390"/>
        <v>0</v>
      </c>
    </row>
    <row r="3105" spans="1:8">
      <c r="A3105" s="363" t="str">
        <f t="shared" si="391"/>
        <v/>
      </c>
      <c r="B3105" s="363" t="str">
        <f t="shared" si="384"/>
        <v/>
      </c>
      <c r="C3105" s="405" t="str">
        <f t="shared" si="385"/>
        <v/>
      </c>
      <c r="D3105" s="405">
        <f t="shared" si="386"/>
        <v>0</v>
      </c>
      <c r="E3105" s="405" t="str">
        <f t="shared" si="387"/>
        <v/>
      </c>
      <c r="F3105" s="405">
        <f t="shared" si="388"/>
        <v>0</v>
      </c>
      <c r="G3105" s="405">
        <f t="shared" si="389"/>
        <v>0</v>
      </c>
      <c r="H3105" s="405">
        <f t="shared" si="390"/>
        <v>0</v>
      </c>
    </row>
    <row r="3106" spans="1:8">
      <c r="A3106" s="363" t="str">
        <f t="shared" si="391"/>
        <v/>
      </c>
      <c r="B3106" s="363" t="str">
        <f t="shared" si="384"/>
        <v/>
      </c>
      <c r="C3106" s="405" t="str">
        <f t="shared" si="385"/>
        <v/>
      </c>
      <c r="D3106" s="405">
        <f t="shared" si="386"/>
        <v>0</v>
      </c>
      <c r="E3106" s="405" t="str">
        <f t="shared" si="387"/>
        <v/>
      </c>
      <c r="F3106" s="405">
        <f t="shared" si="388"/>
        <v>0</v>
      </c>
      <c r="G3106" s="405">
        <f t="shared" si="389"/>
        <v>0</v>
      </c>
      <c r="H3106" s="405">
        <f t="shared" si="390"/>
        <v>0</v>
      </c>
    </row>
    <row r="3107" spans="1:8">
      <c r="A3107" s="363" t="str">
        <f t="shared" si="391"/>
        <v/>
      </c>
      <c r="B3107" s="363" t="str">
        <f t="shared" si="384"/>
        <v/>
      </c>
      <c r="C3107" s="405" t="str">
        <f t="shared" si="385"/>
        <v/>
      </c>
      <c r="D3107" s="405">
        <f t="shared" si="386"/>
        <v>0</v>
      </c>
      <c r="E3107" s="405" t="str">
        <f t="shared" si="387"/>
        <v/>
      </c>
      <c r="F3107" s="405">
        <f t="shared" si="388"/>
        <v>0</v>
      </c>
      <c r="G3107" s="405">
        <f t="shared" si="389"/>
        <v>0</v>
      </c>
      <c r="H3107" s="405">
        <f t="shared" si="390"/>
        <v>0</v>
      </c>
    </row>
    <row r="3108" spans="1:8">
      <c r="A3108" s="363" t="str">
        <f t="shared" si="391"/>
        <v/>
      </c>
      <c r="B3108" s="363" t="str">
        <f t="shared" si="384"/>
        <v/>
      </c>
      <c r="C3108" s="405" t="str">
        <f t="shared" si="385"/>
        <v/>
      </c>
      <c r="D3108" s="405">
        <f t="shared" si="386"/>
        <v>0</v>
      </c>
      <c r="E3108" s="405" t="str">
        <f t="shared" si="387"/>
        <v/>
      </c>
      <c r="F3108" s="405">
        <f t="shared" si="388"/>
        <v>0</v>
      </c>
      <c r="G3108" s="405">
        <f t="shared" si="389"/>
        <v>0</v>
      </c>
      <c r="H3108" s="405">
        <f t="shared" si="390"/>
        <v>0</v>
      </c>
    </row>
    <row r="3109" spans="1:8">
      <c r="A3109" s="363" t="str">
        <f t="shared" si="391"/>
        <v/>
      </c>
      <c r="B3109" s="363" t="str">
        <f t="shared" si="384"/>
        <v/>
      </c>
      <c r="C3109" s="405" t="str">
        <f t="shared" si="385"/>
        <v/>
      </c>
      <c r="D3109" s="405">
        <f t="shared" si="386"/>
        <v>0</v>
      </c>
      <c r="E3109" s="405" t="str">
        <f t="shared" si="387"/>
        <v/>
      </c>
      <c r="F3109" s="405">
        <f t="shared" si="388"/>
        <v>0</v>
      </c>
      <c r="G3109" s="405">
        <f t="shared" si="389"/>
        <v>0</v>
      </c>
      <c r="H3109" s="405">
        <f t="shared" si="390"/>
        <v>0</v>
      </c>
    </row>
    <row r="3110" spans="1:8">
      <c r="A3110" s="363" t="str">
        <f t="shared" si="391"/>
        <v/>
      </c>
      <c r="B3110" s="363" t="str">
        <f t="shared" si="384"/>
        <v/>
      </c>
      <c r="C3110" s="405" t="str">
        <f t="shared" si="385"/>
        <v/>
      </c>
      <c r="D3110" s="405">
        <f t="shared" si="386"/>
        <v>0</v>
      </c>
      <c r="E3110" s="405" t="str">
        <f t="shared" si="387"/>
        <v/>
      </c>
      <c r="F3110" s="405">
        <f t="shared" si="388"/>
        <v>0</v>
      </c>
      <c r="G3110" s="405">
        <f t="shared" si="389"/>
        <v>0</v>
      </c>
      <c r="H3110" s="405">
        <f t="shared" si="390"/>
        <v>0</v>
      </c>
    </row>
    <row r="3111" spans="1:8">
      <c r="A3111" s="363" t="str">
        <f t="shared" si="391"/>
        <v/>
      </c>
      <c r="B3111" s="363" t="str">
        <f t="shared" si="384"/>
        <v/>
      </c>
      <c r="C3111" s="405" t="str">
        <f t="shared" si="385"/>
        <v/>
      </c>
      <c r="D3111" s="405">
        <f t="shared" si="386"/>
        <v>0</v>
      </c>
      <c r="E3111" s="405" t="str">
        <f t="shared" si="387"/>
        <v/>
      </c>
      <c r="F3111" s="405">
        <f t="shared" si="388"/>
        <v>0</v>
      </c>
      <c r="G3111" s="405">
        <f t="shared" si="389"/>
        <v>0</v>
      </c>
      <c r="H3111" s="405">
        <f t="shared" si="390"/>
        <v>0</v>
      </c>
    </row>
    <row r="3112" spans="1:8">
      <c r="A3112" s="363" t="str">
        <f t="shared" si="391"/>
        <v/>
      </c>
      <c r="B3112" s="363" t="str">
        <f t="shared" si="384"/>
        <v/>
      </c>
      <c r="C3112" s="405" t="str">
        <f t="shared" si="385"/>
        <v/>
      </c>
      <c r="D3112" s="405">
        <f t="shared" si="386"/>
        <v>0</v>
      </c>
      <c r="E3112" s="405" t="str">
        <f t="shared" si="387"/>
        <v/>
      </c>
      <c r="F3112" s="405">
        <f t="shared" si="388"/>
        <v>0</v>
      </c>
      <c r="G3112" s="405">
        <f t="shared" si="389"/>
        <v>0</v>
      </c>
      <c r="H3112" s="405">
        <f t="shared" si="390"/>
        <v>0</v>
      </c>
    </row>
    <row r="3113" spans="1:8">
      <c r="A3113" s="363" t="str">
        <f t="shared" si="391"/>
        <v/>
      </c>
      <c r="B3113" s="363" t="str">
        <f t="shared" si="384"/>
        <v/>
      </c>
      <c r="C3113" s="405" t="str">
        <f t="shared" si="385"/>
        <v/>
      </c>
      <c r="D3113" s="405">
        <f t="shared" si="386"/>
        <v>0</v>
      </c>
      <c r="E3113" s="405" t="str">
        <f t="shared" si="387"/>
        <v/>
      </c>
      <c r="F3113" s="405">
        <f t="shared" si="388"/>
        <v>0</v>
      </c>
      <c r="G3113" s="405">
        <f t="shared" si="389"/>
        <v>0</v>
      </c>
      <c r="H3113" s="405">
        <f t="shared" si="390"/>
        <v>0</v>
      </c>
    </row>
    <row r="3114" spans="1:8">
      <c r="A3114" s="363" t="str">
        <f t="shared" si="391"/>
        <v/>
      </c>
      <c r="B3114" s="363" t="str">
        <f t="shared" si="384"/>
        <v/>
      </c>
      <c r="C3114" s="405" t="str">
        <f t="shared" si="385"/>
        <v/>
      </c>
      <c r="D3114" s="405">
        <f t="shared" si="386"/>
        <v>0</v>
      </c>
      <c r="E3114" s="405" t="str">
        <f t="shared" si="387"/>
        <v/>
      </c>
      <c r="F3114" s="405">
        <f t="shared" si="388"/>
        <v>0</v>
      </c>
      <c r="G3114" s="405">
        <f t="shared" si="389"/>
        <v>0</v>
      </c>
      <c r="H3114" s="405">
        <f t="shared" si="390"/>
        <v>0</v>
      </c>
    </row>
    <row r="3115" spans="1:8">
      <c r="A3115" s="363" t="str">
        <f t="shared" si="391"/>
        <v/>
      </c>
      <c r="B3115" s="363" t="str">
        <f t="shared" si="384"/>
        <v/>
      </c>
      <c r="C3115" s="405" t="str">
        <f t="shared" si="385"/>
        <v/>
      </c>
      <c r="D3115" s="405">
        <f t="shared" si="386"/>
        <v>0</v>
      </c>
      <c r="E3115" s="405" t="str">
        <f t="shared" si="387"/>
        <v/>
      </c>
      <c r="F3115" s="405">
        <f t="shared" si="388"/>
        <v>0</v>
      </c>
      <c r="G3115" s="405">
        <f t="shared" si="389"/>
        <v>0</v>
      </c>
      <c r="H3115" s="405">
        <f t="shared" si="390"/>
        <v>0</v>
      </c>
    </row>
    <row r="3116" spans="1:8">
      <c r="A3116" s="363" t="str">
        <f t="shared" si="391"/>
        <v/>
      </c>
      <c r="B3116" s="363" t="str">
        <f t="shared" si="384"/>
        <v/>
      </c>
      <c r="C3116" s="405" t="str">
        <f t="shared" si="385"/>
        <v/>
      </c>
      <c r="D3116" s="405">
        <f t="shared" si="386"/>
        <v>0</v>
      </c>
      <c r="E3116" s="405" t="str">
        <f t="shared" si="387"/>
        <v/>
      </c>
      <c r="F3116" s="405">
        <f t="shared" si="388"/>
        <v>0</v>
      </c>
      <c r="G3116" s="405">
        <f t="shared" si="389"/>
        <v>0</v>
      </c>
      <c r="H3116" s="405">
        <f t="shared" si="390"/>
        <v>0</v>
      </c>
    </row>
    <row r="3117" spans="1:8">
      <c r="A3117" s="363" t="str">
        <f t="shared" si="391"/>
        <v/>
      </c>
      <c r="B3117" s="363" t="str">
        <f t="shared" si="384"/>
        <v/>
      </c>
      <c r="C3117" s="405" t="str">
        <f t="shared" si="385"/>
        <v/>
      </c>
      <c r="D3117" s="405">
        <f t="shared" si="386"/>
        <v>0</v>
      </c>
      <c r="E3117" s="405" t="str">
        <f t="shared" si="387"/>
        <v/>
      </c>
      <c r="F3117" s="405">
        <f t="shared" si="388"/>
        <v>0</v>
      </c>
      <c r="G3117" s="405">
        <f t="shared" si="389"/>
        <v>0</v>
      </c>
      <c r="H3117" s="405">
        <f t="shared" si="390"/>
        <v>0</v>
      </c>
    </row>
    <row r="3118" spans="1:8">
      <c r="A3118" s="363" t="str">
        <f t="shared" si="391"/>
        <v/>
      </c>
      <c r="B3118" s="363" t="str">
        <f t="shared" si="384"/>
        <v/>
      </c>
      <c r="C3118" s="405" t="str">
        <f t="shared" si="385"/>
        <v/>
      </c>
      <c r="D3118" s="405">
        <f t="shared" si="386"/>
        <v>0</v>
      </c>
      <c r="E3118" s="405" t="str">
        <f t="shared" si="387"/>
        <v/>
      </c>
      <c r="F3118" s="405">
        <f t="shared" si="388"/>
        <v>0</v>
      </c>
      <c r="G3118" s="405">
        <f t="shared" si="389"/>
        <v>0</v>
      </c>
      <c r="H3118" s="405">
        <f t="shared" si="390"/>
        <v>0</v>
      </c>
    </row>
    <row r="3119" spans="1:8">
      <c r="A3119" s="363" t="str">
        <f t="shared" si="391"/>
        <v/>
      </c>
      <c r="B3119" s="363" t="str">
        <f t="shared" si="384"/>
        <v/>
      </c>
      <c r="C3119" s="405" t="str">
        <f t="shared" si="385"/>
        <v/>
      </c>
      <c r="D3119" s="405">
        <f t="shared" si="386"/>
        <v>0</v>
      </c>
      <c r="E3119" s="405" t="str">
        <f t="shared" si="387"/>
        <v/>
      </c>
      <c r="F3119" s="405">
        <f t="shared" si="388"/>
        <v>0</v>
      </c>
      <c r="G3119" s="405">
        <f t="shared" si="389"/>
        <v>0</v>
      </c>
      <c r="H3119" s="405">
        <f t="shared" si="390"/>
        <v>0</v>
      </c>
    </row>
    <row r="3120" spans="1:8">
      <c r="A3120" s="363" t="str">
        <f t="shared" si="391"/>
        <v/>
      </c>
      <c r="B3120" s="363" t="str">
        <f t="shared" si="384"/>
        <v/>
      </c>
      <c r="C3120" s="405" t="str">
        <f t="shared" si="385"/>
        <v/>
      </c>
      <c r="D3120" s="405">
        <f t="shared" si="386"/>
        <v>0</v>
      </c>
      <c r="E3120" s="405" t="str">
        <f t="shared" si="387"/>
        <v/>
      </c>
      <c r="F3120" s="405">
        <f t="shared" si="388"/>
        <v>0</v>
      </c>
      <c r="G3120" s="405">
        <f t="shared" si="389"/>
        <v>0</v>
      </c>
      <c r="H3120" s="405">
        <f t="shared" si="390"/>
        <v>0</v>
      </c>
    </row>
    <row r="3121" spans="1:8">
      <c r="A3121" s="363" t="str">
        <f t="shared" si="391"/>
        <v/>
      </c>
      <c r="B3121" s="363" t="str">
        <f t="shared" si="384"/>
        <v/>
      </c>
      <c r="C3121" s="405" t="str">
        <f t="shared" si="385"/>
        <v/>
      </c>
      <c r="D3121" s="405">
        <f t="shared" si="386"/>
        <v>0</v>
      </c>
      <c r="E3121" s="405" t="str">
        <f t="shared" si="387"/>
        <v/>
      </c>
      <c r="F3121" s="405">
        <f t="shared" si="388"/>
        <v>0</v>
      </c>
      <c r="G3121" s="405">
        <f t="shared" si="389"/>
        <v>0</v>
      </c>
      <c r="H3121" s="405">
        <f t="shared" si="390"/>
        <v>0</v>
      </c>
    </row>
    <row r="3122" spans="1:8">
      <c r="A3122" s="363" t="str">
        <f t="shared" si="391"/>
        <v/>
      </c>
      <c r="B3122" s="363" t="str">
        <f t="shared" si="384"/>
        <v/>
      </c>
      <c r="C3122" s="405" t="str">
        <f t="shared" si="385"/>
        <v/>
      </c>
      <c r="D3122" s="405">
        <f t="shared" si="386"/>
        <v>0</v>
      </c>
      <c r="E3122" s="405" t="str">
        <f t="shared" si="387"/>
        <v/>
      </c>
      <c r="F3122" s="405">
        <f t="shared" si="388"/>
        <v>0</v>
      </c>
      <c r="G3122" s="405">
        <f t="shared" si="389"/>
        <v>0</v>
      </c>
      <c r="H3122" s="405">
        <f t="shared" si="390"/>
        <v>0</v>
      </c>
    </row>
    <row r="3123" spans="1:8">
      <c r="A3123" s="363" t="str">
        <f t="shared" si="391"/>
        <v/>
      </c>
      <c r="B3123" s="363" t="str">
        <f t="shared" si="384"/>
        <v/>
      </c>
      <c r="C3123" s="405" t="str">
        <f t="shared" si="385"/>
        <v/>
      </c>
      <c r="D3123" s="405">
        <f t="shared" si="386"/>
        <v>0</v>
      </c>
      <c r="E3123" s="405" t="str">
        <f t="shared" si="387"/>
        <v/>
      </c>
      <c r="F3123" s="405">
        <f t="shared" si="388"/>
        <v>0</v>
      </c>
      <c r="G3123" s="405">
        <f t="shared" si="389"/>
        <v>0</v>
      </c>
      <c r="H3123" s="405">
        <f t="shared" si="390"/>
        <v>0</v>
      </c>
    </row>
    <row r="3124" spans="1:8">
      <c r="A3124" s="363" t="str">
        <f t="shared" si="391"/>
        <v/>
      </c>
      <c r="B3124" s="363" t="str">
        <f t="shared" si="384"/>
        <v/>
      </c>
      <c r="C3124" s="405" t="str">
        <f t="shared" si="385"/>
        <v/>
      </c>
      <c r="D3124" s="405">
        <f t="shared" si="386"/>
        <v>0</v>
      </c>
      <c r="E3124" s="405" t="str">
        <f t="shared" si="387"/>
        <v/>
      </c>
      <c r="F3124" s="405">
        <f t="shared" si="388"/>
        <v>0</v>
      </c>
      <c r="G3124" s="405">
        <f t="shared" si="389"/>
        <v>0</v>
      </c>
      <c r="H3124" s="405">
        <f t="shared" si="390"/>
        <v>0</v>
      </c>
    </row>
    <row r="3125" spans="1:8">
      <c r="A3125" s="363" t="str">
        <f t="shared" si="391"/>
        <v/>
      </c>
      <c r="B3125" s="363" t="str">
        <f t="shared" si="384"/>
        <v/>
      </c>
      <c r="C3125" s="405" t="str">
        <f t="shared" si="385"/>
        <v/>
      </c>
      <c r="D3125" s="405">
        <f t="shared" si="386"/>
        <v>0</v>
      </c>
      <c r="E3125" s="405" t="str">
        <f t="shared" si="387"/>
        <v/>
      </c>
      <c r="F3125" s="405">
        <f t="shared" si="388"/>
        <v>0</v>
      </c>
      <c r="G3125" s="405">
        <f t="shared" si="389"/>
        <v>0</v>
      </c>
      <c r="H3125" s="405">
        <f t="shared" si="390"/>
        <v>0</v>
      </c>
    </row>
    <row r="3126" spans="1:8">
      <c r="A3126" s="363" t="str">
        <f t="shared" si="391"/>
        <v/>
      </c>
      <c r="B3126" s="363" t="str">
        <f t="shared" si="384"/>
        <v/>
      </c>
      <c r="C3126" s="405" t="str">
        <f t="shared" si="385"/>
        <v/>
      </c>
      <c r="D3126" s="405">
        <f t="shared" si="386"/>
        <v>0</v>
      </c>
      <c r="E3126" s="405" t="str">
        <f t="shared" si="387"/>
        <v/>
      </c>
      <c r="F3126" s="405">
        <f t="shared" si="388"/>
        <v>0</v>
      </c>
      <c r="G3126" s="405">
        <f t="shared" si="389"/>
        <v>0</v>
      </c>
      <c r="H3126" s="405">
        <f t="shared" si="390"/>
        <v>0</v>
      </c>
    </row>
    <row r="3127" spans="1:8">
      <c r="A3127" s="363" t="str">
        <f t="shared" si="391"/>
        <v/>
      </c>
      <c r="B3127" s="363" t="str">
        <f t="shared" si="384"/>
        <v/>
      </c>
      <c r="C3127" s="405" t="str">
        <f t="shared" si="385"/>
        <v/>
      </c>
      <c r="D3127" s="405">
        <f t="shared" si="386"/>
        <v>0</v>
      </c>
      <c r="E3127" s="405" t="str">
        <f t="shared" si="387"/>
        <v/>
      </c>
      <c r="F3127" s="405">
        <f t="shared" si="388"/>
        <v>0</v>
      </c>
      <c r="G3127" s="405">
        <f t="shared" si="389"/>
        <v>0</v>
      </c>
      <c r="H3127" s="405">
        <f t="shared" si="390"/>
        <v>0</v>
      </c>
    </row>
    <row r="3128" spans="1:8">
      <c r="A3128" s="363" t="str">
        <f t="shared" si="391"/>
        <v/>
      </c>
      <c r="B3128" s="363" t="str">
        <f t="shared" si="384"/>
        <v/>
      </c>
      <c r="C3128" s="405" t="str">
        <f t="shared" si="385"/>
        <v/>
      </c>
      <c r="D3128" s="405">
        <f t="shared" si="386"/>
        <v>0</v>
      </c>
      <c r="E3128" s="405" t="str">
        <f t="shared" si="387"/>
        <v/>
      </c>
      <c r="F3128" s="405">
        <f t="shared" si="388"/>
        <v>0</v>
      </c>
      <c r="G3128" s="405">
        <f t="shared" si="389"/>
        <v>0</v>
      </c>
      <c r="H3128" s="405">
        <f t="shared" si="390"/>
        <v>0</v>
      </c>
    </row>
    <row r="3129" spans="1:8">
      <c r="A3129" s="363" t="str">
        <f t="shared" si="391"/>
        <v/>
      </c>
      <c r="B3129" s="363" t="str">
        <f t="shared" si="384"/>
        <v/>
      </c>
      <c r="C3129" s="405" t="str">
        <f t="shared" si="385"/>
        <v/>
      </c>
      <c r="D3129" s="405">
        <f t="shared" si="386"/>
        <v>0</v>
      </c>
      <c r="E3129" s="405" t="str">
        <f t="shared" si="387"/>
        <v/>
      </c>
      <c r="F3129" s="405">
        <f t="shared" si="388"/>
        <v>0</v>
      </c>
      <c r="G3129" s="405">
        <f t="shared" si="389"/>
        <v>0</v>
      </c>
      <c r="H3129" s="405">
        <f t="shared" si="390"/>
        <v>0</v>
      </c>
    </row>
    <row r="3130" spans="1:8">
      <c r="A3130" s="363" t="str">
        <f t="shared" si="391"/>
        <v/>
      </c>
      <c r="B3130" s="363" t="str">
        <f t="shared" si="384"/>
        <v/>
      </c>
      <c r="C3130" s="405" t="str">
        <f t="shared" si="385"/>
        <v/>
      </c>
      <c r="D3130" s="405">
        <f t="shared" si="386"/>
        <v>0</v>
      </c>
      <c r="E3130" s="405" t="str">
        <f t="shared" si="387"/>
        <v/>
      </c>
      <c r="F3130" s="405">
        <f t="shared" si="388"/>
        <v>0</v>
      </c>
      <c r="G3130" s="405">
        <f t="shared" si="389"/>
        <v>0</v>
      </c>
      <c r="H3130" s="405">
        <f t="shared" si="390"/>
        <v>0</v>
      </c>
    </row>
    <row r="3131" spans="1:8">
      <c r="A3131" s="363" t="str">
        <f t="shared" si="391"/>
        <v/>
      </c>
      <c r="B3131" s="363" t="str">
        <f t="shared" si="384"/>
        <v/>
      </c>
      <c r="C3131" s="405" t="str">
        <f t="shared" si="385"/>
        <v/>
      </c>
      <c r="D3131" s="405">
        <f t="shared" si="386"/>
        <v>0</v>
      </c>
      <c r="E3131" s="405" t="str">
        <f t="shared" si="387"/>
        <v/>
      </c>
      <c r="F3131" s="405">
        <f t="shared" si="388"/>
        <v>0</v>
      </c>
      <c r="G3131" s="405">
        <f t="shared" si="389"/>
        <v>0</v>
      </c>
      <c r="H3131" s="405">
        <f t="shared" si="390"/>
        <v>0</v>
      </c>
    </row>
    <row r="3132" spans="1:8">
      <c r="A3132" s="363" t="str">
        <f t="shared" si="391"/>
        <v/>
      </c>
      <c r="B3132" s="363" t="str">
        <f t="shared" si="384"/>
        <v/>
      </c>
      <c r="C3132" s="405" t="str">
        <f t="shared" si="385"/>
        <v/>
      </c>
      <c r="D3132" s="405">
        <f t="shared" si="386"/>
        <v>0</v>
      </c>
      <c r="E3132" s="405" t="str">
        <f t="shared" si="387"/>
        <v/>
      </c>
      <c r="F3132" s="405">
        <f t="shared" si="388"/>
        <v>0</v>
      </c>
      <c r="G3132" s="405">
        <f t="shared" si="389"/>
        <v>0</v>
      </c>
      <c r="H3132" s="405">
        <f t="shared" si="390"/>
        <v>0</v>
      </c>
    </row>
    <row r="3133" spans="1:8">
      <c r="A3133" s="363" t="str">
        <f t="shared" si="391"/>
        <v/>
      </c>
      <c r="B3133" s="363" t="str">
        <f t="shared" si="384"/>
        <v/>
      </c>
      <c r="C3133" s="405" t="str">
        <f t="shared" si="385"/>
        <v/>
      </c>
      <c r="D3133" s="405">
        <f t="shared" si="386"/>
        <v>0</v>
      </c>
      <c r="E3133" s="405" t="str">
        <f t="shared" si="387"/>
        <v/>
      </c>
      <c r="F3133" s="405">
        <f t="shared" si="388"/>
        <v>0</v>
      </c>
      <c r="G3133" s="405">
        <f t="shared" si="389"/>
        <v>0</v>
      </c>
      <c r="H3133" s="405">
        <f t="shared" si="390"/>
        <v>0</v>
      </c>
    </row>
    <row r="3134" spans="1:8">
      <c r="A3134" s="363" t="str">
        <f t="shared" si="391"/>
        <v/>
      </c>
      <c r="B3134" s="363" t="str">
        <f t="shared" si="384"/>
        <v/>
      </c>
      <c r="C3134" s="405" t="str">
        <f t="shared" si="385"/>
        <v/>
      </c>
      <c r="D3134" s="405">
        <f t="shared" si="386"/>
        <v>0</v>
      </c>
      <c r="E3134" s="405" t="str">
        <f t="shared" si="387"/>
        <v/>
      </c>
      <c r="F3134" s="405">
        <f t="shared" si="388"/>
        <v>0</v>
      </c>
      <c r="G3134" s="405">
        <f t="shared" si="389"/>
        <v>0</v>
      </c>
      <c r="H3134" s="405">
        <f t="shared" si="390"/>
        <v>0</v>
      </c>
    </row>
    <row r="3135" spans="1:8">
      <c r="A3135" s="363" t="str">
        <f t="shared" si="391"/>
        <v/>
      </c>
      <c r="B3135" s="363" t="str">
        <f t="shared" si="384"/>
        <v/>
      </c>
      <c r="C3135" s="405" t="str">
        <f t="shared" si="385"/>
        <v/>
      </c>
      <c r="D3135" s="405">
        <f t="shared" si="386"/>
        <v>0</v>
      </c>
      <c r="E3135" s="405" t="str">
        <f t="shared" si="387"/>
        <v/>
      </c>
      <c r="F3135" s="405">
        <f t="shared" si="388"/>
        <v>0</v>
      </c>
      <c r="G3135" s="405">
        <f t="shared" si="389"/>
        <v>0</v>
      </c>
      <c r="H3135" s="405">
        <f t="shared" si="390"/>
        <v>0</v>
      </c>
    </row>
    <row r="3136" spans="1:8">
      <c r="A3136" s="363" t="str">
        <f t="shared" si="391"/>
        <v/>
      </c>
      <c r="B3136" s="363" t="str">
        <f t="shared" si="384"/>
        <v/>
      </c>
      <c r="C3136" s="405" t="str">
        <f t="shared" si="385"/>
        <v/>
      </c>
      <c r="D3136" s="405">
        <f t="shared" si="386"/>
        <v>0</v>
      </c>
      <c r="E3136" s="405" t="str">
        <f t="shared" si="387"/>
        <v/>
      </c>
      <c r="F3136" s="405">
        <f t="shared" si="388"/>
        <v>0</v>
      </c>
      <c r="G3136" s="405">
        <f t="shared" si="389"/>
        <v>0</v>
      </c>
      <c r="H3136" s="405">
        <f t="shared" si="390"/>
        <v>0</v>
      </c>
    </row>
    <row r="3137" spans="1:8">
      <c r="A3137" s="363" t="str">
        <f t="shared" si="391"/>
        <v/>
      </c>
      <c r="B3137" s="363" t="str">
        <f t="shared" si="384"/>
        <v/>
      </c>
      <c r="C3137" s="405" t="str">
        <f t="shared" si="385"/>
        <v/>
      </c>
      <c r="D3137" s="405">
        <f t="shared" si="386"/>
        <v>0</v>
      </c>
      <c r="E3137" s="405" t="str">
        <f t="shared" si="387"/>
        <v/>
      </c>
      <c r="F3137" s="405">
        <f t="shared" si="388"/>
        <v>0</v>
      </c>
      <c r="G3137" s="405">
        <f t="shared" si="389"/>
        <v>0</v>
      </c>
      <c r="H3137" s="405">
        <f t="shared" si="390"/>
        <v>0</v>
      </c>
    </row>
    <row r="3138" spans="1:8">
      <c r="A3138" s="363" t="str">
        <f t="shared" si="391"/>
        <v/>
      </c>
      <c r="B3138" s="363" t="str">
        <f t="shared" ref="B3138:B3201" si="392">LEFT(L3138,2)</f>
        <v/>
      </c>
      <c r="C3138" s="405" t="str">
        <f t="shared" ref="C3138:C3201" si="393">IF(B3138="","","第"&amp;RIGHT(L3138,6)&amp;"号")</f>
        <v/>
      </c>
      <c r="D3138" s="405">
        <f t="shared" ref="D3138:D3201" si="394">N3138</f>
        <v>0</v>
      </c>
      <c r="E3138" s="405" t="str">
        <f t="shared" ref="E3138:E3201" si="395">IF(V3138="　",O3138,"")</f>
        <v/>
      </c>
      <c r="F3138" s="405">
        <f t="shared" ref="F3138:F3201" si="396">IF(V3138="　",P3138,W3138)</f>
        <v>0</v>
      </c>
      <c r="G3138" s="405">
        <f t="shared" ref="G3138:G3201" si="397">IF(V3138="　","主たる営業所",V3138)</f>
        <v>0</v>
      </c>
      <c r="H3138" s="405">
        <f t="shared" ref="H3138:H3201" si="398">IF(V3138="　",R3138,Y3138)</f>
        <v>0</v>
      </c>
    </row>
    <row r="3139" spans="1:8">
      <c r="A3139" s="363" t="str">
        <f t="shared" ref="A3139:A3202" si="399">IF(B3139="","",A3138+1)</f>
        <v/>
      </c>
      <c r="B3139" s="363" t="str">
        <f t="shared" si="392"/>
        <v/>
      </c>
      <c r="C3139" s="405" t="str">
        <f t="shared" si="393"/>
        <v/>
      </c>
      <c r="D3139" s="405">
        <f t="shared" si="394"/>
        <v>0</v>
      </c>
      <c r="E3139" s="405" t="str">
        <f t="shared" si="395"/>
        <v/>
      </c>
      <c r="F3139" s="405">
        <f t="shared" si="396"/>
        <v>0</v>
      </c>
      <c r="G3139" s="405">
        <f t="shared" si="397"/>
        <v>0</v>
      </c>
      <c r="H3139" s="405">
        <f t="shared" si="398"/>
        <v>0</v>
      </c>
    </row>
    <row r="3140" spans="1:8">
      <c r="A3140" s="363" t="str">
        <f t="shared" si="399"/>
        <v/>
      </c>
      <c r="B3140" s="363" t="str">
        <f t="shared" si="392"/>
        <v/>
      </c>
      <c r="C3140" s="405" t="str">
        <f t="shared" si="393"/>
        <v/>
      </c>
      <c r="D3140" s="405">
        <f t="shared" si="394"/>
        <v>0</v>
      </c>
      <c r="E3140" s="405" t="str">
        <f t="shared" si="395"/>
        <v/>
      </c>
      <c r="F3140" s="405">
        <f t="shared" si="396"/>
        <v>0</v>
      </c>
      <c r="G3140" s="405">
        <f t="shared" si="397"/>
        <v>0</v>
      </c>
      <c r="H3140" s="405">
        <f t="shared" si="398"/>
        <v>0</v>
      </c>
    </row>
    <row r="3141" spans="1:8">
      <c r="A3141" s="363" t="str">
        <f t="shared" si="399"/>
        <v/>
      </c>
      <c r="B3141" s="363" t="str">
        <f t="shared" si="392"/>
        <v/>
      </c>
      <c r="C3141" s="405" t="str">
        <f t="shared" si="393"/>
        <v/>
      </c>
      <c r="D3141" s="405">
        <f t="shared" si="394"/>
        <v>0</v>
      </c>
      <c r="E3141" s="405" t="str">
        <f t="shared" si="395"/>
        <v/>
      </c>
      <c r="F3141" s="405">
        <f t="shared" si="396"/>
        <v>0</v>
      </c>
      <c r="G3141" s="405">
        <f t="shared" si="397"/>
        <v>0</v>
      </c>
      <c r="H3141" s="405">
        <f t="shared" si="398"/>
        <v>0</v>
      </c>
    </row>
    <row r="3142" spans="1:8">
      <c r="A3142" s="363" t="str">
        <f t="shared" si="399"/>
        <v/>
      </c>
      <c r="B3142" s="363" t="str">
        <f t="shared" si="392"/>
        <v/>
      </c>
      <c r="C3142" s="405" t="str">
        <f t="shared" si="393"/>
        <v/>
      </c>
      <c r="D3142" s="405">
        <f t="shared" si="394"/>
        <v>0</v>
      </c>
      <c r="E3142" s="405" t="str">
        <f t="shared" si="395"/>
        <v/>
      </c>
      <c r="F3142" s="405">
        <f t="shared" si="396"/>
        <v>0</v>
      </c>
      <c r="G3142" s="405">
        <f t="shared" si="397"/>
        <v>0</v>
      </c>
      <c r="H3142" s="405">
        <f t="shared" si="398"/>
        <v>0</v>
      </c>
    </row>
    <row r="3143" spans="1:8">
      <c r="A3143" s="363" t="str">
        <f t="shared" si="399"/>
        <v/>
      </c>
      <c r="B3143" s="363" t="str">
        <f t="shared" si="392"/>
        <v/>
      </c>
      <c r="C3143" s="405" t="str">
        <f t="shared" si="393"/>
        <v/>
      </c>
      <c r="D3143" s="405">
        <f t="shared" si="394"/>
        <v>0</v>
      </c>
      <c r="E3143" s="405" t="str">
        <f t="shared" si="395"/>
        <v/>
      </c>
      <c r="F3143" s="405">
        <f t="shared" si="396"/>
        <v>0</v>
      </c>
      <c r="G3143" s="405">
        <f t="shared" si="397"/>
        <v>0</v>
      </c>
      <c r="H3143" s="405">
        <f t="shared" si="398"/>
        <v>0</v>
      </c>
    </row>
    <row r="3144" spans="1:8">
      <c r="A3144" s="363" t="str">
        <f t="shared" si="399"/>
        <v/>
      </c>
      <c r="B3144" s="363" t="str">
        <f t="shared" si="392"/>
        <v/>
      </c>
      <c r="C3144" s="405" t="str">
        <f t="shared" si="393"/>
        <v/>
      </c>
      <c r="D3144" s="405">
        <f t="shared" si="394"/>
        <v>0</v>
      </c>
      <c r="E3144" s="405" t="str">
        <f t="shared" si="395"/>
        <v/>
      </c>
      <c r="F3144" s="405">
        <f t="shared" si="396"/>
        <v>0</v>
      </c>
      <c r="G3144" s="405">
        <f t="shared" si="397"/>
        <v>0</v>
      </c>
      <c r="H3144" s="405">
        <f t="shared" si="398"/>
        <v>0</v>
      </c>
    </row>
    <row r="3145" spans="1:8">
      <c r="A3145" s="363" t="str">
        <f t="shared" si="399"/>
        <v/>
      </c>
      <c r="B3145" s="363" t="str">
        <f t="shared" si="392"/>
        <v/>
      </c>
      <c r="C3145" s="405" t="str">
        <f t="shared" si="393"/>
        <v/>
      </c>
      <c r="D3145" s="405">
        <f t="shared" si="394"/>
        <v>0</v>
      </c>
      <c r="E3145" s="405" t="str">
        <f t="shared" si="395"/>
        <v/>
      </c>
      <c r="F3145" s="405">
        <f t="shared" si="396"/>
        <v>0</v>
      </c>
      <c r="G3145" s="405">
        <f t="shared" si="397"/>
        <v>0</v>
      </c>
      <c r="H3145" s="405">
        <f t="shared" si="398"/>
        <v>0</v>
      </c>
    </row>
    <row r="3146" spans="1:8">
      <c r="A3146" s="363" t="str">
        <f t="shared" si="399"/>
        <v/>
      </c>
      <c r="B3146" s="363" t="str">
        <f t="shared" si="392"/>
        <v/>
      </c>
      <c r="C3146" s="405" t="str">
        <f t="shared" si="393"/>
        <v/>
      </c>
      <c r="D3146" s="405">
        <f t="shared" si="394"/>
        <v>0</v>
      </c>
      <c r="E3146" s="405" t="str">
        <f t="shared" si="395"/>
        <v/>
      </c>
      <c r="F3146" s="405">
        <f t="shared" si="396"/>
        <v>0</v>
      </c>
      <c r="G3146" s="405">
        <f t="shared" si="397"/>
        <v>0</v>
      </c>
      <c r="H3146" s="405">
        <f t="shared" si="398"/>
        <v>0</v>
      </c>
    </row>
    <row r="3147" spans="1:8">
      <c r="A3147" s="363" t="str">
        <f t="shared" si="399"/>
        <v/>
      </c>
      <c r="B3147" s="363" t="str">
        <f t="shared" si="392"/>
        <v/>
      </c>
      <c r="C3147" s="405" t="str">
        <f t="shared" si="393"/>
        <v/>
      </c>
      <c r="D3147" s="405">
        <f t="shared" si="394"/>
        <v>0</v>
      </c>
      <c r="E3147" s="405" t="str">
        <f t="shared" si="395"/>
        <v/>
      </c>
      <c r="F3147" s="405">
        <f t="shared" si="396"/>
        <v>0</v>
      </c>
      <c r="G3147" s="405">
        <f t="shared" si="397"/>
        <v>0</v>
      </c>
      <c r="H3147" s="405">
        <f t="shared" si="398"/>
        <v>0</v>
      </c>
    </row>
    <row r="3148" spans="1:8">
      <c r="A3148" s="363" t="str">
        <f t="shared" si="399"/>
        <v/>
      </c>
      <c r="B3148" s="363" t="str">
        <f t="shared" si="392"/>
        <v/>
      </c>
      <c r="C3148" s="405" t="str">
        <f t="shared" si="393"/>
        <v/>
      </c>
      <c r="D3148" s="405">
        <f t="shared" si="394"/>
        <v>0</v>
      </c>
      <c r="E3148" s="405" t="str">
        <f t="shared" si="395"/>
        <v/>
      </c>
      <c r="F3148" s="405">
        <f t="shared" si="396"/>
        <v>0</v>
      </c>
      <c r="G3148" s="405">
        <f t="shared" si="397"/>
        <v>0</v>
      </c>
      <c r="H3148" s="405">
        <f t="shared" si="398"/>
        <v>0</v>
      </c>
    </row>
    <row r="3149" spans="1:8">
      <c r="A3149" s="363" t="str">
        <f t="shared" si="399"/>
        <v/>
      </c>
      <c r="B3149" s="363" t="str">
        <f t="shared" si="392"/>
        <v/>
      </c>
      <c r="C3149" s="405" t="str">
        <f t="shared" si="393"/>
        <v/>
      </c>
      <c r="D3149" s="405">
        <f t="shared" si="394"/>
        <v>0</v>
      </c>
      <c r="E3149" s="405" t="str">
        <f t="shared" si="395"/>
        <v/>
      </c>
      <c r="F3149" s="405">
        <f t="shared" si="396"/>
        <v>0</v>
      </c>
      <c r="G3149" s="405">
        <f t="shared" si="397"/>
        <v>0</v>
      </c>
      <c r="H3149" s="405">
        <f t="shared" si="398"/>
        <v>0</v>
      </c>
    </row>
    <row r="3150" spans="1:8">
      <c r="A3150" s="363" t="str">
        <f t="shared" si="399"/>
        <v/>
      </c>
      <c r="B3150" s="363" t="str">
        <f t="shared" si="392"/>
        <v/>
      </c>
      <c r="C3150" s="405" t="str">
        <f t="shared" si="393"/>
        <v/>
      </c>
      <c r="D3150" s="405">
        <f t="shared" si="394"/>
        <v>0</v>
      </c>
      <c r="E3150" s="405" t="str">
        <f t="shared" si="395"/>
        <v/>
      </c>
      <c r="F3150" s="405">
        <f t="shared" si="396"/>
        <v>0</v>
      </c>
      <c r="G3150" s="405">
        <f t="shared" si="397"/>
        <v>0</v>
      </c>
      <c r="H3150" s="405">
        <f t="shared" si="398"/>
        <v>0</v>
      </c>
    </row>
    <row r="3151" spans="1:8">
      <c r="A3151" s="363" t="str">
        <f t="shared" si="399"/>
        <v/>
      </c>
      <c r="B3151" s="363" t="str">
        <f t="shared" si="392"/>
        <v/>
      </c>
      <c r="C3151" s="405" t="str">
        <f t="shared" si="393"/>
        <v/>
      </c>
      <c r="D3151" s="405">
        <f t="shared" si="394"/>
        <v>0</v>
      </c>
      <c r="E3151" s="405" t="str">
        <f t="shared" si="395"/>
        <v/>
      </c>
      <c r="F3151" s="405">
        <f t="shared" si="396"/>
        <v>0</v>
      </c>
      <c r="G3151" s="405">
        <f t="shared" si="397"/>
        <v>0</v>
      </c>
      <c r="H3151" s="405">
        <f t="shared" si="398"/>
        <v>0</v>
      </c>
    </row>
    <row r="3152" spans="1:8">
      <c r="A3152" s="363" t="str">
        <f t="shared" si="399"/>
        <v/>
      </c>
      <c r="B3152" s="363" t="str">
        <f t="shared" si="392"/>
        <v/>
      </c>
      <c r="C3152" s="405" t="str">
        <f t="shared" si="393"/>
        <v/>
      </c>
      <c r="D3152" s="405">
        <f t="shared" si="394"/>
        <v>0</v>
      </c>
      <c r="E3152" s="405" t="str">
        <f t="shared" si="395"/>
        <v/>
      </c>
      <c r="F3152" s="405">
        <f t="shared" si="396"/>
        <v>0</v>
      </c>
      <c r="G3152" s="405">
        <f t="shared" si="397"/>
        <v>0</v>
      </c>
      <c r="H3152" s="405">
        <f t="shared" si="398"/>
        <v>0</v>
      </c>
    </row>
    <row r="3153" spans="1:8">
      <c r="A3153" s="363" t="str">
        <f t="shared" si="399"/>
        <v/>
      </c>
      <c r="B3153" s="363" t="str">
        <f t="shared" si="392"/>
        <v/>
      </c>
      <c r="C3153" s="405" t="str">
        <f t="shared" si="393"/>
        <v/>
      </c>
      <c r="D3153" s="405">
        <f t="shared" si="394"/>
        <v>0</v>
      </c>
      <c r="E3153" s="405" t="str">
        <f t="shared" si="395"/>
        <v/>
      </c>
      <c r="F3153" s="405">
        <f t="shared" si="396"/>
        <v>0</v>
      </c>
      <c r="G3153" s="405">
        <f t="shared" si="397"/>
        <v>0</v>
      </c>
      <c r="H3153" s="405">
        <f t="shared" si="398"/>
        <v>0</v>
      </c>
    </row>
    <row r="3154" spans="1:8">
      <c r="A3154" s="363" t="str">
        <f t="shared" si="399"/>
        <v/>
      </c>
      <c r="B3154" s="363" t="str">
        <f t="shared" si="392"/>
        <v/>
      </c>
      <c r="C3154" s="405" t="str">
        <f t="shared" si="393"/>
        <v/>
      </c>
      <c r="D3154" s="405">
        <f t="shared" si="394"/>
        <v>0</v>
      </c>
      <c r="E3154" s="405" t="str">
        <f t="shared" si="395"/>
        <v/>
      </c>
      <c r="F3154" s="405">
        <f t="shared" si="396"/>
        <v>0</v>
      </c>
      <c r="G3154" s="405">
        <f t="shared" si="397"/>
        <v>0</v>
      </c>
      <c r="H3154" s="405">
        <f t="shared" si="398"/>
        <v>0</v>
      </c>
    </row>
    <row r="3155" spans="1:8">
      <c r="A3155" s="363" t="str">
        <f t="shared" si="399"/>
        <v/>
      </c>
      <c r="B3155" s="363" t="str">
        <f t="shared" si="392"/>
        <v/>
      </c>
      <c r="C3155" s="405" t="str">
        <f t="shared" si="393"/>
        <v/>
      </c>
      <c r="D3155" s="405">
        <f t="shared" si="394"/>
        <v>0</v>
      </c>
      <c r="E3155" s="405" t="str">
        <f t="shared" si="395"/>
        <v/>
      </c>
      <c r="F3155" s="405">
        <f t="shared" si="396"/>
        <v>0</v>
      </c>
      <c r="G3155" s="405">
        <f t="shared" si="397"/>
        <v>0</v>
      </c>
      <c r="H3155" s="405">
        <f t="shared" si="398"/>
        <v>0</v>
      </c>
    </row>
    <row r="3156" spans="1:8">
      <c r="A3156" s="363" t="str">
        <f t="shared" si="399"/>
        <v/>
      </c>
      <c r="B3156" s="363" t="str">
        <f t="shared" si="392"/>
        <v/>
      </c>
      <c r="C3156" s="405" t="str">
        <f t="shared" si="393"/>
        <v/>
      </c>
      <c r="D3156" s="405">
        <f t="shared" si="394"/>
        <v>0</v>
      </c>
      <c r="E3156" s="405" t="str">
        <f t="shared" si="395"/>
        <v/>
      </c>
      <c r="F3156" s="405">
        <f t="shared" si="396"/>
        <v>0</v>
      </c>
      <c r="G3156" s="405">
        <f t="shared" si="397"/>
        <v>0</v>
      </c>
      <c r="H3156" s="405">
        <f t="shared" si="398"/>
        <v>0</v>
      </c>
    </row>
    <row r="3157" spans="1:8">
      <c r="A3157" s="363" t="str">
        <f t="shared" si="399"/>
        <v/>
      </c>
      <c r="B3157" s="363" t="str">
        <f t="shared" si="392"/>
        <v/>
      </c>
      <c r="C3157" s="405" t="str">
        <f t="shared" si="393"/>
        <v/>
      </c>
      <c r="D3157" s="405">
        <f t="shared" si="394"/>
        <v>0</v>
      </c>
      <c r="E3157" s="405" t="str">
        <f t="shared" si="395"/>
        <v/>
      </c>
      <c r="F3157" s="405">
        <f t="shared" si="396"/>
        <v>0</v>
      </c>
      <c r="G3157" s="405">
        <f t="shared" si="397"/>
        <v>0</v>
      </c>
      <c r="H3157" s="405">
        <f t="shared" si="398"/>
        <v>0</v>
      </c>
    </row>
    <row r="3158" spans="1:8">
      <c r="A3158" s="363" t="str">
        <f t="shared" si="399"/>
        <v/>
      </c>
      <c r="B3158" s="363" t="str">
        <f t="shared" si="392"/>
        <v/>
      </c>
      <c r="C3158" s="405" t="str">
        <f t="shared" si="393"/>
        <v/>
      </c>
      <c r="D3158" s="405">
        <f t="shared" si="394"/>
        <v>0</v>
      </c>
      <c r="E3158" s="405" t="str">
        <f t="shared" si="395"/>
        <v/>
      </c>
      <c r="F3158" s="405">
        <f t="shared" si="396"/>
        <v>0</v>
      </c>
      <c r="G3158" s="405">
        <f t="shared" si="397"/>
        <v>0</v>
      </c>
      <c r="H3158" s="405">
        <f t="shared" si="398"/>
        <v>0</v>
      </c>
    </row>
    <row r="3159" spans="1:8">
      <c r="A3159" s="363" t="str">
        <f t="shared" si="399"/>
        <v/>
      </c>
      <c r="B3159" s="363" t="str">
        <f t="shared" si="392"/>
        <v/>
      </c>
      <c r="C3159" s="405" t="str">
        <f t="shared" si="393"/>
        <v/>
      </c>
      <c r="D3159" s="405">
        <f t="shared" si="394"/>
        <v>0</v>
      </c>
      <c r="E3159" s="405" t="str">
        <f t="shared" si="395"/>
        <v/>
      </c>
      <c r="F3159" s="405">
        <f t="shared" si="396"/>
        <v>0</v>
      </c>
      <c r="G3159" s="405">
        <f t="shared" si="397"/>
        <v>0</v>
      </c>
      <c r="H3159" s="405">
        <f t="shared" si="398"/>
        <v>0</v>
      </c>
    </row>
    <row r="3160" spans="1:8">
      <c r="A3160" s="363" t="str">
        <f t="shared" si="399"/>
        <v/>
      </c>
      <c r="B3160" s="363" t="str">
        <f t="shared" si="392"/>
        <v/>
      </c>
      <c r="C3160" s="405" t="str">
        <f t="shared" si="393"/>
        <v/>
      </c>
      <c r="D3160" s="405">
        <f t="shared" si="394"/>
        <v>0</v>
      </c>
      <c r="E3160" s="405" t="str">
        <f t="shared" si="395"/>
        <v/>
      </c>
      <c r="F3160" s="405">
        <f t="shared" si="396"/>
        <v>0</v>
      </c>
      <c r="G3160" s="405">
        <f t="shared" si="397"/>
        <v>0</v>
      </c>
      <c r="H3160" s="405">
        <f t="shared" si="398"/>
        <v>0</v>
      </c>
    </row>
    <row r="3161" spans="1:8">
      <c r="A3161" s="363" t="str">
        <f t="shared" si="399"/>
        <v/>
      </c>
      <c r="B3161" s="363" t="str">
        <f t="shared" si="392"/>
        <v/>
      </c>
      <c r="C3161" s="405" t="str">
        <f t="shared" si="393"/>
        <v/>
      </c>
      <c r="D3161" s="405">
        <f t="shared" si="394"/>
        <v>0</v>
      </c>
      <c r="E3161" s="405" t="str">
        <f t="shared" si="395"/>
        <v/>
      </c>
      <c r="F3161" s="405">
        <f t="shared" si="396"/>
        <v>0</v>
      </c>
      <c r="G3161" s="405">
        <f t="shared" si="397"/>
        <v>0</v>
      </c>
      <c r="H3161" s="405">
        <f t="shared" si="398"/>
        <v>0</v>
      </c>
    </row>
    <row r="3162" spans="1:8">
      <c r="A3162" s="363" t="str">
        <f t="shared" si="399"/>
        <v/>
      </c>
      <c r="B3162" s="363" t="str">
        <f t="shared" si="392"/>
        <v/>
      </c>
      <c r="C3162" s="405" t="str">
        <f t="shared" si="393"/>
        <v/>
      </c>
      <c r="D3162" s="405">
        <f t="shared" si="394"/>
        <v>0</v>
      </c>
      <c r="E3162" s="405" t="str">
        <f t="shared" si="395"/>
        <v/>
      </c>
      <c r="F3162" s="405">
        <f t="shared" si="396"/>
        <v>0</v>
      </c>
      <c r="G3162" s="405">
        <f t="shared" si="397"/>
        <v>0</v>
      </c>
      <c r="H3162" s="405">
        <f t="shared" si="398"/>
        <v>0</v>
      </c>
    </row>
    <row r="3163" spans="1:8">
      <c r="A3163" s="363" t="str">
        <f t="shared" si="399"/>
        <v/>
      </c>
      <c r="B3163" s="363" t="str">
        <f t="shared" si="392"/>
        <v/>
      </c>
      <c r="C3163" s="405" t="str">
        <f t="shared" si="393"/>
        <v/>
      </c>
      <c r="D3163" s="405">
        <f t="shared" si="394"/>
        <v>0</v>
      </c>
      <c r="E3163" s="405" t="str">
        <f t="shared" si="395"/>
        <v/>
      </c>
      <c r="F3163" s="405">
        <f t="shared" si="396"/>
        <v>0</v>
      </c>
      <c r="G3163" s="405">
        <f t="shared" si="397"/>
        <v>0</v>
      </c>
      <c r="H3163" s="405">
        <f t="shared" si="398"/>
        <v>0</v>
      </c>
    </row>
    <row r="3164" spans="1:8">
      <c r="A3164" s="363" t="str">
        <f t="shared" si="399"/>
        <v/>
      </c>
      <c r="B3164" s="363" t="str">
        <f t="shared" si="392"/>
        <v/>
      </c>
      <c r="C3164" s="405" t="str">
        <f t="shared" si="393"/>
        <v/>
      </c>
      <c r="D3164" s="405">
        <f t="shared" si="394"/>
        <v>0</v>
      </c>
      <c r="E3164" s="405" t="str">
        <f t="shared" si="395"/>
        <v/>
      </c>
      <c r="F3164" s="405">
        <f t="shared" si="396"/>
        <v>0</v>
      </c>
      <c r="G3164" s="405">
        <f t="shared" si="397"/>
        <v>0</v>
      </c>
      <c r="H3164" s="405">
        <f t="shared" si="398"/>
        <v>0</v>
      </c>
    </row>
    <row r="3165" spans="1:8">
      <c r="A3165" s="363" t="str">
        <f t="shared" si="399"/>
        <v/>
      </c>
      <c r="B3165" s="363" t="str">
        <f t="shared" si="392"/>
        <v/>
      </c>
      <c r="C3165" s="405" t="str">
        <f t="shared" si="393"/>
        <v/>
      </c>
      <c r="D3165" s="405">
        <f t="shared" si="394"/>
        <v>0</v>
      </c>
      <c r="E3165" s="405" t="str">
        <f t="shared" si="395"/>
        <v/>
      </c>
      <c r="F3165" s="405">
        <f t="shared" si="396"/>
        <v>0</v>
      </c>
      <c r="G3165" s="405">
        <f t="shared" si="397"/>
        <v>0</v>
      </c>
      <c r="H3165" s="405">
        <f t="shared" si="398"/>
        <v>0</v>
      </c>
    </row>
    <row r="3166" spans="1:8">
      <c r="A3166" s="363" t="str">
        <f t="shared" si="399"/>
        <v/>
      </c>
      <c r="B3166" s="363" t="str">
        <f t="shared" si="392"/>
        <v/>
      </c>
      <c r="C3166" s="405" t="str">
        <f t="shared" si="393"/>
        <v/>
      </c>
      <c r="D3166" s="405">
        <f t="shared" si="394"/>
        <v>0</v>
      </c>
      <c r="E3166" s="405" t="str">
        <f t="shared" si="395"/>
        <v/>
      </c>
      <c r="F3166" s="405">
        <f t="shared" si="396"/>
        <v>0</v>
      </c>
      <c r="G3166" s="405">
        <f t="shared" si="397"/>
        <v>0</v>
      </c>
      <c r="H3166" s="405">
        <f t="shared" si="398"/>
        <v>0</v>
      </c>
    </row>
    <row r="3167" spans="1:8">
      <c r="A3167" s="363" t="str">
        <f t="shared" si="399"/>
        <v/>
      </c>
      <c r="B3167" s="363" t="str">
        <f t="shared" si="392"/>
        <v/>
      </c>
      <c r="C3167" s="405" t="str">
        <f t="shared" si="393"/>
        <v/>
      </c>
      <c r="D3167" s="405">
        <f t="shared" si="394"/>
        <v>0</v>
      </c>
      <c r="E3167" s="405" t="str">
        <f t="shared" si="395"/>
        <v/>
      </c>
      <c r="F3167" s="405">
        <f t="shared" si="396"/>
        <v>0</v>
      </c>
      <c r="G3167" s="405">
        <f t="shared" si="397"/>
        <v>0</v>
      </c>
      <c r="H3167" s="405">
        <f t="shared" si="398"/>
        <v>0</v>
      </c>
    </row>
    <row r="3168" spans="1:8">
      <c r="A3168" s="363" t="str">
        <f t="shared" si="399"/>
        <v/>
      </c>
      <c r="B3168" s="363" t="str">
        <f t="shared" si="392"/>
        <v/>
      </c>
      <c r="C3168" s="405" t="str">
        <f t="shared" si="393"/>
        <v/>
      </c>
      <c r="D3168" s="405">
        <f t="shared" si="394"/>
        <v>0</v>
      </c>
      <c r="E3168" s="405" t="str">
        <f t="shared" si="395"/>
        <v/>
      </c>
      <c r="F3168" s="405">
        <f t="shared" si="396"/>
        <v>0</v>
      </c>
      <c r="G3168" s="405">
        <f t="shared" si="397"/>
        <v>0</v>
      </c>
      <c r="H3168" s="405">
        <f t="shared" si="398"/>
        <v>0</v>
      </c>
    </row>
    <row r="3169" spans="1:8">
      <c r="A3169" s="363" t="str">
        <f t="shared" si="399"/>
        <v/>
      </c>
      <c r="B3169" s="363" t="str">
        <f t="shared" si="392"/>
        <v/>
      </c>
      <c r="C3169" s="405" t="str">
        <f t="shared" si="393"/>
        <v/>
      </c>
      <c r="D3169" s="405">
        <f t="shared" si="394"/>
        <v>0</v>
      </c>
      <c r="E3169" s="405" t="str">
        <f t="shared" si="395"/>
        <v/>
      </c>
      <c r="F3169" s="405">
        <f t="shared" si="396"/>
        <v>0</v>
      </c>
      <c r="G3169" s="405">
        <f t="shared" si="397"/>
        <v>0</v>
      </c>
      <c r="H3169" s="405">
        <f t="shared" si="398"/>
        <v>0</v>
      </c>
    </row>
    <row r="3170" spans="1:8">
      <c r="A3170" s="363" t="str">
        <f t="shared" si="399"/>
        <v/>
      </c>
      <c r="B3170" s="363" t="str">
        <f t="shared" si="392"/>
        <v/>
      </c>
      <c r="C3170" s="405" t="str">
        <f t="shared" si="393"/>
        <v/>
      </c>
      <c r="D3170" s="405">
        <f t="shared" si="394"/>
        <v>0</v>
      </c>
      <c r="E3170" s="405" t="str">
        <f t="shared" si="395"/>
        <v/>
      </c>
      <c r="F3170" s="405">
        <f t="shared" si="396"/>
        <v>0</v>
      </c>
      <c r="G3170" s="405">
        <f t="shared" si="397"/>
        <v>0</v>
      </c>
      <c r="H3170" s="405">
        <f t="shared" si="398"/>
        <v>0</v>
      </c>
    </row>
    <row r="3171" spans="1:8">
      <c r="A3171" s="363" t="str">
        <f t="shared" si="399"/>
        <v/>
      </c>
      <c r="B3171" s="363" t="str">
        <f t="shared" si="392"/>
        <v/>
      </c>
      <c r="C3171" s="405" t="str">
        <f t="shared" si="393"/>
        <v/>
      </c>
      <c r="D3171" s="405">
        <f t="shared" si="394"/>
        <v>0</v>
      </c>
      <c r="E3171" s="405" t="str">
        <f t="shared" si="395"/>
        <v/>
      </c>
      <c r="F3171" s="405">
        <f t="shared" si="396"/>
        <v>0</v>
      </c>
      <c r="G3171" s="405">
        <f t="shared" si="397"/>
        <v>0</v>
      </c>
      <c r="H3171" s="405">
        <f t="shared" si="398"/>
        <v>0</v>
      </c>
    </row>
    <row r="3172" spans="1:8">
      <c r="A3172" s="363" t="str">
        <f t="shared" si="399"/>
        <v/>
      </c>
      <c r="B3172" s="363" t="str">
        <f t="shared" si="392"/>
        <v/>
      </c>
      <c r="C3172" s="405" t="str">
        <f t="shared" si="393"/>
        <v/>
      </c>
      <c r="D3172" s="405">
        <f t="shared" si="394"/>
        <v>0</v>
      </c>
      <c r="E3172" s="405" t="str">
        <f t="shared" si="395"/>
        <v/>
      </c>
      <c r="F3172" s="405">
        <f t="shared" si="396"/>
        <v>0</v>
      </c>
      <c r="G3172" s="405">
        <f t="shared" si="397"/>
        <v>0</v>
      </c>
      <c r="H3172" s="405">
        <f t="shared" si="398"/>
        <v>0</v>
      </c>
    </row>
    <row r="3173" spans="1:8">
      <c r="A3173" s="363" t="str">
        <f t="shared" si="399"/>
        <v/>
      </c>
      <c r="B3173" s="363" t="str">
        <f t="shared" si="392"/>
        <v/>
      </c>
      <c r="C3173" s="405" t="str">
        <f t="shared" si="393"/>
        <v/>
      </c>
      <c r="D3173" s="405">
        <f t="shared" si="394"/>
        <v>0</v>
      </c>
      <c r="E3173" s="405" t="str">
        <f t="shared" si="395"/>
        <v/>
      </c>
      <c r="F3173" s="405">
        <f t="shared" si="396"/>
        <v>0</v>
      </c>
      <c r="G3173" s="405">
        <f t="shared" si="397"/>
        <v>0</v>
      </c>
      <c r="H3173" s="405">
        <f t="shared" si="398"/>
        <v>0</v>
      </c>
    </row>
    <row r="3174" spans="1:8">
      <c r="A3174" s="363" t="str">
        <f t="shared" si="399"/>
        <v/>
      </c>
      <c r="B3174" s="363" t="str">
        <f t="shared" si="392"/>
        <v/>
      </c>
      <c r="C3174" s="405" t="str">
        <f t="shared" si="393"/>
        <v/>
      </c>
      <c r="D3174" s="405">
        <f t="shared" si="394"/>
        <v>0</v>
      </c>
      <c r="E3174" s="405" t="str">
        <f t="shared" si="395"/>
        <v/>
      </c>
      <c r="F3174" s="405">
        <f t="shared" si="396"/>
        <v>0</v>
      </c>
      <c r="G3174" s="405">
        <f t="shared" si="397"/>
        <v>0</v>
      </c>
      <c r="H3174" s="405">
        <f t="shared" si="398"/>
        <v>0</v>
      </c>
    </row>
    <row r="3175" spans="1:8">
      <c r="A3175" s="363" t="str">
        <f t="shared" si="399"/>
        <v/>
      </c>
      <c r="B3175" s="363" t="str">
        <f t="shared" si="392"/>
        <v/>
      </c>
      <c r="C3175" s="405" t="str">
        <f t="shared" si="393"/>
        <v/>
      </c>
      <c r="D3175" s="405">
        <f t="shared" si="394"/>
        <v>0</v>
      </c>
      <c r="E3175" s="405" t="str">
        <f t="shared" si="395"/>
        <v/>
      </c>
      <c r="F3175" s="405">
        <f t="shared" si="396"/>
        <v>0</v>
      </c>
      <c r="G3175" s="405">
        <f t="shared" si="397"/>
        <v>0</v>
      </c>
      <c r="H3175" s="405">
        <f t="shared" si="398"/>
        <v>0</v>
      </c>
    </row>
    <row r="3176" spans="1:8">
      <c r="A3176" s="363" t="str">
        <f t="shared" si="399"/>
        <v/>
      </c>
      <c r="B3176" s="363" t="str">
        <f t="shared" si="392"/>
        <v/>
      </c>
      <c r="C3176" s="405" t="str">
        <f t="shared" si="393"/>
        <v/>
      </c>
      <c r="D3176" s="405">
        <f t="shared" si="394"/>
        <v>0</v>
      </c>
      <c r="E3176" s="405" t="str">
        <f t="shared" si="395"/>
        <v/>
      </c>
      <c r="F3176" s="405">
        <f t="shared" si="396"/>
        <v>0</v>
      </c>
      <c r="G3176" s="405">
        <f t="shared" si="397"/>
        <v>0</v>
      </c>
      <c r="H3176" s="405">
        <f t="shared" si="398"/>
        <v>0</v>
      </c>
    </row>
    <row r="3177" spans="1:8">
      <c r="A3177" s="363" t="str">
        <f t="shared" si="399"/>
        <v/>
      </c>
      <c r="B3177" s="363" t="str">
        <f t="shared" si="392"/>
        <v/>
      </c>
      <c r="C3177" s="405" t="str">
        <f t="shared" si="393"/>
        <v/>
      </c>
      <c r="D3177" s="405">
        <f t="shared" si="394"/>
        <v>0</v>
      </c>
      <c r="E3177" s="405" t="str">
        <f t="shared" si="395"/>
        <v/>
      </c>
      <c r="F3177" s="405">
        <f t="shared" si="396"/>
        <v>0</v>
      </c>
      <c r="G3177" s="405">
        <f t="shared" si="397"/>
        <v>0</v>
      </c>
      <c r="H3177" s="405">
        <f t="shared" si="398"/>
        <v>0</v>
      </c>
    </row>
    <row r="3178" spans="1:8">
      <c r="A3178" s="363" t="str">
        <f t="shared" si="399"/>
        <v/>
      </c>
      <c r="B3178" s="363" t="str">
        <f t="shared" si="392"/>
        <v/>
      </c>
      <c r="C3178" s="405" t="str">
        <f t="shared" si="393"/>
        <v/>
      </c>
      <c r="D3178" s="405">
        <f t="shared" si="394"/>
        <v>0</v>
      </c>
      <c r="E3178" s="405" t="str">
        <f t="shared" si="395"/>
        <v/>
      </c>
      <c r="F3178" s="405">
        <f t="shared" si="396"/>
        <v>0</v>
      </c>
      <c r="G3178" s="405">
        <f t="shared" si="397"/>
        <v>0</v>
      </c>
      <c r="H3178" s="405">
        <f t="shared" si="398"/>
        <v>0</v>
      </c>
    </row>
    <row r="3179" spans="1:8">
      <c r="A3179" s="363" t="str">
        <f t="shared" si="399"/>
        <v/>
      </c>
      <c r="B3179" s="363" t="str">
        <f t="shared" si="392"/>
        <v/>
      </c>
      <c r="C3179" s="405" t="str">
        <f t="shared" si="393"/>
        <v/>
      </c>
      <c r="D3179" s="405">
        <f t="shared" si="394"/>
        <v>0</v>
      </c>
      <c r="E3179" s="405" t="str">
        <f t="shared" si="395"/>
        <v/>
      </c>
      <c r="F3179" s="405">
        <f t="shared" si="396"/>
        <v>0</v>
      </c>
      <c r="G3179" s="405">
        <f t="shared" si="397"/>
        <v>0</v>
      </c>
      <c r="H3179" s="405">
        <f t="shared" si="398"/>
        <v>0</v>
      </c>
    </row>
    <row r="3180" spans="1:8">
      <c r="A3180" s="363" t="str">
        <f t="shared" si="399"/>
        <v/>
      </c>
      <c r="B3180" s="363" t="str">
        <f t="shared" si="392"/>
        <v/>
      </c>
      <c r="C3180" s="405" t="str">
        <f t="shared" si="393"/>
        <v/>
      </c>
      <c r="D3180" s="405">
        <f t="shared" si="394"/>
        <v>0</v>
      </c>
      <c r="E3180" s="405" t="str">
        <f t="shared" si="395"/>
        <v/>
      </c>
      <c r="F3180" s="405">
        <f t="shared" si="396"/>
        <v>0</v>
      </c>
      <c r="G3180" s="405">
        <f t="shared" si="397"/>
        <v>0</v>
      </c>
      <c r="H3180" s="405">
        <f t="shared" si="398"/>
        <v>0</v>
      </c>
    </row>
    <row r="3181" spans="1:8">
      <c r="A3181" s="363" t="str">
        <f t="shared" si="399"/>
        <v/>
      </c>
      <c r="B3181" s="363" t="str">
        <f t="shared" si="392"/>
        <v/>
      </c>
      <c r="C3181" s="405" t="str">
        <f t="shared" si="393"/>
        <v/>
      </c>
      <c r="D3181" s="405">
        <f t="shared" si="394"/>
        <v>0</v>
      </c>
      <c r="E3181" s="405" t="str">
        <f t="shared" si="395"/>
        <v/>
      </c>
      <c r="F3181" s="405">
        <f t="shared" si="396"/>
        <v>0</v>
      </c>
      <c r="G3181" s="405">
        <f t="shared" si="397"/>
        <v>0</v>
      </c>
      <c r="H3181" s="405">
        <f t="shared" si="398"/>
        <v>0</v>
      </c>
    </row>
    <row r="3182" spans="1:8">
      <c r="A3182" s="363" t="str">
        <f t="shared" si="399"/>
        <v/>
      </c>
      <c r="B3182" s="363" t="str">
        <f t="shared" si="392"/>
        <v/>
      </c>
      <c r="C3182" s="405" t="str">
        <f t="shared" si="393"/>
        <v/>
      </c>
      <c r="D3182" s="405">
        <f t="shared" si="394"/>
        <v>0</v>
      </c>
      <c r="E3182" s="405" t="str">
        <f t="shared" si="395"/>
        <v/>
      </c>
      <c r="F3182" s="405">
        <f t="shared" si="396"/>
        <v>0</v>
      </c>
      <c r="G3182" s="405">
        <f t="shared" si="397"/>
        <v>0</v>
      </c>
      <c r="H3182" s="405">
        <f t="shared" si="398"/>
        <v>0</v>
      </c>
    </row>
    <row r="3183" spans="1:8">
      <c r="A3183" s="363" t="str">
        <f t="shared" si="399"/>
        <v/>
      </c>
      <c r="B3183" s="363" t="str">
        <f t="shared" si="392"/>
        <v/>
      </c>
      <c r="C3183" s="405" t="str">
        <f t="shared" si="393"/>
        <v/>
      </c>
      <c r="D3183" s="405">
        <f t="shared" si="394"/>
        <v>0</v>
      </c>
      <c r="E3183" s="405" t="str">
        <f t="shared" si="395"/>
        <v/>
      </c>
      <c r="F3183" s="405">
        <f t="shared" si="396"/>
        <v>0</v>
      </c>
      <c r="G3183" s="405">
        <f t="shared" si="397"/>
        <v>0</v>
      </c>
      <c r="H3183" s="405">
        <f t="shared" si="398"/>
        <v>0</v>
      </c>
    </row>
    <row r="3184" spans="1:8">
      <c r="A3184" s="363" t="str">
        <f t="shared" si="399"/>
        <v/>
      </c>
      <c r="B3184" s="363" t="str">
        <f t="shared" si="392"/>
        <v/>
      </c>
      <c r="C3184" s="405" t="str">
        <f t="shared" si="393"/>
        <v/>
      </c>
      <c r="D3184" s="405">
        <f t="shared" si="394"/>
        <v>0</v>
      </c>
      <c r="E3184" s="405" t="str">
        <f t="shared" si="395"/>
        <v/>
      </c>
      <c r="F3184" s="405">
        <f t="shared" si="396"/>
        <v>0</v>
      </c>
      <c r="G3184" s="405">
        <f t="shared" si="397"/>
        <v>0</v>
      </c>
      <c r="H3184" s="405">
        <f t="shared" si="398"/>
        <v>0</v>
      </c>
    </row>
    <row r="3185" spans="1:8">
      <c r="A3185" s="363" t="str">
        <f t="shared" si="399"/>
        <v/>
      </c>
      <c r="B3185" s="363" t="str">
        <f t="shared" si="392"/>
        <v/>
      </c>
      <c r="C3185" s="405" t="str">
        <f t="shared" si="393"/>
        <v/>
      </c>
      <c r="D3185" s="405">
        <f t="shared" si="394"/>
        <v>0</v>
      </c>
      <c r="E3185" s="405" t="str">
        <f t="shared" si="395"/>
        <v/>
      </c>
      <c r="F3185" s="405">
        <f t="shared" si="396"/>
        <v>0</v>
      </c>
      <c r="G3185" s="405">
        <f t="shared" si="397"/>
        <v>0</v>
      </c>
      <c r="H3185" s="405">
        <f t="shared" si="398"/>
        <v>0</v>
      </c>
    </row>
    <row r="3186" spans="1:8">
      <c r="A3186" s="363" t="str">
        <f t="shared" si="399"/>
        <v/>
      </c>
      <c r="B3186" s="363" t="str">
        <f t="shared" si="392"/>
        <v/>
      </c>
      <c r="C3186" s="405" t="str">
        <f t="shared" si="393"/>
        <v/>
      </c>
      <c r="D3186" s="405">
        <f t="shared" si="394"/>
        <v>0</v>
      </c>
      <c r="E3186" s="405" t="str">
        <f t="shared" si="395"/>
        <v/>
      </c>
      <c r="F3186" s="405">
        <f t="shared" si="396"/>
        <v>0</v>
      </c>
      <c r="G3186" s="405">
        <f t="shared" si="397"/>
        <v>0</v>
      </c>
      <c r="H3186" s="405">
        <f t="shared" si="398"/>
        <v>0</v>
      </c>
    </row>
    <row r="3187" spans="1:8">
      <c r="A3187" s="363" t="str">
        <f t="shared" si="399"/>
        <v/>
      </c>
      <c r="B3187" s="363" t="str">
        <f t="shared" si="392"/>
        <v/>
      </c>
      <c r="C3187" s="405" t="str">
        <f t="shared" si="393"/>
        <v/>
      </c>
      <c r="D3187" s="405">
        <f t="shared" si="394"/>
        <v>0</v>
      </c>
      <c r="E3187" s="405" t="str">
        <f t="shared" si="395"/>
        <v/>
      </c>
      <c r="F3187" s="405">
        <f t="shared" si="396"/>
        <v>0</v>
      </c>
      <c r="G3187" s="405">
        <f t="shared" si="397"/>
        <v>0</v>
      </c>
      <c r="H3187" s="405">
        <f t="shared" si="398"/>
        <v>0</v>
      </c>
    </row>
    <row r="3188" spans="1:8">
      <c r="A3188" s="363" t="str">
        <f t="shared" si="399"/>
        <v/>
      </c>
      <c r="B3188" s="363" t="str">
        <f t="shared" si="392"/>
        <v/>
      </c>
      <c r="C3188" s="405" t="str">
        <f t="shared" si="393"/>
        <v/>
      </c>
      <c r="D3188" s="405">
        <f t="shared" si="394"/>
        <v>0</v>
      </c>
      <c r="E3188" s="405" t="str">
        <f t="shared" si="395"/>
        <v/>
      </c>
      <c r="F3188" s="405">
        <f t="shared" si="396"/>
        <v>0</v>
      </c>
      <c r="G3188" s="405">
        <f t="shared" si="397"/>
        <v>0</v>
      </c>
      <c r="H3188" s="405">
        <f t="shared" si="398"/>
        <v>0</v>
      </c>
    </row>
    <row r="3189" spans="1:8">
      <c r="A3189" s="363" t="str">
        <f t="shared" si="399"/>
        <v/>
      </c>
      <c r="B3189" s="363" t="str">
        <f t="shared" si="392"/>
        <v/>
      </c>
      <c r="C3189" s="405" t="str">
        <f t="shared" si="393"/>
        <v/>
      </c>
      <c r="D3189" s="405">
        <f t="shared" si="394"/>
        <v>0</v>
      </c>
      <c r="E3189" s="405" t="str">
        <f t="shared" si="395"/>
        <v/>
      </c>
      <c r="F3189" s="405">
        <f t="shared" si="396"/>
        <v>0</v>
      </c>
      <c r="G3189" s="405">
        <f t="shared" si="397"/>
        <v>0</v>
      </c>
      <c r="H3189" s="405">
        <f t="shared" si="398"/>
        <v>0</v>
      </c>
    </row>
    <row r="3190" spans="1:8">
      <c r="A3190" s="363" t="str">
        <f t="shared" si="399"/>
        <v/>
      </c>
      <c r="B3190" s="363" t="str">
        <f t="shared" si="392"/>
        <v/>
      </c>
      <c r="C3190" s="405" t="str">
        <f t="shared" si="393"/>
        <v/>
      </c>
      <c r="D3190" s="405">
        <f t="shared" si="394"/>
        <v>0</v>
      </c>
      <c r="E3190" s="405" t="str">
        <f t="shared" si="395"/>
        <v/>
      </c>
      <c r="F3190" s="405">
        <f t="shared" si="396"/>
        <v>0</v>
      </c>
      <c r="G3190" s="405">
        <f t="shared" si="397"/>
        <v>0</v>
      </c>
      <c r="H3190" s="405">
        <f t="shared" si="398"/>
        <v>0</v>
      </c>
    </row>
    <row r="3191" spans="1:8">
      <c r="A3191" s="363" t="str">
        <f t="shared" si="399"/>
        <v/>
      </c>
      <c r="B3191" s="363" t="str">
        <f t="shared" si="392"/>
        <v/>
      </c>
      <c r="C3191" s="405" t="str">
        <f t="shared" si="393"/>
        <v/>
      </c>
      <c r="D3191" s="405">
        <f t="shared" si="394"/>
        <v>0</v>
      </c>
      <c r="E3191" s="405" t="str">
        <f t="shared" si="395"/>
        <v/>
      </c>
      <c r="F3191" s="405">
        <f t="shared" si="396"/>
        <v>0</v>
      </c>
      <c r="G3191" s="405">
        <f t="shared" si="397"/>
        <v>0</v>
      </c>
      <c r="H3191" s="405">
        <f t="shared" si="398"/>
        <v>0</v>
      </c>
    </row>
    <row r="3192" spans="1:8">
      <c r="A3192" s="363" t="str">
        <f t="shared" si="399"/>
        <v/>
      </c>
      <c r="B3192" s="363" t="str">
        <f t="shared" si="392"/>
        <v/>
      </c>
      <c r="C3192" s="405" t="str">
        <f t="shared" si="393"/>
        <v/>
      </c>
      <c r="D3192" s="405">
        <f t="shared" si="394"/>
        <v>0</v>
      </c>
      <c r="E3192" s="405" t="str">
        <f t="shared" si="395"/>
        <v/>
      </c>
      <c r="F3192" s="405">
        <f t="shared" si="396"/>
        <v>0</v>
      </c>
      <c r="G3192" s="405">
        <f t="shared" si="397"/>
        <v>0</v>
      </c>
      <c r="H3192" s="405">
        <f t="shared" si="398"/>
        <v>0</v>
      </c>
    </row>
    <row r="3193" spans="1:8">
      <c r="A3193" s="363" t="str">
        <f t="shared" si="399"/>
        <v/>
      </c>
      <c r="B3193" s="363" t="str">
        <f t="shared" si="392"/>
        <v/>
      </c>
      <c r="C3193" s="405" t="str">
        <f t="shared" si="393"/>
        <v/>
      </c>
      <c r="D3193" s="405">
        <f t="shared" si="394"/>
        <v>0</v>
      </c>
      <c r="E3193" s="405" t="str">
        <f t="shared" si="395"/>
        <v/>
      </c>
      <c r="F3193" s="405">
        <f t="shared" si="396"/>
        <v>0</v>
      </c>
      <c r="G3193" s="405">
        <f t="shared" si="397"/>
        <v>0</v>
      </c>
      <c r="H3193" s="405">
        <f t="shared" si="398"/>
        <v>0</v>
      </c>
    </row>
    <row r="3194" spans="1:8">
      <c r="A3194" s="363" t="str">
        <f t="shared" si="399"/>
        <v/>
      </c>
      <c r="B3194" s="363" t="str">
        <f t="shared" si="392"/>
        <v/>
      </c>
      <c r="C3194" s="405" t="str">
        <f t="shared" si="393"/>
        <v/>
      </c>
      <c r="D3194" s="405">
        <f t="shared" si="394"/>
        <v>0</v>
      </c>
      <c r="E3194" s="405" t="str">
        <f t="shared" si="395"/>
        <v/>
      </c>
      <c r="F3194" s="405">
        <f t="shared" si="396"/>
        <v>0</v>
      </c>
      <c r="G3194" s="405">
        <f t="shared" si="397"/>
        <v>0</v>
      </c>
      <c r="H3194" s="405">
        <f t="shared" si="398"/>
        <v>0</v>
      </c>
    </row>
    <row r="3195" spans="1:8">
      <c r="A3195" s="363" t="str">
        <f t="shared" si="399"/>
        <v/>
      </c>
      <c r="B3195" s="363" t="str">
        <f t="shared" si="392"/>
        <v/>
      </c>
      <c r="C3195" s="405" t="str">
        <f t="shared" si="393"/>
        <v/>
      </c>
      <c r="D3195" s="405">
        <f t="shared" si="394"/>
        <v>0</v>
      </c>
      <c r="E3195" s="405" t="str">
        <f t="shared" si="395"/>
        <v/>
      </c>
      <c r="F3195" s="405">
        <f t="shared" si="396"/>
        <v>0</v>
      </c>
      <c r="G3195" s="405">
        <f t="shared" si="397"/>
        <v>0</v>
      </c>
      <c r="H3195" s="405">
        <f t="shared" si="398"/>
        <v>0</v>
      </c>
    </row>
    <row r="3196" spans="1:8">
      <c r="A3196" s="363" t="str">
        <f t="shared" si="399"/>
        <v/>
      </c>
      <c r="B3196" s="363" t="str">
        <f t="shared" si="392"/>
        <v/>
      </c>
      <c r="C3196" s="405" t="str">
        <f t="shared" si="393"/>
        <v/>
      </c>
      <c r="D3196" s="405">
        <f t="shared" si="394"/>
        <v>0</v>
      </c>
      <c r="E3196" s="405" t="str">
        <f t="shared" si="395"/>
        <v/>
      </c>
      <c r="F3196" s="405">
        <f t="shared" si="396"/>
        <v>0</v>
      </c>
      <c r="G3196" s="405">
        <f t="shared" si="397"/>
        <v>0</v>
      </c>
      <c r="H3196" s="405">
        <f t="shared" si="398"/>
        <v>0</v>
      </c>
    </row>
    <row r="3197" spans="1:8">
      <c r="A3197" s="363" t="str">
        <f t="shared" si="399"/>
        <v/>
      </c>
      <c r="B3197" s="363" t="str">
        <f t="shared" si="392"/>
        <v/>
      </c>
      <c r="C3197" s="405" t="str">
        <f t="shared" si="393"/>
        <v/>
      </c>
      <c r="D3197" s="405">
        <f t="shared" si="394"/>
        <v>0</v>
      </c>
      <c r="E3197" s="405" t="str">
        <f t="shared" si="395"/>
        <v/>
      </c>
      <c r="F3197" s="405">
        <f t="shared" si="396"/>
        <v>0</v>
      </c>
      <c r="G3197" s="405">
        <f t="shared" si="397"/>
        <v>0</v>
      </c>
      <c r="H3197" s="405">
        <f t="shared" si="398"/>
        <v>0</v>
      </c>
    </row>
    <row r="3198" spans="1:8">
      <c r="A3198" s="363" t="str">
        <f t="shared" si="399"/>
        <v/>
      </c>
      <c r="B3198" s="363" t="str">
        <f t="shared" si="392"/>
        <v/>
      </c>
      <c r="C3198" s="405" t="str">
        <f t="shared" si="393"/>
        <v/>
      </c>
      <c r="D3198" s="405">
        <f t="shared" si="394"/>
        <v>0</v>
      </c>
      <c r="E3198" s="405" t="str">
        <f t="shared" si="395"/>
        <v/>
      </c>
      <c r="F3198" s="405">
        <f t="shared" si="396"/>
        <v>0</v>
      </c>
      <c r="G3198" s="405">
        <f t="shared" si="397"/>
        <v>0</v>
      </c>
      <c r="H3198" s="405">
        <f t="shared" si="398"/>
        <v>0</v>
      </c>
    </row>
    <row r="3199" spans="1:8">
      <c r="A3199" s="363" t="str">
        <f t="shared" si="399"/>
        <v/>
      </c>
      <c r="B3199" s="363" t="str">
        <f t="shared" si="392"/>
        <v/>
      </c>
      <c r="C3199" s="405" t="str">
        <f t="shared" si="393"/>
        <v/>
      </c>
      <c r="D3199" s="405">
        <f t="shared" si="394"/>
        <v>0</v>
      </c>
      <c r="E3199" s="405" t="str">
        <f t="shared" si="395"/>
        <v/>
      </c>
      <c r="F3199" s="405">
        <f t="shared" si="396"/>
        <v>0</v>
      </c>
      <c r="G3199" s="405">
        <f t="shared" si="397"/>
        <v>0</v>
      </c>
      <c r="H3199" s="405">
        <f t="shared" si="398"/>
        <v>0</v>
      </c>
    </row>
    <row r="3200" spans="1:8">
      <c r="A3200" s="363" t="str">
        <f t="shared" si="399"/>
        <v/>
      </c>
      <c r="B3200" s="363" t="str">
        <f t="shared" si="392"/>
        <v/>
      </c>
      <c r="C3200" s="405" t="str">
        <f t="shared" si="393"/>
        <v/>
      </c>
      <c r="D3200" s="405">
        <f t="shared" si="394"/>
        <v>0</v>
      </c>
      <c r="E3200" s="405" t="str">
        <f t="shared" si="395"/>
        <v/>
      </c>
      <c r="F3200" s="405">
        <f t="shared" si="396"/>
        <v>0</v>
      </c>
      <c r="G3200" s="405">
        <f t="shared" si="397"/>
        <v>0</v>
      </c>
      <c r="H3200" s="405">
        <f t="shared" si="398"/>
        <v>0</v>
      </c>
    </row>
    <row r="3201" spans="1:8">
      <c r="A3201" s="363" t="str">
        <f t="shared" si="399"/>
        <v/>
      </c>
      <c r="B3201" s="363" t="str">
        <f t="shared" si="392"/>
        <v/>
      </c>
      <c r="C3201" s="405" t="str">
        <f t="shared" si="393"/>
        <v/>
      </c>
      <c r="D3201" s="405">
        <f t="shared" si="394"/>
        <v>0</v>
      </c>
      <c r="E3201" s="405" t="str">
        <f t="shared" si="395"/>
        <v/>
      </c>
      <c r="F3201" s="405">
        <f t="shared" si="396"/>
        <v>0</v>
      </c>
      <c r="G3201" s="405">
        <f t="shared" si="397"/>
        <v>0</v>
      </c>
      <c r="H3201" s="405">
        <f t="shared" si="398"/>
        <v>0</v>
      </c>
    </row>
    <row r="3202" spans="1:8">
      <c r="A3202" s="363" t="str">
        <f t="shared" si="399"/>
        <v/>
      </c>
      <c r="B3202" s="363" t="str">
        <f t="shared" ref="B3202:B3265" si="400">LEFT(L3202,2)</f>
        <v/>
      </c>
      <c r="C3202" s="405" t="str">
        <f t="shared" ref="C3202:C3265" si="401">IF(B3202="","","第"&amp;RIGHT(L3202,6)&amp;"号")</f>
        <v/>
      </c>
      <c r="D3202" s="405">
        <f t="shared" ref="D3202:D3265" si="402">N3202</f>
        <v>0</v>
      </c>
      <c r="E3202" s="405" t="str">
        <f t="shared" ref="E3202:E3265" si="403">IF(V3202="　",O3202,"")</f>
        <v/>
      </c>
      <c r="F3202" s="405">
        <f t="shared" ref="F3202:F3265" si="404">IF(V3202="　",P3202,W3202)</f>
        <v>0</v>
      </c>
      <c r="G3202" s="405">
        <f t="shared" ref="G3202:G3265" si="405">IF(V3202="　","主たる営業所",V3202)</f>
        <v>0</v>
      </c>
      <c r="H3202" s="405">
        <f t="shared" ref="H3202:H3265" si="406">IF(V3202="　",R3202,Y3202)</f>
        <v>0</v>
      </c>
    </row>
    <row r="3203" spans="1:8">
      <c r="A3203" s="363" t="str">
        <f t="shared" ref="A3203:A3266" si="407">IF(B3203="","",A3202+1)</f>
        <v/>
      </c>
      <c r="B3203" s="363" t="str">
        <f t="shared" si="400"/>
        <v/>
      </c>
      <c r="C3203" s="405" t="str">
        <f t="shared" si="401"/>
        <v/>
      </c>
      <c r="D3203" s="405">
        <f t="shared" si="402"/>
        <v>0</v>
      </c>
      <c r="E3203" s="405" t="str">
        <f t="shared" si="403"/>
        <v/>
      </c>
      <c r="F3203" s="405">
        <f t="shared" si="404"/>
        <v>0</v>
      </c>
      <c r="G3203" s="405">
        <f t="shared" si="405"/>
        <v>0</v>
      </c>
      <c r="H3203" s="405">
        <f t="shared" si="406"/>
        <v>0</v>
      </c>
    </row>
    <row r="3204" spans="1:8">
      <c r="A3204" s="363" t="str">
        <f t="shared" si="407"/>
        <v/>
      </c>
      <c r="B3204" s="363" t="str">
        <f t="shared" si="400"/>
        <v/>
      </c>
      <c r="C3204" s="405" t="str">
        <f t="shared" si="401"/>
        <v/>
      </c>
      <c r="D3204" s="405">
        <f t="shared" si="402"/>
        <v>0</v>
      </c>
      <c r="E3204" s="405" t="str">
        <f t="shared" si="403"/>
        <v/>
      </c>
      <c r="F3204" s="405">
        <f t="shared" si="404"/>
        <v>0</v>
      </c>
      <c r="G3204" s="405">
        <f t="shared" si="405"/>
        <v>0</v>
      </c>
      <c r="H3204" s="405">
        <f t="shared" si="406"/>
        <v>0</v>
      </c>
    </row>
    <row r="3205" spans="1:8">
      <c r="A3205" s="363" t="str">
        <f t="shared" si="407"/>
        <v/>
      </c>
      <c r="B3205" s="363" t="str">
        <f t="shared" si="400"/>
        <v/>
      </c>
      <c r="C3205" s="405" t="str">
        <f t="shared" si="401"/>
        <v/>
      </c>
      <c r="D3205" s="405">
        <f t="shared" si="402"/>
        <v>0</v>
      </c>
      <c r="E3205" s="405" t="str">
        <f t="shared" si="403"/>
        <v/>
      </c>
      <c r="F3205" s="405">
        <f t="shared" si="404"/>
        <v>0</v>
      </c>
      <c r="G3205" s="405">
        <f t="shared" si="405"/>
        <v>0</v>
      </c>
      <c r="H3205" s="405">
        <f t="shared" si="406"/>
        <v>0</v>
      </c>
    </row>
    <row r="3206" spans="1:8">
      <c r="A3206" s="363" t="str">
        <f t="shared" si="407"/>
        <v/>
      </c>
      <c r="B3206" s="363" t="str">
        <f t="shared" si="400"/>
        <v/>
      </c>
      <c r="C3206" s="405" t="str">
        <f t="shared" si="401"/>
        <v/>
      </c>
      <c r="D3206" s="405">
        <f t="shared" si="402"/>
        <v>0</v>
      </c>
      <c r="E3206" s="405" t="str">
        <f t="shared" si="403"/>
        <v/>
      </c>
      <c r="F3206" s="405">
        <f t="shared" si="404"/>
        <v>0</v>
      </c>
      <c r="G3206" s="405">
        <f t="shared" si="405"/>
        <v>0</v>
      </c>
      <c r="H3206" s="405">
        <f t="shared" si="406"/>
        <v>0</v>
      </c>
    </row>
    <row r="3207" spans="1:8">
      <c r="A3207" s="363" t="str">
        <f t="shared" si="407"/>
        <v/>
      </c>
      <c r="B3207" s="363" t="str">
        <f t="shared" si="400"/>
        <v/>
      </c>
      <c r="C3207" s="405" t="str">
        <f t="shared" si="401"/>
        <v/>
      </c>
      <c r="D3207" s="405">
        <f t="shared" si="402"/>
        <v>0</v>
      </c>
      <c r="E3207" s="405" t="str">
        <f t="shared" si="403"/>
        <v/>
      </c>
      <c r="F3207" s="405">
        <f t="shared" si="404"/>
        <v>0</v>
      </c>
      <c r="G3207" s="405">
        <f t="shared" si="405"/>
        <v>0</v>
      </c>
      <c r="H3207" s="405">
        <f t="shared" si="406"/>
        <v>0</v>
      </c>
    </row>
    <row r="3208" spans="1:8">
      <c r="A3208" s="363" t="str">
        <f t="shared" si="407"/>
        <v/>
      </c>
      <c r="B3208" s="363" t="str">
        <f t="shared" si="400"/>
        <v/>
      </c>
      <c r="C3208" s="405" t="str">
        <f t="shared" si="401"/>
        <v/>
      </c>
      <c r="D3208" s="405">
        <f t="shared" si="402"/>
        <v>0</v>
      </c>
      <c r="E3208" s="405" t="str">
        <f t="shared" si="403"/>
        <v/>
      </c>
      <c r="F3208" s="405">
        <f t="shared" si="404"/>
        <v>0</v>
      </c>
      <c r="G3208" s="405">
        <f t="shared" si="405"/>
        <v>0</v>
      </c>
      <c r="H3208" s="405">
        <f t="shared" si="406"/>
        <v>0</v>
      </c>
    </row>
    <row r="3209" spans="1:8">
      <c r="A3209" s="363" t="str">
        <f t="shared" si="407"/>
        <v/>
      </c>
      <c r="B3209" s="363" t="str">
        <f t="shared" si="400"/>
        <v/>
      </c>
      <c r="C3209" s="405" t="str">
        <f t="shared" si="401"/>
        <v/>
      </c>
      <c r="D3209" s="405">
        <f t="shared" si="402"/>
        <v>0</v>
      </c>
      <c r="E3209" s="405" t="str">
        <f t="shared" si="403"/>
        <v/>
      </c>
      <c r="F3209" s="405">
        <f t="shared" si="404"/>
        <v>0</v>
      </c>
      <c r="G3209" s="405">
        <f t="shared" si="405"/>
        <v>0</v>
      </c>
      <c r="H3209" s="405">
        <f t="shared" si="406"/>
        <v>0</v>
      </c>
    </row>
    <row r="3210" spans="1:8">
      <c r="A3210" s="363" t="str">
        <f t="shared" si="407"/>
        <v/>
      </c>
      <c r="B3210" s="363" t="str">
        <f t="shared" si="400"/>
        <v/>
      </c>
      <c r="C3210" s="405" t="str">
        <f t="shared" si="401"/>
        <v/>
      </c>
      <c r="D3210" s="405">
        <f t="shared" si="402"/>
        <v>0</v>
      </c>
      <c r="E3210" s="405" t="str">
        <f t="shared" si="403"/>
        <v/>
      </c>
      <c r="F3210" s="405">
        <f t="shared" si="404"/>
        <v>0</v>
      </c>
      <c r="G3210" s="405">
        <f t="shared" si="405"/>
        <v>0</v>
      </c>
      <c r="H3210" s="405">
        <f t="shared" si="406"/>
        <v>0</v>
      </c>
    </row>
    <row r="3211" spans="1:8">
      <c r="A3211" s="363" t="str">
        <f t="shared" si="407"/>
        <v/>
      </c>
      <c r="B3211" s="363" t="str">
        <f t="shared" si="400"/>
        <v/>
      </c>
      <c r="C3211" s="405" t="str">
        <f t="shared" si="401"/>
        <v/>
      </c>
      <c r="D3211" s="405">
        <f t="shared" si="402"/>
        <v>0</v>
      </c>
      <c r="E3211" s="405" t="str">
        <f t="shared" si="403"/>
        <v/>
      </c>
      <c r="F3211" s="405">
        <f t="shared" si="404"/>
        <v>0</v>
      </c>
      <c r="G3211" s="405">
        <f t="shared" si="405"/>
        <v>0</v>
      </c>
      <c r="H3211" s="405">
        <f t="shared" si="406"/>
        <v>0</v>
      </c>
    </row>
    <row r="3212" spans="1:8">
      <c r="A3212" s="363" t="str">
        <f t="shared" si="407"/>
        <v/>
      </c>
      <c r="B3212" s="363" t="str">
        <f t="shared" si="400"/>
        <v/>
      </c>
      <c r="C3212" s="405" t="str">
        <f t="shared" si="401"/>
        <v/>
      </c>
      <c r="D3212" s="405">
        <f t="shared" si="402"/>
        <v>0</v>
      </c>
      <c r="E3212" s="405" t="str">
        <f t="shared" si="403"/>
        <v/>
      </c>
      <c r="F3212" s="405">
        <f t="shared" si="404"/>
        <v>0</v>
      </c>
      <c r="G3212" s="405">
        <f t="shared" si="405"/>
        <v>0</v>
      </c>
      <c r="H3212" s="405">
        <f t="shared" si="406"/>
        <v>0</v>
      </c>
    </row>
    <row r="3213" spans="1:8">
      <c r="A3213" s="363" t="str">
        <f t="shared" si="407"/>
        <v/>
      </c>
      <c r="B3213" s="363" t="str">
        <f t="shared" si="400"/>
        <v/>
      </c>
      <c r="C3213" s="405" t="str">
        <f t="shared" si="401"/>
        <v/>
      </c>
      <c r="D3213" s="405">
        <f t="shared" si="402"/>
        <v>0</v>
      </c>
      <c r="E3213" s="405" t="str">
        <f t="shared" si="403"/>
        <v/>
      </c>
      <c r="F3213" s="405">
        <f t="shared" si="404"/>
        <v>0</v>
      </c>
      <c r="G3213" s="405">
        <f t="shared" si="405"/>
        <v>0</v>
      </c>
      <c r="H3213" s="405">
        <f t="shared" si="406"/>
        <v>0</v>
      </c>
    </row>
    <row r="3214" spans="1:8">
      <c r="A3214" s="363" t="str">
        <f t="shared" si="407"/>
        <v/>
      </c>
      <c r="B3214" s="363" t="str">
        <f t="shared" si="400"/>
        <v/>
      </c>
      <c r="C3214" s="405" t="str">
        <f t="shared" si="401"/>
        <v/>
      </c>
      <c r="D3214" s="405">
        <f t="shared" si="402"/>
        <v>0</v>
      </c>
      <c r="E3214" s="405" t="str">
        <f t="shared" si="403"/>
        <v/>
      </c>
      <c r="F3214" s="405">
        <f t="shared" si="404"/>
        <v>0</v>
      </c>
      <c r="G3214" s="405">
        <f t="shared" si="405"/>
        <v>0</v>
      </c>
      <c r="H3214" s="405">
        <f t="shared" si="406"/>
        <v>0</v>
      </c>
    </row>
    <row r="3215" spans="1:8">
      <c r="A3215" s="363" t="str">
        <f t="shared" si="407"/>
        <v/>
      </c>
      <c r="B3215" s="363" t="str">
        <f t="shared" si="400"/>
        <v/>
      </c>
      <c r="C3215" s="405" t="str">
        <f t="shared" si="401"/>
        <v/>
      </c>
      <c r="D3215" s="405">
        <f t="shared" si="402"/>
        <v>0</v>
      </c>
      <c r="E3215" s="405" t="str">
        <f t="shared" si="403"/>
        <v/>
      </c>
      <c r="F3215" s="405">
        <f t="shared" si="404"/>
        <v>0</v>
      </c>
      <c r="G3215" s="405">
        <f t="shared" si="405"/>
        <v>0</v>
      </c>
      <c r="H3215" s="405">
        <f t="shared" si="406"/>
        <v>0</v>
      </c>
    </row>
    <row r="3216" spans="1:8">
      <c r="A3216" s="363" t="str">
        <f t="shared" si="407"/>
        <v/>
      </c>
      <c r="B3216" s="363" t="str">
        <f t="shared" si="400"/>
        <v/>
      </c>
      <c r="C3216" s="405" t="str">
        <f t="shared" si="401"/>
        <v/>
      </c>
      <c r="D3216" s="405">
        <f t="shared" si="402"/>
        <v>0</v>
      </c>
      <c r="E3216" s="405" t="str">
        <f t="shared" si="403"/>
        <v/>
      </c>
      <c r="F3216" s="405">
        <f t="shared" si="404"/>
        <v>0</v>
      </c>
      <c r="G3216" s="405">
        <f t="shared" si="405"/>
        <v>0</v>
      </c>
      <c r="H3216" s="405">
        <f t="shared" si="406"/>
        <v>0</v>
      </c>
    </row>
    <row r="3217" spans="1:8">
      <c r="A3217" s="363" t="str">
        <f t="shared" si="407"/>
        <v/>
      </c>
      <c r="B3217" s="363" t="str">
        <f t="shared" si="400"/>
        <v/>
      </c>
      <c r="C3217" s="405" t="str">
        <f t="shared" si="401"/>
        <v/>
      </c>
      <c r="D3217" s="405">
        <f t="shared" si="402"/>
        <v>0</v>
      </c>
      <c r="E3217" s="405" t="str">
        <f t="shared" si="403"/>
        <v/>
      </c>
      <c r="F3217" s="405">
        <f t="shared" si="404"/>
        <v>0</v>
      </c>
      <c r="G3217" s="405">
        <f t="shared" si="405"/>
        <v>0</v>
      </c>
      <c r="H3217" s="405">
        <f t="shared" si="406"/>
        <v>0</v>
      </c>
    </row>
    <row r="3218" spans="1:8">
      <c r="A3218" s="363" t="str">
        <f t="shared" si="407"/>
        <v/>
      </c>
      <c r="B3218" s="363" t="str">
        <f t="shared" si="400"/>
        <v/>
      </c>
      <c r="C3218" s="405" t="str">
        <f t="shared" si="401"/>
        <v/>
      </c>
      <c r="D3218" s="405">
        <f t="shared" si="402"/>
        <v>0</v>
      </c>
      <c r="E3218" s="405" t="str">
        <f t="shared" si="403"/>
        <v/>
      </c>
      <c r="F3218" s="405">
        <f t="shared" si="404"/>
        <v>0</v>
      </c>
      <c r="G3218" s="405">
        <f t="shared" si="405"/>
        <v>0</v>
      </c>
      <c r="H3218" s="405">
        <f t="shared" si="406"/>
        <v>0</v>
      </c>
    </row>
    <row r="3219" spans="1:8">
      <c r="A3219" s="363" t="str">
        <f t="shared" si="407"/>
        <v/>
      </c>
      <c r="B3219" s="363" t="str">
        <f t="shared" si="400"/>
        <v/>
      </c>
      <c r="C3219" s="405" t="str">
        <f t="shared" si="401"/>
        <v/>
      </c>
      <c r="D3219" s="405">
        <f t="shared" si="402"/>
        <v>0</v>
      </c>
      <c r="E3219" s="405" t="str">
        <f t="shared" si="403"/>
        <v/>
      </c>
      <c r="F3219" s="405">
        <f t="shared" si="404"/>
        <v>0</v>
      </c>
      <c r="G3219" s="405">
        <f t="shared" si="405"/>
        <v>0</v>
      </c>
      <c r="H3219" s="405">
        <f t="shared" si="406"/>
        <v>0</v>
      </c>
    </row>
    <row r="3220" spans="1:8">
      <c r="A3220" s="363" t="str">
        <f t="shared" si="407"/>
        <v/>
      </c>
      <c r="B3220" s="363" t="str">
        <f t="shared" si="400"/>
        <v/>
      </c>
      <c r="C3220" s="405" t="str">
        <f t="shared" si="401"/>
        <v/>
      </c>
      <c r="D3220" s="405">
        <f t="shared" si="402"/>
        <v>0</v>
      </c>
      <c r="E3220" s="405" t="str">
        <f t="shared" si="403"/>
        <v/>
      </c>
      <c r="F3220" s="405">
        <f t="shared" si="404"/>
        <v>0</v>
      </c>
      <c r="G3220" s="405">
        <f t="shared" si="405"/>
        <v>0</v>
      </c>
      <c r="H3220" s="405">
        <f t="shared" si="406"/>
        <v>0</v>
      </c>
    </row>
    <row r="3221" spans="1:8">
      <c r="A3221" s="363" t="str">
        <f t="shared" si="407"/>
        <v/>
      </c>
      <c r="B3221" s="363" t="str">
        <f t="shared" si="400"/>
        <v/>
      </c>
      <c r="C3221" s="405" t="str">
        <f t="shared" si="401"/>
        <v/>
      </c>
      <c r="D3221" s="405">
        <f t="shared" si="402"/>
        <v>0</v>
      </c>
      <c r="E3221" s="405" t="str">
        <f t="shared" si="403"/>
        <v/>
      </c>
      <c r="F3221" s="405">
        <f t="shared" si="404"/>
        <v>0</v>
      </c>
      <c r="G3221" s="405">
        <f t="shared" si="405"/>
        <v>0</v>
      </c>
      <c r="H3221" s="405">
        <f t="shared" si="406"/>
        <v>0</v>
      </c>
    </row>
    <row r="3222" spans="1:8">
      <c r="A3222" s="363" t="str">
        <f t="shared" si="407"/>
        <v/>
      </c>
      <c r="B3222" s="363" t="str">
        <f t="shared" si="400"/>
        <v/>
      </c>
      <c r="C3222" s="405" t="str">
        <f t="shared" si="401"/>
        <v/>
      </c>
      <c r="D3222" s="405">
        <f t="shared" si="402"/>
        <v>0</v>
      </c>
      <c r="E3222" s="405" t="str">
        <f t="shared" si="403"/>
        <v/>
      </c>
      <c r="F3222" s="405">
        <f t="shared" si="404"/>
        <v>0</v>
      </c>
      <c r="G3222" s="405">
        <f t="shared" si="405"/>
        <v>0</v>
      </c>
      <c r="H3222" s="405">
        <f t="shared" si="406"/>
        <v>0</v>
      </c>
    </row>
    <row r="3223" spans="1:8">
      <c r="A3223" s="363" t="str">
        <f t="shared" si="407"/>
        <v/>
      </c>
      <c r="B3223" s="363" t="str">
        <f t="shared" si="400"/>
        <v/>
      </c>
      <c r="C3223" s="405" t="str">
        <f t="shared" si="401"/>
        <v/>
      </c>
      <c r="D3223" s="405">
        <f t="shared" si="402"/>
        <v>0</v>
      </c>
      <c r="E3223" s="405" t="str">
        <f t="shared" si="403"/>
        <v/>
      </c>
      <c r="F3223" s="405">
        <f t="shared" si="404"/>
        <v>0</v>
      </c>
      <c r="G3223" s="405">
        <f t="shared" si="405"/>
        <v>0</v>
      </c>
      <c r="H3223" s="405">
        <f t="shared" si="406"/>
        <v>0</v>
      </c>
    </row>
    <row r="3224" spans="1:8">
      <c r="A3224" s="363" t="str">
        <f t="shared" si="407"/>
        <v/>
      </c>
      <c r="B3224" s="363" t="str">
        <f t="shared" si="400"/>
        <v/>
      </c>
      <c r="C3224" s="405" t="str">
        <f t="shared" si="401"/>
        <v/>
      </c>
      <c r="D3224" s="405">
        <f t="shared" si="402"/>
        <v>0</v>
      </c>
      <c r="E3224" s="405" t="str">
        <f t="shared" si="403"/>
        <v/>
      </c>
      <c r="F3224" s="405">
        <f t="shared" si="404"/>
        <v>0</v>
      </c>
      <c r="G3224" s="405">
        <f t="shared" si="405"/>
        <v>0</v>
      </c>
      <c r="H3224" s="405">
        <f t="shared" si="406"/>
        <v>0</v>
      </c>
    </row>
    <row r="3225" spans="1:8">
      <c r="A3225" s="363" t="str">
        <f t="shared" si="407"/>
        <v/>
      </c>
      <c r="B3225" s="363" t="str">
        <f t="shared" si="400"/>
        <v/>
      </c>
      <c r="C3225" s="405" t="str">
        <f t="shared" si="401"/>
        <v/>
      </c>
      <c r="D3225" s="405">
        <f t="shared" si="402"/>
        <v>0</v>
      </c>
      <c r="E3225" s="405" t="str">
        <f t="shared" si="403"/>
        <v/>
      </c>
      <c r="F3225" s="405">
        <f t="shared" si="404"/>
        <v>0</v>
      </c>
      <c r="G3225" s="405">
        <f t="shared" si="405"/>
        <v>0</v>
      </c>
      <c r="H3225" s="405">
        <f t="shared" si="406"/>
        <v>0</v>
      </c>
    </row>
    <row r="3226" spans="1:8">
      <c r="A3226" s="363" t="str">
        <f t="shared" si="407"/>
        <v/>
      </c>
      <c r="B3226" s="363" t="str">
        <f t="shared" si="400"/>
        <v/>
      </c>
      <c r="C3226" s="405" t="str">
        <f t="shared" si="401"/>
        <v/>
      </c>
      <c r="D3226" s="405">
        <f t="shared" si="402"/>
        <v>0</v>
      </c>
      <c r="E3226" s="405" t="str">
        <f t="shared" si="403"/>
        <v/>
      </c>
      <c r="F3226" s="405">
        <f t="shared" si="404"/>
        <v>0</v>
      </c>
      <c r="G3226" s="405">
        <f t="shared" si="405"/>
        <v>0</v>
      </c>
      <c r="H3226" s="405">
        <f t="shared" si="406"/>
        <v>0</v>
      </c>
    </row>
    <row r="3227" spans="1:8">
      <c r="A3227" s="363" t="str">
        <f t="shared" si="407"/>
        <v/>
      </c>
      <c r="B3227" s="363" t="str">
        <f t="shared" si="400"/>
        <v/>
      </c>
      <c r="C3227" s="405" t="str">
        <f t="shared" si="401"/>
        <v/>
      </c>
      <c r="D3227" s="405">
        <f t="shared" si="402"/>
        <v>0</v>
      </c>
      <c r="E3227" s="405" t="str">
        <f t="shared" si="403"/>
        <v/>
      </c>
      <c r="F3227" s="405">
        <f t="shared" si="404"/>
        <v>0</v>
      </c>
      <c r="G3227" s="405">
        <f t="shared" si="405"/>
        <v>0</v>
      </c>
      <c r="H3227" s="405">
        <f t="shared" si="406"/>
        <v>0</v>
      </c>
    </row>
    <row r="3228" spans="1:8">
      <c r="A3228" s="363" t="str">
        <f t="shared" si="407"/>
        <v/>
      </c>
      <c r="B3228" s="363" t="str">
        <f t="shared" si="400"/>
        <v/>
      </c>
      <c r="C3228" s="405" t="str">
        <f t="shared" si="401"/>
        <v/>
      </c>
      <c r="D3228" s="405">
        <f t="shared" si="402"/>
        <v>0</v>
      </c>
      <c r="E3228" s="405" t="str">
        <f t="shared" si="403"/>
        <v/>
      </c>
      <c r="F3228" s="405">
        <f t="shared" si="404"/>
        <v>0</v>
      </c>
      <c r="G3228" s="405">
        <f t="shared" si="405"/>
        <v>0</v>
      </c>
      <c r="H3228" s="405">
        <f t="shared" si="406"/>
        <v>0</v>
      </c>
    </row>
    <row r="3229" spans="1:8">
      <c r="A3229" s="363" t="str">
        <f t="shared" si="407"/>
        <v/>
      </c>
      <c r="B3229" s="363" t="str">
        <f t="shared" si="400"/>
        <v/>
      </c>
      <c r="C3229" s="405" t="str">
        <f t="shared" si="401"/>
        <v/>
      </c>
      <c r="D3229" s="405">
        <f t="shared" si="402"/>
        <v>0</v>
      </c>
      <c r="E3229" s="405" t="str">
        <f t="shared" si="403"/>
        <v/>
      </c>
      <c r="F3229" s="405">
        <f t="shared" si="404"/>
        <v>0</v>
      </c>
      <c r="G3229" s="405">
        <f t="shared" si="405"/>
        <v>0</v>
      </c>
      <c r="H3229" s="405">
        <f t="shared" si="406"/>
        <v>0</v>
      </c>
    </row>
    <row r="3230" spans="1:8">
      <c r="A3230" s="363" t="str">
        <f t="shared" si="407"/>
        <v/>
      </c>
      <c r="B3230" s="363" t="str">
        <f t="shared" si="400"/>
        <v/>
      </c>
      <c r="C3230" s="405" t="str">
        <f t="shared" si="401"/>
        <v/>
      </c>
      <c r="D3230" s="405">
        <f t="shared" si="402"/>
        <v>0</v>
      </c>
      <c r="E3230" s="405" t="str">
        <f t="shared" si="403"/>
        <v/>
      </c>
      <c r="F3230" s="405">
        <f t="shared" si="404"/>
        <v>0</v>
      </c>
      <c r="G3230" s="405">
        <f t="shared" si="405"/>
        <v>0</v>
      </c>
      <c r="H3230" s="405">
        <f t="shared" si="406"/>
        <v>0</v>
      </c>
    </row>
    <row r="3231" spans="1:8">
      <c r="A3231" s="363" t="str">
        <f t="shared" si="407"/>
        <v/>
      </c>
      <c r="B3231" s="363" t="str">
        <f t="shared" si="400"/>
        <v/>
      </c>
      <c r="C3231" s="405" t="str">
        <f t="shared" si="401"/>
        <v/>
      </c>
      <c r="D3231" s="405">
        <f t="shared" si="402"/>
        <v>0</v>
      </c>
      <c r="E3231" s="405" t="str">
        <f t="shared" si="403"/>
        <v/>
      </c>
      <c r="F3231" s="405">
        <f t="shared" si="404"/>
        <v>0</v>
      </c>
      <c r="G3231" s="405">
        <f t="shared" si="405"/>
        <v>0</v>
      </c>
      <c r="H3231" s="405">
        <f t="shared" si="406"/>
        <v>0</v>
      </c>
    </row>
    <row r="3232" spans="1:8">
      <c r="A3232" s="363" t="str">
        <f t="shared" si="407"/>
        <v/>
      </c>
      <c r="B3232" s="363" t="str">
        <f t="shared" si="400"/>
        <v/>
      </c>
      <c r="C3232" s="405" t="str">
        <f t="shared" si="401"/>
        <v/>
      </c>
      <c r="D3232" s="405">
        <f t="shared" si="402"/>
        <v>0</v>
      </c>
      <c r="E3232" s="405" t="str">
        <f t="shared" si="403"/>
        <v/>
      </c>
      <c r="F3232" s="405">
        <f t="shared" si="404"/>
        <v>0</v>
      </c>
      <c r="G3232" s="405">
        <f t="shared" si="405"/>
        <v>0</v>
      </c>
      <c r="H3232" s="405">
        <f t="shared" si="406"/>
        <v>0</v>
      </c>
    </row>
    <row r="3233" spans="1:8">
      <c r="A3233" s="363" t="str">
        <f t="shared" si="407"/>
        <v/>
      </c>
      <c r="B3233" s="363" t="str">
        <f t="shared" si="400"/>
        <v/>
      </c>
      <c r="C3233" s="405" t="str">
        <f t="shared" si="401"/>
        <v/>
      </c>
      <c r="D3233" s="405">
        <f t="shared" si="402"/>
        <v>0</v>
      </c>
      <c r="E3233" s="405" t="str">
        <f t="shared" si="403"/>
        <v/>
      </c>
      <c r="F3233" s="405">
        <f t="shared" si="404"/>
        <v>0</v>
      </c>
      <c r="G3233" s="405">
        <f t="shared" si="405"/>
        <v>0</v>
      </c>
      <c r="H3233" s="405">
        <f t="shared" si="406"/>
        <v>0</v>
      </c>
    </row>
    <row r="3234" spans="1:8">
      <c r="A3234" s="363" t="str">
        <f t="shared" si="407"/>
        <v/>
      </c>
      <c r="B3234" s="363" t="str">
        <f t="shared" si="400"/>
        <v/>
      </c>
      <c r="C3234" s="405" t="str">
        <f t="shared" si="401"/>
        <v/>
      </c>
      <c r="D3234" s="405">
        <f t="shared" si="402"/>
        <v>0</v>
      </c>
      <c r="E3234" s="405" t="str">
        <f t="shared" si="403"/>
        <v/>
      </c>
      <c r="F3234" s="405">
        <f t="shared" si="404"/>
        <v>0</v>
      </c>
      <c r="G3234" s="405">
        <f t="shared" si="405"/>
        <v>0</v>
      </c>
      <c r="H3234" s="405">
        <f t="shared" si="406"/>
        <v>0</v>
      </c>
    </row>
    <row r="3235" spans="1:8">
      <c r="A3235" s="363" t="str">
        <f t="shared" si="407"/>
        <v/>
      </c>
      <c r="B3235" s="363" t="str">
        <f t="shared" si="400"/>
        <v/>
      </c>
      <c r="C3235" s="405" t="str">
        <f t="shared" si="401"/>
        <v/>
      </c>
      <c r="D3235" s="405">
        <f t="shared" si="402"/>
        <v>0</v>
      </c>
      <c r="E3235" s="405" t="str">
        <f t="shared" si="403"/>
        <v/>
      </c>
      <c r="F3235" s="405">
        <f t="shared" si="404"/>
        <v>0</v>
      </c>
      <c r="G3235" s="405">
        <f t="shared" si="405"/>
        <v>0</v>
      </c>
      <c r="H3235" s="405">
        <f t="shared" si="406"/>
        <v>0</v>
      </c>
    </row>
    <row r="3236" spans="1:8">
      <c r="A3236" s="363" t="str">
        <f t="shared" si="407"/>
        <v/>
      </c>
      <c r="B3236" s="363" t="str">
        <f t="shared" si="400"/>
        <v/>
      </c>
      <c r="C3236" s="405" t="str">
        <f t="shared" si="401"/>
        <v/>
      </c>
      <c r="D3236" s="405">
        <f t="shared" si="402"/>
        <v>0</v>
      </c>
      <c r="E3236" s="405" t="str">
        <f t="shared" si="403"/>
        <v/>
      </c>
      <c r="F3236" s="405">
        <f t="shared" si="404"/>
        <v>0</v>
      </c>
      <c r="G3236" s="405">
        <f t="shared" si="405"/>
        <v>0</v>
      </c>
      <c r="H3236" s="405">
        <f t="shared" si="406"/>
        <v>0</v>
      </c>
    </row>
    <row r="3237" spans="1:8">
      <c r="A3237" s="363" t="str">
        <f t="shared" si="407"/>
        <v/>
      </c>
      <c r="B3237" s="363" t="str">
        <f t="shared" si="400"/>
        <v/>
      </c>
      <c r="C3237" s="405" t="str">
        <f t="shared" si="401"/>
        <v/>
      </c>
      <c r="D3237" s="405">
        <f t="shared" si="402"/>
        <v>0</v>
      </c>
      <c r="E3237" s="405" t="str">
        <f t="shared" si="403"/>
        <v/>
      </c>
      <c r="F3237" s="405">
        <f t="shared" si="404"/>
        <v>0</v>
      </c>
      <c r="G3237" s="405">
        <f t="shared" si="405"/>
        <v>0</v>
      </c>
      <c r="H3237" s="405">
        <f t="shared" si="406"/>
        <v>0</v>
      </c>
    </row>
    <row r="3238" spans="1:8">
      <c r="A3238" s="363" t="str">
        <f t="shared" si="407"/>
        <v/>
      </c>
      <c r="B3238" s="363" t="str">
        <f t="shared" si="400"/>
        <v/>
      </c>
      <c r="C3238" s="405" t="str">
        <f t="shared" si="401"/>
        <v/>
      </c>
      <c r="D3238" s="405">
        <f t="shared" si="402"/>
        <v>0</v>
      </c>
      <c r="E3238" s="405" t="str">
        <f t="shared" si="403"/>
        <v/>
      </c>
      <c r="F3238" s="405">
        <f t="shared" si="404"/>
        <v>0</v>
      </c>
      <c r="G3238" s="405">
        <f t="shared" si="405"/>
        <v>0</v>
      </c>
      <c r="H3238" s="405">
        <f t="shared" si="406"/>
        <v>0</v>
      </c>
    </row>
    <row r="3239" spans="1:8">
      <c r="A3239" s="363" t="str">
        <f t="shared" si="407"/>
        <v/>
      </c>
      <c r="B3239" s="363" t="str">
        <f t="shared" si="400"/>
        <v/>
      </c>
      <c r="C3239" s="405" t="str">
        <f t="shared" si="401"/>
        <v/>
      </c>
      <c r="D3239" s="405">
        <f t="shared" si="402"/>
        <v>0</v>
      </c>
      <c r="E3239" s="405" t="str">
        <f t="shared" si="403"/>
        <v/>
      </c>
      <c r="F3239" s="405">
        <f t="shared" si="404"/>
        <v>0</v>
      </c>
      <c r="G3239" s="405">
        <f t="shared" si="405"/>
        <v>0</v>
      </c>
      <c r="H3239" s="405">
        <f t="shared" si="406"/>
        <v>0</v>
      </c>
    </row>
    <row r="3240" spans="1:8">
      <c r="A3240" s="363" t="str">
        <f t="shared" si="407"/>
        <v/>
      </c>
      <c r="B3240" s="363" t="str">
        <f t="shared" si="400"/>
        <v/>
      </c>
      <c r="C3240" s="405" t="str">
        <f t="shared" si="401"/>
        <v/>
      </c>
      <c r="D3240" s="405">
        <f t="shared" si="402"/>
        <v>0</v>
      </c>
      <c r="E3240" s="405" t="str">
        <f t="shared" si="403"/>
        <v/>
      </c>
      <c r="F3240" s="405">
        <f t="shared" si="404"/>
        <v>0</v>
      </c>
      <c r="G3240" s="405">
        <f t="shared" si="405"/>
        <v>0</v>
      </c>
      <c r="H3240" s="405">
        <f t="shared" si="406"/>
        <v>0</v>
      </c>
    </row>
    <row r="3241" spans="1:8">
      <c r="A3241" s="363" t="str">
        <f t="shared" si="407"/>
        <v/>
      </c>
      <c r="B3241" s="363" t="str">
        <f t="shared" si="400"/>
        <v/>
      </c>
      <c r="C3241" s="405" t="str">
        <f t="shared" si="401"/>
        <v/>
      </c>
      <c r="D3241" s="405">
        <f t="shared" si="402"/>
        <v>0</v>
      </c>
      <c r="E3241" s="405" t="str">
        <f t="shared" si="403"/>
        <v/>
      </c>
      <c r="F3241" s="405">
        <f t="shared" si="404"/>
        <v>0</v>
      </c>
      <c r="G3241" s="405">
        <f t="shared" si="405"/>
        <v>0</v>
      </c>
      <c r="H3241" s="405">
        <f t="shared" si="406"/>
        <v>0</v>
      </c>
    </row>
    <row r="3242" spans="1:8">
      <c r="A3242" s="363" t="str">
        <f t="shared" si="407"/>
        <v/>
      </c>
      <c r="B3242" s="363" t="str">
        <f t="shared" si="400"/>
        <v/>
      </c>
      <c r="C3242" s="405" t="str">
        <f t="shared" si="401"/>
        <v/>
      </c>
      <c r="D3242" s="405">
        <f t="shared" si="402"/>
        <v>0</v>
      </c>
      <c r="E3242" s="405" t="str">
        <f t="shared" si="403"/>
        <v/>
      </c>
      <c r="F3242" s="405">
        <f t="shared" si="404"/>
        <v>0</v>
      </c>
      <c r="G3242" s="405">
        <f t="shared" si="405"/>
        <v>0</v>
      </c>
      <c r="H3242" s="405">
        <f t="shared" si="406"/>
        <v>0</v>
      </c>
    </row>
    <row r="3243" spans="1:8">
      <c r="A3243" s="363" t="str">
        <f t="shared" si="407"/>
        <v/>
      </c>
      <c r="B3243" s="363" t="str">
        <f t="shared" si="400"/>
        <v/>
      </c>
      <c r="C3243" s="405" t="str">
        <f t="shared" si="401"/>
        <v/>
      </c>
      <c r="D3243" s="405">
        <f t="shared" si="402"/>
        <v>0</v>
      </c>
      <c r="E3243" s="405" t="str">
        <f t="shared" si="403"/>
        <v/>
      </c>
      <c r="F3243" s="405">
        <f t="shared" si="404"/>
        <v>0</v>
      </c>
      <c r="G3243" s="405">
        <f t="shared" si="405"/>
        <v>0</v>
      </c>
      <c r="H3243" s="405">
        <f t="shared" si="406"/>
        <v>0</v>
      </c>
    </row>
    <row r="3244" spans="1:8">
      <c r="A3244" s="363" t="str">
        <f t="shared" si="407"/>
        <v/>
      </c>
      <c r="B3244" s="363" t="str">
        <f t="shared" si="400"/>
        <v/>
      </c>
      <c r="C3244" s="405" t="str">
        <f t="shared" si="401"/>
        <v/>
      </c>
      <c r="D3244" s="405">
        <f t="shared" si="402"/>
        <v>0</v>
      </c>
      <c r="E3244" s="405" t="str">
        <f t="shared" si="403"/>
        <v/>
      </c>
      <c r="F3244" s="405">
        <f t="shared" si="404"/>
        <v>0</v>
      </c>
      <c r="G3244" s="405">
        <f t="shared" si="405"/>
        <v>0</v>
      </c>
      <c r="H3244" s="405">
        <f t="shared" si="406"/>
        <v>0</v>
      </c>
    </row>
    <row r="3245" spans="1:8">
      <c r="A3245" s="363" t="str">
        <f t="shared" si="407"/>
        <v/>
      </c>
      <c r="B3245" s="363" t="str">
        <f t="shared" si="400"/>
        <v/>
      </c>
      <c r="C3245" s="405" t="str">
        <f t="shared" si="401"/>
        <v/>
      </c>
      <c r="D3245" s="405">
        <f t="shared" si="402"/>
        <v>0</v>
      </c>
      <c r="E3245" s="405" t="str">
        <f t="shared" si="403"/>
        <v/>
      </c>
      <c r="F3245" s="405">
        <f t="shared" si="404"/>
        <v>0</v>
      </c>
      <c r="G3245" s="405">
        <f t="shared" si="405"/>
        <v>0</v>
      </c>
      <c r="H3245" s="405">
        <f t="shared" si="406"/>
        <v>0</v>
      </c>
    </row>
    <row r="3246" spans="1:8">
      <c r="A3246" s="363" t="str">
        <f t="shared" si="407"/>
        <v/>
      </c>
      <c r="B3246" s="363" t="str">
        <f t="shared" si="400"/>
        <v/>
      </c>
      <c r="C3246" s="405" t="str">
        <f t="shared" si="401"/>
        <v/>
      </c>
      <c r="D3246" s="405">
        <f t="shared" si="402"/>
        <v>0</v>
      </c>
      <c r="E3246" s="405" t="str">
        <f t="shared" si="403"/>
        <v/>
      </c>
      <c r="F3246" s="405">
        <f t="shared" si="404"/>
        <v>0</v>
      </c>
      <c r="G3246" s="405">
        <f t="shared" si="405"/>
        <v>0</v>
      </c>
      <c r="H3246" s="405">
        <f t="shared" si="406"/>
        <v>0</v>
      </c>
    </row>
    <row r="3247" spans="1:8">
      <c r="A3247" s="363" t="str">
        <f t="shared" si="407"/>
        <v/>
      </c>
      <c r="B3247" s="363" t="str">
        <f t="shared" si="400"/>
        <v/>
      </c>
      <c r="C3247" s="405" t="str">
        <f t="shared" si="401"/>
        <v/>
      </c>
      <c r="D3247" s="405">
        <f t="shared" si="402"/>
        <v>0</v>
      </c>
      <c r="E3247" s="405" t="str">
        <f t="shared" si="403"/>
        <v/>
      </c>
      <c r="F3247" s="405">
        <f t="shared" si="404"/>
        <v>0</v>
      </c>
      <c r="G3247" s="405">
        <f t="shared" si="405"/>
        <v>0</v>
      </c>
      <c r="H3247" s="405">
        <f t="shared" si="406"/>
        <v>0</v>
      </c>
    </row>
    <row r="3248" spans="1:8">
      <c r="A3248" s="363" t="str">
        <f t="shared" si="407"/>
        <v/>
      </c>
      <c r="B3248" s="363" t="str">
        <f t="shared" si="400"/>
        <v/>
      </c>
      <c r="C3248" s="405" t="str">
        <f t="shared" si="401"/>
        <v/>
      </c>
      <c r="D3248" s="405">
        <f t="shared" si="402"/>
        <v>0</v>
      </c>
      <c r="E3248" s="405" t="str">
        <f t="shared" si="403"/>
        <v/>
      </c>
      <c r="F3248" s="405">
        <f t="shared" si="404"/>
        <v>0</v>
      </c>
      <c r="G3248" s="405">
        <f t="shared" si="405"/>
        <v>0</v>
      </c>
      <c r="H3248" s="405">
        <f t="shared" si="406"/>
        <v>0</v>
      </c>
    </row>
    <row r="3249" spans="1:8">
      <c r="A3249" s="363" t="str">
        <f t="shared" si="407"/>
        <v/>
      </c>
      <c r="B3249" s="363" t="str">
        <f t="shared" si="400"/>
        <v/>
      </c>
      <c r="C3249" s="405" t="str">
        <f t="shared" si="401"/>
        <v/>
      </c>
      <c r="D3249" s="405">
        <f t="shared" si="402"/>
        <v>0</v>
      </c>
      <c r="E3249" s="405" t="str">
        <f t="shared" si="403"/>
        <v/>
      </c>
      <c r="F3249" s="405">
        <f t="shared" si="404"/>
        <v>0</v>
      </c>
      <c r="G3249" s="405">
        <f t="shared" si="405"/>
        <v>0</v>
      </c>
      <c r="H3249" s="405">
        <f t="shared" si="406"/>
        <v>0</v>
      </c>
    </row>
    <row r="3250" spans="1:8">
      <c r="A3250" s="363" t="str">
        <f t="shared" si="407"/>
        <v/>
      </c>
      <c r="B3250" s="363" t="str">
        <f t="shared" si="400"/>
        <v/>
      </c>
      <c r="C3250" s="405" t="str">
        <f t="shared" si="401"/>
        <v/>
      </c>
      <c r="D3250" s="405">
        <f t="shared" si="402"/>
        <v>0</v>
      </c>
      <c r="E3250" s="405" t="str">
        <f t="shared" si="403"/>
        <v/>
      </c>
      <c r="F3250" s="405">
        <f t="shared" si="404"/>
        <v>0</v>
      </c>
      <c r="G3250" s="405">
        <f t="shared" si="405"/>
        <v>0</v>
      </c>
      <c r="H3250" s="405">
        <f t="shared" si="406"/>
        <v>0</v>
      </c>
    </row>
    <row r="3251" spans="1:8">
      <c r="A3251" s="363" t="str">
        <f t="shared" si="407"/>
        <v/>
      </c>
      <c r="B3251" s="363" t="str">
        <f t="shared" si="400"/>
        <v/>
      </c>
      <c r="C3251" s="405" t="str">
        <f t="shared" si="401"/>
        <v/>
      </c>
      <c r="D3251" s="405">
        <f t="shared" si="402"/>
        <v>0</v>
      </c>
      <c r="E3251" s="405" t="str">
        <f t="shared" si="403"/>
        <v/>
      </c>
      <c r="F3251" s="405">
        <f t="shared" si="404"/>
        <v>0</v>
      </c>
      <c r="G3251" s="405">
        <f t="shared" si="405"/>
        <v>0</v>
      </c>
      <c r="H3251" s="405">
        <f t="shared" si="406"/>
        <v>0</v>
      </c>
    </row>
    <row r="3252" spans="1:8">
      <c r="A3252" s="363" t="str">
        <f t="shared" si="407"/>
        <v/>
      </c>
      <c r="B3252" s="363" t="str">
        <f t="shared" si="400"/>
        <v/>
      </c>
      <c r="C3252" s="405" t="str">
        <f t="shared" si="401"/>
        <v/>
      </c>
      <c r="D3252" s="405">
        <f t="shared" si="402"/>
        <v>0</v>
      </c>
      <c r="E3252" s="405" t="str">
        <f t="shared" si="403"/>
        <v/>
      </c>
      <c r="F3252" s="405">
        <f t="shared" si="404"/>
        <v>0</v>
      </c>
      <c r="G3252" s="405">
        <f t="shared" si="405"/>
        <v>0</v>
      </c>
      <c r="H3252" s="405">
        <f t="shared" si="406"/>
        <v>0</v>
      </c>
    </row>
    <row r="3253" spans="1:8">
      <c r="A3253" s="363" t="str">
        <f t="shared" si="407"/>
        <v/>
      </c>
      <c r="B3253" s="363" t="str">
        <f t="shared" si="400"/>
        <v/>
      </c>
      <c r="C3253" s="405" t="str">
        <f t="shared" si="401"/>
        <v/>
      </c>
      <c r="D3253" s="405">
        <f t="shared" si="402"/>
        <v>0</v>
      </c>
      <c r="E3253" s="405" t="str">
        <f t="shared" si="403"/>
        <v/>
      </c>
      <c r="F3253" s="405">
        <f t="shared" si="404"/>
        <v>0</v>
      </c>
      <c r="G3253" s="405">
        <f t="shared" si="405"/>
        <v>0</v>
      </c>
      <c r="H3253" s="405">
        <f t="shared" si="406"/>
        <v>0</v>
      </c>
    </row>
    <row r="3254" spans="1:8">
      <c r="A3254" s="363" t="str">
        <f t="shared" si="407"/>
        <v/>
      </c>
      <c r="B3254" s="363" t="str">
        <f t="shared" si="400"/>
        <v/>
      </c>
      <c r="C3254" s="405" t="str">
        <f t="shared" si="401"/>
        <v/>
      </c>
      <c r="D3254" s="405">
        <f t="shared" si="402"/>
        <v>0</v>
      </c>
      <c r="E3254" s="405" t="str">
        <f t="shared" si="403"/>
        <v/>
      </c>
      <c r="F3254" s="405">
        <f t="shared" si="404"/>
        <v>0</v>
      </c>
      <c r="G3254" s="405">
        <f t="shared" si="405"/>
        <v>0</v>
      </c>
      <c r="H3254" s="405">
        <f t="shared" si="406"/>
        <v>0</v>
      </c>
    </row>
    <row r="3255" spans="1:8">
      <c r="A3255" s="363" t="str">
        <f t="shared" si="407"/>
        <v/>
      </c>
      <c r="B3255" s="363" t="str">
        <f t="shared" si="400"/>
        <v/>
      </c>
      <c r="C3255" s="405" t="str">
        <f t="shared" si="401"/>
        <v/>
      </c>
      <c r="D3255" s="405">
        <f t="shared" si="402"/>
        <v>0</v>
      </c>
      <c r="E3255" s="405" t="str">
        <f t="shared" si="403"/>
        <v/>
      </c>
      <c r="F3255" s="405">
        <f t="shared" si="404"/>
        <v>0</v>
      </c>
      <c r="G3255" s="405">
        <f t="shared" si="405"/>
        <v>0</v>
      </c>
      <c r="H3255" s="405">
        <f t="shared" si="406"/>
        <v>0</v>
      </c>
    </row>
    <row r="3256" spans="1:8">
      <c r="A3256" s="363" t="str">
        <f t="shared" si="407"/>
        <v/>
      </c>
      <c r="B3256" s="363" t="str">
        <f t="shared" si="400"/>
        <v/>
      </c>
      <c r="C3256" s="405" t="str">
        <f t="shared" si="401"/>
        <v/>
      </c>
      <c r="D3256" s="405">
        <f t="shared" si="402"/>
        <v>0</v>
      </c>
      <c r="E3256" s="405" t="str">
        <f t="shared" si="403"/>
        <v/>
      </c>
      <c r="F3256" s="405">
        <f t="shared" si="404"/>
        <v>0</v>
      </c>
      <c r="G3256" s="405">
        <f t="shared" si="405"/>
        <v>0</v>
      </c>
      <c r="H3256" s="405">
        <f t="shared" si="406"/>
        <v>0</v>
      </c>
    </row>
    <row r="3257" spans="1:8">
      <c r="A3257" s="363" t="str">
        <f t="shared" si="407"/>
        <v/>
      </c>
      <c r="B3257" s="363" t="str">
        <f t="shared" si="400"/>
        <v/>
      </c>
      <c r="C3257" s="405" t="str">
        <f t="shared" si="401"/>
        <v/>
      </c>
      <c r="D3257" s="405">
        <f t="shared" si="402"/>
        <v>0</v>
      </c>
      <c r="E3257" s="405" t="str">
        <f t="shared" si="403"/>
        <v/>
      </c>
      <c r="F3257" s="405">
        <f t="shared" si="404"/>
        <v>0</v>
      </c>
      <c r="G3257" s="405">
        <f t="shared" si="405"/>
        <v>0</v>
      </c>
      <c r="H3257" s="405">
        <f t="shared" si="406"/>
        <v>0</v>
      </c>
    </row>
    <row r="3258" spans="1:8">
      <c r="A3258" s="363" t="str">
        <f t="shared" si="407"/>
        <v/>
      </c>
      <c r="B3258" s="363" t="str">
        <f t="shared" si="400"/>
        <v/>
      </c>
      <c r="C3258" s="405" t="str">
        <f t="shared" si="401"/>
        <v/>
      </c>
      <c r="D3258" s="405">
        <f t="shared" si="402"/>
        <v>0</v>
      </c>
      <c r="E3258" s="405" t="str">
        <f t="shared" si="403"/>
        <v/>
      </c>
      <c r="F3258" s="405">
        <f t="shared" si="404"/>
        <v>0</v>
      </c>
      <c r="G3258" s="405">
        <f t="shared" si="405"/>
        <v>0</v>
      </c>
      <c r="H3258" s="405">
        <f t="shared" si="406"/>
        <v>0</v>
      </c>
    </row>
    <row r="3259" spans="1:8">
      <c r="A3259" s="363" t="str">
        <f t="shared" si="407"/>
        <v/>
      </c>
      <c r="B3259" s="363" t="str">
        <f t="shared" si="400"/>
        <v/>
      </c>
      <c r="C3259" s="405" t="str">
        <f t="shared" si="401"/>
        <v/>
      </c>
      <c r="D3259" s="405">
        <f t="shared" si="402"/>
        <v>0</v>
      </c>
      <c r="E3259" s="405" t="str">
        <f t="shared" si="403"/>
        <v/>
      </c>
      <c r="F3259" s="405">
        <f t="shared" si="404"/>
        <v>0</v>
      </c>
      <c r="G3259" s="405">
        <f t="shared" si="405"/>
        <v>0</v>
      </c>
      <c r="H3259" s="405">
        <f t="shared" si="406"/>
        <v>0</v>
      </c>
    </row>
    <row r="3260" spans="1:8">
      <c r="A3260" s="363" t="str">
        <f t="shared" si="407"/>
        <v/>
      </c>
      <c r="B3260" s="363" t="str">
        <f t="shared" si="400"/>
        <v/>
      </c>
      <c r="C3260" s="405" t="str">
        <f t="shared" si="401"/>
        <v/>
      </c>
      <c r="D3260" s="405">
        <f t="shared" si="402"/>
        <v>0</v>
      </c>
      <c r="E3260" s="405" t="str">
        <f t="shared" si="403"/>
        <v/>
      </c>
      <c r="F3260" s="405">
        <f t="shared" si="404"/>
        <v>0</v>
      </c>
      <c r="G3260" s="405">
        <f t="shared" si="405"/>
        <v>0</v>
      </c>
      <c r="H3260" s="405">
        <f t="shared" si="406"/>
        <v>0</v>
      </c>
    </row>
    <row r="3261" spans="1:8">
      <c r="A3261" s="363" t="str">
        <f t="shared" si="407"/>
        <v/>
      </c>
      <c r="B3261" s="363" t="str">
        <f t="shared" si="400"/>
        <v/>
      </c>
      <c r="C3261" s="405" t="str">
        <f t="shared" si="401"/>
        <v/>
      </c>
      <c r="D3261" s="405">
        <f t="shared" si="402"/>
        <v>0</v>
      </c>
      <c r="E3261" s="405" t="str">
        <f t="shared" si="403"/>
        <v/>
      </c>
      <c r="F3261" s="405">
        <f t="shared" si="404"/>
        <v>0</v>
      </c>
      <c r="G3261" s="405">
        <f t="shared" si="405"/>
        <v>0</v>
      </c>
      <c r="H3261" s="405">
        <f t="shared" si="406"/>
        <v>0</v>
      </c>
    </row>
    <row r="3262" spans="1:8">
      <c r="A3262" s="363" t="str">
        <f t="shared" si="407"/>
        <v/>
      </c>
      <c r="B3262" s="363" t="str">
        <f t="shared" si="400"/>
        <v/>
      </c>
      <c r="C3262" s="405" t="str">
        <f t="shared" si="401"/>
        <v/>
      </c>
      <c r="D3262" s="405">
        <f t="shared" si="402"/>
        <v>0</v>
      </c>
      <c r="E3262" s="405" t="str">
        <f t="shared" si="403"/>
        <v/>
      </c>
      <c r="F3262" s="405">
        <f t="shared" si="404"/>
        <v>0</v>
      </c>
      <c r="G3262" s="405">
        <f t="shared" si="405"/>
        <v>0</v>
      </c>
      <c r="H3262" s="405">
        <f t="shared" si="406"/>
        <v>0</v>
      </c>
    </row>
    <row r="3263" spans="1:8">
      <c r="A3263" s="363" t="str">
        <f t="shared" si="407"/>
        <v/>
      </c>
      <c r="B3263" s="363" t="str">
        <f t="shared" si="400"/>
        <v/>
      </c>
      <c r="C3263" s="405" t="str">
        <f t="shared" si="401"/>
        <v/>
      </c>
      <c r="D3263" s="405">
        <f t="shared" si="402"/>
        <v>0</v>
      </c>
      <c r="E3263" s="405" t="str">
        <f t="shared" si="403"/>
        <v/>
      </c>
      <c r="F3263" s="405">
        <f t="shared" si="404"/>
        <v>0</v>
      </c>
      <c r="G3263" s="405">
        <f t="shared" si="405"/>
        <v>0</v>
      </c>
      <c r="H3263" s="405">
        <f t="shared" si="406"/>
        <v>0</v>
      </c>
    </row>
    <row r="3264" spans="1:8">
      <c r="A3264" s="363" t="str">
        <f t="shared" si="407"/>
        <v/>
      </c>
      <c r="B3264" s="363" t="str">
        <f t="shared" si="400"/>
        <v/>
      </c>
      <c r="C3264" s="405" t="str">
        <f t="shared" si="401"/>
        <v/>
      </c>
      <c r="D3264" s="405">
        <f t="shared" si="402"/>
        <v>0</v>
      </c>
      <c r="E3264" s="405" t="str">
        <f t="shared" si="403"/>
        <v/>
      </c>
      <c r="F3264" s="405">
        <f t="shared" si="404"/>
        <v>0</v>
      </c>
      <c r="G3264" s="405">
        <f t="shared" si="405"/>
        <v>0</v>
      </c>
      <c r="H3264" s="405">
        <f t="shared" si="406"/>
        <v>0</v>
      </c>
    </row>
    <row r="3265" spans="1:8">
      <c r="A3265" s="363" t="str">
        <f t="shared" si="407"/>
        <v/>
      </c>
      <c r="B3265" s="363" t="str">
        <f t="shared" si="400"/>
        <v/>
      </c>
      <c r="C3265" s="405" t="str">
        <f t="shared" si="401"/>
        <v/>
      </c>
      <c r="D3265" s="405">
        <f t="shared" si="402"/>
        <v>0</v>
      </c>
      <c r="E3265" s="405" t="str">
        <f t="shared" si="403"/>
        <v/>
      </c>
      <c r="F3265" s="405">
        <f t="shared" si="404"/>
        <v>0</v>
      </c>
      <c r="G3265" s="405">
        <f t="shared" si="405"/>
        <v>0</v>
      </c>
      <c r="H3265" s="405">
        <f t="shared" si="406"/>
        <v>0</v>
      </c>
    </row>
    <row r="3266" spans="1:8">
      <c r="A3266" s="363" t="str">
        <f t="shared" si="407"/>
        <v/>
      </c>
      <c r="B3266" s="363" t="str">
        <f t="shared" ref="B3266:B3329" si="408">LEFT(L3266,2)</f>
        <v/>
      </c>
      <c r="C3266" s="405" t="str">
        <f t="shared" ref="C3266:C3329" si="409">IF(B3266="","","第"&amp;RIGHT(L3266,6)&amp;"号")</f>
        <v/>
      </c>
      <c r="D3266" s="405">
        <f t="shared" ref="D3266:D3329" si="410">N3266</f>
        <v>0</v>
      </c>
      <c r="E3266" s="405" t="str">
        <f t="shared" ref="E3266:E3329" si="411">IF(V3266="　",O3266,"")</f>
        <v/>
      </c>
      <c r="F3266" s="405">
        <f t="shared" ref="F3266:F3329" si="412">IF(V3266="　",P3266,W3266)</f>
        <v>0</v>
      </c>
      <c r="G3266" s="405">
        <f t="shared" ref="G3266:G3329" si="413">IF(V3266="　","主たる営業所",V3266)</f>
        <v>0</v>
      </c>
      <c r="H3266" s="405">
        <f t="shared" ref="H3266:H3329" si="414">IF(V3266="　",R3266,Y3266)</f>
        <v>0</v>
      </c>
    </row>
    <row r="3267" spans="1:8">
      <c r="A3267" s="363" t="str">
        <f t="shared" ref="A3267:A3330" si="415">IF(B3267="","",A3266+1)</f>
        <v/>
      </c>
      <c r="B3267" s="363" t="str">
        <f t="shared" si="408"/>
        <v/>
      </c>
      <c r="C3267" s="405" t="str">
        <f t="shared" si="409"/>
        <v/>
      </c>
      <c r="D3267" s="405">
        <f t="shared" si="410"/>
        <v>0</v>
      </c>
      <c r="E3267" s="405" t="str">
        <f t="shared" si="411"/>
        <v/>
      </c>
      <c r="F3267" s="405">
        <f t="shared" si="412"/>
        <v>0</v>
      </c>
      <c r="G3267" s="405">
        <f t="shared" si="413"/>
        <v>0</v>
      </c>
      <c r="H3267" s="405">
        <f t="shared" si="414"/>
        <v>0</v>
      </c>
    </row>
    <row r="3268" spans="1:8">
      <c r="A3268" s="363" t="str">
        <f t="shared" si="415"/>
        <v/>
      </c>
      <c r="B3268" s="363" t="str">
        <f t="shared" si="408"/>
        <v/>
      </c>
      <c r="C3268" s="405" t="str">
        <f t="shared" si="409"/>
        <v/>
      </c>
      <c r="D3268" s="405">
        <f t="shared" si="410"/>
        <v>0</v>
      </c>
      <c r="E3268" s="405" t="str">
        <f t="shared" si="411"/>
        <v/>
      </c>
      <c r="F3268" s="405">
        <f t="shared" si="412"/>
        <v>0</v>
      </c>
      <c r="G3268" s="405">
        <f t="shared" si="413"/>
        <v>0</v>
      </c>
      <c r="H3268" s="405">
        <f t="shared" si="414"/>
        <v>0</v>
      </c>
    </row>
    <row r="3269" spans="1:8">
      <c r="A3269" s="363" t="str">
        <f t="shared" si="415"/>
        <v/>
      </c>
      <c r="B3269" s="363" t="str">
        <f t="shared" si="408"/>
        <v/>
      </c>
      <c r="C3269" s="405" t="str">
        <f t="shared" si="409"/>
        <v/>
      </c>
      <c r="D3269" s="405">
        <f t="shared" si="410"/>
        <v>0</v>
      </c>
      <c r="E3269" s="405" t="str">
        <f t="shared" si="411"/>
        <v/>
      </c>
      <c r="F3269" s="405">
        <f t="shared" si="412"/>
        <v>0</v>
      </c>
      <c r="G3269" s="405">
        <f t="shared" si="413"/>
        <v>0</v>
      </c>
      <c r="H3269" s="405">
        <f t="shared" si="414"/>
        <v>0</v>
      </c>
    </row>
    <row r="3270" spans="1:8">
      <c r="A3270" s="363" t="str">
        <f t="shared" si="415"/>
        <v/>
      </c>
      <c r="B3270" s="363" t="str">
        <f t="shared" si="408"/>
        <v/>
      </c>
      <c r="C3270" s="405" t="str">
        <f t="shared" si="409"/>
        <v/>
      </c>
      <c r="D3270" s="405">
        <f t="shared" si="410"/>
        <v>0</v>
      </c>
      <c r="E3270" s="405" t="str">
        <f t="shared" si="411"/>
        <v/>
      </c>
      <c r="F3270" s="405">
        <f t="shared" si="412"/>
        <v>0</v>
      </c>
      <c r="G3270" s="405">
        <f t="shared" si="413"/>
        <v>0</v>
      </c>
      <c r="H3270" s="405">
        <f t="shared" si="414"/>
        <v>0</v>
      </c>
    </row>
    <row r="3271" spans="1:8">
      <c r="A3271" s="363" t="str">
        <f t="shared" si="415"/>
        <v/>
      </c>
      <c r="B3271" s="363" t="str">
        <f t="shared" si="408"/>
        <v/>
      </c>
      <c r="C3271" s="405" t="str">
        <f t="shared" si="409"/>
        <v/>
      </c>
      <c r="D3271" s="405">
        <f t="shared" si="410"/>
        <v>0</v>
      </c>
      <c r="E3271" s="405" t="str">
        <f t="shared" si="411"/>
        <v/>
      </c>
      <c r="F3271" s="405">
        <f t="shared" si="412"/>
        <v>0</v>
      </c>
      <c r="G3271" s="405">
        <f t="shared" si="413"/>
        <v>0</v>
      </c>
      <c r="H3271" s="405">
        <f t="shared" si="414"/>
        <v>0</v>
      </c>
    </row>
    <row r="3272" spans="1:8">
      <c r="A3272" s="363" t="str">
        <f t="shared" si="415"/>
        <v/>
      </c>
      <c r="B3272" s="363" t="str">
        <f t="shared" si="408"/>
        <v/>
      </c>
      <c r="C3272" s="405" t="str">
        <f t="shared" si="409"/>
        <v/>
      </c>
      <c r="D3272" s="405">
        <f t="shared" si="410"/>
        <v>0</v>
      </c>
      <c r="E3272" s="405" t="str">
        <f t="shared" si="411"/>
        <v/>
      </c>
      <c r="F3272" s="405">
        <f t="shared" si="412"/>
        <v>0</v>
      </c>
      <c r="G3272" s="405">
        <f t="shared" si="413"/>
        <v>0</v>
      </c>
      <c r="H3272" s="405">
        <f t="shared" si="414"/>
        <v>0</v>
      </c>
    </row>
    <row r="3273" spans="1:8">
      <c r="A3273" s="363" t="str">
        <f t="shared" si="415"/>
        <v/>
      </c>
      <c r="B3273" s="363" t="str">
        <f t="shared" si="408"/>
        <v/>
      </c>
      <c r="C3273" s="405" t="str">
        <f t="shared" si="409"/>
        <v/>
      </c>
      <c r="D3273" s="405">
        <f t="shared" si="410"/>
        <v>0</v>
      </c>
      <c r="E3273" s="405" t="str">
        <f t="shared" si="411"/>
        <v/>
      </c>
      <c r="F3273" s="405">
        <f t="shared" si="412"/>
        <v>0</v>
      </c>
      <c r="G3273" s="405">
        <f t="shared" si="413"/>
        <v>0</v>
      </c>
      <c r="H3273" s="405">
        <f t="shared" si="414"/>
        <v>0</v>
      </c>
    </row>
    <row r="3274" spans="1:8">
      <c r="A3274" s="363" t="str">
        <f t="shared" si="415"/>
        <v/>
      </c>
      <c r="B3274" s="363" t="str">
        <f t="shared" si="408"/>
        <v/>
      </c>
      <c r="C3274" s="405" t="str">
        <f t="shared" si="409"/>
        <v/>
      </c>
      <c r="D3274" s="405">
        <f t="shared" si="410"/>
        <v>0</v>
      </c>
      <c r="E3274" s="405" t="str">
        <f t="shared" si="411"/>
        <v/>
      </c>
      <c r="F3274" s="405">
        <f t="shared" si="412"/>
        <v>0</v>
      </c>
      <c r="G3274" s="405">
        <f t="shared" si="413"/>
        <v>0</v>
      </c>
      <c r="H3274" s="405">
        <f t="shared" si="414"/>
        <v>0</v>
      </c>
    </row>
    <row r="3275" spans="1:8">
      <c r="A3275" s="363" t="str">
        <f t="shared" si="415"/>
        <v/>
      </c>
      <c r="B3275" s="363" t="str">
        <f t="shared" si="408"/>
        <v/>
      </c>
      <c r="C3275" s="405" t="str">
        <f t="shared" si="409"/>
        <v/>
      </c>
      <c r="D3275" s="405">
        <f t="shared" si="410"/>
        <v>0</v>
      </c>
      <c r="E3275" s="405" t="str">
        <f t="shared" si="411"/>
        <v/>
      </c>
      <c r="F3275" s="405">
        <f t="shared" si="412"/>
        <v>0</v>
      </c>
      <c r="G3275" s="405">
        <f t="shared" si="413"/>
        <v>0</v>
      </c>
      <c r="H3275" s="405">
        <f t="shared" si="414"/>
        <v>0</v>
      </c>
    </row>
    <row r="3276" spans="1:8">
      <c r="A3276" s="363" t="str">
        <f t="shared" si="415"/>
        <v/>
      </c>
      <c r="B3276" s="363" t="str">
        <f t="shared" si="408"/>
        <v/>
      </c>
      <c r="C3276" s="405" t="str">
        <f t="shared" si="409"/>
        <v/>
      </c>
      <c r="D3276" s="405">
        <f t="shared" si="410"/>
        <v>0</v>
      </c>
      <c r="E3276" s="405" t="str">
        <f t="shared" si="411"/>
        <v/>
      </c>
      <c r="F3276" s="405">
        <f t="shared" si="412"/>
        <v>0</v>
      </c>
      <c r="G3276" s="405">
        <f t="shared" si="413"/>
        <v>0</v>
      </c>
      <c r="H3276" s="405">
        <f t="shared" si="414"/>
        <v>0</v>
      </c>
    </row>
    <row r="3277" spans="1:8">
      <c r="A3277" s="363" t="str">
        <f t="shared" si="415"/>
        <v/>
      </c>
      <c r="B3277" s="363" t="str">
        <f t="shared" si="408"/>
        <v/>
      </c>
      <c r="C3277" s="405" t="str">
        <f t="shared" si="409"/>
        <v/>
      </c>
      <c r="D3277" s="405">
        <f t="shared" si="410"/>
        <v>0</v>
      </c>
      <c r="E3277" s="405" t="str">
        <f t="shared" si="411"/>
        <v/>
      </c>
      <c r="F3277" s="405">
        <f t="shared" si="412"/>
        <v>0</v>
      </c>
      <c r="G3277" s="405">
        <f t="shared" si="413"/>
        <v>0</v>
      </c>
      <c r="H3277" s="405">
        <f t="shared" si="414"/>
        <v>0</v>
      </c>
    </row>
    <row r="3278" spans="1:8">
      <c r="A3278" s="363" t="str">
        <f t="shared" si="415"/>
        <v/>
      </c>
      <c r="B3278" s="363" t="str">
        <f t="shared" si="408"/>
        <v/>
      </c>
      <c r="C3278" s="405" t="str">
        <f t="shared" si="409"/>
        <v/>
      </c>
      <c r="D3278" s="405">
        <f t="shared" si="410"/>
        <v>0</v>
      </c>
      <c r="E3278" s="405" t="str">
        <f t="shared" si="411"/>
        <v/>
      </c>
      <c r="F3278" s="405">
        <f t="shared" si="412"/>
        <v>0</v>
      </c>
      <c r="G3278" s="405">
        <f t="shared" si="413"/>
        <v>0</v>
      </c>
      <c r="H3278" s="405">
        <f t="shared" si="414"/>
        <v>0</v>
      </c>
    </row>
    <row r="3279" spans="1:8">
      <c r="A3279" s="363" t="str">
        <f t="shared" si="415"/>
        <v/>
      </c>
      <c r="B3279" s="363" t="str">
        <f t="shared" si="408"/>
        <v/>
      </c>
      <c r="C3279" s="405" t="str">
        <f t="shared" si="409"/>
        <v/>
      </c>
      <c r="D3279" s="405">
        <f t="shared" si="410"/>
        <v>0</v>
      </c>
      <c r="E3279" s="405" t="str">
        <f t="shared" si="411"/>
        <v/>
      </c>
      <c r="F3279" s="405">
        <f t="shared" si="412"/>
        <v>0</v>
      </c>
      <c r="G3279" s="405">
        <f t="shared" si="413"/>
        <v>0</v>
      </c>
      <c r="H3279" s="405">
        <f t="shared" si="414"/>
        <v>0</v>
      </c>
    </row>
    <row r="3280" spans="1:8">
      <c r="A3280" s="363" t="str">
        <f t="shared" si="415"/>
        <v/>
      </c>
      <c r="B3280" s="363" t="str">
        <f t="shared" si="408"/>
        <v/>
      </c>
      <c r="C3280" s="405" t="str">
        <f t="shared" si="409"/>
        <v/>
      </c>
      <c r="D3280" s="405">
        <f t="shared" si="410"/>
        <v>0</v>
      </c>
      <c r="E3280" s="405" t="str">
        <f t="shared" si="411"/>
        <v/>
      </c>
      <c r="F3280" s="405">
        <f t="shared" si="412"/>
        <v>0</v>
      </c>
      <c r="G3280" s="405">
        <f t="shared" si="413"/>
        <v>0</v>
      </c>
      <c r="H3280" s="405">
        <f t="shared" si="414"/>
        <v>0</v>
      </c>
    </row>
    <row r="3281" spans="1:8">
      <c r="A3281" s="363" t="str">
        <f t="shared" si="415"/>
        <v/>
      </c>
      <c r="B3281" s="363" t="str">
        <f t="shared" si="408"/>
        <v/>
      </c>
      <c r="C3281" s="405" t="str">
        <f t="shared" si="409"/>
        <v/>
      </c>
      <c r="D3281" s="405">
        <f t="shared" si="410"/>
        <v>0</v>
      </c>
      <c r="E3281" s="405" t="str">
        <f t="shared" si="411"/>
        <v/>
      </c>
      <c r="F3281" s="405">
        <f t="shared" si="412"/>
        <v>0</v>
      </c>
      <c r="G3281" s="405">
        <f t="shared" si="413"/>
        <v>0</v>
      </c>
      <c r="H3281" s="405">
        <f t="shared" si="414"/>
        <v>0</v>
      </c>
    </row>
    <row r="3282" spans="1:8">
      <c r="A3282" s="363" t="str">
        <f t="shared" si="415"/>
        <v/>
      </c>
      <c r="B3282" s="363" t="str">
        <f t="shared" si="408"/>
        <v/>
      </c>
      <c r="C3282" s="405" t="str">
        <f t="shared" si="409"/>
        <v/>
      </c>
      <c r="D3282" s="405">
        <f t="shared" si="410"/>
        <v>0</v>
      </c>
      <c r="E3282" s="405" t="str">
        <f t="shared" si="411"/>
        <v/>
      </c>
      <c r="F3282" s="405">
        <f t="shared" si="412"/>
        <v>0</v>
      </c>
      <c r="G3282" s="405">
        <f t="shared" si="413"/>
        <v>0</v>
      </c>
      <c r="H3282" s="405">
        <f t="shared" si="414"/>
        <v>0</v>
      </c>
    </row>
    <row r="3283" spans="1:8">
      <c r="A3283" s="363" t="str">
        <f t="shared" si="415"/>
        <v/>
      </c>
      <c r="B3283" s="363" t="str">
        <f t="shared" si="408"/>
        <v/>
      </c>
      <c r="C3283" s="405" t="str">
        <f t="shared" si="409"/>
        <v/>
      </c>
      <c r="D3283" s="405">
        <f t="shared" si="410"/>
        <v>0</v>
      </c>
      <c r="E3283" s="405" t="str">
        <f t="shared" si="411"/>
        <v/>
      </c>
      <c r="F3283" s="405">
        <f t="shared" si="412"/>
        <v>0</v>
      </c>
      <c r="G3283" s="405">
        <f t="shared" si="413"/>
        <v>0</v>
      </c>
      <c r="H3283" s="405">
        <f t="shared" si="414"/>
        <v>0</v>
      </c>
    </row>
    <row r="3284" spans="1:8">
      <c r="A3284" s="363" t="str">
        <f t="shared" si="415"/>
        <v/>
      </c>
      <c r="B3284" s="363" t="str">
        <f t="shared" si="408"/>
        <v/>
      </c>
      <c r="C3284" s="405" t="str">
        <f t="shared" si="409"/>
        <v/>
      </c>
      <c r="D3284" s="405">
        <f t="shared" si="410"/>
        <v>0</v>
      </c>
      <c r="E3284" s="405" t="str">
        <f t="shared" si="411"/>
        <v/>
      </c>
      <c r="F3284" s="405">
        <f t="shared" si="412"/>
        <v>0</v>
      </c>
      <c r="G3284" s="405">
        <f t="shared" si="413"/>
        <v>0</v>
      </c>
      <c r="H3284" s="405">
        <f t="shared" si="414"/>
        <v>0</v>
      </c>
    </row>
    <row r="3285" spans="1:8">
      <c r="A3285" s="363" t="str">
        <f t="shared" si="415"/>
        <v/>
      </c>
      <c r="B3285" s="363" t="str">
        <f t="shared" si="408"/>
        <v/>
      </c>
      <c r="C3285" s="405" t="str">
        <f t="shared" si="409"/>
        <v/>
      </c>
      <c r="D3285" s="405">
        <f t="shared" si="410"/>
        <v>0</v>
      </c>
      <c r="E3285" s="405" t="str">
        <f t="shared" si="411"/>
        <v/>
      </c>
      <c r="F3285" s="405">
        <f t="shared" si="412"/>
        <v>0</v>
      </c>
      <c r="G3285" s="405">
        <f t="shared" si="413"/>
        <v>0</v>
      </c>
      <c r="H3285" s="405">
        <f t="shared" si="414"/>
        <v>0</v>
      </c>
    </row>
    <row r="3286" spans="1:8">
      <c r="A3286" s="363" t="str">
        <f t="shared" si="415"/>
        <v/>
      </c>
      <c r="B3286" s="363" t="str">
        <f t="shared" si="408"/>
        <v/>
      </c>
      <c r="C3286" s="405" t="str">
        <f t="shared" si="409"/>
        <v/>
      </c>
      <c r="D3286" s="405">
        <f t="shared" si="410"/>
        <v>0</v>
      </c>
      <c r="E3286" s="405" t="str">
        <f t="shared" si="411"/>
        <v/>
      </c>
      <c r="F3286" s="405">
        <f t="shared" si="412"/>
        <v>0</v>
      </c>
      <c r="G3286" s="405">
        <f t="shared" si="413"/>
        <v>0</v>
      </c>
      <c r="H3286" s="405">
        <f t="shared" si="414"/>
        <v>0</v>
      </c>
    </row>
    <row r="3287" spans="1:8">
      <c r="A3287" s="363" t="str">
        <f t="shared" si="415"/>
        <v/>
      </c>
      <c r="B3287" s="363" t="str">
        <f t="shared" si="408"/>
        <v/>
      </c>
      <c r="C3287" s="405" t="str">
        <f t="shared" si="409"/>
        <v/>
      </c>
      <c r="D3287" s="405">
        <f t="shared" si="410"/>
        <v>0</v>
      </c>
      <c r="E3287" s="405" t="str">
        <f t="shared" si="411"/>
        <v/>
      </c>
      <c r="F3287" s="405">
        <f t="shared" si="412"/>
        <v>0</v>
      </c>
      <c r="G3287" s="405">
        <f t="shared" si="413"/>
        <v>0</v>
      </c>
      <c r="H3287" s="405">
        <f t="shared" si="414"/>
        <v>0</v>
      </c>
    </row>
    <row r="3288" spans="1:8">
      <c r="A3288" s="363" t="str">
        <f t="shared" si="415"/>
        <v/>
      </c>
      <c r="B3288" s="363" t="str">
        <f t="shared" si="408"/>
        <v/>
      </c>
      <c r="C3288" s="405" t="str">
        <f t="shared" si="409"/>
        <v/>
      </c>
      <c r="D3288" s="405">
        <f t="shared" si="410"/>
        <v>0</v>
      </c>
      <c r="E3288" s="405" t="str">
        <f t="shared" si="411"/>
        <v/>
      </c>
      <c r="F3288" s="405">
        <f t="shared" si="412"/>
        <v>0</v>
      </c>
      <c r="G3288" s="405">
        <f t="shared" si="413"/>
        <v>0</v>
      </c>
      <c r="H3288" s="405">
        <f t="shared" si="414"/>
        <v>0</v>
      </c>
    </row>
    <row r="3289" spans="1:8">
      <c r="A3289" s="363" t="str">
        <f t="shared" si="415"/>
        <v/>
      </c>
      <c r="B3289" s="363" t="str">
        <f t="shared" si="408"/>
        <v/>
      </c>
      <c r="C3289" s="405" t="str">
        <f t="shared" si="409"/>
        <v/>
      </c>
      <c r="D3289" s="405">
        <f t="shared" si="410"/>
        <v>0</v>
      </c>
      <c r="E3289" s="405" t="str">
        <f t="shared" si="411"/>
        <v/>
      </c>
      <c r="F3289" s="405">
        <f t="shared" si="412"/>
        <v>0</v>
      </c>
      <c r="G3289" s="405">
        <f t="shared" si="413"/>
        <v>0</v>
      </c>
      <c r="H3289" s="405">
        <f t="shared" si="414"/>
        <v>0</v>
      </c>
    </row>
    <row r="3290" spans="1:8">
      <c r="A3290" s="363" t="str">
        <f t="shared" si="415"/>
        <v/>
      </c>
      <c r="B3290" s="363" t="str">
        <f t="shared" si="408"/>
        <v/>
      </c>
      <c r="C3290" s="405" t="str">
        <f t="shared" si="409"/>
        <v/>
      </c>
      <c r="D3290" s="405">
        <f t="shared" si="410"/>
        <v>0</v>
      </c>
      <c r="E3290" s="405" t="str">
        <f t="shared" si="411"/>
        <v/>
      </c>
      <c r="F3290" s="405">
        <f t="shared" si="412"/>
        <v>0</v>
      </c>
      <c r="G3290" s="405">
        <f t="shared" si="413"/>
        <v>0</v>
      </c>
      <c r="H3290" s="405">
        <f t="shared" si="414"/>
        <v>0</v>
      </c>
    </row>
    <row r="3291" spans="1:8">
      <c r="A3291" s="363" t="str">
        <f t="shared" si="415"/>
        <v/>
      </c>
      <c r="B3291" s="363" t="str">
        <f t="shared" si="408"/>
        <v/>
      </c>
      <c r="C3291" s="405" t="str">
        <f t="shared" si="409"/>
        <v/>
      </c>
      <c r="D3291" s="405">
        <f t="shared" si="410"/>
        <v>0</v>
      </c>
      <c r="E3291" s="405" t="str">
        <f t="shared" si="411"/>
        <v/>
      </c>
      <c r="F3291" s="405">
        <f t="shared" si="412"/>
        <v>0</v>
      </c>
      <c r="G3291" s="405">
        <f t="shared" si="413"/>
        <v>0</v>
      </c>
      <c r="H3291" s="405">
        <f t="shared" si="414"/>
        <v>0</v>
      </c>
    </row>
    <row r="3292" spans="1:8">
      <c r="A3292" s="363" t="str">
        <f t="shared" si="415"/>
        <v/>
      </c>
      <c r="B3292" s="363" t="str">
        <f t="shared" si="408"/>
        <v/>
      </c>
      <c r="C3292" s="405" t="str">
        <f t="shared" si="409"/>
        <v/>
      </c>
      <c r="D3292" s="405">
        <f t="shared" si="410"/>
        <v>0</v>
      </c>
      <c r="E3292" s="405" t="str">
        <f t="shared" si="411"/>
        <v/>
      </c>
      <c r="F3292" s="405">
        <f t="shared" si="412"/>
        <v>0</v>
      </c>
      <c r="G3292" s="405">
        <f t="shared" si="413"/>
        <v>0</v>
      </c>
      <c r="H3292" s="405">
        <f t="shared" si="414"/>
        <v>0</v>
      </c>
    </row>
    <row r="3293" spans="1:8">
      <c r="A3293" s="363" t="str">
        <f t="shared" si="415"/>
        <v/>
      </c>
      <c r="B3293" s="363" t="str">
        <f t="shared" si="408"/>
        <v/>
      </c>
      <c r="C3293" s="405" t="str">
        <f t="shared" si="409"/>
        <v/>
      </c>
      <c r="D3293" s="405">
        <f t="shared" si="410"/>
        <v>0</v>
      </c>
      <c r="E3293" s="405" t="str">
        <f t="shared" si="411"/>
        <v/>
      </c>
      <c r="F3293" s="405">
        <f t="shared" si="412"/>
        <v>0</v>
      </c>
      <c r="G3293" s="405">
        <f t="shared" si="413"/>
        <v>0</v>
      </c>
      <c r="H3293" s="405">
        <f t="shared" si="414"/>
        <v>0</v>
      </c>
    </row>
    <row r="3294" spans="1:8">
      <c r="A3294" s="363" t="str">
        <f t="shared" si="415"/>
        <v/>
      </c>
      <c r="B3294" s="363" t="str">
        <f t="shared" si="408"/>
        <v/>
      </c>
      <c r="C3294" s="405" t="str">
        <f t="shared" si="409"/>
        <v/>
      </c>
      <c r="D3294" s="405">
        <f t="shared" si="410"/>
        <v>0</v>
      </c>
      <c r="E3294" s="405" t="str">
        <f t="shared" si="411"/>
        <v/>
      </c>
      <c r="F3294" s="405">
        <f t="shared" si="412"/>
        <v>0</v>
      </c>
      <c r="G3294" s="405">
        <f t="shared" si="413"/>
        <v>0</v>
      </c>
      <c r="H3294" s="405">
        <f t="shared" si="414"/>
        <v>0</v>
      </c>
    </row>
    <row r="3295" spans="1:8">
      <c r="A3295" s="363" t="str">
        <f t="shared" si="415"/>
        <v/>
      </c>
      <c r="B3295" s="363" t="str">
        <f t="shared" si="408"/>
        <v/>
      </c>
      <c r="C3295" s="405" t="str">
        <f t="shared" si="409"/>
        <v/>
      </c>
      <c r="D3295" s="405">
        <f t="shared" si="410"/>
        <v>0</v>
      </c>
      <c r="E3295" s="405" t="str">
        <f t="shared" si="411"/>
        <v/>
      </c>
      <c r="F3295" s="405">
        <f t="shared" si="412"/>
        <v>0</v>
      </c>
      <c r="G3295" s="405">
        <f t="shared" si="413"/>
        <v>0</v>
      </c>
      <c r="H3295" s="405">
        <f t="shared" si="414"/>
        <v>0</v>
      </c>
    </row>
    <row r="3296" spans="1:8">
      <c r="A3296" s="363" t="str">
        <f t="shared" si="415"/>
        <v/>
      </c>
      <c r="B3296" s="363" t="str">
        <f t="shared" si="408"/>
        <v/>
      </c>
      <c r="C3296" s="405" t="str">
        <f t="shared" si="409"/>
        <v/>
      </c>
      <c r="D3296" s="405">
        <f t="shared" si="410"/>
        <v>0</v>
      </c>
      <c r="E3296" s="405" t="str">
        <f t="shared" si="411"/>
        <v/>
      </c>
      <c r="F3296" s="405">
        <f t="shared" si="412"/>
        <v>0</v>
      </c>
      <c r="G3296" s="405">
        <f t="shared" si="413"/>
        <v>0</v>
      </c>
      <c r="H3296" s="405">
        <f t="shared" si="414"/>
        <v>0</v>
      </c>
    </row>
    <row r="3297" spans="1:8">
      <c r="A3297" s="363" t="str">
        <f t="shared" si="415"/>
        <v/>
      </c>
      <c r="B3297" s="363" t="str">
        <f t="shared" si="408"/>
        <v/>
      </c>
      <c r="C3297" s="405" t="str">
        <f t="shared" si="409"/>
        <v/>
      </c>
      <c r="D3297" s="405">
        <f t="shared" si="410"/>
        <v>0</v>
      </c>
      <c r="E3297" s="405" t="str">
        <f t="shared" si="411"/>
        <v/>
      </c>
      <c r="F3297" s="405">
        <f t="shared" si="412"/>
        <v>0</v>
      </c>
      <c r="G3297" s="405">
        <f t="shared" si="413"/>
        <v>0</v>
      </c>
      <c r="H3297" s="405">
        <f t="shared" si="414"/>
        <v>0</v>
      </c>
    </row>
    <row r="3298" spans="1:8">
      <c r="A3298" s="363" t="str">
        <f t="shared" si="415"/>
        <v/>
      </c>
      <c r="B3298" s="363" t="str">
        <f t="shared" si="408"/>
        <v/>
      </c>
      <c r="C3298" s="405" t="str">
        <f t="shared" si="409"/>
        <v/>
      </c>
      <c r="D3298" s="405">
        <f t="shared" si="410"/>
        <v>0</v>
      </c>
      <c r="E3298" s="405" t="str">
        <f t="shared" si="411"/>
        <v/>
      </c>
      <c r="F3298" s="405">
        <f t="shared" si="412"/>
        <v>0</v>
      </c>
      <c r="G3298" s="405">
        <f t="shared" si="413"/>
        <v>0</v>
      </c>
      <c r="H3298" s="405">
        <f t="shared" si="414"/>
        <v>0</v>
      </c>
    </row>
    <row r="3299" spans="1:8">
      <c r="A3299" s="363" t="str">
        <f t="shared" si="415"/>
        <v/>
      </c>
      <c r="B3299" s="363" t="str">
        <f t="shared" si="408"/>
        <v/>
      </c>
      <c r="C3299" s="405" t="str">
        <f t="shared" si="409"/>
        <v/>
      </c>
      <c r="D3299" s="405">
        <f t="shared" si="410"/>
        <v>0</v>
      </c>
      <c r="E3299" s="405" t="str">
        <f t="shared" si="411"/>
        <v/>
      </c>
      <c r="F3299" s="405">
        <f t="shared" si="412"/>
        <v>0</v>
      </c>
      <c r="G3299" s="405">
        <f t="shared" si="413"/>
        <v>0</v>
      </c>
      <c r="H3299" s="405">
        <f t="shared" si="414"/>
        <v>0</v>
      </c>
    </row>
    <row r="3300" spans="1:8">
      <c r="A3300" s="363" t="str">
        <f t="shared" si="415"/>
        <v/>
      </c>
      <c r="B3300" s="363" t="str">
        <f t="shared" si="408"/>
        <v/>
      </c>
      <c r="C3300" s="405" t="str">
        <f t="shared" si="409"/>
        <v/>
      </c>
      <c r="D3300" s="405">
        <f t="shared" si="410"/>
        <v>0</v>
      </c>
      <c r="E3300" s="405" t="str">
        <f t="shared" si="411"/>
        <v/>
      </c>
      <c r="F3300" s="405">
        <f t="shared" si="412"/>
        <v>0</v>
      </c>
      <c r="G3300" s="405">
        <f t="shared" si="413"/>
        <v>0</v>
      </c>
      <c r="H3300" s="405">
        <f t="shared" si="414"/>
        <v>0</v>
      </c>
    </row>
    <row r="3301" spans="1:8">
      <c r="A3301" s="363" t="str">
        <f t="shared" si="415"/>
        <v/>
      </c>
      <c r="B3301" s="363" t="str">
        <f t="shared" si="408"/>
        <v/>
      </c>
      <c r="C3301" s="405" t="str">
        <f t="shared" si="409"/>
        <v/>
      </c>
      <c r="D3301" s="405">
        <f t="shared" si="410"/>
        <v>0</v>
      </c>
      <c r="E3301" s="405" t="str">
        <f t="shared" si="411"/>
        <v/>
      </c>
      <c r="F3301" s="405">
        <f t="shared" si="412"/>
        <v>0</v>
      </c>
      <c r="G3301" s="405">
        <f t="shared" si="413"/>
        <v>0</v>
      </c>
      <c r="H3301" s="405">
        <f t="shared" si="414"/>
        <v>0</v>
      </c>
    </row>
    <row r="3302" spans="1:8">
      <c r="A3302" s="363" t="str">
        <f t="shared" si="415"/>
        <v/>
      </c>
      <c r="B3302" s="363" t="str">
        <f t="shared" si="408"/>
        <v/>
      </c>
      <c r="C3302" s="405" t="str">
        <f t="shared" si="409"/>
        <v/>
      </c>
      <c r="D3302" s="405">
        <f t="shared" si="410"/>
        <v>0</v>
      </c>
      <c r="E3302" s="405" t="str">
        <f t="shared" si="411"/>
        <v/>
      </c>
      <c r="F3302" s="405">
        <f t="shared" si="412"/>
        <v>0</v>
      </c>
      <c r="G3302" s="405">
        <f t="shared" si="413"/>
        <v>0</v>
      </c>
      <c r="H3302" s="405">
        <f t="shared" si="414"/>
        <v>0</v>
      </c>
    </row>
    <row r="3303" spans="1:8">
      <c r="A3303" s="363" t="str">
        <f t="shared" si="415"/>
        <v/>
      </c>
      <c r="B3303" s="363" t="str">
        <f t="shared" si="408"/>
        <v/>
      </c>
      <c r="C3303" s="405" t="str">
        <f t="shared" si="409"/>
        <v/>
      </c>
      <c r="D3303" s="405">
        <f t="shared" si="410"/>
        <v>0</v>
      </c>
      <c r="E3303" s="405" t="str">
        <f t="shared" si="411"/>
        <v/>
      </c>
      <c r="F3303" s="405">
        <f t="shared" si="412"/>
        <v>0</v>
      </c>
      <c r="G3303" s="405">
        <f t="shared" si="413"/>
        <v>0</v>
      </c>
      <c r="H3303" s="405">
        <f t="shared" si="414"/>
        <v>0</v>
      </c>
    </row>
    <row r="3304" spans="1:8">
      <c r="A3304" s="363" t="str">
        <f t="shared" si="415"/>
        <v/>
      </c>
      <c r="B3304" s="363" t="str">
        <f t="shared" si="408"/>
        <v/>
      </c>
      <c r="C3304" s="405" t="str">
        <f t="shared" si="409"/>
        <v/>
      </c>
      <c r="D3304" s="405">
        <f t="shared" si="410"/>
        <v>0</v>
      </c>
      <c r="E3304" s="405" t="str">
        <f t="shared" si="411"/>
        <v/>
      </c>
      <c r="F3304" s="405">
        <f t="shared" si="412"/>
        <v>0</v>
      </c>
      <c r="G3304" s="405">
        <f t="shared" si="413"/>
        <v>0</v>
      </c>
      <c r="H3304" s="405">
        <f t="shared" si="414"/>
        <v>0</v>
      </c>
    </row>
    <row r="3305" spans="1:8">
      <c r="A3305" s="363" t="str">
        <f t="shared" si="415"/>
        <v/>
      </c>
      <c r="B3305" s="363" t="str">
        <f t="shared" si="408"/>
        <v/>
      </c>
      <c r="C3305" s="405" t="str">
        <f t="shared" si="409"/>
        <v/>
      </c>
      <c r="D3305" s="405">
        <f t="shared" si="410"/>
        <v>0</v>
      </c>
      <c r="E3305" s="405" t="str">
        <f t="shared" si="411"/>
        <v/>
      </c>
      <c r="F3305" s="405">
        <f t="shared" si="412"/>
        <v>0</v>
      </c>
      <c r="G3305" s="405">
        <f t="shared" si="413"/>
        <v>0</v>
      </c>
      <c r="H3305" s="405">
        <f t="shared" si="414"/>
        <v>0</v>
      </c>
    </row>
    <row r="3306" spans="1:8">
      <c r="A3306" s="363" t="str">
        <f t="shared" si="415"/>
        <v/>
      </c>
      <c r="B3306" s="363" t="str">
        <f t="shared" si="408"/>
        <v/>
      </c>
      <c r="C3306" s="405" t="str">
        <f t="shared" si="409"/>
        <v/>
      </c>
      <c r="D3306" s="405">
        <f t="shared" si="410"/>
        <v>0</v>
      </c>
      <c r="E3306" s="405" t="str">
        <f t="shared" si="411"/>
        <v/>
      </c>
      <c r="F3306" s="405">
        <f t="shared" si="412"/>
        <v>0</v>
      </c>
      <c r="G3306" s="405">
        <f t="shared" si="413"/>
        <v>0</v>
      </c>
      <c r="H3306" s="405">
        <f t="shared" si="414"/>
        <v>0</v>
      </c>
    </row>
    <row r="3307" spans="1:8">
      <c r="A3307" s="363" t="str">
        <f t="shared" si="415"/>
        <v/>
      </c>
      <c r="B3307" s="363" t="str">
        <f t="shared" si="408"/>
        <v/>
      </c>
      <c r="C3307" s="405" t="str">
        <f t="shared" si="409"/>
        <v/>
      </c>
      <c r="D3307" s="405">
        <f t="shared" si="410"/>
        <v>0</v>
      </c>
      <c r="E3307" s="405" t="str">
        <f t="shared" si="411"/>
        <v/>
      </c>
      <c r="F3307" s="405">
        <f t="shared" si="412"/>
        <v>0</v>
      </c>
      <c r="G3307" s="405">
        <f t="shared" si="413"/>
        <v>0</v>
      </c>
      <c r="H3307" s="405">
        <f t="shared" si="414"/>
        <v>0</v>
      </c>
    </row>
    <row r="3308" spans="1:8">
      <c r="A3308" s="363" t="str">
        <f t="shared" si="415"/>
        <v/>
      </c>
      <c r="B3308" s="363" t="str">
        <f t="shared" si="408"/>
        <v/>
      </c>
      <c r="C3308" s="405" t="str">
        <f t="shared" si="409"/>
        <v/>
      </c>
      <c r="D3308" s="405">
        <f t="shared" si="410"/>
        <v>0</v>
      </c>
      <c r="E3308" s="405" t="str">
        <f t="shared" si="411"/>
        <v/>
      </c>
      <c r="F3308" s="405">
        <f t="shared" si="412"/>
        <v>0</v>
      </c>
      <c r="G3308" s="405">
        <f t="shared" si="413"/>
        <v>0</v>
      </c>
      <c r="H3308" s="405">
        <f t="shared" si="414"/>
        <v>0</v>
      </c>
    </row>
    <row r="3309" spans="1:8">
      <c r="A3309" s="363" t="str">
        <f t="shared" si="415"/>
        <v/>
      </c>
      <c r="B3309" s="363" t="str">
        <f t="shared" si="408"/>
        <v/>
      </c>
      <c r="C3309" s="405" t="str">
        <f t="shared" si="409"/>
        <v/>
      </c>
      <c r="D3309" s="405">
        <f t="shared" si="410"/>
        <v>0</v>
      </c>
      <c r="E3309" s="405" t="str">
        <f t="shared" si="411"/>
        <v/>
      </c>
      <c r="F3309" s="405">
        <f t="shared" si="412"/>
        <v>0</v>
      </c>
      <c r="G3309" s="405">
        <f t="shared" si="413"/>
        <v>0</v>
      </c>
      <c r="H3309" s="405">
        <f t="shared" si="414"/>
        <v>0</v>
      </c>
    </row>
    <row r="3310" spans="1:8">
      <c r="A3310" s="363" t="str">
        <f t="shared" si="415"/>
        <v/>
      </c>
      <c r="B3310" s="363" t="str">
        <f t="shared" si="408"/>
        <v/>
      </c>
      <c r="C3310" s="405" t="str">
        <f t="shared" si="409"/>
        <v/>
      </c>
      <c r="D3310" s="405">
        <f t="shared" si="410"/>
        <v>0</v>
      </c>
      <c r="E3310" s="405" t="str">
        <f t="shared" si="411"/>
        <v/>
      </c>
      <c r="F3310" s="405">
        <f t="shared" si="412"/>
        <v>0</v>
      </c>
      <c r="G3310" s="405">
        <f t="shared" si="413"/>
        <v>0</v>
      </c>
      <c r="H3310" s="405">
        <f t="shared" si="414"/>
        <v>0</v>
      </c>
    </row>
    <row r="3311" spans="1:8">
      <c r="A3311" s="363" t="str">
        <f t="shared" si="415"/>
        <v/>
      </c>
      <c r="B3311" s="363" t="str">
        <f t="shared" si="408"/>
        <v/>
      </c>
      <c r="C3311" s="405" t="str">
        <f t="shared" si="409"/>
        <v/>
      </c>
      <c r="D3311" s="405">
        <f t="shared" si="410"/>
        <v>0</v>
      </c>
      <c r="E3311" s="405" t="str">
        <f t="shared" si="411"/>
        <v/>
      </c>
      <c r="F3311" s="405">
        <f t="shared" si="412"/>
        <v>0</v>
      </c>
      <c r="G3311" s="405">
        <f t="shared" si="413"/>
        <v>0</v>
      </c>
      <c r="H3311" s="405">
        <f t="shared" si="414"/>
        <v>0</v>
      </c>
    </row>
    <row r="3312" spans="1:8">
      <c r="A3312" s="363" t="str">
        <f t="shared" si="415"/>
        <v/>
      </c>
      <c r="B3312" s="363" t="str">
        <f t="shared" si="408"/>
        <v/>
      </c>
      <c r="C3312" s="405" t="str">
        <f t="shared" si="409"/>
        <v/>
      </c>
      <c r="D3312" s="405">
        <f t="shared" si="410"/>
        <v>0</v>
      </c>
      <c r="E3312" s="405" t="str">
        <f t="shared" si="411"/>
        <v/>
      </c>
      <c r="F3312" s="405">
        <f t="shared" si="412"/>
        <v>0</v>
      </c>
      <c r="G3312" s="405">
        <f t="shared" si="413"/>
        <v>0</v>
      </c>
      <c r="H3312" s="405">
        <f t="shared" si="414"/>
        <v>0</v>
      </c>
    </row>
    <row r="3313" spans="1:8">
      <c r="A3313" s="363" t="str">
        <f t="shared" si="415"/>
        <v/>
      </c>
      <c r="B3313" s="363" t="str">
        <f t="shared" si="408"/>
        <v/>
      </c>
      <c r="C3313" s="405" t="str">
        <f t="shared" si="409"/>
        <v/>
      </c>
      <c r="D3313" s="405">
        <f t="shared" si="410"/>
        <v>0</v>
      </c>
      <c r="E3313" s="405" t="str">
        <f t="shared" si="411"/>
        <v/>
      </c>
      <c r="F3313" s="405">
        <f t="shared" si="412"/>
        <v>0</v>
      </c>
      <c r="G3313" s="405">
        <f t="shared" si="413"/>
        <v>0</v>
      </c>
      <c r="H3313" s="405">
        <f t="shared" si="414"/>
        <v>0</v>
      </c>
    </row>
    <row r="3314" spans="1:8">
      <c r="A3314" s="363" t="str">
        <f t="shared" si="415"/>
        <v/>
      </c>
      <c r="B3314" s="363" t="str">
        <f t="shared" si="408"/>
        <v/>
      </c>
      <c r="C3314" s="405" t="str">
        <f t="shared" si="409"/>
        <v/>
      </c>
      <c r="D3314" s="405">
        <f t="shared" si="410"/>
        <v>0</v>
      </c>
      <c r="E3314" s="405" t="str">
        <f t="shared" si="411"/>
        <v/>
      </c>
      <c r="F3314" s="405">
        <f t="shared" si="412"/>
        <v>0</v>
      </c>
      <c r="G3314" s="405">
        <f t="shared" si="413"/>
        <v>0</v>
      </c>
      <c r="H3314" s="405">
        <f t="shared" si="414"/>
        <v>0</v>
      </c>
    </row>
    <row r="3315" spans="1:8">
      <c r="A3315" s="363" t="str">
        <f t="shared" si="415"/>
        <v/>
      </c>
      <c r="B3315" s="363" t="str">
        <f t="shared" si="408"/>
        <v/>
      </c>
      <c r="C3315" s="405" t="str">
        <f t="shared" si="409"/>
        <v/>
      </c>
      <c r="D3315" s="405">
        <f t="shared" si="410"/>
        <v>0</v>
      </c>
      <c r="E3315" s="405" t="str">
        <f t="shared" si="411"/>
        <v/>
      </c>
      <c r="F3315" s="405">
        <f t="shared" si="412"/>
        <v>0</v>
      </c>
      <c r="G3315" s="405">
        <f t="shared" si="413"/>
        <v>0</v>
      </c>
      <c r="H3315" s="405">
        <f t="shared" si="414"/>
        <v>0</v>
      </c>
    </row>
    <row r="3316" spans="1:8">
      <c r="A3316" s="363" t="str">
        <f t="shared" si="415"/>
        <v/>
      </c>
      <c r="B3316" s="363" t="str">
        <f t="shared" si="408"/>
        <v/>
      </c>
      <c r="C3316" s="405" t="str">
        <f t="shared" si="409"/>
        <v/>
      </c>
      <c r="D3316" s="405">
        <f t="shared" si="410"/>
        <v>0</v>
      </c>
      <c r="E3316" s="405" t="str">
        <f t="shared" si="411"/>
        <v/>
      </c>
      <c r="F3316" s="405">
        <f t="shared" si="412"/>
        <v>0</v>
      </c>
      <c r="G3316" s="405">
        <f t="shared" si="413"/>
        <v>0</v>
      </c>
      <c r="H3316" s="405">
        <f t="shared" si="414"/>
        <v>0</v>
      </c>
    </row>
    <row r="3317" spans="1:8">
      <c r="A3317" s="363" t="str">
        <f t="shared" si="415"/>
        <v/>
      </c>
      <c r="B3317" s="363" t="str">
        <f t="shared" si="408"/>
        <v/>
      </c>
      <c r="C3317" s="405" t="str">
        <f t="shared" si="409"/>
        <v/>
      </c>
      <c r="D3317" s="405">
        <f t="shared" si="410"/>
        <v>0</v>
      </c>
      <c r="E3317" s="405" t="str">
        <f t="shared" si="411"/>
        <v/>
      </c>
      <c r="F3317" s="405">
        <f t="shared" si="412"/>
        <v>0</v>
      </c>
      <c r="G3317" s="405">
        <f t="shared" si="413"/>
        <v>0</v>
      </c>
      <c r="H3317" s="405">
        <f t="shared" si="414"/>
        <v>0</v>
      </c>
    </row>
    <row r="3318" spans="1:8">
      <c r="A3318" s="363" t="str">
        <f t="shared" si="415"/>
        <v/>
      </c>
      <c r="B3318" s="363" t="str">
        <f t="shared" si="408"/>
        <v/>
      </c>
      <c r="C3318" s="405" t="str">
        <f t="shared" si="409"/>
        <v/>
      </c>
      <c r="D3318" s="405">
        <f t="shared" si="410"/>
        <v>0</v>
      </c>
      <c r="E3318" s="405" t="str">
        <f t="shared" si="411"/>
        <v/>
      </c>
      <c r="F3318" s="405">
        <f t="shared" si="412"/>
        <v>0</v>
      </c>
      <c r="G3318" s="405">
        <f t="shared" si="413"/>
        <v>0</v>
      </c>
      <c r="H3318" s="405">
        <f t="shared" si="414"/>
        <v>0</v>
      </c>
    </row>
    <row r="3319" spans="1:8">
      <c r="A3319" s="363" t="str">
        <f t="shared" si="415"/>
        <v/>
      </c>
      <c r="B3319" s="363" t="str">
        <f t="shared" si="408"/>
        <v/>
      </c>
      <c r="C3319" s="405" t="str">
        <f t="shared" si="409"/>
        <v/>
      </c>
      <c r="D3319" s="405">
        <f t="shared" si="410"/>
        <v>0</v>
      </c>
      <c r="E3319" s="405" t="str">
        <f t="shared" si="411"/>
        <v/>
      </c>
      <c r="F3319" s="405">
        <f t="shared" si="412"/>
        <v>0</v>
      </c>
      <c r="G3319" s="405">
        <f t="shared" si="413"/>
        <v>0</v>
      </c>
      <c r="H3319" s="405">
        <f t="shared" si="414"/>
        <v>0</v>
      </c>
    </row>
    <row r="3320" spans="1:8">
      <c r="A3320" s="363" t="str">
        <f t="shared" si="415"/>
        <v/>
      </c>
      <c r="B3320" s="363" t="str">
        <f t="shared" si="408"/>
        <v/>
      </c>
      <c r="C3320" s="405" t="str">
        <f t="shared" si="409"/>
        <v/>
      </c>
      <c r="D3320" s="405">
        <f t="shared" si="410"/>
        <v>0</v>
      </c>
      <c r="E3320" s="405" t="str">
        <f t="shared" si="411"/>
        <v/>
      </c>
      <c r="F3320" s="405">
        <f t="shared" si="412"/>
        <v>0</v>
      </c>
      <c r="G3320" s="405">
        <f t="shared" si="413"/>
        <v>0</v>
      </c>
      <c r="H3320" s="405">
        <f t="shared" si="414"/>
        <v>0</v>
      </c>
    </row>
    <row r="3321" spans="1:8">
      <c r="A3321" s="363" t="str">
        <f t="shared" si="415"/>
        <v/>
      </c>
      <c r="B3321" s="363" t="str">
        <f t="shared" si="408"/>
        <v/>
      </c>
      <c r="C3321" s="405" t="str">
        <f t="shared" si="409"/>
        <v/>
      </c>
      <c r="D3321" s="405">
        <f t="shared" si="410"/>
        <v>0</v>
      </c>
      <c r="E3321" s="405" t="str">
        <f t="shared" si="411"/>
        <v/>
      </c>
      <c r="F3321" s="405">
        <f t="shared" si="412"/>
        <v>0</v>
      </c>
      <c r="G3321" s="405">
        <f t="shared" si="413"/>
        <v>0</v>
      </c>
      <c r="H3321" s="405">
        <f t="shared" si="414"/>
        <v>0</v>
      </c>
    </row>
    <row r="3322" spans="1:8">
      <c r="A3322" s="363" t="str">
        <f t="shared" si="415"/>
        <v/>
      </c>
      <c r="B3322" s="363" t="str">
        <f t="shared" si="408"/>
        <v/>
      </c>
      <c r="C3322" s="405" t="str">
        <f t="shared" si="409"/>
        <v/>
      </c>
      <c r="D3322" s="405">
        <f t="shared" si="410"/>
        <v>0</v>
      </c>
      <c r="E3322" s="405" t="str">
        <f t="shared" si="411"/>
        <v/>
      </c>
      <c r="F3322" s="405">
        <f t="shared" si="412"/>
        <v>0</v>
      </c>
      <c r="G3322" s="405">
        <f t="shared" si="413"/>
        <v>0</v>
      </c>
      <c r="H3322" s="405">
        <f t="shared" si="414"/>
        <v>0</v>
      </c>
    </row>
    <row r="3323" spans="1:8">
      <c r="A3323" s="363" t="str">
        <f t="shared" si="415"/>
        <v/>
      </c>
      <c r="B3323" s="363" t="str">
        <f t="shared" si="408"/>
        <v/>
      </c>
      <c r="C3323" s="405" t="str">
        <f t="shared" si="409"/>
        <v/>
      </c>
      <c r="D3323" s="405">
        <f t="shared" si="410"/>
        <v>0</v>
      </c>
      <c r="E3323" s="405" t="str">
        <f t="shared" si="411"/>
        <v/>
      </c>
      <c r="F3323" s="405">
        <f t="shared" si="412"/>
        <v>0</v>
      </c>
      <c r="G3323" s="405">
        <f t="shared" si="413"/>
        <v>0</v>
      </c>
      <c r="H3323" s="405">
        <f t="shared" si="414"/>
        <v>0</v>
      </c>
    </row>
    <row r="3324" spans="1:8">
      <c r="A3324" s="363" t="str">
        <f t="shared" si="415"/>
        <v/>
      </c>
      <c r="B3324" s="363" t="str">
        <f t="shared" si="408"/>
        <v/>
      </c>
      <c r="C3324" s="405" t="str">
        <f t="shared" si="409"/>
        <v/>
      </c>
      <c r="D3324" s="405">
        <f t="shared" si="410"/>
        <v>0</v>
      </c>
      <c r="E3324" s="405" t="str">
        <f t="shared" si="411"/>
        <v/>
      </c>
      <c r="F3324" s="405">
        <f t="shared" si="412"/>
        <v>0</v>
      </c>
      <c r="G3324" s="405">
        <f t="shared" si="413"/>
        <v>0</v>
      </c>
      <c r="H3324" s="405">
        <f t="shared" si="414"/>
        <v>0</v>
      </c>
    </row>
    <row r="3325" spans="1:8">
      <c r="A3325" s="363" t="str">
        <f t="shared" si="415"/>
        <v/>
      </c>
      <c r="B3325" s="363" t="str">
        <f t="shared" si="408"/>
        <v/>
      </c>
      <c r="C3325" s="405" t="str">
        <f t="shared" si="409"/>
        <v/>
      </c>
      <c r="D3325" s="405">
        <f t="shared" si="410"/>
        <v>0</v>
      </c>
      <c r="E3325" s="405" t="str">
        <f t="shared" si="411"/>
        <v/>
      </c>
      <c r="F3325" s="405">
        <f t="shared" si="412"/>
        <v>0</v>
      </c>
      <c r="G3325" s="405">
        <f t="shared" si="413"/>
        <v>0</v>
      </c>
      <c r="H3325" s="405">
        <f t="shared" si="414"/>
        <v>0</v>
      </c>
    </row>
    <row r="3326" spans="1:8">
      <c r="A3326" s="363" t="str">
        <f t="shared" si="415"/>
        <v/>
      </c>
      <c r="B3326" s="363" t="str">
        <f t="shared" si="408"/>
        <v/>
      </c>
      <c r="C3326" s="405" t="str">
        <f t="shared" si="409"/>
        <v/>
      </c>
      <c r="D3326" s="405">
        <f t="shared" si="410"/>
        <v>0</v>
      </c>
      <c r="E3326" s="405" t="str">
        <f t="shared" si="411"/>
        <v/>
      </c>
      <c r="F3326" s="405">
        <f t="shared" si="412"/>
        <v>0</v>
      </c>
      <c r="G3326" s="405">
        <f t="shared" si="413"/>
        <v>0</v>
      </c>
      <c r="H3326" s="405">
        <f t="shared" si="414"/>
        <v>0</v>
      </c>
    </row>
    <row r="3327" spans="1:8">
      <c r="A3327" s="363" t="str">
        <f t="shared" si="415"/>
        <v/>
      </c>
      <c r="B3327" s="363" t="str">
        <f t="shared" si="408"/>
        <v/>
      </c>
      <c r="C3327" s="405" t="str">
        <f t="shared" si="409"/>
        <v/>
      </c>
      <c r="D3327" s="405">
        <f t="shared" si="410"/>
        <v>0</v>
      </c>
      <c r="E3327" s="405" t="str">
        <f t="shared" si="411"/>
        <v/>
      </c>
      <c r="F3327" s="405">
        <f t="shared" si="412"/>
        <v>0</v>
      </c>
      <c r="G3327" s="405">
        <f t="shared" si="413"/>
        <v>0</v>
      </c>
      <c r="H3327" s="405">
        <f t="shared" si="414"/>
        <v>0</v>
      </c>
    </row>
    <row r="3328" spans="1:8">
      <c r="A3328" s="363" t="str">
        <f t="shared" si="415"/>
        <v/>
      </c>
      <c r="B3328" s="363" t="str">
        <f t="shared" si="408"/>
        <v/>
      </c>
      <c r="C3328" s="405" t="str">
        <f t="shared" si="409"/>
        <v/>
      </c>
      <c r="D3328" s="405">
        <f t="shared" si="410"/>
        <v>0</v>
      </c>
      <c r="E3328" s="405" t="str">
        <f t="shared" si="411"/>
        <v/>
      </c>
      <c r="F3328" s="405">
        <f t="shared" si="412"/>
        <v>0</v>
      </c>
      <c r="G3328" s="405">
        <f t="shared" si="413"/>
        <v>0</v>
      </c>
      <c r="H3328" s="405">
        <f t="shared" si="414"/>
        <v>0</v>
      </c>
    </row>
    <row r="3329" spans="1:8">
      <c r="A3329" s="363" t="str">
        <f t="shared" si="415"/>
        <v/>
      </c>
      <c r="B3329" s="363" t="str">
        <f t="shared" si="408"/>
        <v/>
      </c>
      <c r="C3329" s="405" t="str">
        <f t="shared" si="409"/>
        <v/>
      </c>
      <c r="D3329" s="405">
        <f t="shared" si="410"/>
        <v>0</v>
      </c>
      <c r="E3329" s="405" t="str">
        <f t="shared" si="411"/>
        <v/>
      </c>
      <c r="F3329" s="405">
        <f t="shared" si="412"/>
        <v>0</v>
      </c>
      <c r="G3329" s="405">
        <f t="shared" si="413"/>
        <v>0</v>
      </c>
      <c r="H3329" s="405">
        <f t="shared" si="414"/>
        <v>0</v>
      </c>
    </row>
    <row r="3330" spans="1:8">
      <c r="A3330" s="363" t="str">
        <f t="shared" si="415"/>
        <v/>
      </c>
      <c r="B3330" s="363" t="str">
        <f t="shared" ref="B3330:B3393" si="416">LEFT(L3330,2)</f>
        <v/>
      </c>
      <c r="C3330" s="405" t="str">
        <f t="shared" ref="C3330:C3393" si="417">IF(B3330="","","第"&amp;RIGHT(L3330,6)&amp;"号")</f>
        <v/>
      </c>
      <c r="D3330" s="405">
        <f t="shared" ref="D3330:D3393" si="418">N3330</f>
        <v>0</v>
      </c>
      <c r="E3330" s="405" t="str">
        <f t="shared" ref="E3330:E3393" si="419">IF(V3330="　",O3330,"")</f>
        <v/>
      </c>
      <c r="F3330" s="405">
        <f t="shared" ref="F3330:F3393" si="420">IF(V3330="　",P3330,W3330)</f>
        <v>0</v>
      </c>
      <c r="G3330" s="405">
        <f t="shared" ref="G3330:G3393" si="421">IF(V3330="　","主たる営業所",V3330)</f>
        <v>0</v>
      </c>
      <c r="H3330" s="405">
        <f t="shared" ref="H3330:H3393" si="422">IF(V3330="　",R3330,Y3330)</f>
        <v>0</v>
      </c>
    </row>
    <row r="3331" spans="1:8">
      <c r="A3331" s="363" t="str">
        <f t="shared" ref="A3331:A3394" si="423">IF(B3331="","",A3330+1)</f>
        <v/>
      </c>
      <c r="B3331" s="363" t="str">
        <f t="shared" si="416"/>
        <v/>
      </c>
      <c r="C3331" s="405" t="str">
        <f t="shared" si="417"/>
        <v/>
      </c>
      <c r="D3331" s="405">
        <f t="shared" si="418"/>
        <v>0</v>
      </c>
      <c r="E3331" s="405" t="str">
        <f t="shared" si="419"/>
        <v/>
      </c>
      <c r="F3331" s="405">
        <f t="shared" si="420"/>
        <v>0</v>
      </c>
      <c r="G3331" s="405">
        <f t="shared" si="421"/>
        <v>0</v>
      </c>
      <c r="H3331" s="405">
        <f t="shared" si="422"/>
        <v>0</v>
      </c>
    </row>
    <row r="3332" spans="1:8">
      <c r="A3332" s="363" t="str">
        <f t="shared" si="423"/>
        <v/>
      </c>
      <c r="B3332" s="363" t="str">
        <f t="shared" si="416"/>
        <v/>
      </c>
      <c r="C3332" s="405" t="str">
        <f t="shared" si="417"/>
        <v/>
      </c>
      <c r="D3332" s="405">
        <f t="shared" si="418"/>
        <v>0</v>
      </c>
      <c r="E3332" s="405" t="str">
        <f t="shared" si="419"/>
        <v/>
      </c>
      <c r="F3332" s="405">
        <f t="shared" si="420"/>
        <v>0</v>
      </c>
      <c r="G3332" s="405">
        <f t="shared" si="421"/>
        <v>0</v>
      </c>
      <c r="H3332" s="405">
        <f t="shared" si="422"/>
        <v>0</v>
      </c>
    </row>
    <row r="3333" spans="1:8">
      <c r="A3333" s="363" t="str">
        <f t="shared" si="423"/>
        <v/>
      </c>
      <c r="B3333" s="363" t="str">
        <f t="shared" si="416"/>
        <v/>
      </c>
      <c r="C3333" s="405" t="str">
        <f t="shared" si="417"/>
        <v/>
      </c>
      <c r="D3333" s="405">
        <f t="shared" si="418"/>
        <v>0</v>
      </c>
      <c r="E3333" s="405" t="str">
        <f t="shared" si="419"/>
        <v/>
      </c>
      <c r="F3333" s="405">
        <f t="shared" si="420"/>
        <v>0</v>
      </c>
      <c r="G3333" s="405">
        <f t="shared" si="421"/>
        <v>0</v>
      </c>
      <c r="H3333" s="405">
        <f t="shared" si="422"/>
        <v>0</v>
      </c>
    </row>
    <row r="3334" spans="1:8">
      <c r="A3334" s="363" t="str">
        <f t="shared" si="423"/>
        <v/>
      </c>
      <c r="B3334" s="363" t="str">
        <f t="shared" si="416"/>
        <v/>
      </c>
      <c r="C3334" s="405" t="str">
        <f t="shared" si="417"/>
        <v/>
      </c>
      <c r="D3334" s="405">
        <f t="shared" si="418"/>
        <v>0</v>
      </c>
      <c r="E3334" s="405" t="str">
        <f t="shared" si="419"/>
        <v/>
      </c>
      <c r="F3334" s="405">
        <f t="shared" si="420"/>
        <v>0</v>
      </c>
      <c r="G3334" s="405">
        <f t="shared" si="421"/>
        <v>0</v>
      </c>
      <c r="H3334" s="405">
        <f t="shared" si="422"/>
        <v>0</v>
      </c>
    </row>
    <row r="3335" spans="1:8">
      <c r="A3335" s="363" t="str">
        <f t="shared" si="423"/>
        <v/>
      </c>
      <c r="B3335" s="363" t="str">
        <f t="shared" si="416"/>
        <v/>
      </c>
      <c r="C3335" s="405" t="str">
        <f t="shared" si="417"/>
        <v/>
      </c>
      <c r="D3335" s="405">
        <f t="shared" si="418"/>
        <v>0</v>
      </c>
      <c r="E3335" s="405" t="str">
        <f t="shared" si="419"/>
        <v/>
      </c>
      <c r="F3335" s="405">
        <f t="shared" si="420"/>
        <v>0</v>
      </c>
      <c r="G3335" s="405">
        <f t="shared" si="421"/>
        <v>0</v>
      </c>
      <c r="H3335" s="405">
        <f t="shared" si="422"/>
        <v>0</v>
      </c>
    </row>
    <row r="3336" spans="1:8">
      <c r="A3336" s="363" t="str">
        <f t="shared" si="423"/>
        <v/>
      </c>
      <c r="B3336" s="363" t="str">
        <f t="shared" si="416"/>
        <v/>
      </c>
      <c r="C3336" s="405" t="str">
        <f t="shared" si="417"/>
        <v/>
      </c>
      <c r="D3336" s="405">
        <f t="shared" si="418"/>
        <v>0</v>
      </c>
      <c r="E3336" s="405" t="str">
        <f t="shared" si="419"/>
        <v/>
      </c>
      <c r="F3336" s="405">
        <f t="shared" si="420"/>
        <v>0</v>
      </c>
      <c r="G3336" s="405">
        <f t="shared" si="421"/>
        <v>0</v>
      </c>
      <c r="H3336" s="405">
        <f t="shared" si="422"/>
        <v>0</v>
      </c>
    </row>
    <row r="3337" spans="1:8">
      <c r="A3337" s="363" t="str">
        <f t="shared" si="423"/>
        <v/>
      </c>
      <c r="B3337" s="363" t="str">
        <f t="shared" si="416"/>
        <v/>
      </c>
      <c r="C3337" s="405" t="str">
        <f t="shared" si="417"/>
        <v/>
      </c>
      <c r="D3337" s="405">
        <f t="shared" si="418"/>
        <v>0</v>
      </c>
      <c r="E3337" s="405" t="str">
        <f t="shared" si="419"/>
        <v/>
      </c>
      <c r="F3337" s="405">
        <f t="shared" si="420"/>
        <v>0</v>
      </c>
      <c r="G3337" s="405">
        <f t="shared" si="421"/>
        <v>0</v>
      </c>
      <c r="H3337" s="405">
        <f t="shared" si="422"/>
        <v>0</v>
      </c>
    </row>
    <row r="3338" spans="1:8">
      <c r="A3338" s="363" t="str">
        <f t="shared" si="423"/>
        <v/>
      </c>
      <c r="B3338" s="363" t="str">
        <f t="shared" si="416"/>
        <v/>
      </c>
      <c r="C3338" s="405" t="str">
        <f t="shared" si="417"/>
        <v/>
      </c>
      <c r="D3338" s="405">
        <f t="shared" si="418"/>
        <v>0</v>
      </c>
      <c r="E3338" s="405" t="str">
        <f t="shared" si="419"/>
        <v/>
      </c>
      <c r="F3338" s="405">
        <f t="shared" si="420"/>
        <v>0</v>
      </c>
      <c r="G3338" s="405">
        <f t="shared" si="421"/>
        <v>0</v>
      </c>
      <c r="H3338" s="405">
        <f t="shared" si="422"/>
        <v>0</v>
      </c>
    </row>
    <row r="3339" spans="1:8">
      <c r="A3339" s="363" t="str">
        <f t="shared" si="423"/>
        <v/>
      </c>
      <c r="B3339" s="363" t="str">
        <f t="shared" si="416"/>
        <v/>
      </c>
      <c r="C3339" s="405" t="str">
        <f t="shared" si="417"/>
        <v/>
      </c>
      <c r="D3339" s="405">
        <f t="shared" si="418"/>
        <v>0</v>
      </c>
      <c r="E3339" s="405" t="str">
        <f t="shared" si="419"/>
        <v/>
      </c>
      <c r="F3339" s="405">
        <f t="shared" si="420"/>
        <v>0</v>
      </c>
      <c r="G3339" s="405">
        <f t="shared" si="421"/>
        <v>0</v>
      </c>
      <c r="H3339" s="405">
        <f t="shared" si="422"/>
        <v>0</v>
      </c>
    </row>
    <row r="3340" spans="1:8">
      <c r="A3340" s="363" t="str">
        <f t="shared" si="423"/>
        <v/>
      </c>
      <c r="B3340" s="363" t="str">
        <f t="shared" si="416"/>
        <v/>
      </c>
      <c r="C3340" s="405" t="str">
        <f t="shared" si="417"/>
        <v/>
      </c>
      <c r="D3340" s="405">
        <f t="shared" si="418"/>
        <v>0</v>
      </c>
      <c r="E3340" s="405" t="str">
        <f t="shared" si="419"/>
        <v/>
      </c>
      <c r="F3340" s="405">
        <f t="shared" si="420"/>
        <v>0</v>
      </c>
      <c r="G3340" s="405">
        <f t="shared" si="421"/>
        <v>0</v>
      </c>
      <c r="H3340" s="405">
        <f t="shared" si="422"/>
        <v>0</v>
      </c>
    </row>
    <row r="3341" spans="1:8">
      <c r="A3341" s="363" t="str">
        <f t="shared" si="423"/>
        <v/>
      </c>
      <c r="B3341" s="363" t="str">
        <f t="shared" si="416"/>
        <v/>
      </c>
      <c r="C3341" s="405" t="str">
        <f t="shared" si="417"/>
        <v/>
      </c>
      <c r="D3341" s="405">
        <f t="shared" si="418"/>
        <v>0</v>
      </c>
      <c r="E3341" s="405" t="str">
        <f t="shared" si="419"/>
        <v/>
      </c>
      <c r="F3341" s="405">
        <f t="shared" si="420"/>
        <v>0</v>
      </c>
      <c r="G3341" s="405">
        <f t="shared" si="421"/>
        <v>0</v>
      </c>
      <c r="H3341" s="405">
        <f t="shared" si="422"/>
        <v>0</v>
      </c>
    </row>
    <row r="3342" spans="1:8">
      <c r="A3342" s="363" t="str">
        <f t="shared" si="423"/>
        <v/>
      </c>
      <c r="B3342" s="363" t="str">
        <f t="shared" si="416"/>
        <v/>
      </c>
      <c r="C3342" s="405" t="str">
        <f t="shared" si="417"/>
        <v/>
      </c>
      <c r="D3342" s="405">
        <f t="shared" si="418"/>
        <v>0</v>
      </c>
      <c r="E3342" s="405" t="str">
        <f t="shared" si="419"/>
        <v/>
      </c>
      <c r="F3342" s="405">
        <f t="shared" si="420"/>
        <v>0</v>
      </c>
      <c r="G3342" s="405">
        <f t="shared" si="421"/>
        <v>0</v>
      </c>
      <c r="H3342" s="405">
        <f t="shared" si="422"/>
        <v>0</v>
      </c>
    </row>
    <row r="3343" spans="1:8">
      <c r="A3343" s="363" t="str">
        <f t="shared" si="423"/>
        <v/>
      </c>
      <c r="B3343" s="363" t="str">
        <f t="shared" si="416"/>
        <v/>
      </c>
      <c r="C3343" s="405" t="str">
        <f t="shared" si="417"/>
        <v/>
      </c>
      <c r="D3343" s="405">
        <f t="shared" si="418"/>
        <v>0</v>
      </c>
      <c r="E3343" s="405" t="str">
        <f t="shared" si="419"/>
        <v/>
      </c>
      <c r="F3343" s="405">
        <f t="shared" si="420"/>
        <v>0</v>
      </c>
      <c r="G3343" s="405">
        <f t="shared" si="421"/>
        <v>0</v>
      </c>
      <c r="H3343" s="405">
        <f t="shared" si="422"/>
        <v>0</v>
      </c>
    </row>
    <row r="3344" spans="1:8">
      <c r="A3344" s="363" t="str">
        <f t="shared" si="423"/>
        <v/>
      </c>
      <c r="B3344" s="363" t="str">
        <f t="shared" si="416"/>
        <v/>
      </c>
      <c r="C3344" s="405" t="str">
        <f t="shared" si="417"/>
        <v/>
      </c>
      <c r="D3344" s="405">
        <f t="shared" si="418"/>
        <v>0</v>
      </c>
      <c r="E3344" s="405" t="str">
        <f t="shared" si="419"/>
        <v/>
      </c>
      <c r="F3344" s="405">
        <f t="shared" si="420"/>
        <v>0</v>
      </c>
      <c r="G3344" s="405">
        <f t="shared" si="421"/>
        <v>0</v>
      </c>
      <c r="H3344" s="405">
        <f t="shared" si="422"/>
        <v>0</v>
      </c>
    </row>
    <row r="3345" spans="1:8">
      <c r="A3345" s="363" t="str">
        <f t="shared" si="423"/>
        <v/>
      </c>
      <c r="B3345" s="363" t="str">
        <f t="shared" si="416"/>
        <v/>
      </c>
      <c r="C3345" s="405" t="str">
        <f t="shared" si="417"/>
        <v/>
      </c>
      <c r="D3345" s="405">
        <f t="shared" si="418"/>
        <v>0</v>
      </c>
      <c r="E3345" s="405" t="str">
        <f t="shared" si="419"/>
        <v/>
      </c>
      <c r="F3345" s="405">
        <f t="shared" si="420"/>
        <v>0</v>
      </c>
      <c r="G3345" s="405">
        <f t="shared" si="421"/>
        <v>0</v>
      </c>
      <c r="H3345" s="405">
        <f t="shared" si="422"/>
        <v>0</v>
      </c>
    </row>
    <row r="3346" spans="1:8">
      <c r="A3346" s="363" t="str">
        <f t="shared" si="423"/>
        <v/>
      </c>
      <c r="B3346" s="363" t="str">
        <f t="shared" si="416"/>
        <v/>
      </c>
      <c r="C3346" s="405" t="str">
        <f t="shared" si="417"/>
        <v/>
      </c>
      <c r="D3346" s="405">
        <f t="shared" si="418"/>
        <v>0</v>
      </c>
      <c r="E3346" s="405" t="str">
        <f t="shared" si="419"/>
        <v/>
      </c>
      <c r="F3346" s="405">
        <f t="shared" si="420"/>
        <v>0</v>
      </c>
      <c r="G3346" s="405">
        <f t="shared" si="421"/>
        <v>0</v>
      </c>
      <c r="H3346" s="405">
        <f t="shared" si="422"/>
        <v>0</v>
      </c>
    </row>
    <row r="3347" spans="1:8">
      <c r="A3347" s="363" t="str">
        <f t="shared" si="423"/>
        <v/>
      </c>
      <c r="B3347" s="363" t="str">
        <f t="shared" si="416"/>
        <v/>
      </c>
      <c r="C3347" s="405" t="str">
        <f t="shared" si="417"/>
        <v/>
      </c>
      <c r="D3347" s="405">
        <f t="shared" si="418"/>
        <v>0</v>
      </c>
      <c r="E3347" s="405" t="str">
        <f t="shared" si="419"/>
        <v/>
      </c>
      <c r="F3347" s="405">
        <f t="shared" si="420"/>
        <v>0</v>
      </c>
      <c r="G3347" s="405">
        <f t="shared" si="421"/>
        <v>0</v>
      </c>
      <c r="H3347" s="405">
        <f t="shared" si="422"/>
        <v>0</v>
      </c>
    </row>
    <row r="3348" spans="1:8">
      <c r="A3348" s="363" t="str">
        <f t="shared" si="423"/>
        <v/>
      </c>
      <c r="B3348" s="363" t="str">
        <f t="shared" si="416"/>
        <v/>
      </c>
      <c r="C3348" s="405" t="str">
        <f t="shared" si="417"/>
        <v/>
      </c>
      <c r="D3348" s="405">
        <f t="shared" si="418"/>
        <v>0</v>
      </c>
      <c r="E3348" s="405" t="str">
        <f t="shared" si="419"/>
        <v/>
      </c>
      <c r="F3348" s="405">
        <f t="shared" si="420"/>
        <v>0</v>
      </c>
      <c r="G3348" s="405">
        <f t="shared" si="421"/>
        <v>0</v>
      </c>
      <c r="H3348" s="405">
        <f t="shared" si="422"/>
        <v>0</v>
      </c>
    </row>
    <row r="3349" spans="1:8">
      <c r="A3349" s="363" t="str">
        <f t="shared" si="423"/>
        <v/>
      </c>
      <c r="B3349" s="363" t="str">
        <f t="shared" si="416"/>
        <v/>
      </c>
      <c r="C3349" s="405" t="str">
        <f t="shared" si="417"/>
        <v/>
      </c>
      <c r="D3349" s="405">
        <f t="shared" si="418"/>
        <v>0</v>
      </c>
      <c r="E3349" s="405" t="str">
        <f t="shared" si="419"/>
        <v/>
      </c>
      <c r="F3349" s="405">
        <f t="shared" si="420"/>
        <v>0</v>
      </c>
      <c r="G3349" s="405">
        <f t="shared" si="421"/>
        <v>0</v>
      </c>
      <c r="H3349" s="405">
        <f t="shared" si="422"/>
        <v>0</v>
      </c>
    </row>
    <row r="3350" spans="1:8">
      <c r="A3350" s="363" t="str">
        <f t="shared" si="423"/>
        <v/>
      </c>
      <c r="B3350" s="363" t="str">
        <f t="shared" si="416"/>
        <v/>
      </c>
      <c r="C3350" s="405" t="str">
        <f t="shared" si="417"/>
        <v/>
      </c>
      <c r="D3350" s="405">
        <f t="shared" si="418"/>
        <v>0</v>
      </c>
      <c r="E3350" s="405" t="str">
        <f t="shared" si="419"/>
        <v/>
      </c>
      <c r="F3350" s="405">
        <f t="shared" si="420"/>
        <v>0</v>
      </c>
      <c r="G3350" s="405">
        <f t="shared" si="421"/>
        <v>0</v>
      </c>
      <c r="H3350" s="405">
        <f t="shared" si="422"/>
        <v>0</v>
      </c>
    </row>
    <row r="3351" spans="1:8">
      <c r="A3351" s="363" t="str">
        <f t="shared" si="423"/>
        <v/>
      </c>
      <c r="B3351" s="363" t="str">
        <f t="shared" si="416"/>
        <v/>
      </c>
      <c r="C3351" s="405" t="str">
        <f t="shared" si="417"/>
        <v/>
      </c>
      <c r="D3351" s="405">
        <f t="shared" si="418"/>
        <v>0</v>
      </c>
      <c r="E3351" s="405" t="str">
        <f t="shared" si="419"/>
        <v/>
      </c>
      <c r="F3351" s="405">
        <f t="shared" si="420"/>
        <v>0</v>
      </c>
      <c r="G3351" s="405">
        <f t="shared" si="421"/>
        <v>0</v>
      </c>
      <c r="H3351" s="405">
        <f t="shared" si="422"/>
        <v>0</v>
      </c>
    </row>
    <row r="3352" spans="1:8">
      <c r="A3352" s="363" t="str">
        <f t="shared" si="423"/>
        <v/>
      </c>
      <c r="B3352" s="363" t="str">
        <f t="shared" si="416"/>
        <v/>
      </c>
      <c r="C3352" s="405" t="str">
        <f t="shared" si="417"/>
        <v/>
      </c>
      <c r="D3352" s="405">
        <f t="shared" si="418"/>
        <v>0</v>
      </c>
      <c r="E3352" s="405" t="str">
        <f t="shared" si="419"/>
        <v/>
      </c>
      <c r="F3352" s="405">
        <f t="shared" si="420"/>
        <v>0</v>
      </c>
      <c r="G3352" s="405">
        <f t="shared" si="421"/>
        <v>0</v>
      </c>
      <c r="H3352" s="405">
        <f t="shared" si="422"/>
        <v>0</v>
      </c>
    </row>
    <row r="3353" spans="1:8">
      <c r="A3353" s="363" t="str">
        <f t="shared" si="423"/>
        <v/>
      </c>
      <c r="B3353" s="363" t="str">
        <f t="shared" si="416"/>
        <v/>
      </c>
      <c r="C3353" s="405" t="str">
        <f t="shared" si="417"/>
        <v/>
      </c>
      <c r="D3353" s="405">
        <f t="shared" si="418"/>
        <v>0</v>
      </c>
      <c r="E3353" s="405" t="str">
        <f t="shared" si="419"/>
        <v/>
      </c>
      <c r="F3353" s="405">
        <f t="shared" si="420"/>
        <v>0</v>
      </c>
      <c r="G3353" s="405">
        <f t="shared" si="421"/>
        <v>0</v>
      </c>
      <c r="H3353" s="405">
        <f t="shared" si="422"/>
        <v>0</v>
      </c>
    </row>
    <row r="3354" spans="1:8">
      <c r="A3354" s="363" t="str">
        <f t="shared" si="423"/>
        <v/>
      </c>
      <c r="B3354" s="363" t="str">
        <f t="shared" si="416"/>
        <v/>
      </c>
      <c r="C3354" s="405" t="str">
        <f t="shared" si="417"/>
        <v/>
      </c>
      <c r="D3354" s="405">
        <f t="shared" si="418"/>
        <v>0</v>
      </c>
      <c r="E3354" s="405" t="str">
        <f t="shared" si="419"/>
        <v/>
      </c>
      <c r="F3354" s="405">
        <f t="shared" si="420"/>
        <v>0</v>
      </c>
      <c r="G3354" s="405">
        <f t="shared" si="421"/>
        <v>0</v>
      </c>
      <c r="H3354" s="405">
        <f t="shared" si="422"/>
        <v>0</v>
      </c>
    </row>
    <row r="3355" spans="1:8">
      <c r="A3355" s="363" t="str">
        <f t="shared" si="423"/>
        <v/>
      </c>
      <c r="B3355" s="363" t="str">
        <f t="shared" si="416"/>
        <v/>
      </c>
      <c r="C3355" s="405" t="str">
        <f t="shared" si="417"/>
        <v/>
      </c>
      <c r="D3355" s="405">
        <f t="shared" si="418"/>
        <v>0</v>
      </c>
      <c r="E3355" s="405" t="str">
        <f t="shared" si="419"/>
        <v/>
      </c>
      <c r="F3355" s="405">
        <f t="shared" si="420"/>
        <v>0</v>
      </c>
      <c r="G3355" s="405">
        <f t="shared" si="421"/>
        <v>0</v>
      </c>
      <c r="H3355" s="405">
        <f t="shared" si="422"/>
        <v>0</v>
      </c>
    </row>
    <row r="3356" spans="1:8">
      <c r="A3356" s="363" t="str">
        <f t="shared" si="423"/>
        <v/>
      </c>
      <c r="B3356" s="363" t="str">
        <f t="shared" si="416"/>
        <v/>
      </c>
      <c r="C3356" s="405" t="str">
        <f t="shared" si="417"/>
        <v/>
      </c>
      <c r="D3356" s="405">
        <f t="shared" si="418"/>
        <v>0</v>
      </c>
      <c r="E3356" s="405" t="str">
        <f t="shared" si="419"/>
        <v/>
      </c>
      <c r="F3356" s="405">
        <f t="shared" si="420"/>
        <v>0</v>
      </c>
      <c r="G3356" s="405">
        <f t="shared" si="421"/>
        <v>0</v>
      </c>
      <c r="H3356" s="405">
        <f t="shared" si="422"/>
        <v>0</v>
      </c>
    </row>
    <row r="3357" spans="1:8">
      <c r="A3357" s="363" t="str">
        <f t="shared" si="423"/>
        <v/>
      </c>
      <c r="B3357" s="363" t="str">
        <f t="shared" si="416"/>
        <v/>
      </c>
      <c r="C3357" s="405" t="str">
        <f t="shared" si="417"/>
        <v/>
      </c>
      <c r="D3357" s="405">
        <f t="shared" si="418"/>
        <v>0</v>
      </c>
      <c r="E3357" s="405" t="str">
        <f t="shared" si="419"/>
        <v/>
      </c>
      <c r="F3357" s="405">
        <f t="shared" si="420"/>
        <v>0</v>
      </c>
      <c r="G3357" s="405">
        <f t="shared" si="421"/>
        <v>0</v>
      </c>
      <c r="H3357" s="405">
        <f t="shared" si="422"/>
        <v>0</v>
      </c>
    </row>
    <row r="3358" spans="1:8">
      <c r="A3358" s="363" t="str">
        <f t="shared" si="423"/>
        <v/>
      </c>
      <c r="B3358" s="363" t="str">
        <f t="shared" si="416"/>
        <v/>
      </c>
      <c r="C3358" s="405" t="str">
        <f t="shared" si="417"/>
        <v/>
      </c>
      <c r="D3358" s="405">
        <f t="shared" si="418"/>
        <v>0</v>
      </c>
      <c r="E3358" s="405" t="str">
        <f t="shared" si="419"/>
        <v/>
      </c>
      <c r="F3358" s="405">
        <f t="shared" si="420"/>
        <v>0</v>
      </c>
      <c r="G3358" s="405">
        <f t="shared" si="421"/>
        <v>0</v>
      </c>
      <c r="H3358" s="405">
        <f t="shared" si="422"/>
        <v>0</v>
      </c>
    </row>
    <row r="3359" spans="1:8">
      <c r="A3359" s="363" t="str">
        <f t="shared" si="423"/>
        <v/>
      </c>
      <c r="B3359" s="363" t="str">
        <f t="shared" si="416"/>
        <v/>
      </c>
      <c r="C3359" s="405" t="str">
        <f t="shared" si="417"/>
        <v/>
      </c>
      <c r="D3359" s="405">
        <f t="shared" si="418"/>
        <v>0</v>
      </c>
      <c r="E3359" s="405" t="str">
        <f t="shared" si="419"/>
        <v/>
      </c>
      <c r="F3359" s="405">
        <f t="shared" si="420"/>
        <v>0</v>
      </c>
      <c r="G3359" s="405">
        <f t="shared" si="421"/>
        <v>0</v>
      </c>
      <c r="H3359" s="405">
        <f t="shared" si="422"/>
        <v>0</v>
      </c>
    </row>
    <row r="3360" spans="1:8">
      <c r="A3360" s="363" t="str">
        <f t="shared" si="423"/>
        <v/>
      </c>
      <c r="B3360" s="363" t="str">
        <f t="shared" si="416"/>
        <v/>
      </c>
      <c r="C3360" s="405" t="str">
        <f t="shared" si="417"/>
        <v/>
      </c>
      <c r="D3360" s="405">
        <f t="shared" si="418"/>
        <v>0</v>
      </c>
      <c r="E3360" s="405" t="str">
        <f t="shared" si="419"/>
        <v/>
      </c>
      <c r="F3360" s="405">
        <f t="shared" si="420"/>
        <v>0</v>
      </c>
      <c r="G3360" s="405">
        <f t="shared" si="421"/>
        <v>0</v>
      </c>
      <c r="H3360" s="405">
        <f t="shared" si="422"/>
        <v>0</v>
      </c>
    </row>
    <row r="3361" spans="1:8">
      <c r="A3361" s="363" t="str">
        <f t="shared" si="423"/>
        <v/>
      </c>
      <c r="B3361" s="363" t="str">
        <f t="shared" si="416"/>
        <v/>
      </c>
      <c r="C3361" s="405" t="str">
        <f t="shared" si="417"/>
        <v/>
      </c>
      <c r="D3361" s="405">
        <f t="shared" si="418"/>
        <v>0</v>
      </c>
      <c r="E3361" s="405" t="str">
        <f t="shared" si="419"/>
        <v/>
      </c>
      <c r="F3361" s="405">
        <f t="shared" si="420"/>
        <v>0</v>
      </c>
      <c r="G3361" s="405">
        <f t="shared" si="421"/>
        <v>0</v>
      </c>
      <c r="H3361" s="405">
        <f t="shared" si="422"/>
        <v>0</v>
      </c>
    </row>
    <row r="3362" spans="1:8">
      <c r="A3362" s="363" t="str">
        <f t="shared" si="423"/>
        <v/>
      </c>
      <c r="B3362" s="363" t="str">
        <f t="shared" si="416"/>
        <v/>
      </c>
      <c r="C3362" s="405" t="str">
        <f t="shared" si="417"/>
        <v/>
      </c>
      <c r="D3362" s="405">
        <f t="shared" si="418"/>
        <v>0</v>
      </c>
      <c r="E3362" s="405" t="str">
        <f t="shared" si="419"/>
        <v/>
      </c>
      <c r="F3362" s="405">
        <f t="shared" si="420"/>
        <v>0</v>
      </c>
      <c r="G3362" s="405">
        <f t="shared" si="421"/>
        <v>0</v>
      </c>
      <c r="H3362" s="405">
        <f t="shared" si="422"/>
        <v>0</v>
      </c>
    </row>
    <row r="3363" spans="1:8">
      <c r="A3363" s="363" t="str">
        <f t="shared" si="423"/>
        <v/>
      </c>
      <c r="B3363" s="363" t="str">
        <f t="shared" si="416"/>
        <v/>
      </c>
      <c r="C3363" s="405" t="str">
        <f t="shared" si="417"/>
        <v/>
      </c>
      <c r="D3363" s="405">
        <f t="shared" si="418"/>
        <v>0</v>
      </c>
      <c r="E3363" s="405" t="str">
        <f t="shared" si="419"/>
        <v/>
      </c>
      <c r="F3363" s="405">
        <f t="shared" si="420"/>
        <v>0</v>
      </c>
      <c r="G3363" s="405">
        <f t="shared" si="421"/>
        <v>0</v>
      </c>
      <c r="H3363" s="405">
        <f t="shared" si="422"/>
        <v>0</v>
      </c>
    </row>
    <row r="3364" spans="1:8">
      <c r="A3364" s="363" t="str">
        <f t="shared" si="423"/>
        <v/>
      </c>
      <c r="B3364" s="363" t="str">
        <f t="shared" si="416"/>
        <v/>
      </c>
      <c r="C3364" s="405" t="str">
        <f t="shared" si="417"/>
        <v/>
      </c>
      <c r="D3364" s="405">
        <f t="shared" si="418"/>
        <v>0</v>
      </c>
      <c r="E3364" s="405" t="str">
        <f t="shared" si="419"/>
        <v/>
      </c>
      <c r="F3364" s="405">
        <f t="shared" si="420"/>
        <v>0</v>
      </c>
      <c r="G3364" s="405">
        <f t="shared" si="421"/>
        <v>0</v>
      </c>
      <c r="H3364" s="405">
        <f t="shared" si="422"/>
        <v>0</v>
      </c>
    </row>
    <row r="3365" spans="1:8">
      <c r="A3365" s="363" t="str">
        <f t="shared" si="423"/>
        <v/>
      </c>
      <c r="B3365" s="363" t="str">
        <f t="shared" si="416"/>
        <v/>
      </c>
      <c r="C3365" s="405" t="str">
        <f t="shared" si="417"/>
        <v/>
      </c>
      <c r="D3365" s="405">
        <f t="shared" si="418"/>
        <v>0</v>
      </c>
      <c r="E3365" s="405" t="str">
        <f t="shared" si="419"/>
        <v/>
      </c>
      <c r="F3365" s="405">
        <f t="shared" si="420"/>
        <v>0</v>
      </c>
      <c r="G3365" s="405">
        <f t="shared" si="421"/>
        <v>0</v>
      </c>
      <c r="H3365" s="405">
        <f t="shared" si="422"/>
        <v>0</v>
      </c>
    </row>
    <row r="3366" spans="1:8">
      <c r="A3366" s="363" t="str">
        <f t="shared" si="423"/>
        <v/>
      </c>
      <c r="B3366" s="363" t="str">
        <f t="shared" si="416"/>
        <v/>
      </c>
      <c r="C3366" s="405" t="str">
        <f t="shared" si="417"/>
        <v/>
      </c>
      <c r="D3366" s="405">
        <f t="shared" si="418"/>
        <v>0</v>
      </c>
      <c r="E3366" s="405" t="str">
        <f t="shared" si="419"/>
        <v/>
      </c>
      <c r="F3366" s="405">
        <f t="shared" si="420"/>
        <v>0</v>
      </c>
      <c r="G3366" s="405">
        <f t="shared" si="421"/>
        <v>0</v>
      </c>
      <c r="H3366" s="405">
        <f t="shared" si="422"/>
        <v>0</v>
      </c>
    </row>
    <row r="3367" spans="1:8">
      <c r="A3367" s="363" t="str">
        <f t="shared" si="423"/>
        <v/>
      </c>
      <c r="B3367" s="363" t="str">
        <f t="shared" si="416"/>
        <v/>
      </c>
      <c r="C3367" s="405" t="str">
        <f t="shared" si="417"/>
        <v/>
      </c>
      <c r="D3367" s="405">
        <f t="shared" si="418"/>
        <v>0</v>
      </c>
      <c r="E3367" s="405" t="str">
        <f t="shared" si="419"/>
        <v/>
      </c>
      <c r="F3367" s="405">
        <f t="shared" si="420"/>
        <v>0</v>
      </c>
      <c r="G3367" s="405">
        <f t="shared" si="421"/>
        <v>0</v>
      </c>
      <c r="H3367" s="405">
        <f t="shared" si="422"/>
        <v>0</v>
      </c>
    </row>
    <row r="3368" spans="1:8">
      <c r="A3368" s="363" t="str">
        <f t="shared" si="423"/>
        <v/>
      </c>
      <c r="B3368" s="363" t="str">
        <f t="shared" si="416"/>
        <v/>
      </c>
      <c r="C3368" s="405" t="str">
        <f t="shared" si="417"/>
        <v/>
      </c>
      <c r="D3368" s="405">
        <f t="shared" si="418"/>
        <v>0</v>
      </c>
      <c r="E3368" s="405" t="str">
        <f t="shared" si="419"/>
        <v/>
      </c>
      <c r="F3368" s="405">
        <f t="shared" si="420"/>
        <v>0</v>
      </c>
      <c r="G3368" s="405">
        <f t="shared" si="421"/>
        <v>0</v>
      </c>
      <c r="H3368" s="405">
        <f t="shared" si="422"/>
        <v>0</v>
      </c>
    </row>
    <row r="3369" spans="1:8">
      <c r="A3369" s="363" t="str">
        <f t="shared" si="423"/>
        <v/>
      </c>
      <c r="B3369" s="363" t="str">
        <f t="shared" si="416"/>
        <v/>
      </c>
      <c r="C3369" s="405" t="str">
        <f t="shared" si="417"/>
        <v/>
      </c>
      <c r="D3369" s="405">
        <f t="shared" si="418"/>
        <v>0</v>
      </c>
      <c r="E3369" s="405" t="str">
        <f t="shared" si="419"/>
        <v/>
      </c>
      <c r="F3369" s="405">
        <f t="shared" si="420"/>
        <v>0</v>
      </c>
      <c r="G3369" s="405">
        <f t="shared" si="421"/>
        <v>0</v>
      </c>
      <c r="H3369" s="405">
        <f t="shared" si="422"/>
        <v>0</v>
      </c>
    </row>
    <row r="3370" spans="1:8">
      <c r="A3370" s="363" t="str">
        <f t="shared" si="423"/>
        <v/>
      </c>
      <c r="B3370" s="363" t="str">
        <f t="shared" si="416"/>
        <v/>
      </c>
      <c r="C3370" s="405" t="str">
        <f t="shared" si="417"/>
        <v/>
      </c>
      <c r="D3370" s="405">
        <f t="shared" si="418"/>
        <v>0</v>
      </c>
      <c r="E3370" s="405" t="str">
        <f t="shared" si="419"/>
        <v/>
      </c>
      <c r="F3370" s="405">
        <f t="shared" si="420"/>
        <v>0</v>
      </c>
      <c r="G3370" s="405">
        <f t="shared" si="421"/>
        <v>0</v>
      </c>
      <c r="H3370" s="405">
        <f t="shared" si="422"/>
        <v>0</v>
      </c>
    </row>
    <row r="3371" spans="1:8">
      <c r="A3371" s="363" t="str">
        <f t="shared" si="423"/>
        <v/>
      </c>
      <c r="B3371" s="363" t="str">
        <f t="shared" si="416"/>
        <v/>
      </c>
      <c r="C3371" s="405" t="str">
        <f t="shared" si="417"/>
        <v/>
      </c>
      <c r="D3371" s="405">
        <f t="shared" si="418"/>
        <v>0</v>
      </c>
      <c r="E3371" s="405" t="str">
        <f t="shared" si="419"/>
        <v/>
      </c>
      <c r="F3371" s="405">
        <f t="shared" si="420"/>
        <v>0</v>
      </c>
      <c r="G3371" s="405">
        <f t="shared" si="421"/>
        <v>0</v>
      </c>
      <c r="H3371" s="405">
        <f t="shared" si="422"/>
        <v>0</v>
      </c>
    </row>
    <row r="3372" spans="1:8">
      <c r="A3372" s="363" t="str">
        <f t="shared" si="423"/>
        <v/>
      </c>
      <c r="B3372" s="363" t="str">
        <f t="shared" si="416"/>
        <v/>
      </c>
      <c r="C3372" s="405" t="str">
        <f t="shared" si="417"/>
        <v/>
      </c>
      <c r="D3372" s="405">
        <f t="shared" si="418"/>
        <v>0</v>
      </c>
      <c r="E3372" s="405" t="str">
        <f t="shared" si="419"/>
        <v/>
      </c>
      <c r="F3372" s="405">
        <f t="shared" si="420"/>
        <v>0</v>
      </c>
      <c r="G3372" s="405">
        <f t="shared" si="421"/>
        <v>0</v>
      </c>
      <c r="H3372" s="405">
        <f t="shared" si="422"/>
        <v>0</v>
      </c>
    </row>
    <row r="3373" spans="1:8">
      <c r="A3373" s="363" t="str">
        <f t="shared" si="423"/>
        <v/>
      </c>
      <c r="B3373" s="363" t="str">
        <f t="shared" si="416"/>
        <v/>
      </c>
      <c r="C3373" s="405" t="str">
        <f t="shared" si="417"/>
        <v/>
      </c>
      <c r="D3373" s="405">
        <f t="shared" si="418"/>
        <v>0</v>
      </c>
      <c r="E3373" s="405" t="str">
        <f t="shared" si="419"/>
        <v/>
      </c>
      <c r="F3373" s="405">
        <f t="shared" si="420"/>
        <v>0</v>
      </c>
      <c r="G3373" s="405">
        <f t="shared" si="421"/>
        <v>0</v>
      </c>
      <c r="H3373" s="405">
        <f t="shared" si="422"/>
        <v>0</v>
      </c>
    </row>
    <row r="3374" spans="1:8">
      <c r="A3374" s="363" t="str">
        <f t="shared" si="423"/>
        <v/>
      </c>
      <c r="B3374" s="363" t="str">
        <f t="shared" si="416"/>
        <v/>
      </c>
      <c r="C3374" s="405" t="str">
        <f t="shared" si="417"/>
        <v/>
      </c>
      <c r="D3374" s="405">
        <f t="shared" si="418"/>
        <v>0</v>
      </c>
      <c r="E3374" s="405" t="str">
        <f t="shared" si="419"/>
        <v/>
      </c>
      <c r="F3374" s="405">
        <f t="shared" si="420"/>
        <v>0</v>
      </c>
      <c r="G3374" s="405">
        <f t="shared" si="421"/>
        <v>0</v>
      </c>
      <c r="H3374" s="405">
        <f t="shared" si="422"/>
        <v>0</v>
      </c>
    </row>
    <row r="3375" spans="1:8">
      <c r="A3375" s="363" t="str">
        <f t="shared" si="423"/>
        <v/>
      </c>
      <c r="B3375" s="363" t="str">
        <f t="shared" si="416"/>
        <v/>
      </c>
      <c r="C3375" s="405" t="str">
        <f t="shared" si="417"/>
        <v/>
      </c>
      <c r="D3375" s="405">
        <f t="shared" si="418"/>
        <v>0</v>
      </c>
      <c r="E3375" s="405" t="str">
        <f t="shared" si="419"/>
        <v/>
      </c>
      <c r="F3375" s="405">
        <f t="shared" si="420"/>
        <v>0</v>
      </c>
      <c r="G3375" s="405">
        <f t="shared" si="421"/>
        <v>0</v>
      </c>
      <c r="H3375" s="405">
        <f t="shared" si="422"/>
        <v>0</v>
      </c>
    </row>
    <row r="3376" spans="1:8">
      <c r="A3376" s="363" t="str">
        <f t="shared" si="423"/>
        <v/>
      </c>
      <c r="B3376" s="363" t="str">
        <f t="shared" si="416"/>
        <v/>
      </c>
      <c r="C3376" s="405" t="str">
        <f t="shared" si="417"/>
        <v/>
      </c>
      <c r="D3376" s="405">
        <f t="shared" si="418"/>
        <v>0</v>
      </c>
      <c r="E3376" s="405" t="str">
        <f t="shared" si="419"/>
        <v/>
      </c>
      <c r="F3376" s="405">
        <f t="shared" si="420"/>
        <v>0</v>
      </c>
      <c r="G3376" s="405">
        <f t="shared" si="421"/>
        <v>0</v>
      </c>
      <c r="H3376" s="405">
        <f t="shared" si="422"/>
        <v>0</v>
      </c>
    </row>
    <row r="3377" spans="1:8">
      <c r="A3377" s="363" t="str">
        <f t="shared" si="423"/>
        <v/>
      </c>
      <c r="B3377" s="363" t="str">
        <f t="shared" si="416"/>
        <v/>
      </c>
      <c r="C3377" s="405" t="str">
        <f t="shared" si="417"/>
        <v/>
      </c>
      <c r="D3377" s="405">
        <f t="shared" si="418"/>
        <v>0</v>
      </c>
      <c r="E3377" s="405" t="str">
        <f t="shared" si="419"/>
        <v/>
      </c>
      <c r="F3377" s="405">
        <f t="shared" si="420"/>
        <v>0</v>
      </c>
      <c r="G3377" s="405">
        <f t="shared" si="421"/>
        <v>0</v>
      </c>
      <c r="H3377" s="405">
        <f t="shared" si="422"/>
        <v>0</v>
      </c>
    </row>
    <row r="3378" spans="1:8">
      <c r="A3378" s="363" t="str">
        <f t="shared" si="423"/>
        <v/>
      </c>
      <c r="B3378" s="363" t="str">
        <f t="shared" si="416"/>
        <v/>
      </c>
      <c r="C3378" s="405" t="str">
        <f t="shared" si="417"/>
        <v/>
      </c>
      <c r="D3378" s="405">
        <f t="shared" si="418"/>
        <v>0</v>
      </c>
      <c r="E3378" s="405" t="str">
        <f t="shared" si="419"/>
        <v/>
      </c>
      <c r="F3378" s="405">
        <f t="shared" si="420"/>
        <v>0</v>
      </c>
      <c r="G3378" s="405">
        <f t="shared" si="421"/>
        <v>0</v>
      </c>
      <c r="H3378" s="405">
        <f t="shared" si="422"/>
        <v>0</v>
      </c>
    </row>
    <row r="3379" spans="1:8">
      <c r="A3379" s="363" t="str">
        <f t="shared" si="423"/>
        <v/>
      </c>
      <c r="B3379" s="363" t="str">
        <f t="shared" si="416"/>
        <v/>
      </c>
      <c r="C3379" s="405" t="str">
        <f t="shared" si="417"/>
        <v/>
      </c>
      <c r="D3379" s="405">
        <f t="shared" si="418"/>
        <v>0</v>
      </c>
      <c r="E3379" s="405" t="str">
        <f t="shared" si="419"/>
        <v/>
      </c>
      <c r="F3379" s="405">
        <f t="shared" si="420"/>
        <v>0</v>
      </c>
      <c r="G3379" s="405">
        <f t="shared" si="421"/>
        <v>0</v>
      </c>
      <c r="H3379" s="405">
        <f t="shared" si="422"/>
        <v>0</v>
      </c>
    </row>
    <row r="3380" spans="1:8">
      <c r="A3380" s="363" t="str">
        <f t="shared" si="423"/>
        <v/>
      </c>
      <c r="B3380" s="363" t="str">
        <f t="shared" si="416"/>
        <v/>
      </c>
      <c r="C3380" s="405" t="str">
        <f t="shared" si="417"/>
        <v/>
      </c>
      <c r="D3380" s="405">
        <f t="shared" si="418"/>
        <v>0</v>
      </c>
      <c r="E3380" s="405" t="str">
        <f t="shared" si="419"/>
        <v/>
      </c>
      <c r="F3380" s="405">
        <f t="shared" si="420"/>
        <v>0</v>
      </c>
      <c r="G3380" s="405">
        <f t="shared" si="421"/>
        <v>0</v>
      </c>
      <c r="H3380" s="405">
        <f t="shared" si="422"/>
        <v>0</v>
      </c>
    </row>
    <row r="3381" spans="1:8">
      <c r="A3381" s="363" t="str">
        <f t="shared" si="423"/>
        <v/>
      </c>
      <c r="B3381" s="363" t="str">
        <f t="shared" si="416"/>
        <v/>
      </c>
      <c r="C3381" s="405" t="str">
        <f t="shared" si="417"/>
        <v/>
      </c>
      <c r="D3381" s="405">
        <f t="shared" si="418"/>
        <v>0</v>
      </c>
      <c r="E3381" s="405" t="str">
        <f t="shared" si="419"/>
        <v/>
      </c>
      <c r="F3381" s="405">
        <f t="shared" si="420"/>
        <v>0</v>
      </c>
      <c r="G3381" s="405">
        <f t="shared" si="421"/>
        <v>0</v>
      </c>
      <c r="H3381" s="405">
        <f t="shared" si="422"/>
        <v>0</v>
      </c>
    </row>
    <row r="3382" spans="1:8">
      <c r="A3382" s="363" t="str">
        <f t="shared" si="423"/>
        <v/>
      </c>
      <c r="B3382" s="363" t="str">
        <f t="shared" si="416"/>
        <v/>
      </c>
      <c r="C3382" s="405" t="str">
        <f t="shared" si="417"/>
        <v/>
      </c>
      <c r="D3382" s="405">
        <f t="shared" si="418"/>
        <v>0</v>
      </c>
      <c r="E3382" s="405" t="str">
        <f t="shared" si="419"/>
        <v/>
      </c>
      <c r="F3382" s="405">
        <f t="shared" si="420"/>
        <v>0</v>
      </c>
      <c r="G3382" s="405">
        <f t="shared" si="421"/>
        <v>0</v>
      </c>
      <c r="H3382" s="405">
        <f t="shared" si="422"/>
        <v>0</v>
      </c>
    </row>
    <row r="3383" spans="1:8">
      <c r="A3383" s="363" t="str">
        <f t="shared" si="423"/>
        <v/>
      </c>
      <c r="B3383" s="363" t="str">
        <f t="shared" si="416"/>
        <v/>
      </c>
      <c r="C3383" s="405" t="str">
        <f t="shared" si="417"/>
        <v/>
      </c>
      <c r="D3383" s="405">
        <f t="shared" si="418"/>
        <v>0</v>
      </c>
      <c r="E3383" s="405" t="str">
        <f t="shared" si="419"/>
        <v/>
      </c>
      <c r="F3383" s="405">
        <f t="shared" si="420"/>
        <v>0</v>
      </c>
      <c r="G3383" s="405">
        <f t="shared" si="421"/>
        <v>0</v>
      </c>
      <c r="H3383" s="405">
        <f t="shared" si="422"/>
        <v>0</v>
      </c>
    </row>
    <row r="3384" spans="1:8">
      <c r="A3384" s="363" t="str">
        <f t="shared" si="423"/>
        <v/>
      </c>
      <c r="B3384" s="363" t="str">
        <f t="shared" si="416"/>
        <v/>
      </c>
      <c r="C3384" s="405" t="str">
        <f t="shared" si="417"/>
        <v/>
      </c>
      <c r="D3384" s="405">
        <f t="shared" si="418"/>
        <v>0</v>
      </c>
      <c r="E3384" s="405" t="str">
        <f t="shared" si="419"/>
        <v/>
      </c>
      <c r="F3384" s="405">
        <f t="shared" si="420"/>
        <v>0</v>
      </c>
      <c r="G3384" s="405">
        <f t="shared" si="421"/>
        <v>0</v>
      </c>
      <c r="H3384" s="405">
        <f t="shared" si="422"/>
        <v>0</v>
      </c>
    </row>
    <row r="3385" spans="1:8">
      <c r="A3385" s="363" t="str">
        <f t="shared" si="423"/>
        <v/>
      </c>
      <c r="B3385" s="363" t="str">
        <f t="shared" si="416"/>
        <v/>
      </c>
      <c r="C3385" s="405" t="str">
        <f t="shared" si="417"/>
        <v/>
      </c>
      <c r="D3385" s="405">
        <f t="shared" si="418"/>
        <v>0</v>
      </c>
      <c r="E3385" s="405" t="str">
        <f t="shared" si="419"/>
        <v/>
      </c>
      <c r="F3385" s="405">
        <f t="shared" si="420"/>
        <v>0</v>
      </c>
      <c r="G3385" s="405">
        <f t="shared" si="421"/>
        <v>0</v>
      </c>
      <c r="H3385" s="405">
        <f t="shared" si="422"/>
        <v>0</v>
      </c>
    </row>
    <row r="3386" spans="1:8">
      <c r="A3386" s="363" t="str">
        <f t="shared" si="423"/>
        <v/>
      </c>
      <c r="B3386" s="363" t="str">
        <f t="shared" si="416"/>
        <v/>
      </c>
      <c r="C3386" s="405" t="str">
        <f t="shared" si="417"/>
        <v/>
      </c>
      <c r="D3386" s="405">
        <f t="shared" si="418"/>
        <v>0</v>
      </c>
      <c r="E3386" s="405" t="str">
        <f t="shared" si="419"/>
        <v/>
      </c>
      <c r="F3386" s="405">
        <f t="shared" si="420"/>
        <v>0</v>
      </c>
      <c r="G3386" s="405">
        <f t="shared" si="421"/>
        <v>0</v>
      </c>
      <c r="H3386" s="405">
        <f t="shared" si="422"/>
        <v>0</v>
      </c>
    </row>
    <row r="3387" spans="1:8">
      <c r="A3387" s="363" t="str">
        <f t="shared" si="423"/>
        <v/>
      </c>
      <c r="B3387" s="363" t="str">
        <f t="shared" si="416"/>
        <v/>
      </c>
      <c r="C3387" s="405" t="str">
        <f t="shared" si="417"/>
        <v/>
      </c>
      <c r="D3387" s="405">
        <f t="shared" si="418"/>
        <v>0</v>
      </c>
      <c r="E3387" s="405" t="str">
        <f t="shared" si="419"/>
        <v/>
      </c>
      <c r="F3387" s="405">
        <f t="shared" si="420"/>
        <v>0</v>
      </c>
      <c r="G3387" s="405">
        <f t="shared" si="421"/>
        <v>0</v>
      </c>
      <c r="H3387" s="405">
        <f t="shared" si="422"/>
        <v>0</v>
      </c>
    </row>
    <row r="3388" spans="1:8">
      <c r="A3388" s="363" t="str">
        <f t="shared" si="423"/>
        <v/>
      </c>
      <c r="B3388" s="363" t="str">
        <f t="shared" si="416"/>
        <v/>
      </c>
      <c r="C3388" s="405" t="str">
        <f t="shared" si="417"/>
        <v/>
      </c>
      <c r="D3388" s="405">
        <f t="shared" si="418"/>
        <v>0</v>
      </c>
      <c r="E3388" s="405" t="str">
        <f t="shared" si="419"/>
        <v/>
      </c>
      <c r="F3388" s="405">
        <f t="shared" si="420"/>
        <v>0</v>
      </c>
      <c r="G3388" s="405">
        <f t="shared" si="421"/>
        <v>0</v>
      </c>
      <c r="H3388" s="405">
        <f t="shared" si="422"/>
        <v>0</v>
      </c>
    </row>
    <row r="3389" spans="1:8">
      <c r="A3389" s="363" t="str">
        <f t="shared" si="423"/>
        <v/>
      </c>
      <c r="B3389" s="363" t="str">
        <f t="shared" si="416"/>
        <v/>
      </c>
      <c r="C3389" s="405" t="str">
        <f t="shared" si="417"/>
        <v/>
      </c>
      <c r="D3389" s="405">
        <f t="shared" si="418"/>
        <v>0</v>
      </c>
      <c r="E3389" s="405" t="str">
        <f t="shared" si="419"/>
        <v/>
      </c>
      <c r="F3389" s="405">
        <f t="shared" si="420"/>
        <v>0</v>
      </c>
      <c r="G3389" s="405">
        <f t="shared" si="421"/>
        <v>0</v>
      </c>
      <c r="H3389" s="405">
        <f t="shared" si="422"/>
        <v>0</v>
      </c>
    </row>
    <row r="3390" spans="1:8">
      <c r="A3390" s="363" t="str">
        <f t="shared" si="423"/>
        <v/>
      </c>
      <c r="B3390" s="363" t="str">
        <f t="shared" si="416"/>
        <v/>
      </c>
      <c r="C3390" s="405" t="str">
        <f t="shared" si="417"/>
        <v/>
      </c>
      <c r="D3390" s="405">
        <f t="shared" si="418"/>
        <v>0</v>
      </c>
      <c r="E3390" s="405" t="str">
        <f t="shared" si="419"/>
        <v/>
      </c>
      <c r="F3390" s="405">
        <f t="shared" si="420"/>
        <v>0</v>
      </c>
      <c r="G3390" s="405">
        <f t="shared" si="421"/>
        <v>0</v>
      </c>
      <c r="H3390" s="405">
        <f t="shared" si="422"/>
        <v>0</v>
      </c>
    </row>
    <row r="3391" spans="1:8">
      <c r="A3391" s="363" t="str">
        <f t="shared" si="423"/>
        <v/>
      </c>
      <c r="B3391" s="363" t="str">
        <f t="shared" si="416"/>
        <v/>
      </c>
      <c r="C3391" s="405" t="str">
        <f t="shared" si="417"/>
        <v/>
      </c>
      <c r="D3391" s="405">
        <f t="shared" si="418"/>
        <v>0</v>
      </c>
      <c r="E3391" s="405" t="str">
        <f t="shared" si="419"/>
        <v/>
      </c>
      <c r="F3391" s="405">
        <f t="shared" si="420"/>
        <v>0</v>
      </c>
      <c r="G3391" s="405">
        <f t="shared" si="421"/>
        <v>0</v>
      </c>
      <c r="H3391" s="405">
        <f t="shared" si="422"/>
        <v>0</v>
      </c>
    </row>
    <row r="3392" spans="1:8">
      <c r="A3392" s="363" t="str">
        <f t="shared" si="423"/>
        <v/>
      </c>
      <c r="B3392" s="363" t="str">
        <f t="shared" si="416"/>
        <v/>
      </c>
      <c r="C3392" s="405" t="str">
        <f t="shared" si="417"/>
        <v/>
      </c>
      <c r="D3392" s="405">
        <f t="shared" si="418"/>
        <v>0</v>
      </c>
      <c r="E3392" s="405" t="str">
        <f t="shared" si="419"/>
        <v/>
      </c>
      <c r="F3392" s="405">
        <f t="shared" si="420"/>
        <v>0</v>
      </c>
      <c r="G3392" s="405">
        <f t="shared" si="421"/>
        <v>0</v>
      </c>
      <c r="H3392" s="405">
        <f t="shared" si="422"/>
        <v>0</v>
      </c>
    </row>
    <row r="3393" spans="1:8">
      <c r="A3393" s="363" t="str">
        <f t="shared" si="423"/>
        <v/>
      </c>
      <c r="B3393" s="363" t="str">
        <f t="shared" si="416"/>
        <v/>
      </c>
      <c r="C3393" s="405" t="str">
        <f t="shared" si="417"/>
        <v/>
      </c>
      <c r="D3393" s="405">
        <f t="shared" si="418"/>
        <v>0</v>
      </c>
      <c r="E3393" s="405" t="str">
        <f t="shared" si="419"/>
        <v/>
      </c>
      <c r="F3393" s="405">
        <f t="shared" si="420"/>
        <v>0</v>
      </c>
      <c r="G3393" s="405">
        <f t="shared" si="421"/>
        <v>0</v>
      </c>
      <c r="H3393" s="405">
        <f t="shared" si="422"/>
        <v>0</v>
      </c>
    </row>
    <row r="3394" spans="1:8">
      <c r="A3394" s="363" t="str">
        <f t="shared" si="423"/>
        <v/>
      </c>
      <c r="B3394" s="363" t="str">
        <f t="shared" ref="B3394:B3457" si="424">LEFT(L3394,2)</f>
        <v/>
      </c>
      <c r="C3394" s="405" t="str">
        <f t="shared" ref="C3394:C3457" si="425">IF(B3394="","","第"&amp;RIGHT(L3394,6)&amp;"号")</f>
        <v/>
      </c>
      <c r="D3394" s="405">
        <f t="shared" ref="D3394:D3457" si="426">N3394</f>
        <v>0</v>
      </c>
      <c r="E3394" s="405" t="str">
        <f t="shared" ref="E3394:E3457" si="427">IF(V3394="　",O3394,"")</f>
        <v/>
      </c>
      <c r="F3394" s="405">
        <f t="shared" ref="F3394:F3457" si="428">IF(V3394="　",P3394,W3394)</f>
        <v>0</v>
      </c>
      <c r="G3394" s="405">
        <f t="shared" ref="G3394:G3457" si="429">IF(V3394="　","主たる営業所",V3394)</f>
        <v>0</v>
      </c>
      <c r="H3394" s="405">
        <f t="shared" ref="H3394:H3457" si="430">IF(V3394="　",R3394,Y3394)</f>
        <v>0</v>
      </c>
    </row>
    <row r="3395" spans="1:8">
      <c r="A3395" s="363" t="str">
        <f t="shared" ref="A3395:A3458" si="431">IF(B3395="","",A3394+1)</f>
        <v/>
      </c>
      <c r="B3395" s="363" t="str">
        <f t="shared" si="424"/>
        <v/>
      </c>
      <c r="C3395" s="405" t="str">
        <f t="shared" si="425"/>
        <v/>
      </c>
      <c r="D3395" s="405">
        <f t="shared" si="426"/>
        <v>0</v>
      </c>
      <c r="E3395" s="405" t="str">
        <f t="shared" si="427"/>
        <v/>
      </c>
      <c r="F3395" s="405">
        <f t="shared" si="428"/>
        <v>0</v>
      </c>
      <c r="G3395" s="405">
        <f t="shared" si="429"/>
        <v>0</v>
      </c>
      <c r="H3395" s="405">
        <f t="shared" si="430"/>
        <v>0</v>
      </c>
    </row>
    <row r="3396" spans="1:8">
      <c r="A3396" s="363" t="str">
        <f t="shared" si="431"/>
        <v/>
      </c>
      <c r="B3396" s="363" t="str">
        <f t="shared" si="424"/>
        <v/>
      </c>
      <c r="C3396" s="405" t="str">
        <f t="shared" si="425"/>
        <v/>
      </c>
      <c r="D3396" s="405">
        <f t="shared" si="426"/>
        <v>0</v>
      </c>
      <c r="E3396" s="405" t="str">
        <f t="shared" si="427"/>
        <v/>
      </c>
      <c r="F3396" s="405">
        <f t="shared" si="428"/>
        <v>0</v>
      </c>
      <c r="G3396" s="405">
        <f t="shared" si="429"/>
        <v>0</v>
      </c>
      <c r="H3396" s="405">
        <f t="shared" si="430"/>
        <v>0</v>
      </c>
    </row>
    <row r="3397" spans="1:8">
      <c r="A3397" s="363" t="str">
        <f t="shared" si="431"/>
        <v/>
      </c>
      <c r="B3397" s="363" t="str">
        <f t="shared" si="424"/>
        <v/>
      </c>
      <c r="C3397" s="405" t="str">
        <f t="shared" si="425"/>
        <v/>
      </c>
      <c r="D3397" s="405">
        <f t="shared" si="426"/>
        <v>0</v>
      </c>
      <c r="E3397" s="405" t="str">
        <f t="shared" si="427"/>
        <v/>
      </c>
      <c r="F3397" s="405">
        <f t="shared" si="428"/>
        <v>0</v>
      </c>
      <c r="G3397" s="405">
        <f t="shared" si="429"/>
        <v>0</v>
      </c>
      <c r="H3397" s="405">
        <f t="shared" si="430"/>
        <v>0</v>
      </c>
    </row>
    <row r="3398" spans="1:8">
      <c r="A3398" s="363" t="str">
        <f t="shared" si="431"/>
        <v/>
      </c>
      <c r="B3398" s="363" t="str">
        <f t="shared" si="424"/>
        <v/>
      </c>
      <c r="C3398" s="405" t="str">
        <f t="shared" si="425"/>
        <v/>
      </c>
      <c r="D3398" s="405">
        <f t="shared" si="426"/>
        <v>0</v>
      </c>
      <c r="E3398" s="405" t="str">
        <f t="shared" si="427"/>
        <v/>
      </c>
      <c r="F3398" s="405">
        <f t="shared" si="428"/>
        <v>0</v>
      </c>
      <c r="G3398" s="405">
        <f t="shared" si="429"/>
        <v>0</v>
      </c>
      <c r="H3398" s="405">
        <f t="shared" si="430"/>
        <v>0</v>
      </c>
    </row>
    <row r="3399" spans="1:8">
      <c r="A3399" s="363" t="str">
        <f t="shared" si="431"/>
        <v/>
      </c>
      <c r="B3399" s="363" t="str">
        <f t="shared" si="424"/>
        <v/>
      </c>
      <c r="C3399" s="405" t="str">
        <f t="shared" si="425"/>
        <v/>
      </c>
      <c r="D3399" s="405">
        <f t="shared" si="426"/>
        <v>0</v>
      </c>
      <c r="E3399" s="405" t="str">
        <f t="shared" si="427"/>
        <v/>
      </c>
      <c r="F3399" s="405">
        <f t="shared" si="428"/>
        <v>0</v>
      </c>
      <c r="G3399" s="405">
        <f t="shared" si="429"/>
        <v>0</v>
      </c>
      <c r="H3399" s="405">
        <f t="shared" si="430"/>
        <v>0</v>
      </c>
    </row>
    <row r="3400" spans="1:8">
      <c r="A3400" s="363" t="str">
        <f t="shared" si="431"/>
        <v/>
      </c>
      <c r="B3400" s="363" t="str">
        <f t="shared" si="424"/>
        <v/>
      </c>
      <c r="C3400" s="405" t="str">
        <f t="shared" si="425"/>
        <v/>
      </c>
      <c r="D3400" s="405">
        <f t="shared" si="426"/>
        <v>0</v>
      </c>
      <c r="E3400" s="405" t="str">
        <f t="shared" si="427"/>
        <v/>
      </c>
      <c r="F3400" s="405">
        <f t="shared" si="428"/>
        <v>0</v>
      </c>
      <c r="G3400" s="405">
        <f t="shared" si="429"/>
        <v>0</v>
      </c>
      <c r="H3400" s="405">
        <f t="shared" si="430"/>
        <v>0</v>
      </c>
    </row>
    <row r="3401" spans="1:8">
      <c r="A3401" s="363" t="str">
        <f t="shared" si="431"/>
        <v/>
      </c>
      <c r="B3401" s="363" t="str">
        <f t="shared" si="424"/>
        <v/>
      </c>
      <c r="C3401" s="405" t="str">
        <f t="shared" si="425"/>
        <v/>
      </c>
      <c r="D3401" s="405">
        <f t="shared" si="426"/>
        <v>0</v>
      </c>
      <c r="E3401" s="405" t="str">
        <f t="shared" si="427"/>
        <v/>
      </c>
      <c r="F3401" s="405">
        <f t="shared" si="428"/>
        <v>0</v>
      </c>
      <c r="G3401" s="405">
        <f t="shared" si="429"/>
        <v>0</v>
      </c>
      <c r="H3401" s="405">
        <f t="shared" si="430"/>
        <v>0</v>
      </c>
    </row>
    <row r="3402" spans="1:8">
      <c r="A3402" s="363" t="str">
        <f t="shared" si="431"/>
        <v/>
      </c>
      <c r="B3402" s="363" t="str">
        <f t="shared" si="424"/>
        <v/>
      </c>
      <c r="C3402" s="405" t="str">
        <f t="shared" si="425"/>
        <v/>
      </c>
      <c r="D3402" s="405">
        <f t="shared" si="426"/>
        <v>0</v>
      </c>
      <c r="E3402" s="405" t="str">
        <f t="shared" si="427"/>
        <v/>
      </c>
      <c r="F3402" s="405">
        <f t="shared" si="428"/>
        <v>0</v>
      </c>
      <c r="G3402" s="405">
        <f t="shared" si="429"/>
        <v>0</v>
      </c>
      <c r="H3402" s="405">
        <f t="shared" si="430"/>
        <v>0</v>
      </c>
    </row>
    <row r="3403" spans="1:8">
      <c r="A3403" s="363" t="str">
        <f t="shared" si="431"/>
        <v/>
      </c>
      <c r="B3403" s="363" t="str">
        <f t="shared" si="424"/>
        <v/>
      </c>
      <c r="C3403" s="405" t="str">
        <f t="shared" si="425"/>
        <v/>
      </c>
      <c r="D3403" s="405">
        <f t="shared" si="426"/>
        <v>0</v>
      </c>
      <c r="E3403" s="405" t="str">
        <f t="shared" si="427"/>
        <v/>
      </c>
      <c r="F3403" s="405">
        <f t="shared" si="428"/>
        <v>0</v>
      </c>
      <c r="G3403" s="405">
        <f t="shared" si="429"/>
        <v>0</v>
      </c>
      <c r="H3403" s="405">
        <f t="shared" si="430"/>
        <v>0</v>
      </c>
    </row>
    <row r="3404" spans="1:8">
      <c r="A3404" s="363" t="str">
        <f t="shared" si="431"/>
        <v/>
      </c>
      <c r="B3404" s="363" t="str">
        <f t="shared" si="424"/>
        <v/>
      </c>
      <c r="C3404" s="405" t="str">
        <f t="shared" si="425"/>
        <v/>
      </c>
      <c r="D3404" s="405">
        <f t="shared" si="426"/>
        <v>0</v>
      </c>
      <c r="E3404" s="405" t="str">
        <f t="shared" si="427"/>
        <v/>
      </c>
      <c r="F3404" s="405">
        <f t="shared" si="428"/>
        <v>0</v>
      </c>
      <c r="G3404" s="405">
        <f t="shared" si="429"/>
        <v>0</v>
      </c>
      <c r="H3404" s="405">
        <f t="shared" si="430"/>
        <v>0</v>
      </c>
    </row>
    <row r="3405" spans="1:8">
      <c r="A3405" s="363" t="str">
        <f t="shared" si="431"/>
        <v/>
      </c>
      <c r="B3405" s="363" t="str">
        <f t="shared" si="424"/>
        <v/>
      </c>
      <c r="C3405" s="405" t="str">
        <f t="shared" si="425"/>
        <v/>
      </c>
      <c r="D3405" s="405">
        <f t="shared" si="426"/>
        <v>0</v>
      </c>
      <c r="E3405" s="405" t="str">
        <f t="shared" si="427"/>
        <v/>
      </c>
      <c r="F3405" s="405">
        <f t="shared" si="428"/>
        <v>0</v>
      </c>
      <c r="G3405" s="405">
        <f t="shared" si="429"/>
        <v>0</v>
      </c>
      <c r="H3405" s="405">
        <f t="shared" si="430"/>
        <v>0</v>
      </c>
    </row>
    <row r="3406" spans="1:8">
      <c r="A3406" s="363" t="str">
        <f t="shared" si="431"/>
        <v/>
      </c>
      <c r="B3406" s="363" t="str">
        <f t="shared" si="424"/>
        <v/>
      </c>
      <c r="C3406" s="405" t="str">
        <f t="shared" si="425"/>
        <v/>
      </c>
      <c r="D3406" s="405">
        <f t="shared" si="426"/>
        <v>0</v>
      </c>
      <c r="E3406" s="405" t="str">
        <f t="shared" si="427"/>
        <v/>
      </c>
      <c r="F3406" s="405">
        <f t="shared" si="428"/>
        <v>0</v>
      </c>
      <c r="G3406" s="405">
        <f t="shared" si="429"/>
        <v>0</v>
      </c>
      <c r="H3406" s="405">
        <f t="shared" si="430"/>
        <v>0</v>
      </c>
    </row>
    <row r="3407" spans="1:8">
      <c r="A3407" s="363" t="str">
        <f t="shared" si="431"/>
        <v/>
      </c>
      <c r="B3407" s="363" t="str">
        <f t="shared" si="424"/>
        <v/>
      </c>
      <c r="C3407" s="405" t="str">
        <f t="shared" si="425"/>
        <v/>
      </c>
      <c r="D3407" s="405">
        <f t="shared" si="426"/>
        <v>0</v>
      </c>
      <c r="E3407" s="405" t="str">
        <f t="shared" si="427"/>
        <v/>
      </c>
      <c r="F3407" s="405">
        <f t="shared" si="428"/>
        <v>0</v>
      </c>
      <c r="G3407" s="405">
        <f t="shared" si="429"/>
        <v>0</v>
      </c>
      <c r="H3407" s="405">
        <f t="shared" si="430"/>
        <v>0</v>
      </c>
    </row>
    <row r="3408" spans="1:8">
      <c r="A3408" s="363" t="str">
        <f t="shared" si="431"/>
        <v/>
      </c>
      <c r="B3408" s="363" t="str">
        <f t="shared" si="424"/>
        <v/>
      </c>
      <c r="C3408" s="405" t="str">
        <f t="shared" si="425"/>
        <v/>
      </c>
      <c r="D3408" s="405">
        <f t="shared" si="426"/>
        <v>0</v>
      </c>
      <c r="E3408" s="405" t="str">
        <f t="shared" si="427"/>
        <v/>
      </c>
      <c r="F3408" s="405">
        <f t="shared" si="428"/>
        <v>0</v>
      </c>
      <c r="G3408" s="405">
        <f t="shared" si="429"/>
        <v>0</v>
      </c>
      <c r="H3408" s="405">
        <f t="shared" si="430"/>
        <v>0</v>
      </c>
    </row>
    <row r="3409" spans="1:8">
      <c r="A3409" s="363" t="str">
        <f t="shared" si="431"/>
        <v/>
      </c>
      <c r="B3409" s="363" t="str">
        <f t="shared" si="424"/>
        <v/>
      </c>
      <c r="C3409" s="405" t="str">
        <f t="shared" si="425"/>
        <v/>
      </c>
      <c r="D3409" s="405">
        <f t="shared" si="426"/>
        <v>0</v>
      </c>
      <c r="E3409" s="405" t="str">
        <f t="shared" si="427"/>
        <v/>
      </c>
      <c r="F3409" s="405">
        <f t="shared" si="428"/>
        <v>0</v>
      </c>
      <c r="G3409" s="405">
        <f t="shared" si="429"/>
        <v>0</v>
      </c>
      <c r="H3409" s="405">
        <f t="shared" si="430"/>
        <v>0</v>
      </c>
    </row>
    <row r="3410" spans="1:8">
      <c r="A3410" s="363" t="str">
        <f t="shared" si="431"/>
        <v/>
      </c>
      <c r="B3410" s="363" t="str">
        <f t="shared" si="424"/>
        <v/>
      </c>
      <c r="C3410" s="405" t="str">
        <f t="shared" si="425"/>
        <v/>
      </c>
      <c r="D3410" s="405">
        <f t="shared" si="426"/>
        <v>0</v>
      </c>
      <c r="E3410" s="405" t="str">
        <f t="shared" si="427"/>
        <v/>
      </c>
      <c r="F3410" s="405">
        <f t="shared" si="428"/>
        <v>0</v>
      </c>
      <c r="G3410" s="405">
        <f t="shared" si="429"/>
        <v>0</v>
      </c>
      <c r="H3410" s="405">
        <f t="shared" si="430"/>
        <v>0</v>
      </c>
    </row>
    <row r="3411" spans="1:8">
      <c r="A3411" s="363" t="str">
        <f t="shared" si="431"/>
        <v/>
      </c>
      <c r="B3411" s="363" t="str">
        <f t="shared" si="424"/>
        <v/>
      </c>
      <c r="C3411" s="405" t="str">
        <f t="shared" si="425"/>
        <v/>
      </c>
      <c r="D3411" s="405">
        <f t="shared" si="426"/>
        <v>0</v>
      </c>
      <c r="E3411" s="405" t="str">
        <f t="shared" si="427"/>
        <v/>
      </c>
      <c r="F3411" s="405">
        <f t="shared" si="428"/>
        <v>0</v>
      </c>
      <c r="G3411" s="405">
        <f t="shared" si="429"/>
        <v>0</v>
      </c>
      <c r="H3411" s="405">
        <f t="shared" si="430"/>
        <v>0</v>
      </c>
    </row>
    <row r="3412" spans="1:8">
      <c r="A3412" s="363" t="str">
        <f t="shared" si="431"/>
        <v/>
      </c>
      <c r="B3412" s="363" t="str">
        <f t="shared" si="424"/>
        <v/>
      </c>
      <c r="C3412" s="405" t="str">
        <f t="shared" si="425"/>
        <v/>
      </c>
      <c r="D3412" s="405">
        <f t="shared" si="426"/>
        <v>0</v>
      </c>
      <c r="E3412" s="405" t="str">
        <f t="shared" si="427"/>
        <v/>
      </c>
      <c r="F3412" s="405">
        <f t="shared" si="428"/>
        <v>0</v>
      </c>
      <c r="G3412" s="405">
        <f t="shared" si="429"/>
        <v>0</v>
      </c>
      <c r="H3412" s="405">
        <f t="shared" si="430"/>
        <v>0</v>
      </c>
    </row>
    <row r="3413" spans="1:8">
      <c r="A3413" s="363" t="str">
        <f t="shared" si="431"/>
        <v/>
      </c>
      <c r="B3413" s="363" t="str">
        <f t="shared" si="424"/>
        <v/>
      </c>
      <c r="C3413" s="405" t="str">
        <f t="shared" si="425"/>
        <v/>
      </c>
      <c r="D3413" s="405">
        <f t="shared" si="426"/>
        <v>0</v>
      </c>
      <c r="E3413" s="405" t="str">
        <f t="shared" si="427"/>
        <v/>
      </c>
      <c r="F3413" s="405">
        <f t="shared" si="428"/>
        <v>0</v>
      </c>
      <c r="G3413" s="405">
        <f t="shared" si="429"/>
        <v>0</v>
      </c>
      <c r="H3413" s="405">
        <f t="shared" si="430"/>
        <v>0</v>
      </c>
    </row>
    <row r="3414" spans="1:8">
      <c r="A3414" s="363" t="str">
        <f t="shared" si="431"/>
        <v/>
      </c>
      <c r="B3414" s="363" t="str">
        <f t="shared" si="424"/>
        <v/>
      </c>
      <c r="C3414" s="405" t="str">
        <f t="shared" si="425"/>
        <v/>
      </c>
      <c r="D3414" s="405">
        <f t="shared" si="426"/>
        <v>0</v>
      </c>
      <c r="E3414" s="405" t="str">
        <f t="shared" si="427"/>
        <v/>
      </c>
      <c r="F3414" s="405">
        <f t="shared" si="428"/>
        <v>0</v>
      </c>
      <c r="G3414" s="405">
        <f t="shared" si="429"/>
        <v>0</v>
      </c>
      <c r="H3414" s="405">
        <f t="shared" si="430"/>
        <v>0</v>
      </c>
    </row>
    <row r="3415" spans="1:8">
      <c r="A3415" s="363" t="str">
        <f t="shared" si="431"/>
        <v/>
      </c>
      <c r="B3415" s="363" t="str">
        <f t="shared" si="424"/>
        <v/>
      </c>
      <c r="C3415" s="405" t="str">
        <f t="shared" si="425"/>
        <v/>
      </c>
      <c r="D3415" s="405">
        <f t="shared" si="426"/>
        <v>0</v>
      </c>
      <c r="E3415" s="405" t="str">
        <f t="shared" si="427"/>
        <v/>
      </c>
      <c r="F3415" s="405">
        <f t="shared" si="428"/>
        <v>0</v>
      </c>
      <c r="G3415" s="405">
        <f t="shared" si="429"/>
        <v>0</v>
      </c>
      <c r="H3415" s="405">
        <f t="shared" si="430"/>
        <v>0</v>
      </c>
    </row>
    <row r="3416" spans="1:8">
      <c r="A3416" s="363" t="str">
        <f t="shared" si="431"/>
        <v/>
      </c>
      <c r="B3416" s="363" t="str">
        <f t="shared" si="424"/>
        <v/>
      </c>
      <c r="C3416" s="405" t="str">
        <f t="shared" si="425"/>
        <v/>
      </c>
      <c r="D3416" s="405">
        <f t="shared" si="426"/>
        <v>0</v>
      </c>
      <c r="E3416" s="405" t="str">
        <f t="shared" si="427"/>
        <v/>
      </c>
      <c r="F3416" s="405">
        <f t="shared" si="428"/>
        <v>0</v>
      </c>
      <c r="G3416" s="405">
        <f t="shared" si="429"/>
        <v>0</v>
      </c>
      <c r="H3416" s="405">
        <f t="shared" si="430"/>
        <v>0</v>
      </c>
    </row>
    <row r="3417" spans="1:8">
      <c r="A3417" s="363" t="str">
        <f t="shared" si="431"/>
        <v/>
      </c>
      <c r="B3417" s="363" t="str">
        <f t="shared" si="424"/>
        <v/>
      </c>
      <c r="C3417" s="405" t="str">
        <f t="shared" si="425"/>
        <v/>
      </c>
      <c r="D3417" s="405">
        <f t="shared" si="426"/>
        <v>0</v>
      </c>
      <c r="E3417" s="405" t="str">
        <f t="shared" si="427"/>
        <v/>
      </c>
      <c r="F3417" s="405">
        <f t="shared" si="428"/>
        <v>0</v>
      </c>
      <c r="G3417" s="405">
        <f t="shared" si="429"/>
        <v>0</v>
      </c>
      <c r="H3417" s="405">
        <f t="shared" si="430"/>
        <v>0</v>
      </c>
    </row>
    <row r="3418" spans="1:8">
      <c r="A3418" s="363" t="str">
        <f t="shared" si="431"/>
        <v/>
      </c>
      <c r="B3418" s="363" t="str">
        <f t="shared" si="424"/>
        <v/>
      </c>
      <c r="C3418" s="405" t="str">
        <f t="shared" si="425"/>
        <v/>
      </c>
      <c r="D3418" s="405">
        <f t="shared" si="426"/>
        <v>0</v>
      </c>
      <c r="E3418" s="405" t="str">
        <f t="shared" si="427"/>
        <v/>
      </c>
      <c r="F3418" s="405">
        <f t="shared" si="428"/>
        <v>0</v>
      </c>
      <c r="G3418" s="405">
        <f t="shared" si="429"/>
        <v>0</v>
      </c>
      <c r="H3418" s="405">
        <f t="shared" si="430"/>
        <v>0</v>
      </c>
    </row>
    <row r="3419" spans="1:8">
      <c r="A3419" s="363" t="str">
        <f t="shared" si="431"/>
        <v/>
      </c>
      <c r="B3419" s="363" t="str">
        <f t="shared" si="424"/>
        <v/>
      </c>
      <c r="C3419" s="405" t="str">
        <f t="shared" si="425"/>
        <v/>
      </c>
      <c r="D3419" s="405">
        <f t="shared" si="426"/>
        <v>0</v>
      </c>
      <c r="E3419" s="405" t="str">
        <f t="shared" si="427"/>
        <v/>
      </c>
      <c r="F3419" s="405">
        <f t="shared" si="428"/>
        <v>0</v>
      </c>
      <c r="G3419" s="405">
        <f t="shared" si="429"/>
        <v>0</v>
      </c>
      <c r="H3419" s="405">
        <f t="shared" si="430"/>
        <v>0</v>
      </c>
    </row>
    <row r="3420" spans="1:8">
      <c r="A3420" s="363" t="str">
        <f t="shared" si="431"/>
        <v/>
      </c>
      <c r="B3420" s="363" t="str">
        <f t="shared" si="424"/>
        <v/>
      </c>
      <c r="C3420" s="405" t="str">
        <f t="shared" si="425"/>
        <v/>
      </c>
      <c r="D3420" s="405">
        <f t="shared" si="426"/>
        <v>0</v>
      </c>
      <c r="E3420" s="405" t="str">
        <f t="shared" si="427"/>
        <v/>
      </c>
      <c r="F3420" s="405">
        <f t="shared" si="428"/>
        <v>0</v>
      </c>
      <c r="G3420" s="405">
        <f t="shared" si="429"/>
        <v>0</v>
      </c>
      <c r="H3420" s="405">
        <f t="shared" si="430"/>
        <v>0</v>
      </c>
    </row>
    <row r="3421" spans="1:8">
      <c r="A3421" s="363" t="str">
        <f t="shared" si="431"/>
        <v/>
      </c>
      <c r="B3421" s="363" t="str">
        <f t="shared" si="424"/>
        <v/>
      </c>
      <c r="C3421" s="405" t="str">
        <f t="shared" si="425"/>
        <v/>
      </c>
      <c r="D3421" s="405">
        <f t="shared" si="426"/>
        <v>0</v>
      </c>
      <c r="E3421" s="405" t="str">
        <f t="shared" si="427"/>
        <v/>
      </c>
      <c r="F3421" s="405">
        <f t="shared" si="428"/>
        <v>0</v>
      </c>
      <c r="G3421" s="405">
        <f t="shared" si="429"/>
        <v>0</v>
      </c>
      <c r="H3421" s="405">
        <f t="shared" si="430"/>
        <v>0</v>
      </c>
    </row>
    <row r="3422" spans="1:8">
      <c r="A3422" s="363" t="str">
        <f t="shared" si="431"/>
        <v/>
      </c>
      <c r="B3422" s="363" t="str">
        <f t="shared" si="424"/>
        <v/>
      </c>
      <c r="C3422" s="405" t="str">
        <f t="shared" si="425"/>
        <v/>
      </c>
      <c r="D3422" s="405">
        <f t="shared" si="426"/>
        <v>0</v>
      </c>
      <c r="E3422" s="405" t="str">
        <f t="shared" si="427"/>
        <v/>
      </c>
      <c r="F3422" s="405">
        <f t="shared" si="428"/>
        <v>0</v>
      </c>
      <c r="G3422" s="405">
        <f t="shared" si="429"/>
        <v>0</v>
      </c>
      <c r="H3422" s="405">
        <f t="shared" si="430"/>
        <v>0</v>
      </c>
    </row>
    <row r="3423" spans="1:8">
      <c r="A3423" s="363" t="str">
        <f t="shared" si="431"/>
        <v/>
      </c>
      <c r="B3423" s="363" t="str">
        <f t="shared" si="424"/>
        <v/>
      </c>
      <c r="C3423" s="405" t="str">
        <f t="shared" si="425"/>
        <v/>
      </c>
      <c r="D3423" s="405">
        <f t="shared" si="426"/>
        <v>0</v>
      </c>
      <c r="E3423" s="405" t="str">
        <f t="shared" si="427"/>
        <v/>
      </c>
      <c r="F3423" s="405">
        <f t="shared" si="428"/>
        <v>0</v>
      </c>
      <c r="G3423" s="405">
        <f t="shared" si="429"/>
        <v>0</v>
      </c>
      <c r="H3423" s="405">
        <f t="shared" si="430"/>
        <v>0</v>
      </c>
    </row>
    <row r="3424" spans="1:8">
      <c r="A3424" s="363" t="str">
        <f t="shared" si="431"/>
        <v/>
      </c>
      <c r="B3424" s="363" t="str">
        <f t="shared" si="424"/>
        <v/>
      </c>
      <c r="C3424" s="405" t="str">
        <f t="shared" si="425"/>
        <v/>
      </c>
      <c r="D3424" s="405">
        <f t="shared" si="426"/>
        <v>0</v>
      </c>
      <c r="E3424" s="405" t="str">
        <f t="shared" si="427"/>
        <v/>
      </c>
      <c r="F3424" s="405">
        <f t="shared" si="428"/>
        <v>0</v>
      </c>
      <c r="G3424" s="405">
        <f t="shared" si="429"/>
        <v>0</v>
      </c>
      <c r="H3424" s="405">
        <f t="shared" si="430"/>
        <v>0</v>
      </c>
    </row>
    <row r="3425" spans="1:8">
      <c r="A3425" s="363" t="str">
        <f t="shared" si="431"/>
        <v/>
      </c>
      <c r="B3425" s="363" t="str">
        <f t="shared" si="424"/>
        <v/>
      </c>
      <c r="C3425" s="405" t="str">
        <f t="shared" si="425"/>
        <v/>
      </c>
      <c r="D3425" s="405">
        <f t="shared" si="426"/>
        <v>0</v>
      </c>
      <c r="E3425" s="405" t="str">
        <f t="shared" si="427"/>
        <v/>
      </c>
      <c r="F3425" s="405">
        <f t="shared" si="428"/>
        <v>0</v>
      </c>
      <c r="G3425" s="405">
        <f t="shared" si="429"/>
        <v>0</v>
      </c>
      <c r="H3425" s="405">
        <f t="shared" si="430"/>
        <v>0</v>
      </c>
    </row>
    <row r="3426" spans="1:8">
      <c r="A3426" s="363" t="str">
        <f t="shared" si="431"/>
        <v/>
      </c>
      <c r="B3426" s="363" t="str">
        <f t="shared" si="424"/>
        <v/>
      </c>
      <c r="C3426" s="405" t="str">
        <f t="shared" si="425"/>
        <v/>
      </c>
      <c r="D3426" s="405">
        <f t="shared" si="426"/>
        <v>0</v>
      </c>
      <c r="E3426" s="405" t="str">
        <f t="shared" si="427"/>
        <v/>
      </c>
      <c r="F3426" s="405">
        <f t="shared" si="428"/>
        <v>0</v>
      </c>
      <c r="G3426" s="405">
        <f t="shared" si="429"/>
        <v>0</v>
      </c>
      <c r="H3426" s="405">
        <f t="shared" si="430"/>
        <v>0</v>
      </c>
    </row>
    <row r="3427" spans="1:8">
      <c r="A3427" s="363" t="str">
        <f t="shared" si="431"/>
        <v/>
      </c>
      <c r="B3427" s="363" t="str">
        <f t="shared" si="424"/>
        <v/>
      </c>
      <c r="C3427" s="405" t="str">
        <f t="shared" si="425"/>
        <v/>
      </c>
      <c r="D3427" s="405">
        <f t="shared" si="426"/>
        <v>0</v>
      </c>
      <c r="E3427" s="405" t="str">
        <f t="shared" si="427"/>
        <v/>
      </c>
      <c r="F3427" s="405">
        <f t="shared" si="428"/>
        <v>0</v>
      </c>
      <c r="G3427" s="405">
        <f t="shared" si="429"/>
        <v>0</v>
      </c>
      <c r="H3427" s="405">
        <f t="shared" si="430"/>
        <v>0</v>
      </c>
    </row>
    <row r="3428" spans="1:8">
      <c r="A3428" s="363" t="str">
        <f t="shared" si="431"/>
        <v/>
      </c>
      <c r="B3428" s="363" t="str">
        <f t="shared" si="424"/>
        <v/>
      </c>
      <c r="C3428" s="405" t="str">
        <f t="shared" si="425"/>
        <v/>
      </c>
      <c r="D3428" s="405">
        <f t="shared" si="426"/>
        <v>0</v>
      </c>
      <c r="E3428" s="405" t="str">
        <f t="shared" si="427"/>
        <v/>
      </c>
      <c r="F3428" s="405">
        <f t="shared" si="428"/>
        <v>0</v>
      </c>
      <c r="G3428" s="405">
        <f t="shared" si="429"/>
        <v>0</v>
      </c>
      <c r="H3428" s="405">
        <f t="shared" si="430"/>
        <v>0</v>
      </c>
    </row>
    <row r="3429" spans="1:8">
      <c r="A3429" s="363" t="str">
        <f t="shared" si="431"/>
        <v/>
      </c>
      <c r="B3429" s="363" t="str">
        <f t="shared" si="424"/>
        <v/>
      </c>
      <c r="C3429" s="405" t="str">
        <f t="shared" si="425"/>
        <v/>
      </c>
      <c r="D3429" s="405">
        <f t="shared" si="426"/>
        <v>0</v>
      </c>
      <c r="E3429" s="405" t="str">
        <f t="shared" si="427"/>
        <v/>
      </c>
      <c r="F3429" s="405">
        <f t="shared" si="428"/>
        <v>0</v>
      </c>
      <c r="G3429" s="405">
        <f t="shared" si="429"/>
        <v>0</v>
      </c>
      <c r="H3429" s="405">
        <f t="shared" si="430"/>
        <v>0</v>
      </c>
    </row>
    <row r="3430" spans="1:8">
      <c r="A3430" s="363" t="str">
        <f t="shared" si="431"/>
        <v/>
      </c>
      <c r="B3430" s="363" t="str">
        <f t="shared" si="424"/>
        <v/>
      </c>
      <c r="C3430" s="405" t="str">
        <f t="shared" si="425"/>
        <v/>
      </c>
      <c r="D3430" s="405">
        <f t="shared" si="426"/>
        <v>0</v>
      </c>
      <c r="E3430" s="405" t="str">
        <f t="shared" si="427"/>
        <v/>
      </c>
      <c r="F3430" s="405">
        <f t="shared" si="428"/>
        <v>0</v>
      </c>
      <c r="G3430" s="405">
        <f t="shared" si="429"/>
        <v>0</v>
      </c>
      <c r="H3430" s="405">
        <f t="shared" si="430"/>
        <v>0</v>
      </c>
    </row>
    <row r="3431" spans="1:8">
      <c r="A3431" s="363" t="str">
        <f t="shared" si="431"/>
        <v/>
      </c>
      <c r="B3431" s="363" t="str">
        <f t="shared" si="424"/>
        <v/>
      </c>
      <c r="C3431" s="405" t="str">
        <f t="shared" si="425"/>
        <v/>
      </c>
      <c r="D3431" s="405">
        <f t="shared" si="426"/>
        <v>0</v>
      </c>
      <c r="E3431" s="405" t="str">
        <f t="shared" si="427"/>
        <v/>
      </c>
      <c r="F3431" s="405">
        <f t="shared" si="428"/>
        <v>0</v>
      </c>
      <c r="G3431" s="405">
        <f t="shared" si="429"/>
        <v>0</v>
      </c>
      <c r="H3431" s="405">
        <f t="shared" si="430"/>
        <v>0</v>
      </c>
    </row>
    <row r="3432" spans="1:8">
      <c r="A3432" s="363" t="str">
        <f t="shared" si="431"/>
        <v/>
      </c>
      <c r="B3432" s="363" t="str">
        <f t="shared" si="424"/>
        <v/>
      </c>
      <c r="C3432" s="405" t="str">
        <f t="shared" si="425"/>
        <v/>
      </c>
      <c r="D3432" s="405">
        <f t="shared" si="426"/>
        <v>0</v>
      </c>
      <c r="E3432" s="405" t="str">
        <f t="shared" si="427"/>
        <v/>
      </c>
      <c r="F3432" s="405">
        <f t="shared" si="428"/>
        <v>0</v>
      </c>
      <c r="G3432" s="405">
        <f t="shared" si="429"/>
        <v>0</v>
      </c>
      <c r="H3432" s="405">
        <f t="shared" si="430"/>
        <v>0</v>
      </c>
    </row>
    <row r="3433" spans="1:8">
      <c r="A3433" s="363" t="str">
        <f t="shared" si="431"/>
        <v/>
      </c>
      <c r="B3433" s="363" t="str">
        <f t="shared" si="424"/>
        <v/>
      </c>
      <c r="C3433" s="405" t="str">
        <f t="shared" si="425"/>
        <v/>
      </c>
      <c r="D3433" s="405">
        <f t="shared" si="426"/>
        <v>0</v>
      </c>
      <c r="E3433" s="405" t="str">
        <f t="shared" si="427"/>
        <v/>
      </c>
      <c r="F3433" s="405">
        <f t="shared" si="428"/>
        <v>0</v>
      </c>
      <c r="G3433" s="405">
        <f t="shared" si="429"/>
        <v>0</v>
      </c>
      <c r="H3433" s="405">
        <f t="shared" si="430"/>
        <v>0</v>
      </c>
    </row>
    <row r="3434" spans="1:8">
      <c r="A3434" s="363" t="str">
        <f t="shared" si="431"/>
        <v/>
      </c>
      <c r="B3434" s="363" t="str">
        <f t="shared" si="424"/>
        <v/>
      </c>
      <c r="C3434" s="405" t="str">
        <f t="shared" si="425"/>
        <v/>
      </c>
      <c r="D3434" s="405">
        <f t="shared" si="426"/>
        <v>0</v>
      </c>
      <c r="E3434" s="405" t="str">
        <f t="shared" si="427"/>
        <v/>
      </c>
      <c r="F3434" s="405">
        <f t="shared" si="428"/>
        <v>0</v>
      </c>
      <c r="G3434" s="405">
        <f t="shared" si="429"/>
        <v>0</v>
      </c>
      <c r="H3434" s="405">
        <f t="shared" si="430"/>
        <v>0</v>
      </c>
    </row>
    <row r="3435" spans="1:8">
      <c r="A3435" s="363" t="str">
        <f t="shared" si="431"/>
        <v/>
      </c>
      <c r="B3435" s="363" t="str">
        <f t="shared" si="424"/>
        <v/>
      </c>
      <c r="C3435" s="405" t="str">
        <f t="shared" si="425"/>
        <v/>
      </c>
      <c r="D3435" s="405">
        <f t="shared" si="426"/>
        <v>0</v>
      </c>
      <c r="E3435" s="405" t="str">
        <f t="shared" si="427"/>
        <v/>
      </c>
      <c r="F3435" s="405">
        <f t="shared" si="428"/>
        <v>0</v>
      </c>
      <c r="G3435" s="405">
        <f t="shared" si="429"/>
        <v>0</v>
      </c>
      <c r="H3435" s="405">
        <f t="shared" si="430"/>
        <v>0</v>
      </c>
    </row>
    <row r="3436" spans="1:8">
      <c r="A3436" s="363" t="str">
        <f t="shared" si="431"/>
        <v/>
      </c>
      <c r="B3436" s="363" t="str">
        <f t="shared" si="424"/>
        <v/>
      </c>
      <c r="C3436" s="405" t="str">
        <f t="shared" si="425"/>
        <v/>
      </c>
      <c r="D3436" s="405">
        <f t="shared" si="426"/>
        <v>0</v>
      </c>
      <c r="E3436" s="405" t="str">
        <f t="shared" si="427"/>
        <v/>
      </c>
      <c r="F3436" s="405">
        <f t="shared" si="428"/>
        <v>0</v>
      </c>
      <c r="G3436" s="405">
        <f t="shared" si="429"/>
        <v>0</v>
      </c>
      <c r="H3436" s="405">
        <f t="shared" si="430"/>
        <v>0</v>
      </c>
    </row>
    <row r="3437" spans="1:8">
      <c r="A3437" s="363" t="str">
        <f t="shared" si="431"/>
        <v/>
      </c>
      <c r="B3437" s="363" t="str">
        <f t="shared" si="424"/>
        <v/>
      </c>
      <c r="C3437" s="405" t="str">
        <f t="shared" si="425"/>
        <v/>
      </c>
      <c r="D3437" s="405">
        <f t="shared" si="426"/>
        <v>0</v>
      </c>
      <c r="E3437" s="405" t="str">
        <f t="shared" si="427"/>
        <v/>
      </c>
      <c r="F3437" s="405">
        <f t="shared" si="428"/>
        <v>0</v>
      </c>
      <c r="G3437" s="405">
        <f t="shared" si="429"/>
        <v>0</v>
      </c>
      <c r="H3437" s="405">
        <f t="shared" si="430"/>
        <v>0</v>
      </c>
    </row>
    <row r="3438" spans="1:8">
      <c r="A3438" s="363" t="str">
        <f t="shared" si="431"/>
        <v/>
      </c>
      <c r="B3438" s="363" t="str">
        <f t="shared" si="424"/>
        <v/>
      </c>
      <c r="C3438" s="405" t="str">
        <f t="shared" si="425"/>
        <v/>
      </c>
      <c r="D3438" s="405">
        <f t="shared" si="426"/>
        <v>0</v>
      </c>
      <c r="E3438" s="405" t="str">
        <f t="shared" si="427"/>
        <v/>
      </c>
      <c r="F3438" s="405">
        <f t="shared" si="428"/>
        <v>0</v>
      </c>
      <c r="G3438" s="405">
        <f t="shared" si="429"/>
        <v>0</v>
      </c>
      <c r="H3438" s="405">
        <f t="shared" si="430"/>
        <v>0</v>
      </c>
    </row>
    <row r="3439" spans="1:8">
      <c r="A3439" s="363" t="str">
        <f t="shared" si="431"/>
        <v/>
      </c>
      <c r="B3439" s="363" t="str">
        <f t="shared" si="424"/>
        <v/>
      </c>
      <c r="C3439" s="405" t="str">
        <f t="shared" si="425"/>
        <v/>
      </c>
      <c r="D3439" s="405">
        <f t="shared" si="426"/>
        <v>0</v>
      </c>
      <c r="E3439" s="405" t="str">
        <f t="shared" si="427"/>
        <v/>
      </c>
      <c r="F3439" s="405">
        <f t="shared" si="428"/>
        <v>0</v>
      </c>
      <c r="G3439" s="405">
        <f t="shared" si="429"/>
        <v>0</v>
      </c>
      <c r="H3439" s="405">
        <f t="shared" si="430"/>
        <v>0</v>
      </c>
    </row>
    <row r="3440" spans="1:8">
      <c r="A3440" s="363" t="str">
        <f t="shared" si="431"/>
        <v/>
      </c>
      <c r="B3440" s="363" t="str">
        <f t="shared" si="424"/>
        <v/>
      </c>
      <c r="C3440" s="405" t="str">
        <f t="shared" si="425"/>
        <v/>
      </c>
      <c r="D3440" s="405">
        <f t="shared" si="426"/>
        <v>0</v>
      </c>
      <c r="E3440" s="405" t="str">
        <f t="shared" si="427"/>
        <v/>
      </c>
      <c r="F3440" s="405">
        <f t="shared" si="428"/>
        <v>0</v>
      </c>
      <c r="G3440" s="405">
        <f t="shared" si="429"/>
        <v>0</v>
      </c>
      <c r="H3440" s="405">
        <f t="shared" si="430"/>
        <v>0</v>
      </c>
    </row>
    <row r="3441" spans="1:8">
      <c r="A3441" s="363" t="str">
        <f t="shared" si="431"/>
        <v/>
      </c>
      <c r="B3441" s="363" t="str">
        <f t="shared" si="424"/>
        <v/>
      </c>
      <c r="C3441" s="405" t="str">
        <f t="shared" si="425"/>
        <v/>
      </c>
      <c r="D3441" s="405">
        <f t="shared" si="426"/>
        <v>0</v>
      </c>
      <c r="E3441" s="405" t="str">
        <f t="shared" si="427"/>
        <v/>
      </c>
      <c r="F3441" s="405">
        <f t="shared" si="428"/>
        <v>0</v>
      </c>
      <c r="G3441" s="405">
        <f t="shared" si="429"/>
        <v>0</v>
      </c>
      <c r="H3441" s="405">
        <f t="shared" si="430"/>
        <v>0</v>
      </c>
    </row>
    <row r="3442" spans="1:8">
      <c r="A3442" s="363" t="str">
        <f t="shared" si="431"/>
        <v/>
      </c>
      <c r="B3442" s="363" t="str">
        <f t="shared" si="424"/>
        <v/>
      </c>
      <c r="C3442" s="405" t="str">
        <f t="shared" si="425"/>
        <v/>
      </c>
      <c r="D3442" s="405">
        <f t="shared" si="426"/>
        <v>0</v>
      </c>
      <c r="E3442" s="405" t="str">
        <f t="shared" si="427"/>
        <v/>
      </c>
      <c r="F3442" s="405">
        <f t="shared" si="428"/>
        <v>0</v>
      </c>
      <c r="G3442" s="405">
        <f t="shared" si="429"/>
        <v>0</v>
      </c>
      <c r="H3442" s="405">
        <f t="shared" si="430"/>
        <v>0</v>
      </c>
    </row>
    <row r="3443" spans="1:8">
      <c r="A3443" s="363" t="str">
        <f t="shared" si="431"/>
        <v/>
      </c>
      <c r="B3443" s="363" t="str">
        <f t="shared" si="424"/>
        <v/>
      </c>
      <c r="C3443" s="405" t="str">
        <f t="shared" si="425"/>
        <v/>
      </c>
      <c r="D3443" s="405">
        <f t="shared" si="426"/>
        <v>0</v>
      </c>
      <c r="E3443" s="405" t="str">
        <f t="shared" si="427"/>
        <v/>
      </c>
      <c r="F3443" s="405">
        <f t="shared" si="428"/>
        <v>0</v>
      </c>
      <c r="G3443" s="405">
        <f t="shared" si="429"/>
        <v>0</v>
      </c>
      <c r="H3443" s="405">
        <f t="shared" si="430"/>
        <v>0</v>
      </c>
    </row>
    <row r="3444" spans="1:8">
      <c r="A3444" s="363" t="str">
        <f t="shared" si="431"/>
        <v/>
      </c>
      <c r="B3444" s="363" t="str">
        <f t="shared" si="424"/>
        <v/>
      </c>
      <c r="C3444" s="405" t="str">
        <f t="shared" si="425"/>
        <v/>
      </c>
      <c r="D3444" s="405">
        <f t="shared" si="426"/>
        <v>0</v>
      </c>
      <c r="E3444" s="405" t="str">
        <f t="shared" si="427"/>
        <v/>
      </c>
      <c r="F3444" s="405">
        <f t="shared" si="428"/>
        <v>0</v>
      </c>
      <c r="G3444" s="405">
        <f t="shared" si="429"/>
        <v>0</v>
      </c>
      <c r="H3444" s="405">
        <f t="shared" si="430"/>
        <v>0</v>
      </c>
    </row>
    <row r="3445" spans="1:8">
      <c r="A3445" s="363" t="str">
        <f t="shared" si="431"/>
        <v/>
      </c>
      <c r="B3445" s="363" t="str">
        <f t="shared" si="424"/>
        <v/>
      </c>
      <c r="C3445" s="405" t="str">
        <f t="shared" si="425"/>
        <v/>
      </c>
      <c r="D3445" s="405">
        <f t="shared" si="426"/>
        <v>0</v>
      </c>
      <c r="E3445" s="405" t="str">
        <f t="shared" si="427"/>
        <v/>
      </c>
      <c r="F3445" s="405">
        <f t="shared" si="428"/>
        <v>0</v>
      </c>
      <c r="G3445" s="405">
        <f t="shared" si="429"/>
        <v>0</v>
      </c>
      <c r="H3445" s="405">
        <f t="shared" si="430"/>
        <v>0</v>
      </c>
    </row>
    <row r="3446" spans="1:8">
      <c r="A3446" s="363" t="str">
        <f t="shared" si="431"/>
        <v/>
      </c>
      <c r="B3446" s="363" t="str">
        <f t="shared" si="424"/>
        <v/>
      </c>
      <c r="C3446" s="405" t="str">
        <f t="shared" si="425"/>
        <v/>
      </c>
      <c r="D3446" s="405">
        <f t="shared" si="426"/>
        <v>0</v>
      </c>
      <c r="E3446" s="405" t="str">
        <f t="shared" si="427"/>
        <v/>
      </c>
      <c r="F3446" s="405">
        <f t="shared" si="428"/>
        <v>0</v>
      </c>
      <c r="G3446" s="405">
        <f t="shared" si="429"/>
        <v>0</v>
      </c>
      <c r="H3446" s="405">
        <f t="shared" si="430"/>
        <v>0</v>
      </c>
    </row>
    <row r="3447" spans="1:8">
      <c r="A3447" s="363" t="str">
        <f t="shared" si="431"/>
        <v/>
      </c>
      <c r="B3447" s="363" t="str">
        <f t="shared" si="424"/>
        <v/>
      </c>
      <c r="C3447" s="405" t="str">
        <f t="shared" si="425"/>
        <v/>
      </c>
      <c r="D3447" s="405">
        <f t="shared" si="426"/>
        <v>0</v>
      </c>
      <c r="E3447" s="405" t="str">
        <f t="shared" si="427"/>
        <v/>
      </c>
      <c r="F3447" s="405">
        <f t="shared" si="428"/>
        <v>0</v>
      </c>
      <c r="G3447" s="405">
        <f t="shared" si="429"/>
        <v>0</v>
      </c>
      <c r="H3447" s="405">
        <f t="shared" si="430"/>
        <v>0</v>
      </c>
    </row>
    <row r="3448" spans="1:8">
      <c r="A3448" s="363" t="str">
        <f t="shared" si="431"/>
        <v/>
      </c>
      <c r="B3448" s="363" t="str">
        <f t="shared" si="424"/>
        <v/>
      </c>
      <c r="C3448" s="405" t="str">
        <f t="shared" si="425"/>
        <v/>
      </c>
      <c r="D3448" s="405">
        <f t="shared" si="426"/>
        <v>0</v>
      </c>
      <c r="E3448" s="405" t="str">
        <f t="shared" si="427"/>
        <v/>
      </c>
      <c r="F3448" s="405">
        <f t="shared" si="428"/>
        <v>0</v>
      </c>
      <c r="G3448" s="405">
        <f t="shared" si="429"/>
        <v>0</v>
      </c>
      <c r="H3448" s="405">
        <f t="shared" si="430"/>
        <v>0</v>
      </c>
    </row>
    <row r="3449" spans="1:8">
      <c r="A3449" s="363" t="str">
        <f t="shared" si="431"/>
        <v/>
      </c>
      <c r="B3449" s="363" t="str">
        <f t="shared" si="424"/>
        <v/>
      </c>
      <c r="C3449" s="405" t="str">
        <f t="shared" si="425"/>
        <v/>
      </c>
      <c r="D3449" s="405">
        <f t="shared" si="426"/>
        <v>0</v>
      </c>
      <c r="E3449" s="405" t="str">
        <f t="shared" si="427"/>
        <v/>
      </c>
      <c r="F3449" s="405">
        <f t="shared" si="428"/>
        <v>0</v>
      </c>
      <c r="G3449" s="405">
        <f t="shared" si="429"/>
        <v>0</v>
      </c>
      <c r="H3449" s="405">
        <f t="shared" si="430"/>
        <v>0</v>
      </c>
    </row>
    <row r="3450" spans="1:8">
      <c r="A3450" s="363" t="str">
        <f t="shared" si="431"/>
        <v/>
      </c>
      <c r="B3450" s="363" t="str">
        <f t="shared" si="424"/>
        <v/>
      </c>
      <c r="C3450" s="405" t="str">
        <f t="shared" si="425"/>
        <v/>
      </c>
      <c r="D3450" s="405">
        <f t="shared" si="426"/>
        <v>0</v>
      </c>
      <c r="E3450" s="405" t="str">
        <f t="shared" si="427"/>
        <v/>
      </c>
      <c r="F3450" s="405">
        <f t="shared" si="428"/>
        <v>0</v>
      </c>
      <c r="G3450" s="405">
        <f t="shared" si="429"/>
        <v>0</v>
      </c>
      <c r="H3450" s="405">
        <f t="shared" si="430"/>
        <v>0</v>
      </c>
    </row>
    <row r="3451" spans="1:8">
      <c r="A3451" s="363" t="str">
        <f t="shared" si="431"/>
        <v/>
      </c>
      <c r="B3451" s="363" t="str">
        <f t="shared" si="424"/>
        <v/>
      </c>
      <c r="C3451" s="405" t="str">
        <f t="shared" si="425"/>
        <v/>
      </c>
      <c r="D3451" s="405">
        <f t="shared" si="426"/>
        <v>0</v>
      </c>
      <c r="E3451" s="405" t="str">
        <f t="shared" si="427"/>
        <v/>
      </c>
      <c r="F3451" s="405">
        <f t="shared" si="428"/>
        <v>0</v>
      </c>
      <c r="G3451" s="405">
        <f t="shared" si="429"/>
        <v>0</v>
      </c>
      <c r="H3451" s="405">
        <f t="shared" si="430"/>
        <v>0</v>
      </c>
    </row>
    <row r="3452" spans="1:8">
      <c r="A3452" s="363" t="str">
        <f t="shared" si="431"/>
        <v/>
      </c>
      <c r="B3452" s="363" t="str">
        <f t="shared" si="424"/>
        <v/>
      </c>
      <c r="C3452" s="405" t="str">
        <f t="shared" si="425"/>
        <v/>
      </c>
      <c r="D3452" s="405">
        <f t="shared" si="426"/>
        <v>0</v>
      </c>
      <c r="E3452" s="405" t="str">
        <f t="shared" si="427"/>
        <v/>
      </c>
      <c r="F3452" s="405">
        <f t="shared" si="428"/>
        <v>0</v>
      </c>
      <c r="G3452" s="405">
        <f t="shared" si="429"/>
        <v>0</v>
      </c>
      <c r="H3452" s="405">
        <f t="shared" si="430"/>
        <v>0</v>
      </c>
    </row>
    <row r="3453" spans="1:8">
      <c r="A3453" s="363" t="str">
        <f t="shared" si="431"/>
        <v/>
      </c>
      <c r="B3453" s="363" t="str">
        <f t="shared" si="424"/>
        <v/>
      </c>
      <c r="C3453" s="405" t="str">
        <f t="shared" si="425"/>
        <v/>
      </c>
      <c r="D3453" s="405">
        <f t="shared" si="426"/>
        <v>0</v>
      </c>
      <c r="E3453" s="405" t="str">
        <f t="shared" si="427"/>
        <v/>
      </c>
      <c r="F3453" s="405">
        <f t="shared" si="428"/>
        <v>0</v>
      </c>
      <c r="G3453" s="405">
        <f t="shared" si="429"/>
        <v>0</v>
      </c>
      <c r="H3453" s="405">
        <f t="shared" si="430"/>
        <v>0</v>
      </c>
    </row>
    <row r="3454" spans="1:8">
      <c r="A3454" s="363" t="str">
        <f t="shared" si="431"/>
        <v/>
      </c>
      <c r="B3454" s="363" t="str">
        <f t="shared" si="424"/>
        <v/>
      </c>
      <c r="C3454" s="405" t="str">
        <f t="shared" si="425"/>
        <v/>
      </c>
      <c r="D3454" s="405">
        <f t="shared" si="426"/>
        <v>0</v>
      </c>
      <c r="E3454" s="405" t="str">
        <f t="shared" si="427"/>
        <v/>
      </c>
      <c r="F3454" s="405">
        <f t="shared" si="428"/>
        <v>0</v>
      </c>
      <c r="G3454" s="405">
        <f t="shared" si="429"/>
        <v>0</v>
      </c>
      <c r="H3454" s="405">
        <f t="shared" si="430"/>
        <v>0</v>
      </c>
    </row>
    <row r="3455" spans="1:8">
      <c r="A3455" s="363" t="str">
        <f t="shared" si="431"/>
        <v/>
      </c>
      <c r="B3455" s="363" t="str">
        <f t="shared" si="424"/>
        <v/>
      </c>
      <c r="C3455" s="405" t="str">
        <f t="shared" si="425"/>
        <v/>
      </c>
      <c r="D3455" s="405">
        <f t="shared" si="426"/>
        <v>0</v>
      </c>
      <c r="E3455" s="405" t="str">
        <f t="shared" si="427"/>
        <v/>
      </c>
      <c r="F3455" s="405">
        <f t="shared" si="428"/>
        <v>0</v>
      </c>
      <c r="G3455" s="405">
        <f t="shared" si="429"/>
        <v>0</v>
      </c>
      <c r="H3455" s="405">
        <f t="shared" si="430"/>
        <v>0</v>
      </c>
    </row>
    <row r="3456" spans="1:8">
      <c r="A3456" s="363" t="str">
        <f t="shared" si="431"/>
        <v/>
      </c>
      <c r="B3456" s="363" t="str">
        <f t="shared" si="424"/>
        <v/>
      </c>
      <c r="C3456" s="405" t="str">
        <f t="shared" si="425"/>
        <v/>
      </c>
      <c r="D3456" s="405">
        <f t="shared" si="426"/>
        <v>0</v>
      </c>
      <c r="E3456" s="405" t="str">
        <f t="shared" si="427"/>
        <v/>
      </c>
      <c r="F3456" s="405">
        <f t="shared" si="428"/>
        <v>0</v>
      </c>
      <c r="G3456" s="405">
        <f t="shared" si="429"/>
        <v>0</v>
      </c>
      <c r="H3456" s="405">
        <f t="shared" si="430"/>
        <v>0</v>
      </c>
    </row>
    <row r="3457" spans="1:8">
      <c r="A3457" s="363" t="str">
        <f t="shared" si="431"/>
        <v/>
      </c>
      <c r="B3457" s="363" t="str">
        <f t="shared" si="424"/>
        <v/>
      </c>
      <c r="C3457" s="405" t="str">
        <f t="shared" si="425"/>
        <v/>
      </c>
      <c r="D3457" s="405">
        <f t="shared" si="426"/>
        <v>0</v>
      </c>
      <c r="E3457" s="405" t="str">
        <f t="shared" si="427"/>
        <v/>
      </c>
      <c r="F3457" s="405">
        <f t="shared" si="428"/>
        <v>0</v>
      </c>
      <c r="G3457" s="405">
        <f t="shared" si="429"/>
        <v>0</v>
      </c>
      <c r="H3457" s="405">
        <f t="shared" si="430"/>
        <v>0</v>
      </c>
    </row>
    <row r="3458" spans="1:8">
      <c r="A3458" s="363" t="str">
        <f t="shared" si="431"/>
        <v/>
      </c>
      <c r="B3458" s="363" t="str">
        <f t="shared" ref="B3458:B3521" si="432">LEFT(L3458,2)</f>
        <v/>
      </c>
      <c r="C3458" s="405" t="str">
        <f t="shared" ref="C3458:C3521" si="433">IF(B3458="","","第"&amp;RIGHT(L3458,6)&amp;"号")</f>
        <v/>
      </c>
      <c r="D3458" s="405">
        <f t="shared" ref="D3458:D3521" si="434">N3458</f>
        <v>0</v>
      </c>
      <c r="E3458" s="405" t="str">
        <f t="shared" ref="E3458:E3521" si="435">IF(V3458="　",O3458,"")</f>
        <v/>
      </c>
      <c r="F3458" s="405">
        <f t="shared" ref="F3458:F3521" si="436">IF(V3458="　",P3458,W3458)</f>
        <v>0</v>
      </c>
      <c r="G3458" s="405">
        <f t="shared" ref="G3458:G3521" si="437">IF(V3458="　","主たる営業所",V3458)</f>
        <v>0</v>
      </c>
      <c r="H3458" s="405">
        <f t="shared" ref="H3458:H3521" si="438">IF(V3458="　",R3458,Y3458)</f>
        <v>0</v>
      </c>
    </row>
    <row r="3459" spans="1:8">
      <c r="A3459" s="363" t="str">
        <f t="shared" ref="A3459:A3522" si="439">IF(B3459="","",A3458+1)</f>
        <v/>
      </c>
      <c r="B3459" s="363" t="str">
        <f t="shared" si="432"/>
        <v/>
      </c>
      <c r="C3459" s="405" t="str">
        <f t="shared" si="433"/>
        <v/>
      </c>
      <c r="D3459" s="405">
        <f t="shared" si="434"/>
        <v>0</v>
      </c>
      <c r="E3459" s="405" t="str">
        <f t="shared" si="435"/>
        <v/>
      </c>
      <c r="F3459" s="405">
        <f t="shared" si="436"/>
        <v>0</v>
      </c>
      <c r="G3459" s="405">
        <f t="shared" si="437"/>
        <v>0</v>
      </c>
      <c r="H3459" s="405">
        <f t="shared" si="438"/>
        <v>0</v>
      </c>
    </row>
    <row r="3460" spans="1:8">
      <c r="A3460" s="363" t="str">
        <f t="shared" si="439"/>
        <v/>
      </c>
      <c r="B3460" s="363" t="str">
        <f t="shared" si="432"/>
        <v/>
      </c>
      <c r="C3460" s="405" t="str">
        <f t="shared" si="433"/>
        <v/>
      </c>
      <c r="D3460" s="405">
        <f t="shared" si="434"/>
        <v>0</v>
      </c>
      <c r="E3460" s="405" t="str">
        <f t="shared" si="435"/>
        <v/>
      </c>
      <c r="F3460" s="405">
        <f t="shared" si="436"/>
        <v>0</v>
      </c>
      <c r="G3460" s="405">
        <f t="shared" si="437"/>
        <v>0</v>
      </c>
      <c r="H3460" s="405">
        <f t="shared" si="438"/>
        <v>0</v>
      </c>
    </row>
    <row r="3461" spans="1:8">
      <c r="A3461" s="363" t="str">
        <f t="shared" si="439"/>
        <v/>
      </c>
      <c r="B3461" s="363" t="str">
        <f t="shared" si="432"/>
        <v/>
      </c>
      <c r="C3461" s="405" t="str">
        <f t="shared" si="433"/>
        <v/>
      </c>
      <c r="D3461" s="405">
        <f t="shared" si="434"/>
        <v>0</v>
      </c>
      <c r="E3461" s="405" t="str">
        <f t="shared" si="435"/>
        <v/>
      </c>
      <c r="F3461" s="405">
        <f t="shared" si="436"/>
        <v>0</v>
      </c>
      <c r="G3461" s="405">
        <f t="shared" si="437"/>
        <v>0</v>
      </c>
      <c r="H3461" s="405">
        <f t="shared" si="438"/>
        <v>0</v>
      </c>
    </row>
    <row r="3462" spans="1:8">
      <c r="A3462" s="363" t="str">
        <f t="shared" si="439"/>
        <v/>
      </c>
      <c r="B3462" s="363" t="str">
        <f t="shared" si="432"/>
        <v/>
      </c>
      <c r="C3462" s="405" t="str">
        <f t="shared" si="433"/>
        <v/>
      </c>
      <c r="D3462" s="405">
        <f t="shared" si="434"/>
        <v>0</v>
      </c>
      <c r="E3462" s="405" t="str">
        <f t="shared" si="435"/>
        <v/>
      </c>
      <c r="F3462" s="405">
        <f t="shared" si="436"/>
        <v>0</v>
      </c>
      <c r="G3462" s="405">
        <f t="shared" si="437"/>
        <v>0</v>
      </c>
      <c r="H3462" s="405">
        <f t="shared" si="438"/>
        <v>0</v>
      </c>
    </row>
    <row r="3463" spans="1:8">
      <c r="A3463" s="363" t="str">
        <f t="shared" si="439"/>
        <v/>
      </c>
      <c r="B3463" s="363" t="str">
        <f t="shared" si="432"/>
        <v/>
      </c>
      <c r="C3463" s="405" t="str">
        <f t="shared" si="433"/>
        <v/>
      </c>
      <c r="D3463" s="405">
        <f t="shared" si="434"/>
        <v>0</v>
      </c>
      <c r="E3463" s="405" t="str">
        <f t="shared" si="435"/>
        <v/>
      </c>
      <c r="F3463" s="405">
        <f t="shared" si="436"/>
        <v>0</v>
      </c>
      <c r="G3463" s="405">
        <f t="shared" si="437"/>
        <v>0</v>
      </c>
      <c r="H3463" s="405">
        <f t="shared" si="438"/>
        <v>0</v>
      </c>
    </row>
    <row r="3464" spans="1:8">
      <c r="A3464" s="363" t="str">
        <f t="shared" si="439"/>
        <v/>
      </c>
      <c r="B3464" s="363" t="str">
        <f t="shared" si="432"/>
        <v/>
      </c>
      <c r="C3464" s="405" t="str">
        <f t="shared" si="433"/>
        <v/>
      </c>
      <c r="D3464" s="405">
        <f t="shared" si="434"/>
        <v>0</v>
      </c>
      <c r="E3464" s="405" t="str">
        <f t="shared" si="435"/>
        <v/>
      </c>
      <c r="F3464" s="405">
        <f t="shared" si="436"/>
        <v>0</v>
      </c>
      <c r="G3464" s="405">
        <f t="shared" si="437"/>
        <v>0</v>
      </c>
      <c r="H3464" s="405">
        <f t="shared" si="438"/>
        <v>0</v>
      </c>
    </row>
    <row r="3465" spans="1:8">
      <c r="A3465" s="363" t="str">
        <f t="shared" si="439"/>
        <v/>
      </c>
      <c r="B3465" s="363" t="str">
        <f t="shared" si="432"/>
        <v/>
      </c>
      <c r="C3465" s="405" t="str">
        <f t="shared" si="433"/>
        <v/>
      </c>
      <c r="D3465" s="405">
        <f t="shared" si="434"/>
        <v>0</v>
      </c>
      <c r="E3465" s="405" t="str">
        <f t="shared" si="435"/>
        <v/>
      </c>
      <c r="F3465" s="405">
        <f t="shared" si="436"/>
        <v>0</v>
      </c>
      <c r="G3465" s="405">
        <f t="shared" si="437"/>
        <v>0</v>
      </c>
      <c r="H3465" s="405">
        <f t="shared" si="438"/>
        <v>0</v>
      </c>
    </row>
    <row r="3466" spans="1:8">
      <c r="A3466" s="363" t="str">
        <f t="shared" si="439"/>
        <v/>
      </c>
      <c r="B3466" s="363" t="str">
        <f t="shared" si="432"/>
        <v/>
      </c>
      <c r="C3466" s="405" t="str">
        <f t="shared" si="433"/>
        <v/>
      </c>
      <c r="D3466" s="405">
        <f t="shared" si="434"/>
        <v>0</v>
      </c>
      <c r="E3466" s="405" t="str">
        <f t="shared" si="435"/>
        <v/>
      </c>
      <c r="F3466" s="405">
        <f t="shared" si="436"/>
        <v>0</v>
      </c>
      <c r="G3466" s="405">
        <f t="shared" si="437"/>
        <v>0</v>
      </c>
      <c r="H3466" s="405">
        <f t="shared" si="438"/>
        <v>0</v>
      </c>
    </row>
    <row r="3467" spans="1:8">
      <c r="A3467" s="363" t="str">
        <f t="shared" si="439"/>
        <v/>
      </c>
      <c r="B3467" s="363" t="str">
        <f t="shared" si="432"/>
        <v/>
      </c>
      <c r="C3467" s="405" t="str">
        <f t="shared" si="433"/>
        <v/>
      </c>
      <c r="D3467" s="405">
        <f t="shared" si="434"/>
        <v>0</v>
      </c>
      <c r="E3467" s="405" t="str">
        <f t="shared" si="435"/>
        <v/>
      </c>
      <c r="F3467" s="405">
        <f t="shared" si="436"/>
        <v>0</v>
      </c>
      <c r="G3467" s="405">
        <f t="shared" si="437"/>
        <v>0</v>
      </c>
      <c r="H3467" s="405">
        <f t="shared" si="438"/>
        <v>0</v>
      </c>
    </row>
    <row r="3468" spans="1:8">
      <c r="A3468" s="363" t="str">
        <f t="shared" si="439"/>
        <v/>
      </c>
      <c r="B3468" s="363" t="str">
        <f t="shared" si="432"/>
        <v/>
      </c>
      <c r="C3468" s="405" t="str">
        <f t="shared" si="433"/>
        <v/>
      </c>
      <c r="D3468" s="405">
        <f t="shared" si="434"/>
        <v>0</v>
      </c>
      <c r="E3468" s="405" t="str">
        <f t="shared" si="435"/>
        <v/>
      </c>
      <c r="F3468" s="405">
        <f t="shared" si="436"/>
        <v>0</v>
      </c>
      <c r="G3468" s="405">
        <f t="shared" si="437"/>
        <v>0</v>
      </c>
      <c r="H3468" s="405">
        <f t="shared" si="438"/>
        <v>0</v>
      </c>
    </row>
    <row r="3469" spans="1:8">
      <c r="A3469" s="363" t="str">
        <f t="shared" si="439"/>
        <v/>
      </c>
      <c r="B3469" s="363" t="str">
        <f t="shared" si="432"/>
        <v/>
      </c>
      <c r="C3469" s="405" t="str">
        <f t="shared" si="433"/>
        <v/>
      </c>
      <c r="D3469" s="405">
        <f t="shared" si="434"/>
        <v>0</v>
      </c>
      <c r="E3469" s="405" t="str">
        <f t="shared" si="435"/>
        <v/>
      </c>
      <c r="F3469" s="405">
        <f t="shared" si="436"/>
        <v>0</v>
      </c>
      <c r="G3469" s="405">
        <f t="shared" si="437"/>
        <v>0</v>
      </c>
      <c r="H3469" s="405">
        <f t="shared" si="438"/>
        <v>0</v>
      </c>
    </row>
    <row r="3470" spans="1:8">
      <c r="A3470" s="363" t="str">
        <f t="shared" si="439"/>
        <v/>
      </c>
      <c r="B3470" s="363" t="str">
        <f t="shared" si="432"/>
        <v/>
      </c>
      <c r="C3470" s="405" t="str">
        <f t="shared" si="433"/>
        <v/>
      </c>
      <c r="D3470" s="405">
        <f t="shared" si="434"/>
        <v>0</v>
      </c>
      <c r="E3470" s="405" t="str">
        <f t="shared" si="435"/>
        <v/>
      </c>
      <c r="F3470" s="405">
        <f t="shared" si="436"/>
        <v>0</v>
      </c>
      <c r="G3470" s="405">
        <f t="shared" si="437"/>
        <v>0</v>
      </c>
      <c r="H3470" s="405">
        <f t="shared" si="438"/>
        <v>0</v>
      </c>
    </row>
    <row r="3471" spans="1:8">
      <c r="A3471" s="363" t="str">
        <f t="shared" si="439"/>
        <v/>
      </c>
      <c r="B3471" s="363" t="str">
        <f t="shared" si="432"/>
        <v/>
      </c>
      <c r="C3471" s="405" t="str">
        <f t="shared" si="433"/>
        <v/>
      </c>
      <c r="D3471" s="405">
        <f t="shared" si="434"/>
        <v>0</v>
      </c>
      <c r="E3471" s="405" t="str">
        <f t="shared" si="435"/>
        <v/>
      </c>
      <c r="F3471" s="405">
        <f t="shared" si="436"/>
        <v>0</v>
      </c>
      <c r="G3471" s="405">
        <f t="shared" si="437"/>
        <v>0</v>
      </c>
      <c r="H3471" s="405">
        <f t="shared" si="438"/>
        <v>0</v>
      </c>
    </row>
    <row r="3472" spans="1:8">
      <c r="A3472" s="363" t="str">
        <f t="shared" si="439"/>
        <v/>
      </c>
      <c r="B3472" s="363" t="str">
        <f t="shared" si="432"/>
        <v/>
      </c>
      <c r="C3472" s="405" t="str">
        <f t="shared" si="433"/>
        <v/>
      </c>
      <c r="D3472" s="405">
        <f t="shared" si="434"/>
        <v>0</v>
      </c>
      <c r="E3472" s="405" t="str">
        <f t="shared" si="435"/>
        <v/>
      </c>
      <c r="F3472" s="405">
        <f t="shared" si="436"/>
        <v>0</v>
      </c>
      <c r="G3472" s="405">
        <f t="shared" si="437"/>
        <v>0</v>
      </c>
      <c r="H3472" s="405">
        <f t="shared" si="438"/>
        <v>0</v>
      </c>
    </row>
    <row r="3473" spans="1:8">
      <c r="A3473" s="363" t="str">
        <f t="shared" si="439"/>
        <v/>
      </c>
      <c r="B3473" s="363" t="str">
        <f t="shared" si="432"/>
        <v/>
      </c>
      <c r="C3473" s="405" t="str">
        <f t="shared" si="433"/>
        <v/>
      </c>
      <c r="D3473" s="405">
        <f t="shared" si="434"/>
        <v>0</v>
      </c>
      <c r="E3473" s="405" t="str">
        <f t="shared" si="435"/>
        <v/>
      </c>
      <c r="F3473" s="405">
        <f t="shared" si="436"/>
        <v>0</v>
      </c>
      <c r="G3473" s="405">
        <f t="shared" si="437"/>
        <v>0</v>
      </c>
      <c r="H3473" s="405">
        <f t="shared" si="438"/>
        <v>0</v>
      </c>
    </row>
    <row r="3474" spans="1:8">
      <c r="A3474" s="363" t="str">
        <f t="shared" si="439"/>
        <v/>
      </c>
      <c r="B3474" s="363" t="str">
        <f t="shared" si="432"/>
        <v/>
      </c>
      <c r="C3474" s="405" t="str">
        <f t="shared" si="433"/>
        <v/>
      </c>
      <c r="D3474" s="405">
        <f t="shared" si="434"/>
        <v>0</v>
      </c>
      <c r="E3474" s="405" t="str">
        <f t="shared" si="435"/>
        <v/>
      </c>
      <c r="F3474" s="405">
        <f t="shared" si="436"/>
        <v>0</v>
      </c>
      <c r="G3474" s="405">
        <f t="shared" si="437"/>
        <v>0</v>
      </c>
      <c r="H3474" s="405">
        <f t="shared" si="438"/>
        <v>0</v>
      </c>
    </row>
    <row r="3475" spans="1:8">
      <c r="A3475" s="363" t="str">
        <f t="shared" si="439"/>
        <v/>
      </c>
      <c r="B3475" s="363" t="str">
        <f t="shared" si="432"/>
        <v/>
      </c>
      <c r="C3475" s="405" t="str">
        <f t="shared" si="433"/>
        <v/>
      </c>
      <c r="D3475" s="405">
        <f t="shared" si="434"/>
        <v>0</v>
      </c>
      <c r="E3475" s="405" t="str">
        <f t="shared" si="435"/>
        <v/>
      </c>
      <c r="F3475" s="405">
        <f t="shared" si="436"/>
        <v>0</v>
      </c>
      <c r="G3475" s="405">
        <f t="shared" si="437"/>
        <v>0</v>
      </c>
      <c r="H3475" s="405">
        <f t="shared" si="438"/>
        <v>0</v>
      </c>
    </row>
    <row r="3476" spans="1:8">
      <c r="A3476" s="363" t="str">
        <f t="shared" si="439"/>
        <v/>
      </c>
      <c r="B3476" s="363" t="str">
        <f t="shared" si="432"/>
        <v/>
      </c>
      <c r="C3476" s="405" t="str">
        <f t="shared" si="433"/>
        <v/>
      </c>
      <c r="D3476" s="405">
        <f t="shared" si="434"/>
        <v>0</v>
      </c>
      <c r="E3476" s="405" t="str">
        <f t="shared" si="435"/>
        <v/>
      </c>
      <c r="F3476" s="405">
        <f t="shared" si="436"/>
        <v>0</v>
      </c>
      <c r="G3476" s="405">
        <f t="shared" si="437"/>
        <v>0</v>
      </c>
      <c r="H3476" s="405">
        <f t="shared" si="438"/>
        <v>0</v>
      </c>
    </row>
    <row r="3477" spans="1:8">
      <c r="A3477" s="363" t="str">
        <f t="shared" si="439"/>
        <v/>
      </c>
      <c r="B3477" s="363" t="str">
        <f t="shared" si="432"/>
        <v/>
      </c>
      <c r="C3477" s="405" t="str">
        <f t="shared" si="433"/>
        <v/>
      </c>
      <c r="D3477" s="405">
        <f t="shared" si="434"/>
        <v>0</v>
      </c>
      <c r="E3477" s="405" t="str">
        <f t="shared" si="435"/>
        <v/>
      </c>
      <c r="F3477" s="405">
        <f t="shared" si="436"/>
        <v>0</v>
      </c>
      <c r="G3477" s="405">
        <f t="shared" si="437"/>
        <v>0</v>
      </c>
      <c r="H3477" s="405">
        <f t="shared" si="438"/>
        <v>0</v>
      </c>
    </row>
    <row r="3478" spans="1:8">
      <c r="A3478" s="363" t="str">
        <f t="shared" si="439"/>
        <v/>
      </c>
      <c r="B3478" s="363" t="str">
        <f t="shared" si="432"/>
        <v/>
      </c>
      <c r="C3478" s="405" t="str">
        <f t="shared" si="433"/>
        <v/>
      </c>
      <c r="D3478" s="405">
        <f t="shared" si="434"/>
        <v>0</v>
      </c>
      <c r="E3478" s="405" t="str">
        <f t="shared" si="435"/>
        <v/>
      </c>
      <c r="F3478" s="405">
        <f t="shared" si="436"/>
        <v>0</v>
      </c>
      <c r="G3478" s="405">
        <f t="shared" si="437"/>
        <v>0</v>
      </c>
      <c r="H3478" s="405">
        <f t="shared" si="438"/>
        <v>0</v>
      </c>
    </row>
    <row r="3479" spans="1:8">
      <c r="A3479" s="363" t="str">
        <f t="shared" si="439"/>
        <v/>
      </c>
      <c r="B3479" s="363" t="str">
        <f t="shared" si="432"/>
        <v/>
      </c>
      <c r="C3479" s="405" t="str">
        <f t="shared" si="433"/>
        <v/>
      </c>
      <c r="D3479" s="405">
        <f t="shared" si="434"/>
        <v>0</v>
      </c>
      <c r="E3479" s="405" t="str">
        <f t="shared" si="435"/>
        <v/>
      </c>
      <c r="F3479" s="405">
        <f t="shared" si="436"/>
        <v>0</v>
      </c>
      <c r="G3479" s="405">
        <f t="shared" si="437"/>
        <v>0</v>
      </c>
      <c r="H3479" s="405">
        <f t="shared" si="438"/>
        <v>0</v>
      </c>
    </row>
    <row r="3480" spans="1:8">
      <c r="A3480" s="363" t="str">
        <f t="shared" si="439"/>
        <v/>
      </c>
      <c r="B3480" s="363" t="str">
        <f t="shared" si="432"/>
        <v/>
      </c>
      <c r="C3480" s="405" t="str">
        <f t="shared" si="433"/>
        <v/>
      </c>
      <c r="D3480" s="405">
        <f t="shared" si="434"/>
        <v>0</v>
      </c>
      <c r="E3480" s="405" t="str">
        <f t="shared" si="435"/>
        <v/>
      </c>
      <c r="F3480" s="405">
        <f t="shared" si="436"/>
        <v>0</v>
      </c>
      <c r="G3480" s="405">
        <f t="shared" si="437"/>
        <v>0</v>
      </c>
      <c r="H3480" s="405">
        <f t="shared" si="438"/>
        <v>0</v>
      </c>
    </row>
    <row r="3481" spans="1:8">
      <c r="A3481" s="363" t="str">
        <f t="shared" si="439"/>
        <v/>
      </c>
      <c r="B3481" s="363" t="str">
        <f t="shared" si="432"/>
        <v/>
      </c>
      <c r="C3481" s="405" t="str">
        <f t="shared" si="433"/>
        <v/>
      </c>
      <c r="D3481" s="405">
        <f t="shared" si="434"/>
        <v>0</v>
      </c>
      <c r="E3481" s="405" t="str">
        <f t="shared" si="435"/>
        <v/>
      </c>
      <c r="F3481" s="405">
        <f t="shared" si="436"/>
        <v>0</v>
      </c>
      <c r="G3481" s="405">
        <f t="shared" si="437"/>
        <v>0</v>
      </c>
      <c r="H3481" s="405">
        <f t="shared" si="438"/>
        <v>0</v>
      </c>
    </row>
    <row r="3482" spans="1:8">
      <c r="A3482" s="363" t="str">
        <f t="shared" si="439"/>
        <v/>
      </c>
      <c r="B3482" s="363" t="str">
        <f t="shared" si="432"/>
        <v/>
      </c>
      <c r="C3482" s="405" t="str">
        <f t="shared" si="433"/>
        <v/>
      </c>
      <c r="D3482" s="405">
        <f t="shared" si="434"/>
        <v>0</v>
      </c>
      <c r="E3482" s="405" t="str">
        <f t="shared" si="435"/>
        <v/>
      </c>
      <c r="F3482" s="405">
        <f t="shared" si="436"/>
        <v>0</v>
      </c>
      <c r="G3482" s="405">
        <f t="shared" si="437"/>
        <v>0</v>
      </c>
      <c r="H3482" s="405">
        <f t="shared" si="438"/>
        <v>0</v>
      </c>
    </row>
    <row r="3483" spans="1:8">
      <c r="A3483" s="363" t="str">
        <f t="shared" si="439"/>
        <v/>
      </c>
      <c r="B3483" s="363" t="str">
        <f t="shared" si="432"/>
        <v/>
      </c>
      <c r="C3483" s="405" t="str">
        <f t="shared" si="433"/>
        <v/>
      </c>
      <c r="D3483" s="405">
        <f t="shared" si="434"/>
        <v>0</v>
      </c>
      <c r="E3483" s="405" t="str">
        <f t="shared" si="435"/>
        <v/>
      </c>
      <c r="F3483" s="405">
        <f t="shared" si="436"/>
        <v>0</v>
      </c>
      <c r="G3483" s="405">
        <f t="shared" si="437"/>
        <v>0</v>
      </c>
      <c r="H3483" s="405">
        <f t="shared" si="438"/>
        <v>0</v>
      </c>
    </row>
    <row r="3484" spans="1:8">
      <c r="A3484" s="363" t="str">
        <f t="shared" si="439"/>
        <v/>
      </c>
      <c r="B3484" s="363" t="str">
        <f t="shared" si="432"/>
        <v/>
      </c>
      <c r="C3484" s="405" t="str">
        <f t="shared" si="433"/>
        <v/>
      </c>
      <c r="D3484" s="405">
        <f t="shared" si="434"/>
        <v>0</v>
      </c>
      <c r="E3484" s="405" t="str">
        <f t="shared" si="435"/>
        <v/>
      </c>
      <c r="F3484" s="405">
        <f t="shared" si="436"/>
        <v>0</v>
      </c>
      <c r="G3484" s="405">
        <f t="shared" si="437"/>
        <v>0</v>
      </c>
      <c r="H3484" s="405">
        <f t="shared" si="438"/>
        <v>0</v>
      </c>
    </row>
    <row r="3485" spans="1:8">
      <c r="A3485" s="363" t="str">
        <f t="shared" si="439"/>
        <v/>
      </c>
      <c r="B3485" s="363" t="str">
        <f t="shared" si="432"/>
        <v/>
      </c>
      <c r="C3485" s="405" t="str">
        <f t="shared" si="433"/>
        <v/>
      </c>
      <c r="D3485" s="405">
        <f t="shared" si="434"/>
        <v>0</v>
      </c>
      <c r="E3485" s="405" t="str">
        <f t="shared" si="435"/>
        <v/>
      </c>
      <c r="F3485" s="405">
        <f t="shared" si="436"/>
        <v>0</v>
      </c>
      <c r="G3485" s="405">
        <f t="shared" si="437"/>
        <v>0</v>
      </c>
      <c r="H3485" s="405">
        <f t="shared" si="438"/>
        <v>0</v>
      </c>
    </row>
    <row r="3486" spans="1:8">
      <c r="A3486" s="363" t="str">
        <f t="shared" si="439"/>
        <v/>
      </c>
      <c r="B3486" s="363" t="str">
        <f t="shared" si="432"/>
        <v/>
      </c>
      <c r="C3486" s="405" t="str">
        <f t="shared" si="433"/>
        <v/>
      </c>
      <c r="D3486" s="405">
        <f t="shared" si="434"/>
        <v>0</v>
      </c>
      <c r="E3486" s="405" t="str">
        <f t="shared" si="435"/>
        <v/>
      </c>
      <c r="F3486" s="405">
        <f t="shared" si="436"/>
        <v>0</v>
      </c>
      <c r="G3486" s="405">
        <f t="shared" si="437"/>
        <v>0</v>
      </c>
      <c r="H3486" s="405">
        <f t="shared" si="438"/>
        <v>0</v>
      </c>
    </row>
    <row r="3487" spans="1:8">
      <c r="A3487" s="363" t="str">
        <f t="shared" si="439"/>
        <v/>
      </c>
      <c r="B3487" s="363" t="str">
        <f t="shared" si="432"/>
        <v/>
      </c>
      <c r="C3487" s="405" t="str">
        <f t="shared" si="433"/>
        <v/>
      </c>
      <c r="D3487" s="405">
        <f t="shared" si="434"/>
        <v>0</v>
      </c>
      <c r="E3487" s="405" t="str">
        <f t="shared" si="435"/>
        <v/>
      </c>
      <c r="F3487" s="405">
        <f t="shared" si="436"/>
        <v>0</v>
      </c>
      <c r="G3487" s="405">
        <f t="shared" si="437"/>
        <v>0</v>
      </c>
      <c r="H3487" s="405">
        <f t="shared" si="438"/>
        <v>0</v>
      </c>
    </row>
    <row r="3488" spans="1:8">
      <c r="A3488" s="363" t="str">
        <f t="shared" si="439"/>
        <v/>
      </c>
      <c r="B3488" s="363" t="str">
        <f t="shared" si="432"/>
        <v/>
      </c>
      <c r="C3488" s="405" t="str">
        <f t="shared" si="433"/>
        <v/>
      </c>
      <c r="D3488" s="405">
        <f t="shared" si="434"/>
        <v>0</v>
      </c>
      <c r="E3488" s="405" t="str">
        <f t="shared" si="435"/>
        <v/>
      </c>
      <c r="F3488" s="405">
        <f t="shared" si="436"/>
        <v>0</v>
      </c>
      <c r="G3488" s="405">
        <f t="shared" si="437"/>
        <v>0</v>
      </c>
      <c r="H3488" s="405">
        <f t="shared" si="438"/>
        <v>0</v>
      </c>
    </row>
    <row r="3489" spans="1:8">
      <c r="A3489" s="363" t="str">
        <f t="shared" si="439"/>
        <v/>
      </c>
      <c r="B3489" s="363" t="str">
        <f t="shared" si="432"/>
        <v/>
      </c>
      <c r="C3489" s="405" t="str">
        <f t="shared" si="433"/>
        <v/>
      </c>
      <c r="D3489" s="405">
        <f t="shared" si="434"/>
        <v>0</v>
      </c>
      <c r="E3489" s="405" t="str">
        <f t="shared" si="435"/>
        <v/>
      </c>
      <c r="F3489" s="405">
        <f t="shared" si="436"/>
        <v>0</v>
      </c>
      <c r="G3489" s="405">
        <f t="shared" si="437"/>
        <v>0</v>
      </c>
      <c r="H3489" s="405">
        <f t="shared" si="438"/>
        <v>0</v>
      </c>
    </row>
    <row r="3490" spans="1:8">
      <c r="A3490" s="363" t="str">
        <f t="shared" si="439"/>
        <v/>
      </c>
      <c r="B3490" s="363" t="str">
        <f t="shared" si="432"/>
        <v/>
      </c>
      <c r="C3490" s="405" t="str">
        <f t="shared" si="433"/>
        <v/>
      </c>
      <c r="D3490" s="405">
        <f t="shared" si="434"/>
        <v>0</v>
      </c>
      <c r="E3490" s="405" t="str">
        <f t="shared" si="435"/>
        <v/>
      </c>
      <c r="F3490" s="405">
        <f t="shared" si="436"/>
        <v>0</v>
      </c>
      <c r="G3490" s="405">
        <f t="shared" si="437"/>
        <v>0</v>
      </c>
      <c r="H3490" s="405">
        <f t="shared" si="438"/>
        <v>0</v>
      </c>
    </row>
    <row r="3491" spans="1:8">
      <c r="A3491" s="363" t="str">
        <f t="shared" si="439"/>
        <v/>
      </c>
      <c r="B3491" s="363" t="str">
        <f t="shared" si="432"/>
        <v/>
      </c>
      <c r="C3491" s="405" t="str">
        <f t="shared" si="433"/>
        <v/>
      </c>
      <c r="D3491" s="405">
        <f t="shared" si="434"/>
        <v>0</v>
      </c>
      <c r="E3491" s="405" t="str">
        <f t="shared" si="435"/>
        <v/>
      </c>
      <c r="F3491" s="405">
        <f t="shared" si="436"/>
        <v>0</v>
      </c>
      <c r="G3491" s="405">
        <f t="shared" si="437"/>
        <v>0</v>
      </c>
      <c r="H3491" s="405">
        <f t="shared" si="438"/>
        <v>0</v>
      </c>
    </row>
    <row r="3492" spans="1:8">
      <c r="A3492" s="363" t="str">
        <f t="shared" si="439"/>
        <v/>
      </c>
      <c r="B3492" s="363" t="str">
        <f t="shared" si="432"/>
        <v/>
      </c>
      <c r="C3492" s="405" t="str">
        <f t="shared" si="433"/>
        <v/>
      </c>
      <c r="D3492" s="405">
        <f t="shared" si="434"/>
        <v>0</v>
      </c>
      <c r="E3492" s="405" t="str">
        <f t="shared" si="435"/>
        <v/>
      </c>
      <c r="F3492" s="405">
        <f t="shared" si="436"/>
        <v>0</v>
      </c>
      <c r="G3492" s="405">
        <f t="shared" si="437"/>
        <v>0</v>
      </c>
      <c r="H3492" s="405">
        <f t="shared" si="438"/>
        <v>0</v>
      </c>
    </row>
    <row r="3493" spans="1:8">
      <c r="A3493" s="363" t="str">
        <f t="shared" si="439"/>
        <v/>
      </c>
      <c r="B3493" s="363" t="str">
        <f t="shared" si="432"/>
        <v/>
      </c>
      <c r="C3493" s="405" t="str">
        <f t="shared" si="433"/>
        <v/>
      </c>
      <c r="D3493" s="405">
        <f t="shared" si="434"/>
        <v>0</v>
      </c>
      <c r="E3493" s="405" t="str">
        <f t="shared" si="435"/>
        <v/>
      </c>
      <c r="F3493" s="405">
        <f t="shared" si="436"/>
        <v>0</v>
      </c>
      <c r="G3493" s="405">
        <f t="shared" si="437"/>
        <v>0</v>
      </c>
      <c r="H3493" s="405">
        <f t="shared" si="438"/>
        <v>0</v>
      </c>
    </row>
    <row r="3494" spans="1:8">
      <c r="A3494" s="363" t="str">
        <f t="shared" si="439"/>
        <v/>
      </c>
      <c r="B3494" s="363" t="str">
        <f t="shared" si="432"/>
        <v/>
      </c>
      <c r="C3494" s="405" t="str">
        <f t="shared" si="433"/>
        <v/>
      </c>
      <c r="D3494" s="405">
        <f t="shared" si="434"/>
        <v>0</v>
      </c>
      <c r="E3494" s="405" t="str">
        <f t="shared" si="435"/>
        <v/>
      </c>
      <c r="F3494" s="405">
        <f t="shared" si="436"/>
        <v>0</v>
      </c>
      <c r="G3494" s="405">
        <f t="shared" si="437"/>
        <v>0</v>
      </c>
      <c r="H3494" s="405">
        <f t="shared" si="438"/>
        <v>0</v>
      </c>
    </row>
    <row r="3495" spans="1:8">
      <c r="A3495" s="363" t="str">
        <f t="shared" si="439"/>
        <v/>
      </c>
      <c r="B3495" s="363" t="str">
        <f t="shared" si="432"/>
        <v/>
      </c>
      <c r="C3495" s="405" t="str">
        <f t="shared" si="433"/>
        <v/>
      </c>
      <c r="D3495" s="405">
        <f t="shared" si="434"/>
        <v>0</v>
      </c>
      <c r="E3495" s="405" t="str">
        <f t="shared" si="435"/>
        <v/>
      </c>
      <c r="F3495" s="405">
        <f t="shared" si="436"/>
        <v>0</v>
      </c>
      <c r="G3495" s="405">
        <f t="shared" si="437"/>
        <v>0</v>
      </c>
      <c r="H3495" s="405">
        <f t="shared" si="438"/>
        <v>0</v>
      </c>
    </row>
    <row r="3496" spans="1:8">
      <c r="A3496" s="363" t="str">
        <f t="shared" si="439"/>
        <v/>
      </c>
      <c r="B3496" s="363" t="str">
        <f t="shared" si="432"/>
        <v/>
      </c>
      <c r="C3496" s="405" t="str">
        <f t="shared" si="433"/>
        <v/>
      </c>
      <c r="D3496" s="405">
        <f t="shared" si="434"/>
        <v>0</v>
      </c>
      <c r="E3496" s="405" t="str">
        <f t="shared" si="435"/>
        <v/>
      </c>
      <c r="F3496" s="405">
        <f t="shared" si="436"/>
        <v>0</v>
      </c>
      <c r="G3496" s="405">
        <f t="shared" si="437"/>
        <v>0</v>
      </c>
      <c r="H3496" s="405">
        <f t="shared" si="438"/>
        <v>0</v>
      </c>
    </row>
    <row r="3497" spans="1:8">
      <c r="A3497" s="363" t="str">
        <f t="shared" si="439"/>
        <v/>
      </c>
      <c r="B3497" s="363" t="str">
        <f t="shared" si="432"/>
        <v/>
      </c>
      <c r="C3497" s="405" t="str">
        <f t="shared" si="433"/>
        <v/>
      </c>
      <c r="D3497" s="405">
        <f t="shared" si="434"/>
        <v>0</v>
      </c>
      <c r="E3497" s="405" t="str">
        <f t="shared" si="435"/>
        <v/>
      </c>
      <c r="F3497" s="405">
        <f t="shared" si="436"/>
        <v>0</v>
      </c>
      <c r="G3497" s="405">
        <f t="shared" si="437"/>
        <v>0</v>
      </c>
      <c r="H3497" s="405">
        <f t="shared" si="438"/>
        <v>0</v>
      </c>
    </row>
    <row r="3498" spans="1:8">
      <c r="A3498" s="363" t="str">
        <f t="shared" si="439"/>
        <v/>
      </c>
      <c r="B3498" s="363" t="str">
        <f t="shared" si="432"/>
        <v/>
      </c>
      <c r="C3498" s="405" t="str">
        <f t="shared" si="433"/>
        <v/>
      </c>
      <c r="D3498" s="405">
        <f t="shared" si="434"/>
        <v>0</v>
      </c>
      <c r="E3498" s="405" t="str">
        <f t="shared" si="435"/>
        <v/>
      </c>
      <c r="F3498" s="405">
        <f t="shared" si="436"/>
        <v>0</v>
      </c>
      <c r="G3498" s="405">
        <f t="shared" si="437"/>
        <v>0</v>
      </c>
      <c r="H3498" s="405">
        <f t="shared" si="438"/>
        <v>0</v>
      </c>
    </row>
    <row r="3499" spans="1:8">
      <c r="A3499" s="363" t="str">
        <f t="shared" si="439"/>
        <v/>
      </c>
      <c r="B3499" s="363" t="str">
        <f t="shared" si="432"/>
        <v/>
      </c>
      <c r="C3499" s="405" t="str">
        <f t="shared" si="433"/>
        <v/>
      </c>
      <c r="D3499" s="405">
        <f t="shared" si="434"/>
        <v>0</v>
      </c>
      <c r="E3499" s="405" t="str">
        <f t="shared" si="435"/>
        <v/>
      </c>
      <c r="F3499" s="405">
        <f t="shared" si="436"/>
        <v>0</v>
      </c>
      <c r="G3499" s="405">
        <f t="shared" si="437"/>
        <v>0</v>
      </c>
      <c r="H3499" s="405">
        <f t="shared" si="438"/>
        <v>0</v>
      </c>
    </row>
    <row r="3500" spans="1:8">
      <c r="A3500" s="363" t="str">
        <f t="shared" si="439"/>
        <v/>
      </c>
      <c r="B3500" s="363" t="str">
        <f t="shared" si="432"/>
        <v/>
      </c>
      <c r="C3500" s="405" t="str">
        <f t="shared" si="433"/>
        <v/>
      </c>
      <c r="D3500" s="405">
        <f t="shared" si="434"/>
        <v>0</v>
      </c>
      <c r="E3500" s="405" t="str">
        <f t="shared" si="435"/>
        <v/>
      </c>
      <c r="F3500" s="405">
        <f t="shared" si="436"/>
        <v>0</v>
      </c>
      <c r="G3500" s="405">
        <f t="shared" si="437"/>
        <v>0</v>
      </c>
      <c r="H3500" s="405">
        <f t="shared" si="438"/>
        <v>0</v>
      </c>
    </row>
    <row r="3501" spans="1:8">
      <c r="A3501" s="363" t="str">
        <f t="shared" si="439"/>
        <v/>
      </c>
      <c r="B3501" s="363" t="str">
        <f t="shared" si="432"/>
        <v/>
      </c>
      <c r="C3501" s="405" t="str">
        <f t="shared" si="433"/>
        <v/>
      </c>
      <c r="D3501" s="405">
        <f t="shared" si="434"/>
        <v>0</v>
      </c>
      <c r="E3501" s="405" t="str">
        <f t="shared" si="435"/>
        <v/>
      </c>
      <c r="F3501" s="405">
        <f t="shared" si="436"/>
        <v>0</v>
      </c>
      <c r="G3501" s="405">
        <f t="shared" si="437"/>
        <v>0</v>
      </c>
      <c r="H3501" s="405">
        <f t="shared" si="438"/>
        <v>0</v>
      </c>
    </row>
    <row r="3502" spans="1:8">
      <c r="A3502" s="363" t="str">
        <f t="shared" si="439"/>
        <v/>
      </c>
      <c r="B3502" s="363" t="str">
        <f t="shared" si="432"/>
        <v/>
      </c>
      <c r="C3502" s="405" t="str">
        <f t="shared" si="433"/>
        <v/>
      </c>
      <c r="D3502" s="405">
        <f t="shared" si="434"/>
        <v>0</v>
      </c>
      <c r="E3502" s="405" t="str">
        <f t="shared" si="435"/>
        <v/>
      </c>
      <c r="F3502" s="405">
        <f t="shared" si="436"/>
        <v>0</v>
      </c>
      <c r="G3502" s="405">
        <f t="shared" si="437"/>
        <v>0</v>
      </c>
      <c r="H3502" s="405">
        <f t="shared" si="438"/>
        <v>0</v>
      </c>
    </row>
    <row r="3503" spans="1:8">
      <c r="A3503" s="363" t="str">
        <f t="shared" si="439"/>
        <v/>
      </c>
      <c r="B3503" s="363" t="str">
        <f t="shared" si="432"/>
        <v/>
      </c>
      <c r="C3503" s="405" t="str">
        <f t="shared" si="433"/>
        <v/>
      </c>
      <c r="D3503" s="405">
        <f t="shared" si="434"/>
        <v>0</v>
      </c>
      <c r="E3503" s="405" t="str">
        <f t="shared" si="435"/>
        <v/>
      </c>
      <c r="F3503" s="405">
        <f t="shared" si="436"/>
        <v>0</v>
      </c>
      <c r="G3503" s="405">
        <f t="shared" si="437"/>
        <v>0</v>
      </c>
      <c r="H3503" s="405">
        <f t="shared" si="438"/>
        <v>0</v>
      </c>
    </row>
    <row r="3504" spans="1:8">
      <c r="A3504" s="363" t="str">
        <f t="shared" si="439"/>
        <v/>
      </c>
      <c r="B3504" s="363" t="str">
        <f t="shared" si="432"/>
        <v/>
      </c>
      <c r="C3504" s="405" t="str">
        <f t="shared" si="433"/>
        <v/>
      </c>
      <c r="D3504" s="405">
        <f t="shared" si="434"/>
        <v>0</v>
      </c>
      <c r="E3504" s="405" t="str">
        <f t="shared" si="435"/>
        <v/>
      </c>
      <c r="F3504" s="405">
        <f t="shared" si="436"/>
        <v>0</v>
      </c>
      <c r="G3504" s="405">
        <f t="shared" si="437"/>
        <v>0</v>
      </c>
      <c r="H3504" s="405">
        <f t="shared" si="438"/>
        <v>0</v>
      </c>
    </row>
    <row r="3505" spans="1:8">
      <c r="A3505" s="363" t="str">
        <f t="shared" si="439"/>
        <v/>
      </c>
      <c r="B3505" s="363" t="str">
        <f t="shared" si="432"/>
        <v/>
      </c>
      <c r="C3505" s="405" t="str">
        <f t="shared" si="433"/>
        <v/>
      </c>
      <c r="D3505" s="405">
        <f t="shared" si="434"/>
        <v>0</v>
      </c>
      <c r="E3505" s="405" t="str">
        <f t="shared" si="435"/>
        <v/>
      </c>
      <c r="F3505" s="405">
        <f t="shared" si="436"/>
        <v>0</v>
      </c>
      <c r="G3505" s="405">
        <f t="shared" si="437"/>
        <v>0</v>
      </c>
      <c r="H3505" s="405">
        <f t="shared" si="438"/>
        <v>0</v>
      </c>
    </row>
    <row r="3506" spans="1:8">
      <c r="A3506" s="363" t="str">
        <f t="shared" si="439"/>
        <v/>
      </c>
      <c r="B3506" s="363" t="str">
        <f t="shared" si="432"/>
        <v/>
      </c>
      <c r="C3506" s="405" t="str">
        <f t="shared" si="433"/>
        <v/>
      </c>
      <c r="D3506" s="405">
        <f t="shared" si="434"/>
        <v>0</v>
      </c>
      <c r="E3506" s="405" t="str">
        <f t="shared" si="435"/>
        <v/>
      </c>
      <c r="F3506" s="405">
        <f t="shared" si="436"/>
        <v>0</v>
      </c>
      <c r="G3506" s="405">
        <f t="shared" si="437"/>
        <v>0</v>
      </c>
      <c r="H3506" s="405">
        <f t="shared" si="438"/>
        <v>0</v>
      </c>
    </row>
    <row r="3507" spans="1:8">
      <c r="A3507" s="363" t="str">
        <f t="shared" si="439"/>
        <v/>
      </c>
      <c r="B3507" s="363" t="str">
        <f t="shared" si="432"/>
        <v/>
      </c>
      <c r="C3507" s="405" t="str">
        <f t="shared" si="433"/>
        <v/>
      </c>
      <c r="D3507" s="405">
        <f t="shared" si="434"/>
        <v>0</v>
      </c>
      <c r="E3507" s="405" t="str">
        <f t="shared" si="435"/>
        <v/>
      </c>
      <c r="F3507" s="405">
        <f t="shared" si="436"/>
        <v>0</v>
      </c>
      <c r="G3507" s="405">
        <f t="shared" si="437"/>
        <v>0</v>
      </c>
      <c r="H3507" s="405">
        <f t="shared" si="438"/>
        <v>0</v>
      </c>
    </row>
    <row r="3508" spans="1:8">
      <c r="A3508" s="363" t="str">
        <f t="shared" si="439"/>
        <v/>
      </c>
      <c r="B3508" s="363" t="str">
        <f t="shared" si="432"/>
        <v/>
      </c>
      <c r="C3508" s="405" t="str">
        <f t="shared" si="433"/>
        <v/>
      </c>
      <c r="D3508" s="405">
        <f t="shared" si="434"/>
        <v>0</v>
      </c>
      <c r="E3508" s="405" t="str">
        <f t="shared" si="435"/>
        <v/>
      </c>
      <c r="F3508" s="405">
        <f t="shared" si="436"/>
        <v>0</v>
      </c>
      <c r="G3508" s="405">
        <f t="shared" si="437"/>
        <v>0</v>
      </c>
      <c r="H3508" s="405">
        <f t="shared" si="438"/>
        <v>0</v>
      </c>
    </row>
    <row r="3509" spans="1:8">
      <c r="A3509" s="363" t="str">
        <f t="shared" si="439"/>
        <v/>
      </c>
      <c r="B3509" s="363" t="str">
        <f t="shared" si="432"/>
        <v/>
      </c>
      <c r="C3509" s="405" t="str">
        <f t="shared" si="433"/>
        <v/>
      </c>
      <c r="D3509" s="405">
        <f t="shared" si="434"/>
        <v>0</v>
      </c>
      <c r="E3509" s="405" t="str">
        <f t="shared" si="435"/>
        <v/>
      </c>
      <c r="F3509" s="405">
        <f t="shared" si="436"/>
        <v>0</v>
      </c>
      <c r="G3509" s="405">
        <f t="shared" si="437"/>
        <v>0</v>
      </c>
      <c r="H3509" s="405">
        <f t="shared" si="438"/>
        <v>0</v>
      </c>
    </row>
    <row r="3510" spans="1:8">
      <c r="A3510" s="363" t="str">
        <f t="shared" si="439"/>
        <v/>
      </c>
      <c r="B3510" s="363" t="str">
        <f t="shared" si="432"/>
        <v/>
      </c>
      <c r="C3510" s="405" t="str">
        <f t="shared" si="433"/>
        <v/>
      </c>
      <c r="D3510" s="405">
        <f t="shared" si="434"/>
        <v>0</v>
      </c>
      <c r="E3510" s="405" t="str">
        <f t="shared" si="435"/>
        <v/>
      </c>
      <c r="F3510" s="405">
        <f t="shared" si="436"/>
        <v>0</v>
      </c>
      <c r="G3510" s="405">
        <f t="shared" si="437"/>
        <v>0</v>
      </c>
      <c r="H3510" s="405">
        <f t="shared" si="438"/>
        <v>0</v>
      </c>
    </row>
    <row r="3511" spans="1:8">
      <c r="A3511" s="363" t="str">
        <f t="shared" si="439"/>
        <v/>
      </c>
      <c r="B3511" s="363" t="str">
        <f t="shared" si="432"/>
        <v/>
      </c>
      <c r="C3511" s="405" t="str">
        <f t="shared" si="433"/>
        <v/>
      </c>
      <c r="D3511" s="405">
        <f t="shared" si="434"/>
        <v>0</v>
      </c>
      <c r="E3511" s="405" t="str">
        <f t="shared" si="435"/>
        <v/>
      </c>
      <c r="F3511" s="405">
        <f t="shared" si="436"/>
        <v>0</v>
      </c>
      <c r="G3511" s="405">
        <f t="shared" si="437"/>
        <v>0</v>
      </c>
      <c r="H3511" s="405">
        <f t="shared" si="438"/>
        <v>0</v>
      </c>
    </row>
    <row r="3512" spans="1:8">
      <c r="A3512" s="363" t="str">
        <f t="shared" si="439"/>
        <v/>
      </c>
      <c r="B3512" s="363" t="str">
        <f t="shared" si="432"/>
        <v/>
      </c>
      <c r="C3512" s="405" t="str">
        <f t="shared" si="433"/>
        <v/>
      </c>
      <c r="D3512" s="405">
        <f t="shared" si="434"/>
        <v>0</v>
      </c>
      <c r="E3512" s="405" t="str">
        <f t="shared" si="435"/>
        <v/>
      </c>
      <c r="F3512" s="405">
        <f t="shared" si="436"/>
        <v>0</v>
      </c>
      <c r="G3512" s="405">
        <f t="shared" si="437"/>
        <v>0</v>
      </c>
      <c r="H3512" s="405">
        <f t="shared" si="438"/>
        <v>0</v>
      </c>
    </row>
    <row r="3513" spans="1:8">
      <c r="A3513" s="363" t="str">
        <f t="shared" si="439"/>
        <v/>
      </c>
      <c r="B3513" s="363" t="str">
        <f t="shared" si="432"/>
        <v/>
      </c>
      <c r="C3513" s="405" t="str">
        <f t="shared" si="433"/>
        <v/>
      </c>
      <c r="D3513" s="405">
        <f t="shared" si="434"/>
        <v>0</v>
      </c>
      <c r="E3513" s="405" t="str">
        <f t="shared" si="435"/>
        <v/>
      </c>
      <c r="F3513" s="405">
        <f t="shared" si="436"/>
        <v>0</v>
      </c>
      <c r="G3513" s="405">
        <f t="shared" si="437"/>
        <v>0</v>
      </c>
      <c r="H3513" s="405">
        <f t="shared" si="438"/>
        <v>0</v>
      </c>
    </row>
    <row r="3514" spans="1:8">
      <c r="A3514" s="363" t="str">
        <f t="shared" si="439"/>
        <v/>
      </c>
      <c r="B3514" s="363" t="str">
        <f t="shared" si="432"/>
        <v/>
      </c>
      <c r="C3514" s="405" t="str">
        <f t="shared" si="433"/>
        <v/>
      </c>
      <c r="D3514" s="405">
        <f t="shared" si="434"/>
        <v>0</v>
      </c>
      <c r="E3514" s="405" t="str">
        <f t="shared" si="435"/>
        <v/>
      </c>
      <c r="F3514" s="405">
        <f t="shared" si="436"/>
        <v>0</v>
      </c>
      <c r="G3514" s="405">
        <f t="shared" si="437"/>
        <v>0</v>
      </c>
      <c r="H3514" s="405">
        <f t="shared" si="438"/>
        <v>0</v>
      </c>
    </row>
    <row r="3515" spans="1:8">
      <c r="A3515" s="363" t="str">
        <f t="shared" si="439"/>
        <v/>
      </c>
      <c r="B3515" s="363" t="str">
        <f t="shared" si="432"/>
        <v/>
      </c>
      <c r="C3515" s="405" t="str">
        <f t="shared" si="433"/>
        <v/>
      </c>
      <c r="D3515" s="405">
        <f t="shared" si="434"/>
        <v>0</v>
      </c>
      <c r="E3515" s="405" t="str">
        <f t="shared" si="435"/>
        <v/>
      </c>
      <c r="F3515" s="405">
        <f t="shared" si="436"/>
        <v>0</v>
      </c>
      <c r="G3515" s="405">
        <f t="shared" si="437"/>
        <v>0</v>
      </c>
      <c r="H3515" s="405">
        <f t="shared" si="438"/>
        <v>0</v>
      </c>
    </row>
    <row r="3516" spans="1:8">
      <c r="A3516" s="363" t="str">
        <f t="shared" si="439"/>
        <v/>
      </c>
      <c r="B3516" s="363" t="str">
        <f t="shared" si="432"/>
        <v/>
      </c>
      <c r="C3516" s="405" t="str">
        <f t="shared" si="433"/>
        <v/>
      </c>
      <c r="D3516" s="405">
        <f t="shared" si="434"/>
        <v>0</v>
      </c>
      <c r="E3516" s="405" t="str">
        <f t="shared" si="435"/>
        <v/>
      </c>
      <c r="F3516" s="405">
        <f t="shared" si="436"/>
        <v>0</v>
      </c>
      <c r="G3516" s="405">
        <f t="shared" si="437"/>
        <v>0</v>
      </c>
      <c r="H3516" s="405">
        <f t="shared" si="438"/>
        <v>0</v>
      </c>
    </row>
    <row r="3517" spans="1:8">
      <c r="A3517" s="363" t="str">
        <f t="shared" si="439"/>
        <v/>
      </c>
      <c r="B3517" s="363" t="str">
        <f t="shared" si="432"/>
        <v/>
      </c>
      <c r="C3517" s="405" t="str">
        <f t="shared" si="433"/>
        <v/>
      </c>
      <c r="D3517" s="405">
        <f t="shared" si="434"/>
        <v>0</v>
      </c>
      <c r="E3517" s="405" t="str">
        <f t="shared" si="435"/>
        <v/>
      </c>
      <c r="F3517" s="405">
        <f t="shared" si="436"/>
        <v>0</v>
      </c>
      <c r="G3517" s="405">
        <f t="shared" si="437"/>
        <v>0</v>
      </c>
      <c r="H3517" s="405">
        <f t="shared" si="438"/>
        <v>0</v>
      </c>
    </row>
    <row r="3518" spans="1:8">
      <c r="A3518" s="363" t="str">
        <f t="shared" si="439"/>
        <v/>
      </c>
      <c r="B3518" s="363" t="str">
        <f t="shared" si="432"/>
        <v/>
      </c>
      <c r="C3518" s="405" t="str">
        <f t="shared" si="433"/>
        <v/>
      </c>
      <c r="D3518" s="405">
        <f t="shared" si="434"/>
        <v>0</v>
      </c>
      <c r="E3518" s="405" t="str">
        <f t="shared" si="435"/>
        <v/>
      </c>
      <c r="F3518" s="405">
        <f t="shared" si="436"/>
        <v>0</v>
      </c>
      <c r="G3518" s="405">
        <f t="shared" si="437"/>
        <v>0</v>
      </c>
      <c r="H3518" s="405">
        <f t="shared" si="438"/>
        <v>0</v>
      </c>
    </row>
    <row r="3519" spans="1:8">
      <c r="A3519" s="363" t="str">
        <f t="shared" si="439"/>
        <v/>
      </c>
      <c r="B3519" s="363" t="str">
        <f t="shared" si="432"/>
        <v/>
      </c>
      <c r="C3519" s="405" t="str">
        <f t="shared" si="433"/>
        <v/>
      </c>
      <c r="D3519" s="405">
        <f t="shared" si="434"/>
        <v>0</v>
      </c>
      <c r="E3519" s="405" t="str">
        <f t="shared" si="435"/>
        <v/>
      </c>
      <c r="F3519" s="405">
        <f t="shared" si="436"/>
        <v>0</v>
      </c>
      <c r="G3519" s="405">
        <f t="shared" si="437"/>
        <v>0</v>
      </c>
      <c r="H3519" s="405">
        <f t="shared" si="438"/>
        <v>0</v>
      </c>
    </row>
    <row r="3520" spans="1:8">
      <c r="A3520" s="363" t="str">
        <f t="shared" si="439"/>
        <v/>
      </c>
      <c r="B3520" s="363" t="str">
        <f t="shared" si="432"/>
        <v/>
      </c>
      <c r="C3520" s="405" t="str">
        <f t="shared" si="433"/>
        <v/>
      </c>
      <c r="D3520" s="405">
        <f t="shared" si="434"/>
        <v>0</v>
      </c>
      <c r="E3520" s="405" t="str">
        <f t="shared" si="435"/>
        <v/>
      </c>
      <c r="F3520" s="405">
        <f t="shared" si="436"/>
        <v>0</v>
      </c>
      <c r="G3520" s="405">
        <f t="shared" si="437"/>
        <v>0</v>
      </c>
      <c r="H3520" s="405">
        <f t="shared" si="438"/>
        <v>0</v>
      </c>
    </row>
    <row r="3521" spans="1:8">
      <c r="A3521" s="363" t="str">
        <f t="shared" si="439"/>
        <v/>
      </c>
      <c r="B3521" s="363" t="str">
        <f t="shared" si="432"/>
        <v/>
      </c>
      <c r="C3521" s="405" t="str">
        <f t="shared" si="433"/>
        <v/>
      </c>
      <c r="D3521" s="405">
        <f t="shared" si="434"/>
        <v>0</v>
      </c>
      <c r="E3521" s="405" t="str">
        <f t="shared" si="435"/>
        <v/>
      </c>
      <c r="F3521" s="405">
        <f t="shared" si="436"/>
        <v>0</v>
      </c>
      <c r="G3521" s="405">
        <f t="shared" si="437"/>
        <v>0</v>
      </c>
      <c r="H3521" s="405">
        <f t="shared" si="438"/>
        <v>0</v>
      </c>
    </row>
    <row r="3522" spans="1:8">
      <c r="A3522" s="363" t="str">
        <f t="shared" si="439"/>
        <v/>
      </c>
      <c r="B3522" s="363" t="str">
        <f t="shared" ref="B3522:B3585" si="440">LEFT(L3522,2)</f>
        <v/>
      </c>
      <c r="C3522" s="405" t="str">
        <f t="shared" ref="C3522:C3585" si="441">IF(B3522="","","第"&amp;RIGHT(L3522,6)&amp;"号")</f>
        <v/>
      </c>
      <c r="D3522" s="405">
        <f t="shared" ref="D3522:D3585" si="442">N3522</f>
        <v>0</v>
      </c>
      <c r="E3522" s="405" t="str">
        <f t="shared" ref="E3522:E3585" si="443">IF(V3522="　",O3522,"")</f>
        <v/>
      </c>
      <c r="F3522" s="405">
        <f t="shared" ref="F3522:F3585" si="444">IF(V3522="　",P3522,W3522)</f>
        <v>0</v>
      </c>
      <c r="G3522" s="405">
        <f t="shared" ref="G3522:G3585" si="445">IF(V3522="　","主たる営業所",V3522)</f>
        <v>0</v>
      </c>
      <c r="H3522" s="405">
        <f t="shared" ref="H3522:H3585" si="446">IF(V3522="　",R3522,Y3522)</f>
        <v>0</v>
      </c>
    </row>
    <row r="3523" spans="1:8">
      <c r="A3523" s="363" t="str">
        <f t="shared" ref="A3523:A3586" si="447">IF(B3523="","",A3522+1)</f>
        <v/>
      </c>
      <c r="B3523" s="363" t="str">
        <f t="shared" si="440"/>
        <v/>
      </c>
      <c r="C3523" s="405" t="str">
        <f t="shared" si="441"/>
        <v/>
      </c>
      <c r="D3523" s="405">
        <f t="shared" si="442"/>
        <v>0</v>
      </c>
      <c r="E3523" s="405" t="str">
        <f t="shared" si="443"/>
        <v/>
      </c>
      <c r="F3523" s="405">
        <f t="shared" si="444"/>
        <v>0</v>
      </c>
      <c r="G3523" s="405">
        <f t="shared" si="445"/>
        <v>0</v>
      </c>
      <c r="H3523" s="405">
        <f t="shared" si="446"/>
        <v>0</v>
      </c>
    </row>
    <row r="3524" spans="1:8">
      <c r="A3524" s="363" t="str">
        <f t="shared" si="447"/>
        <v/>
      </c>
      <c r="B3524" s="363" t="str">
        <f t="shared" si="440"/>
        <v/>
      </c>
      <c r="C3524" s="405" t="str">
        <f t="shared" si="441"/>
        <v/>
      </c>
      <c r="D3524" s="405">
        <f t="shared" si="442"/>
        <v>0</v>
      </c>
      <c r="E3524" s="405" t="str">
        <f t="shared" si="443"/>
        <v/>
      </c>
      <c r="F3524" s="405">
        <f t="shared" si="444"/>
        <v>0</v>
      </c>
      <c r="G3524" s="405">
        <f t="shared" si="445"/>
        <v>0</v>
      </c>
      <c r="H3524" s="405">
        <f t="shared" si="446"/>
        <v>0</v>
      </c>
    </row>
    <row r="3525" spans="1:8">
      <c r="A3525" s="363" t="str">
        <f t="shared" si="447"/>
        <v/>
      </c>
      <c r="B3525" s="363" t="str">
        <f t="shared" si="440"/>
        <v/>
      </c>
      <c r="C3525" s="405" t="str">
        <f t="shared" si="441"/>
        <v/>
      </c>
      <c r="D3525" s="405">
        <f t="shared" si="442"/>
        <v>0</v>
      </c>
      <c r="E3525" s="405" t="str">
        <f t="shared" si="443"/>
        <v/>
      </c>
      <c r="F3525" s="405">
        <f t="shared" si="444"/>
        <v>0</v>
      </c>
      <c r="G3525" s="405">
        <f t="shared" si="445"/>
        <v>0</v>
      </c>
      <c r="H3525" s="405">
        <f t="shared" si="446"/>
        <v>0</v>
      </c>
    </row>
    <row r="3526" spans="1:8">
      <c r="A3526" s="363" t="str">
        <f t="shared" si="447"/>
        <v/>
      </c>
      <c r="B3526" s="363" t="str">
        <f t="shared" si="440"/>
        <v/>
      </c>
      <c r="C3526" s="405" t="str">
        <f t="shared" si="441"/>
        <v/>
      </c>
      <c r="D3526" s="405">
        <f t="shared" si="442"/>
        <v>0</v>
      </c>
      <c r="E3526" s="405" t="str">
        <f t="shared" si="443"/>
        <v/>
      </c>
      <c r="F3526" s="405">
        <f t="shared" si="444"/>
        <v>0</v>
      </c>
      <c r="G3526" s="405">
        <f t="shared" si="445"/>
        <v>0</v>
      </c>
      <c r="H3526" s="405">
        <f t="shared" si="446"/>
        <v>0</v>
      </c>
    </row>
    <row r="3527" spans="1:8">
      <c r="A3527" s="363" t="str">
        <f t="shared" si="447"/>
        <v/>
      </c>
      <c r="B3527" s="363" t="str">
        <f t="shared" si="440"/>
        <v/>
      </c>
      <c r="C3527" s="405" t="str">
        <f t="shared" si="441"/>
        <v/>
      </c>
      <c r="D3527" s="405">
        <f t="shared" si="442"/>
        <v>0</v>
      </c>
      <c r="E3527" s="405" t="str">
        <f t="shared" si="443"/>
        <v/>
      </c>
      <c r="F3527" s="405">
        <f t="shared" si="444"/>
        <v>0</v>
      </c>
      <c r="G3527" s="405">
        <f t="shared" si="445"/>
        <v>0</v>
      </c>
      <c r="H3527" s="405">
        <f t="shared" si="446"/>
        <v>0</v>
      </c>
    </row>
    <row r="3528" spans="1:8">
      <c r="A3528" s="363" t="str">
        <f t="shared" si="447"/>
        <v/>
      </c>
      <c r="B3528" s="363" t="str">
        <f t="shared" si="440"/>
        <v/>
      </c>
      <c r="C3528" s="405" t="str">
        <f t="shared" si="441"/>
        <v/>
      </c>
      <c r="D3528" s="405">
        <f t="shared" si="442"/>
        <v>0</v>
      </c>
      <c r="E3528" s="405" t="str">
        <f t="shared" si="443"/>
        <v/>
      </c>
      <c r="F3528" s="405">
        <f t="shared" si="444"/>
        <v>0</v>
      </c>
      <c r="G3528" s="405">
        <f t="shared" si="445"/>
        <v>0</v>
      </c>
      <c r="H3528" s="405">
        <f t="shared" si="446"/>
        <v>0</v>
      </c>
    </row>
    <row r="3529" spans="1:8">
      <c r="A3529" s="363" t="str">
        <f t="shared" si="447"/>
        <v/>
      </c>
      <c r="B3529" s="363" t="str">
        <f t="shared" si="440"/>
        <v/>
      </c>
      <c r="C3529" s="405" t="str">
        <f t="shared" si="441"/>
        <v/>
      </c>
      <c r="D3529" s="405">
        <f t="shared" si="442"/>
        <v>0</v>
      </c>
      <c r="E3529" s="405" t="str">
        <f t="shared" si="443"/>
        <v/>
      </c>
      <c r="F3529" s="405">
        <f t="shared" si="444"/>
        <v>0</v>
      </c>
      <c r="G3529" s="405">
        <f t="shared" si="445"/>
        <v>0</v>
      </c>
      <c r="H3529" s="405">
        <f t="shared" si="446"/>
        <v>0</v>
      </c>
    </row>
    <row r="3530" spans="1:8">
      <c r="A3530" s="363" t="str">
        <f t="shared" si="447"/>
        <v/>
      </c>
      <c r="B3530" s="363" t="str">
        <f t="shared" si="440"/>
        <v/>
      </c>
      <c r="C3530" s="405" t="str">
        <f t="shared" si="441"/>
        <v/>
      </c>
      <c r="D3530" s="405">
        <f t="shared" si="442"/>
        <v>0</v>
      </c>
      <c r="E3530" s="405" t="str">
        <f t="shared" si="443"/>
        <v/>
      </c>
      <c r="F3530" s="405">
        <f t="shared" si="444"/>
        <v>0</v>
      </c>
      <c r="G3530" s="405">
        <f t="shared" si="445"/>
        <v>0</v>
      </c>
      <c r="H3530" s="405">
        <f t="shared" si="446"/>
        <v>0</v>
      </c>
    </row>
    <row r="3531" spans="1:8">
      <c r="A3531" s="363" t="str">
        <f t="shared" si="447"/>
        <v/>
      </c>
      <c r="B3531" s="363" t="str">
        <f t="shared" si="440"/>
        <v/>
      </c>
      <c r="C3531" s="405" t="str">
        <f t="shared" si="441"/>
        <v/>
      </c>
      <c r="D3531" s="405">
        <f t="shared" si="442"/>
        <v>0</v>
      </c>
      <c r="E3531" s="405" t="str">
        <f t="shared" si="443"/>
        <v/>
      </c>
      <c r="F3531" s="405">
        <f t="shared" si="444"/>
        <v>0</v>
      </c>
      <c r="G3531" s="405">
        <f t="shared" si="445"/>
        <v>0</v>
      </c>
      <c r="H3531" s="405">
        <f t="shared" si="446"/>
        <v>0</v>
      </c>
    </row>
    <row r="3532" spans="1:8">
      <c r="A3532" s="363" t="str">
        <f t="shared" si="447"/>
        <v/>
      </c>
      <c r="B3532" s="363" t="str">
        <f t="shared" si="440"/>
        <v/>
      </c>
      <c r="C3532" s="405" t="str">
        <f t="shared" si="441"/>
        <v/>
      </c>
      <c r="D3532" s="405">
        <f t="shared" si="442"/>
        <v>0</v>
      </c>
      <c r="E3532" s="405" t="str">
        <f t="shared" si="443"/>
        <v/>
      </c>
      <c r="F3532" s="405">
        <f t="shared" si="444"/>
        <v>0</v>
      </c>
      <c r="G3532" s="405">
        <f t="shared" si="445"/>
        <v>0</v>
      </c>
      <c r="H3532" s="405">
        <f t="shared" si="446"/>
        <v>0</v>
      </c>
    </row>
    <row r="3533" spans="1:8">
      <c r="A3533" s="363" t="str">
        <f t="shared" si="447"/>
        <v/>
      </c>
      <c r="B3533" s="363" t="str">
        <f t="shared" si="440"/>
        <v/>
      </c>
      <c r="C3533" s="405" t="str">
        <f t="shared" si="441"/>
        <v/>
      </c>
      <c r="D3533" s="405">
        <f t="shared" si="442"/>
        <v>0</v>
      </c>
      <c r="E3533" s="405" t="str">
        <f t="shared" si="443"/>
        <v/>
      </c>
      <c r="F3533" s="405">
        <f t="shared" si="444"/>
        <v>0</v>
      </c>
      <c r="G3533" s="405">
        <f t="shared" si="445"/>
        <v>0</v>
      </c>
      <c r="H3533" s="405">
        <f t="shared" si="446"/>
        <v>0</v>
      </c>
    </row>
    <row r="3534" spans="1:8">
      <c r="A3534" s="363" t="str">
        <f t="shared" si="447"/>
        <v/>
      </c>
      <c r="B3534" s="363" t="str">
        <f t="shared" si="440"/>
        <v/>
      </c>
      <c r="C3534" s="405" t="str">
        <f t="shared" si="441"/>
        <v/>
      </c>
      <c r="D3534" s="405">
        <f t="shared" si="442"/>
        <v>0</v>
      </c>
      <c r="E3534" s="405" t="str">
        <f t="shared" si="443"/>
        <v/>
      </c>
      <c r="F3534" s="405">
        <f t="shared" si="444"/>
        <v>0</v>
      </c>
      <c r="G3534" s="405">
        <f t="shared" si="445"/>
        <v>0</v>
      </c>
      <c r="H3534" s="405">
        <f t="shared" si="446"/>
        <v>0</v>
      </c>
    </row>
    <row r="3535" spans="1:8">
      <c r="A3535" s="363" t="str">
        <f t="shared" si="447"/>
        <v/>
      </c>
      <c r="B3535" s="363" t="str">
        <f t="shared" si="440"/>
        <v/>
      </c>
      <c r="C3535" s="405" t="str">
        <f t="shared" si="441"/>
        <v/>
      </c>
      <c r="D3535" s="405">
        <f t="shared" si="442"/>
        <v>0</v>
      </c>
      <c r="E3535" s="405" t="str">
        <f t="shared" si="443"/>
        <v/>
      </c>
      <c r="F3535" s="405">
        <f t="shared" si="444"/>
        <v>0</v>
      </c>
      <c r="G3535" s="405">
        <f t="shared" si="445"/>
        <v>0</v>
      </c>
      <c r="H3535" s="405">
        <f t="shared" si="446"/>
        <v>0</v>
      </c>
    </row>
    <row r="3536" spans="1:8">
      <c r="A3536" s="363" t="str">
        <f t="shared" si="447"/>
        <v/>
      </c>
      <c r="B3536" s="363" t="str">
        <f t="shared" si="440"/>
        <v/>
      </c>
      <c r="C3536" s="405" t="str">
        <f t="shared" si="441"/>
        <v/>
      </c>
      <c r="D3536" s="405">
        <f t="shared" si="442"/>
        <v>0</v>
      </c>
      <c r="E3536" s="405" t="str">
        <f t="shared" si="443"/>
        <v/>
      </c>
      <c r="F3536" s="405">
        <f t="shared" si="444"/>
        <v>0</v>
      </c>
      <c r="G3536" s="405">
        <f t="shared" si="445"/>
        <v>0</v>
      </c>
      <c r="H3536" s="405">
        <f t="shared" si="446"/>
        <v>0</v>
      </c>
    </row>
    <row r="3537" spans="1:8">
      <c r="A3537" s="363" t="str">
        <f t="shared" si="447"/>
        <v/>
      </c>
      <c r="B3537" s="363" t="str">
        <f t="shared" si="440"/>
        <v/>
      </c>
      <c r="C3537" s="405" t="str">
        <f t="shared" si="441"/>
        <v/>
      </c>
      <c r="D3537" s="405">
        <f t="shared" si="442"/>
        <v>0</v>
      </c>
      <c r="E3537" s="405" t="str">
        <f t="shared" si="443"/>
        <v/>
      </c>
      <c r="F3537" s="405">
        <f t="shared" si="444"/>
        <v>0</v>
      </c>
      <c r="G3537" s="405">
        <f t="shared" si="445"/>
        <v>0</v>
      </c>
      <c r="H3537" s="405">
        <f t="shared" si="446"/>
        <v>0</v>
      </c>
    </row>
    <row r="3538" spans="1:8">
      <c r="A3538" s="363" t="str">
        <f t="shared" si="447"/>
        <v/>
      </c>
      <c r="B3538" s="363" t="str">
        <f t="shared" si="440"/>
        <v/>
      </c>
      <c r="C3538" s="405" t="str">
        <f t="shared" si="441"/>
        <v/>
      </c>
      <c r="D3538" s="405">
        <f t="shared" si="442"/>
        <v>0</v>
      </c>
      <c r="E3538" s="405" t="str">
        <f t="shared" si="443"/>
        <v/>
      </c>
      <c r="F3538" s="405">
        <f t="shared" si="444"/>
        <v>0</v>
      </c>
      <c r="G3538" s="405">
        <f t="shared" si="445"/>
        <v>0</v>
      </c>
      <c r="H3538" s="405">
        <f t="shared" si="446"/>
        <v>0</v>
      </c>
    </row>
    <row r="3539" spans="1:8">
      <c r="A3539" s="363" t="str">
        <f t="shared" si="447"/>
        <v/>
      </c>
      <c r="B3539" s="363" t="str">
        <f t="shared" si="440"/>
        <v/>
      </c>
      <c r="C3539" s="405" t="str">
        <f t="shared" si="441"/>
        <v/>
      </c>
      <c r="D3539" s="405">
        <f t="shared" si="442"/>
        <v>0</v>
      </c>
      <c r="E3539" s="405" t="str">
        <f t="shared" si="443"/>
        <v/>
      </c>
      <c r="F3539" s="405">
        <f t="shared" si="444"/>
        <v>0</v>
      </c>
      <c r="G3539" s="405">
        <f t="shared" si="445"/>
        <v>0</v>
      </c>
      <c r="H3539" s="405">
        <f t="shared" si="446"/>
        <v>0</v>
      </c>
    </row>
    <row r="3540" spans="1:8">
      <c r="A3540" s="363" t="str">
        <f t="shared" si="447"/>
        <v/>
      </c>
      <c r="B3540" s="363" t="str">
        <f t="shared" si="440"/>
        <v/>
      </c>
      <c r="C3540" s="405" t="str">
        <f t="shared" si="441"/>
        <v/>
      </c>
      <c r="D3540" s="405">
        <f t="shared" si="442"/>
        <v>0</v>
      </c>
      <c r="E3540" s="405" t="str">
        <f t="shared" si="443"/>
        <v/>
      </c>
      <c r="F3540" s="405">
        <f t="shared" si="444"/>
        <v>0</v>
      </c>
      <c r="G3540" s="405">
        <f t="shared" si="445"/>
        <v>0</v>
      </c>
      <c r="H3540" s="405">
        <f t="shared" si="446"/>
        <v>0</v>
      </c>
    </row>
    <row r="3541" spans="1:8">
      <c r="A3541" s="363" t="str">
        <f t="shared" si="447"/>
        <v/>
      </c>
      <c r="B3541" s="363" t="str">
        <f t="shared" si="440"/>
        <v/>
      </c>
      <c r="C3541" s="405" t="str">
        <f t="shared" si="441"/>
        <v/>
      </c>
      <c r="D3541" s="405">
        <f t="shared" si="442"/>
        <v>0</v>
      </c>
      <c r="E3541" s="405" t="str">
        <f t="shared" si="443"/>
        <v/>
      </c>
      <c r="F3541" s="405">
        <f t="shared" si="444"/>
        <v>0</v>
      </c>
      <c r="G3541" s="405">
        <f t="shared" si="445"/>
        <v>0</v>
      </c>
      <c r="H3541" s="405">
        <f t="shared" si="446"/>
        <v>0</v>
      </c>
    </row>
    <row r="3542" spans="1:8">
      <c r="A3542" s="363" t="str">
        <f t="shared" si="447"/>
        <v/>
      </c>
      <c r="B3542" s="363" t="str">
        <f t="shared" si="440"/>
        <v/>
      </c>
      <c r="C3542" s="405" t="str">
        <f t="shared" si="441"/>
        <v/>
      </c>
      <c r="D3542" s="405">
        <f t="shared" si="442"/>
        <v>0</v>
      </c>
      <c r="E3542" s="405" t="str">
        <f t="shared" si="443"/>
        <v/>
      </c>
      <c r="F3542" s="405">
        <f t="shared" si="444"/>
        <v>0</v>
      </c>
      <c r="G3542" s="405">
        <f t="shared" si="445"/>
        <v>0</v>
      </c>
      <c r="H3542" s="405">
        <f t="shared" si="446"/>
        <v>0</v>
      </c>
    </row>
    <row r="3543" spans="1:8">
      <c r="A3543" s="363" t="str">
        <f t="shared" si="447"/>
        <v/>
      </c>
      <c r="B3543" s="363" t="str">
        <f t="shared" si="440"/>
        <v/>
      </c>
      <c r="C3543" s="405" t="str">
        <f t="shared" si="441"/>
        <v/>
      </c>
      <c r="D3543" s="405">
        <f t="shared" si="442"/>
        <v>0</v>
      </c>
      <c r="E3543" s="405" t="str">
        <f t="shared" si="443"/>
        <v/>
      </c>
      <c r="F3543" s="405">
        <f t="shared" si="444"/>
        <v>0</v>
      </c>
      <c r="G3543" s="405">
        <f t="shared" si="445"/>
        <v>0</v>
      </c>
      <c r="H3543" s="405">
        <f t="shared" si="446"/>
        <v>0</v>
      </c>
    </row>
    <row r="3544" spans="1:8">
      <c r="A3544" s="363" t="str">
        <f t="shared" si="447"/>
        <v/>
      </c>
      <c r="B3544" s="363" t="str">
        <f t="shared" si="440"/>
        <v/>
      </c>
      <c r="C3544" s="405" t="str">
        <f t="shared" si="441"/>
        <v/>
      </c>
      <c r="D3544" s="405">
        <f t="shared" si="442"/>
        <v>0</v>
      </c>
      <c r="E3544" s="405" t="str">
        <f t="shared" si="443"/>
        <v/>
      </c>
      <c r="F3544" s="405">
        <f t="shared" si="444"/>
        <v>0</v>
      </c>
      <c r="G3544" s="405">
        <f t="shared" si="445"/>
        <v>0</v>
      </c>
      <c r="H3544" s="405">
        <f t="shared" si="446"/>
        <v>0</v>
      </c>
    </row>
    <row r="3545" spans="1:8">
      <c r="A3545" s="363" t="str">
        <f t="shared" si="447"/>
        <v/>
      </c>
      <c r="B3545" s="363" t="str">
        <f t="shared" si="440"/>
        <v/>
      </c>
      <c r="C3545" s="405" t="str">
        <f t="shared" si="441"/>
        <v/>
      </c>
      <c r="D3545" s="405">
        <f t="shared" si="442"/>
        <v>0</v>
      </c>
      <c r="E3545" s="405" t="str">
        <f t="shared" si="443"/>
        <v/>
      </c>
      <c r="F3545" s="405">
        <f t="shared" si="444"/>
        <v>0</v>
      </c>
      <c r="G3545" s="405">
        <f t="shared" si="445"/>
        <v>0</v>
      </c>
      <c r="H3545" s="405">
        <f t="shared" si="446"/>
        <v>0</v>
      </c>
    </row>
    <row r="3546" spans="1:8">
      <c r="A3546" s="363" t="str">
        <f t="shared" si="447"/>
        <v/>
      </c>
      <c r="B3546" s="363" t="str">
        <f t="shared" si="440"/>
        <v/>
      </c>
      <c r="C3546" s="405" t="str">
        <f t="shared" si="441"/>
        <v/>
      </c>
      <c r="D3546" s="405">
        <f t="shared" si="442"/>
        <v>0</v>
      </c>
      <c r="E3546" s="405" t="str">
        <f t="shared" si="443"/>
        <v/>
      </c>
      <c r="F3546" s="405">
        <f t="shared" si="444"/>
        <v>0</v>
      </c>
      <c r="G3546" s="405">
        <f t="shared" si="445"/>
        <v>0</v>
      </c>
      <c r="H3546" s="405">
        <f t="shared" si="446"/>
        <v>0</v>
      </c>
    </row>
    <row r="3547" spans="1:8">
      <c r="A3547" s="363" t="str">
        <f t="shared" si="447"/>
        <v/>
      </c>
      <c r="B3547" s="363" t="str">
        <f t="shared" si="440"/>
        <v/>
      </c>
      <c r="C3547" s="405" t="str">
        <f t="shared" si="441"/>
        <v/>
      </c>
      <c r="D3547" s="405">
        <f t="shared" si="442"/>
        <v>0</v>
      </c>
      <c r="E3547" s="405" t="str">
        <f t="shared" si="443"/>
        <v/>
      </c>
      <c r="F3547" s="405">
        <f t="shared" si="444"/>
        <v>0</v>
      </c>
      <c r="G3547" s="405">
        <f t="shared" si="445"/>
        <v>0</v>
      </c>
      <c r="H3547" s="405">
        <f t="shared" si="446"/>
        <v>0</v>
      </c>
    </row>
    <row r="3548" spans="1:8">
      <c r="A3548" s="363" t="str">
        <f t="shared" si="447"/>
        <v/>
      </c>
      <c r="B3548" s="363" t="str">
        <f t="shared" si="440"/>
        <v/>
      </c>
      <c r="C3548" s="405" t="str">
        <f t="shared" si="441"/>
        <v/>
      </c>
      <c r="D3548" s="405">
        <f t="shared" si="442"/>
        <v>0</v>
      </c>
      <c r="E3548" s="405" t="str">
        <f t="shared" si="443"/>
        <v/>
      </c>
      <c r="F3548" s="405">
        <f t="shared" si="444"/>
        <v>0</v>
      </c>
      <c r="G3548" s="405">
        <f t="shared" si="445"/>
        <v>0</v>
      </c>
      <c r="H3548" s="405">
        <f t="shared" si="446"/>
        <v>0</v>
      </c>
    </row>
    <row r="3549" spans="1:8">
      <c r="A3549" s="363" t="str">
        <f t="shared" si="447"/>
        <v/>
      </c>
      <c r="B3549" s="363" t="str">
        <f t="shared" si="440"/>
        <v/>
      </c>
      <c r="C3549" s="405" t="str">
        <f t="shared" si="441"/>
        <v/>
      </c>
      <c r="D3549" s="405">
        <f t="shared" si="442"/>
        <v>0</v>
      </c>
      <c r="E3549" s="405" t="str">
        <f t="shared" si="443"/>
        <v/>
      </c>
      <c r="F3549" s="405">
        <f t="shared" si="444"/>
        <v>0</v>
      </c>
      <c r="G3549" s="405">
        <f t="shared" si="445"/>
        <v>0</v>
      </c>
      <c r="H3549" s="405">
        <f t="shared" si="446"/>
        <v>0</v>
      </c>
    </row>
    <row r="3550" spans="1:8">
      <c r="A3550" s="363" t="str">
        <f t="shared" si="447"/>
        <v/>
      </c>
      <c r="B3550" s="363" t="str">
        <f t="shared" si="440"/>
        <v/>
      </c>
      <c r="C3550" s="405" t="str">
        <f t="shared" si="441"/>
        <v/>
      </c>
      <c r="D3550" s="405">
        <f t="shared" si="442"/>
        <v>0</v>
      </c>
      <c r="E3550" s="405" t="str">
        <f t="shared" si="443"/>
        <v/>
      </c>
      <c r="F3550" s="405">
        <f t="shared" si="444"/>
        <v>0</v>
      </c>
      <c r="G3550" s="405">
        <f t="shared" si="445"/>
        <v>0</v>
      </c>
      <c r="H3550" s="405">
        <f t="shared" si="446"/>
        <v>0</v>
      </c>
    </row>
    <row r="3551" spans="1:8">
      <c r="A3551" s="363" t="str">
        <f t="shared" si="447"/>
        <v/>
      </c>
      <c r="B3551" s="363" t="str">
        <f t="shared" si="440"/>
        <v/>
      </c>
      <c r="C3551" s="405" t="str">
        <f t="shared" si="441"/>
        <v/>
      </c>
      <c r="D3551" s="405">
        <f t="shared" si="442"/>
        <v>0</v>
      </c>
      <c r="E3551" s="405" t="str">
        <f t="shared" si="443"/>
        <v/>
      </c>
      <c r="F3551" s="405">
        <f t="shared" si="444"/>
        <v>0</v>
      </c>
      <c r="G3551" s="405">
        <f t="shared" si="445"/>
        <v>0</v>
      </c>
      <c r="H3551" s="405">
        <f t="shared" si="446"/>
        <v>0</v>
      </c>
    </row>
    <row r="3552" spans="1:8">
      <c r="A3552" s="363" t="str">
        <f t="shared" si="447"/>
        <v/>
      </c>
      <c r="B3552" s="363" t="str">
        <f t="shared" si="440"/>
        <v/>
      </c>
      <c r="C3552" s="405" t="str">
        <f t="shared" si="441"/>
        <v/>
      </c>
      <c r="D3552" s="405">
        <f t="shared" si="442"/>
        <v>0</v>
      </c>
      <c r="E3552" s="405" t="str">
        <f t="shared" si="443"/>
        <v/>
      </c>
      <c r="F3552" s="405">
        <f t="shared" si="444"/>
        <v>0</v>
      </c>
      <c r="G3552" s="405">
        <f t="shared" si="445"/>
        <v>0</v>
      </c>
      <c r="H3552" s="405">
        <f t="shared" si="446"/>
        <v>0</v>
      </c>
    </row>
    <row r="3553" spans="1:8">
      <c r="A3553" s="363" t="str">
        <f t="shared" si="447"/>
        <v/>
      </c>
      <c r="B3553" s="363" t="str">
        <f t="shared" si="440"/>
        <v/>
      </c>
      <c r="C3553" s="405" t="str">
        <f t="shared" si="441"/>
        <v/>
      </c>
      <c r="D3553" s="405">
        <f t="shared" si="442"/>
        <v>0</v>
      </c>
      <c r="E3553" s="405" t="str">
        <f t="shared" si="443"/>
        <v/>
      </c>
      <c r="F3553" s="405">
        <f t="shared" si="444"/>
        <v>0</v>
      </c>
      <c r="G3553" s="405">
        <f t="shared" si="445"/>
        <v>0</v>
      </c>
      <c r="H3553" s="405">
        <f t="shared" si="446"/>
        <v>0</v>
      </c>
    </row>
    <row r="3554" spans="1:8">
      <c r="A3554" s="363" t="str">
        <f t="shared" si="447"/>
        <v/>
      </c>
      <c r="B3554" s="363" t="str">
        <f t="shared" si="440"/>
        <v/>
      </c>
      <c r="C3554" s="405" t="str">
        <f t="shared" si="441"/>
        <v/>
      </c>
      <c r="D3554" s="405">
        <f t="shared" si="442"/>
        <v>0</v>
      </c>
      <c r="E3554" s="405" t="str">
        <f t="shared" si="443"/>
        <v/>
      </c>
      <c r="F3554" s="405">
        <f t="shared" si="444"/>
        <v>0</v>
      </c>
      <c r="G3554" s="405">
        <f t="shared" si="445"/>
        <v>0</v>
      </c>
      <c r="H3554" s="405">
        <f t="shared" si="446"/>
        <v>0</v>
      </c>
    </row>
    <row r="3555" spans="1:8">
      <c r="A3555" s="363" t="str">
        <f t="shared" si="447"/>
        <v/>
      </c>
      <c r="B3555" s="363" t="str">
        <f t="shared" si="440"/>
        <v/>
      </c>
      <c r="C3555" s="405" t="str">
        <f t="shared" si="441"/>
        <v/>
      </c>
      <c r="D3555" s="405">
        <f t="shared" si="442"/>
        <v>0</v>
      </c>
      <c r="E3555" s="405" t="str">
        <f t="shared" si="443"/>
        <v/>
      </c>
      <c r="F3555" s="405">
        <f t="shared" si="444"/>
        <v>0</v>
      </c>
      <c r="G3555" s="405">
        <f t="shared" si="445"/>
        <v>0</v>
      </c>
      <c r="H3555" s="405">
        <f t="shared" si="446"/>
        <v>0</v>
      </c>
    </row>
    <row r="3556" spans="1:8">
      <c r="A3556" s="363" t="str">
        <f t="shared" si="447"/>
        <v/>
      </c>
      <c r="B3556" s="363" t="str">
        <f t="shared" si="440"/>
        <v/>
      </c>
      <c r="C3556" s="405" t="str">
        <f t="shared" si="441"/>
        <v/>
      </c>
      <c r="D3556" s="405">
        <f t="shared" si="442"/>
        <v>0</v>
      </c>
      <c r="E3556" s="405" t="str">
        <f t="shared" si="443"/>
        <v/>
      </c>
      <c r="F3556" s="405">
        <f t="shared" si="444"/>
        <v>0</v>
      </c>
      <c r="G3556" s="405">
        <f t="shared" si="445"/>
        <v>0</v>
      </c>
      <c r="H3556" s="405">
        <f t="shared" si="446"/>
        <v>0</v>
      </c>
    </row>
    <row r="3557" spans="1:8">
      <c r="A3557" s="363" t="str">
        <f t="shared" si="447"/>
        <v/>
      </c>
      <c r="B3557" s="363" t="str">
        <f t="shared" si="440"/>
        <v/>
      </c>
      <c r="C3557" s="405" t="str">
        <f t="shared" si="441"/>
        <v/>
      </c>
      <c r="D3557" s="405">
        <f t="shared" si="442"/>
        <v>0</v>
      </c>
      <c r="E3557" s="405" t="str">
        <f t="shared" si="443"/>
        <v/>
      </c>
      <c r="F3557" s="405">
        <f t="shared" si="444"/>
        <v>0</v>
      </c>
      <c r="G3557" s="405">
        <f t="shared" si="445"/>
        <v>0</v>
      </c>
      <c r="H3557" s="405">
        <f t="shared" si="446"/>
        <v>0</v>
      </c>
    </row>
    <row r="3558" spans="1:8">
      <c r="A3558" s="363" t="str">
        <f t="shared" si="447"/>
        <v/>
      </c>
      <c r="B3558" s="363" t="str">
        <f t="shared" si="440"/>
        <v/>
      </c>
      <c r="C3558" s="405" t="str">
        <f t="shared" si="441"/>
        <v/>
      </c>
      <c r="D3558" s="405">
        <f t="shared" si="442"/>
        <v>0</v>
      </c>
      <c r="E3558" s="405" t="str">
        <f t="shared" si="443"/>
        <v/>
      </c>
      <c r="F3558" s="405">
        <f t="shared" si="444"/>
        <v>0</v>
      </c>
      <c r="G3558" s="405">
        <f t="shared" si="445"/>
        <v>0</v>
      </c>
      <c r="H3558" s="405">
        <f t="shared" si="446"/>
        <v>0</v>
      </c>
    </row>
    <row r="3559" spans="1:8">
      <c r="A3559" s="363" t="str">
        <f t="shared" si="447"/>
        <v/>
      </c>
      <c r="B3559" s="363" t="str">
        <f t="shared" si="440"/>
        <v/>
      </c>
      <c r="C3559" s="405" t="str">
        <f t="shared" si="441"/>
        <v/>
      </c>
      <c r="D3559" s="405">
        <f t="shared" si="442"/>
        <v>0</v>
      </c>
      <c r="E3559" s="405" t="str">
        <f t="shared" si="443"/>
        <v/>
      </c>
      <c r="F3559" s="405">
        <f t="shared" si="444"/>
        <v>0</v>
      </c>
      <c r="G3559" s="405">
        <f t="shared" si="445"/>
        <v>0</v>
      </c>
      <c r="H3559" s="405">
        <f t="shared" si="446"/>
        <v>0</v>
      </c>
    </row>
    <row r="3560" spans="1:8">
      <c r="A3560" s="363" t="str">
        <f t="shared" si="447"/>
        <v/>
      </c>
      <c r="B3560" s="363" t="str">
        <f t="shared" si="440"/>
        <v/>
      </c>
      <c r="C3560" s="405" t="str">
        <f t="shared" si="441"/>
        <v/>
      </c>
      <c r="D3560" s="405">
        <f t="shared" si="442"/>
        <v>0</v>
      </c>
      <c r="E3560" s="405" t="str">
        <f t="shared" si="443"/>
        <v/>
      </c>
      <c r="F3560" s="405">
        <f t="shared" si="444"/>
        <v>0</v>
      </c>
      <c r="G3560" s="405">
        <f t="shared" si="445"/>
        <v>0</v>
      </c>
      <c r="H3560" s="405">
        <f t="shared" si="446"/>
        <v>0</v>
      </c>
    </row>
    <row r="3561" spans="1:8">
      <c r="A3561" s="363" t="str">
        <f t="shared" si="447"/>
        <v/>
      </c>
      <c r="B3561" s="363" t="str">
        <f t="shared" si="440"/>
        <v/>
      </c>
      <c r="C3561" s="405" t="str">
        <f t="shared" si="441"/>
        <v/>
      </c>
      <c r="D3561" s="405">
        <f t="shared" si="442"/>
        <v>0</v>
      </c>
      <c r="E3561" s="405" t="str">
        <f t="shared" si="443"/>
        <v/>
      </c>
      <c r="F3561" s="405">
        <f t="shared" si="444"/>
        <v>0</v>
      </c>
      <c r="G3561" s="405">
        <f t="shared" si="445"/>
        <v>0</v>
      </c>
      <c r="H3561" s="405">
        <f t="shared" si="446"/>
        <v>0</v>
      </c>
    </row>
    <row r="3562" spans="1:8">
      <c r="A3562" s="363" t="str">
        <f t="shared" si="447"/>
        <v/>
      </c>
      <c r="B3562" s="363" t="str">
        <f t="shared" si="440"/>
        <v/>
      </c>
      <c r="C3562" s="405" t="str">
        <f t="shared" si="441"/>
        <v/>
      </c>
      <c r="D3562" s="405">
        <f t="shared" si="442"/>
        <v>0</v>
      </c>
      <c r="E3562" s="405" t="str">
        <f t="shared" si="443"/>
        <v/>
      </c>
      <c r="F3562" s="405">
        <f t="shared" si="444"/>
        <v>0</v>
      </c>
      <c r="G3562" s="405">
        <f t="shared" si="445"/>
        <v>0</v>
      </c>
      <c r="H3562" s="405">
        <f t="shared" si="446"/>
        <v>0</v>
      </c>
    </row>
    <row r="3563" spans="1:8">
      <c r="A3563" s="363" t="str">
        <f t="shared" si="447"/>
        <v/>
      </c>
      <c r="B3563" s="363" t="str">
        <f t="shared" si="440"/>
        <v/>
      </c>
      <c r="C3563" s="405" t="str">
        <f t="shared" si="441"/>
        <v/>
      </c>
      <c r="D3563" s="405">
        <f t="shared" si="442"/>
        <v>0</v>
      </c>
      <c r="E3563" s="405" t="str">
        <f t="shared" si="443"/>
        <v/>
      </c>
      <c r="F3563" s="405">
        <f t="shared" si="444"/>
        <v>0</v>
      </c>
      <c r="G3563" s="405">
        <f t="shared" si="445"/>
        <v>0</v>
      </c>
      <c r="H3563" s="405">
        <f t="shared" si="446"/>
        <v>0</v>
      </c>
    </row>
    <row r="3564" spans="1:8">
      <c r="A3564" s="363" t="str">
        <f t="shared" si="447"/>
        <v/>
      </c>
      <c r="B3564" s="363" t="str">
        <f t="shared" si="440"/>
        <v/>
      </c>
      <c r="C3564" s="405" t="str">
        <f t="shared" si="441"/>
        <v/>
      </c>
      <c r="D3564" s="405">
        <f t="shared" si="442"/>
        <v>0</v>
      </c>
      <c r="E3564" s="405" t="str">
        <f t="shared" si="443"/>
        <v/>
      </c>
      <c r="F3564" s="405">
        <f t="shared" si="444"/>
        <v>0</v>
      </c>
      <c r="G3564" s="405">
        <f t="shared" si="445"/>
        <v>0</v>
      </c>
      <c r="H3564" s="405">
        <f t="shared" si="446"/>
        <v>0</v>
      </c>
    </row>
    <row r="3565" spans="1:8">
      <c r="A3565" s="363" t="str">
        <f t="shared" si="447"/>
        <v/>
      </c>
      <c r="B3565" s="363" t="str">
        <f t="shared" si="440"/>
        <v/>
      </c>
      <c r="C3565" s="405" t="str">
        <f t="shared" si="441"/>
        <v/>
      </c>
      <c r="D3565" s="405">
        <f t="shared" si="442"/>
        <v>0</v>
      </c>
      <c r="E3565" s="405" t="str">
        <f t="shared" si="443"/>
        <v/>
      </c>
      <c r="F3565" s="405">
        <f t="shared" si="444"/>
        <v>0</v>
      </c>
      <c r="G3565" s="405">
        <f t="shared" si="445"/>
        <v>0</v>
      </c>
      <c r="H3565" s="405">
        <f t="shared" si="446"/>
        <v>0</v>
      </c>
    </row>
    <row r="3566" spans="1:8">
      <c r="A3566" s="363" t="str">
        <f t="shared" si="447"/>
        <v/>
      </c>
      <c r="B3566" s="363" t="str">
        <f t="shared" si="440"/>
        <v/>
      </c>
      <c r="C3566" s="405" t="str">
        <f t="shared" si="441"/>
        <v/>
      </c>
      <c r="D3566" s="405">
        <f t="shared" si="442"/>
        <v>0</v>
      </c>
      <c r="E3566" s="405" t="str">
        <f t="shared" si="443"/>
        <v/>
      </c>
      <c r="F3566" s="405">
        <f t="shared" si="444"/>
        <v>0</v>
      </c>
      <c r="G3566" s="405">
        <f t="shared" si="445"/>
        <v>0</v>
      </c>
      <c r="H3566" s="405">
        <f t="shared" si="446"/>
        <v>0</v>
      </c>
    </row>
    <row r="3567" spans="1:8">
      <c r="A3567" s="363" t="str">
        <f t="shared" si="447"/>
        <v/>
      </c>
      <c r="B3567" s="363" t="str">
        <f t="shared" si="440"/>
        <v/>
      </c>
      <c r="C3567" s="405" t="str">
        <f t="shared" si="441"/>
        <v/>
      </c>
      <c r="D3567" s="405">
        <f t="shared" si="442"/>
        <v>0</v>
      </c>
      <c r="E3567" s="405" t="str">
        <f t="shared" si="443"/>
        <v/>
      </c>
      <c r="F3567" s="405">
        <f t="shared" si="444"/>
        <v>0</v>
      </c>
      <c r="G3567" s="405">
        <f t="shared" si="445"/>
        <v>0</v>
      </c>
      <c r="H3567" s="405">
        <f t="shared" si="446"/>
        <v>0</v>
      </c>
    </row>
    <row r="3568" spans="1:8">
      <c r="A3568" s="363" t="str">
        <f t="shared" si="447"/>
        <v/>
      </c>
      <c r="B3568" s="363" t="str">
        <f t="shared" si="440"/>
        <v/>
      </c>
      <c r="C3568" s="405" t="str">
        <f t="shared" si="441"/>
        <v/>
      </c>
      <c r="D3568" s="405">
        <f t="shared" si="442"/>
        <v>0</v>
      </c>
      <c r="E3568" s="405" t="str">
        <f t="shared" si="443"/>
        <v/>
      </c>
      <c r="F3568" s="405">
        <f t="shared" si="444"/>
        <v>0</v>
      </c>
      <c r="G3568" s="405">
        <f t="shared" si="445"/>
        <v>0</v>
      </c>
      <c r="H3568" s="405">
        <f t="shared" si="446"/>
        <v>0</v>
      </c>
    </row>
    <row r="3569" spans="1:8">
      <c r="A3569" s="363" t="str">
        <f t="shared" si="447"/>
        <v/>
      </c>
      <c r="B3569" s="363" t="str">
        <f t="shared" si="440"/>
        <v/>
      </c>
      <c r="C3569" s="405" t="str">
        <f t="shared" si="441"/>
        <v/>
      </c>
      <c r="D3569" s="405">
        <f t="shared" si="442"/>
        <v>0</v>
      </c>
      <c r="E3569" s="405" t="str">
        <f t="shared" si="443"/>
        <v/>
      </c>
      <c r="F3569" s="405">
        <f t="shared" si="444"/>
        <v>0</v>
      </c>
      <c r="G3569" s="405">
        <f t="shared" si="445"/>
        <v>0</v>
      </c>
      <c r="H3569" s="405">
        <f t="shared" si="446"/>
        <v>0</v>
      </c>
    </row>
    <row r="3570" spans="1:8">
      <c r="A3570" s="363" t="str">
        <f t="shared" si="447"/>
        <v/>
      </c>
      <c r="B3570" s="363" t="str">
        <f t="shared" si="440"/>
        <v/>
      </c>
      <c r="C3570" s="405" t="str">
        <f t="shared" si="441"/>
        <v/>
      </c>
      <c r="D3570" s="405">
        <f t="shared" si="442"/>
        <v>0</v>
      </c>
      <c r="E3570" s="405" t="str">
        <f t="shared" si="443"/>
        <v/>
      </c>
      <c r="F3570" s="405">
        <f t="shared" si="444"/>
        <v>0</v>
      </c>
      <c r="G3570" s="405">
        <f t="shared" si="445"/>
        <v>0</v>
      </c>
      <c r="H3570" s="405">
        <f t="shared" si="446"/>
        <v>0</v>
      </c>
    </row>
    <row r="3571" spans="1:8">
      <c r="A3571" s="363" t="str">
        <f t="shared" si="447"/>
        <v/>
      </c>
      <c r="B3571" s="363" t="str">
        <f t="shared" si="440"/>
        <v/>
      </c>
      <c r="C3571" s="405" t="str">
        <f t="shared" si="441"/>
        <v/>
      </c>
      <c r="D3571" s="405">
        <f t="shared" si="442"/>
        <v>0</v>
      </c>
      <c r="E3571" s="405" t="str">
        <f t="shared" si="443"/>
        <v/>
      </c>
      <c r="F3571" s="405">
        <f t="shared" si="444"/>
        <v>0</v>
      </c>
      <c r="G3571" s="405">
        <f t="shared" si="445"/>
        <v>0</v>
      </c>
      <c r="H3571" s="405">
        <f t="shared" si="446"/>
        <v>0</v>
      </c>
    </row>
    <row r="3572" spans="1:8">
      <c r="A3572" s="363" t="str">
        <f t="shared" si="447"/>
        <v/>
      </c>
      <c r="B3572" s="363" t="str">
        <f t="shared" si="440"/>
        <v/>
      </c>
      <c r="C3572" s="405" t="str">
        <f t="shared" si="441"/>
        <v/>
      </c>
      <c r="D3572" s="405">
        <f t="shared" si="442"/>
        <v>0</v>
      </c>
      <c r="E3572" s="405" t="str">
        <f t="shared" si="443"/>
        <v/>
      </c>
      <c r="F3572" s="405">
        <f t="shared" si="444"/>
        <v>0</v>
      </c>
      <c r="G3572" s="405">
        <f t="shared" si="445"/>
        <v>0</v>
      </c>
      <c r="H3572" s="405">
        <f t="shared" si="446"/>
        <v>0</v>
      </c>
    </row>
    <row r="3573" spans="1:8">
      <c r="A3573" s="363" t="str">
        <f t="shared" si="447"/>
        <v/>
      </c>
      <c r="B3573" s="363" t="str">
        <f t="shared" si="440"/>
        <v/>
      </c>
      <c r="C3573" s="405" t="str">
        <f t="shared" si="441"/>
        <v/>
      </c>
      <c r="D3573" s="405">
        <f t="shared" si="442"/>
        <v>0</v>
      </c>
      <c r="E3573" s="405" t="str">
        <f t="shared" si="443"/>
        <v/>
      </c>
      <c r="F3573" s="405">
        <f t="shared" si="444"/>
        <v>0</v>
      </c>
      <c r="G3573" s="405">
        <f t="shared" si="445"/>
        <v>0</v>
      </c>
      <c r="H3573" s="405">
        <f t="shared" si="446"/>
        <v>0</v>
      </c>
    </row>
    <row r="3574" spans="1:8">
      <c r="A3574" s="363" t="str">
        <f t="shared" si="447"/>
        <v/>
      </c>
      <c r="B3574" s="363" t="str">
        <f t="shared" si="440"/>
        <v/>
      </c>
      <c r="C3574" s="405" t="str">
        <f t="shared" si="441"/>
        <v/>
      </c>
      <c r="D3574" s="405">
        <f t="shared" si="442"/>
        <v>0</v>
      </c>
      <c r="E3574" s="405" t="str">
        <f t="shared" si="443"/>
        <v/>
      </c>
      <c r="F3574" s="405">
        <f t="shared" si="444"/>
        <v>0</v>
      </c>
      <c r="G3574" s="405">
        <f t="shared" si="445"/>
        <v>0</v>
      </c>
      <c r="H3574" s="405">
        <f t="shared" si="446"/>
        <v>0</v>
      </c>
    </row>
    <row r="3575" spans="1:8">
      <c r="A3575" s="363" t="str">
        <f t="shared" si="447"/>
        <v/>
      </c>
      <c r="B3575" s="363" t="str">
        <f t="shared" si="440"/>
        <v/>
      </c>
      <c r="C3575" s="405" t="str">
        <f t="shared" si="441"/>
        <v/>
      </c>
      <c r="D3575" s="405">
        <f t="shared" si="442"/>
        <v>0</v>
      </c>
      <c r="E3575" s="405" t="str">
        <f t="shared" si="443"/>
        <v/>
      </c>
      <c r="F3575" s="405">
        <f t="shared" si="444"/>
        <v>0</v>
      </c>
      <c r="G3575" s="405">
        <f t="shared" si="445"/>
        <v>0</v>
      </c>
      <c r="H3575" s="405">
        <f t="shared" si="446"/>
        <v>0</v>
      </c>
    </row>
    <row r="3576" spans="1:8">
      <c r="A3576" s="363" t="str">
        <f t="shared" si="447"/>
        <v/>
      </c>
      <c r="B3576" s="363" t="str">
        <f t="shared" si="440"/>
        <v/>
      </c>
      <c r="C3576" s="405" t="str">
        <f t="shared" si="441"/>
        <v/>
      </c>
      <c r="D3576" s="405">
        <f t="shared" si="442"/>
        <v>0</v>
      </c>
      <c r="E3576" s="405" t="str">
        <f t="shared" si="443"/>
        <v/>
      </c>
      <c r="F3576" s="405">
        <f t="shared" si="444"/>
        <v>0</v>
      </c>
      <c r="G3576" s="405">
        <f t="shared" si="445"/>
        <v>0</v>
      </c>
      <c r="H3576" s="405">
        <f t="shared" si="446"/>
        <v>0</v>
      </c>
    </row>
    <row r="3577" spans="1:8">
      <c r="A3577" s="363" t="str">
        <f t="shared" si="447"/>
        <v/>
      </c>
      <c r="B3577" s="363" t="str">
        <f t="shared" si="440"/>
        <v/>
      </c>
      <c r="C3577" s="405" t="str">
        <f t="shared" si="441"/>
        <v/>
      </c>
      <c r="D3577" s="405">
        <f t="shared" si="442"/>
        <v>0</v>
      </c>
      <c r="E3577" s="405" t="str">
        <f t="shared" si="443"/>
        <v/>
      </c>
      <c r="F3577" s="405">
        <f t="shared" si="444"/>
        <v>0</v>
      </c>
      <c r="G3577" s="405">
        <f t="shared" si="445"/>
        <v>0</v>
      </c>
      <c r="H3577" s="405">
        <f t="shared" si="446"/>
        <v>0</v>
      </c>
    </row>
    <row r="3578" spans="1:8">
      <c r="A3578" s="363" t="str">
        <f t="shared" si="447"/>
        <v/>
      </c>
      <c r="B3578" s="363" t="str">
        <f t="shared" si="440"/>
        <v/>
      </c>
      <c r="C3578" s="405" t="str">
        <f t="shared" si="441"/>
        <v/>
      </c>
      <c r="D3578" s="405">
        <f t="shared" si="442"/>
        <v>0</v>
      </c>
      <c r="E3578" s="405" t="str">
        <f t="shared" si="443"/>
        <v/>
      </c>
      <c r="F3578" s="405">
        <f t="shared" si="444"/>
        <v>0</v>
      </c>
      <c r="G3578" s="405">
        <f t="shared" si="445"/>
        <v>0</v>
      </c>
      <c r="H3578" s="405">
        <f t="shared" si="446"/>
        <v>0</v>
      </c>
    </row>
    <row r="3579" spans="1:8">
      <c r="A3579" s="363" t="str">
        <f t="shared" si="447"/>
        <v/>
      </c>
      <c r="B3579" s="363" t="str">
        <f t="shared" si="440"/>
        <v/>
      </c>
      <c r="C3579" s="405" t="str">
        <f t="shared" si="441"/>
        <v/>
      </c>
      <c r="D3579" s="405">
        <f t="shared" si="442"/>
        <v>0</v>
      </c>
      <c r="E3579" s="405" t="str">
        <f t="shared" si="443"/>
        <v/>
      </c>
      <c r="F3579" s="405">
        <f t="shared" si="444"/>
        <v>0</v>
      </c>
      <c r="G3579" s="405">
        <f t="shared" si="445"/>
        <v>0</v>
      </c>
      <c r="H3579" s="405">
        <f t="shared" si="446"/>
        <v>0</v>
      </c>
    </row>
    <row r="3580" spans="1:8">
      <c r="A3580" s="363" t="str">
        <f t="shared" si="447"/>
        <v/>
      </c>
      <c r="B3580" s="363" t="str">
        <f t="shared" si="440"/>
        <v/>
      </c>
      <c r="C3580" s="405" t="str">
        <f t="shared" si="441"/>
        <v/>
      </c>
      <c r="D3580" s="405">
        <f t="shared" si="442"/>
        <v>0</v>
      </c>
      <c r="E3580" s="405" t="str">
        <f t="shared" si="443"/>
        <v/>
      </c>
      <c r="F3580" s="405">
        <f t="shared" si="444"/>
        <v>0</v>
      </c>
      <c r="G3580" s="405">
        <f t="shared" si="445"/>
        <v>0</v>
      </c>
      <c r="H3580" s="405">
        <f t="shared" si="446"/>
        <v>0</v>
      </c>
    </row>
    <row r="3581" spans="1:8">
      <c r="A3581" s="363" t="str">
        <f t="shared" si="447"/>
        <v/>
      </c>
      <c r="B3581" s="363" t="str">
        <f t="shared" si="440"/>
        <v/>
      </c>
      <c r="C3581" s="405" t="str">
        <f t="shared" si="441"/>
        <v/>
      </c>
      <c r="D3581" s="405">
        <f t="shared" si="442"/>
        <v>0</v>
      </c>
      <c r="E3581" s="405" t="str">
        <f t="shared" si="443"/>
        <v/>
      </c>
      <c r="F3581" s="405">
        <f t="shared" si="444"/>
        <v>0</v>
      </c>
      <c r="G3581" s="405">
        <f t="shared" si="445"/>
        <v>0</v>
      </c>
      <c r="H3581" s="405">
        <f t="shared" si="446"/>
        <v>0</v>
      </c>
    </row>
    <row r="3582" spans="1:8">
      <c r="A3582" s="363" t="str">
        <f t="shared" si="447"/>
        <v/>
      </c>
      <c r="B3582" s="363" t="str">
        <f t="shared" si="440"/>
        <v/>
      </c>
      <c r="C3582" s="405" t="str">
        <f t="shared" si="441"/>
        <v/>
      </c>
      <c r="D3582" s="405">
        <f t="shared" si="442"/>
        <v>0</v>
      </c>
      <c r="E3582" s="405" t="str">
        <f t="shared" si="443"/>
        <v/>
      </c>
      <c r="F3582" s="405">
        <f t="shared" si="444"/>
        <v>0</v>
      </c>
      <c r="G3582" s="405">
        <f t="shared" si="445"/>
        <v>0</v>
      </c>
      <c r="H3582" s="405">
        <f t="shared" si="446"/>
        <v>0</v>
      </c>
    </row>
    <row r="3583" spans="1:8">
      <c r="A3583" s="363" t="str">
        <f t="shared" si="447"/>
        <v/>
      </c>
      <c r="B3583" s="363" t="str">
        <f t="shared" si="440"/>
        <v/>
      </c>
      <c r="C3583" s="405" t="str">
        <f t="shared" si="441"/>
        <v/>
      </c>
      <c r="D3583" s="405">
        <f t="shared" si="442"/>
        <v>0</v>
      </c>
      <c r="E3583" s="405" t="str">
        <f t="shared" si="443"/>
        <v/>
      </c>
      <c r="F3583" s="405">
        <f t="shared" si="444"/>
        <v>0</v>
      </c>
      <c r="G3583" s="405">
        <f t="shared" si="445"/>
        <v>0</v>
      </c>
      <c r="H3583" s="405">
        <f t="shared" si="446"/>
        <v>0</v>
      </c>
    </row>
    <row r="3584" spans="1:8">
      <c r="A3584" s="363" t="str">
        <f t="shared" si="447"/>
        <v/>
      </c>
      <c r="B3584" s="363" t="str">
        <f t="shared" si="440"/>
        <v/>
      </c>
      <c r="C3584" s="405" t="str">
        <f t="shared" si="441"/>
        <v/>
      </c>
      <c r="D3584" s="405">
        <f t="shared" si="442"/>
        <v>0</v>
      </c>
      <c r="E3584" s="405" t="str">
        <f t="shared" si="443"/>
        <v/>
      </c>
      <c r="F3584" s="405">
        <f t="shared" si="444"/>
        <v>0</v>
      </c>
      <c r="G3584" s="405">
        <f t="shared" si="445"/>
        <v>0</v>
      </c>
      <c r="H3584" s="405">
        <f t="shared" si="446"/>
        <v>0</v>
      </c>
    </row>
    <row r="3585" spans="1:8">
      <c r="A3585" s="363" t="str">
        <f t="shared" si="447"/>
        <v/>
      </c>
      <c r="B3585" s="363" t="str">
        <f t="shared" si="440"/>
        <v/>
      </c>
      <c r="C3585" s="405" t="str">
        <f t="shared" si="441"/>
        <v/>
      </c>
      <c r="D3585" s="405">
        <f t="shared" si="442"/>
        <v>0</v>
      </c>
      <c r="E3585" s="405" t="str">
        <f t="shared" si="443"/>
        <v/>
      </c>
      <c r="F3585" s="405">
        <f t="shared" si="444"/>
        <v>0</v>
      </c>
      <c r="G3585" s="405">
        <f t="shared" si="445"/>
        <v>0</v>
      </c>
      <c r="H3585" s="405">
        <f t="shared" si="446"/>
        <v>0</v>
      </c>
    </row>
    <row r="3586" spans="1:8">
      <c r="A3586" s="363" t="str">
        <f t="shared" si="447"/>
        <v/>
      </c>
      <c r="B3586" s="363" t="str">
        <f t="shared" ref="B3586:B3649" si="448">LEFT(L3586,2)</f>
        <v/>
      </c>
      <c r="C3586" s="405" t="str">
        <f t="shared" ref="C3586:C3649" si="449">IF(B3586="","","第"&amp;RIGHT(L3586,6)&amp;"号")</f>
        <v/>
      </c>
      <c r="D3586" s="405">
        <f t="shared" ref="D3586:D3649" si="450">N3586</f>
        <v>0</v>
      </c>
      <c r="E3586" s="405" t="str">
        <f t="shared" ref="E3586:E3649" si="451">IF(V3586="　",O3586,"")</f>
        <v/>
      </c>
      <c r="F3586" s="405">
        <f t="shared" ref="F3586:F3649" si="452">IF(V3586="　",P3586,W3586)</f>
        <v>0</v>
      </c>
      <c r="G3586" s="405">
        <f t="shared" ref="G3586:G3649" si="453">IF(V3586="　","主たる営業所",V3586)</f>
        <v>0</v>
      </c>
      <c r="H3586" s="405">
        <f t="shared" ref="H3586:H3649" si="454">IF(V3586="　",R3586,Y3586)</f>
        <v>0</v>
      </c>
    </row>
    <row r="3587" spans="1:8">
      <c r="A3587" s="363" t="str">
        <f t="shared" ref="A3587:A3650" si="455">IF(B3587="","",A3586+1)</f>
        <v/>
      </c>
      <c r="B3587" s="363" t="str">
        <f t="shared" si="448"/>
        <v/>
      </c>
      <c r="C3587" s="405" t="str">
        <f t="shared" si="449"/>
        <v/>
      </c>
      <c r="D3587" s="405">
        <f t="shared" si="450"/>
        <v>0</v>
      </c>
      <c r="E3587" s="405" t="str">
        <f t="shared" si="451"/>
        <v/>
      </c>
      <c r="F3587" s="405">
        <f t="shared" si="452"/>
        <v>0</v>
      </c>
      <c r="G3587" s="405">
        <f t="shared" si="453"/>
        <v>0</v>
      </c>
      <c r="H3587" s="405">
        <f t="shared" si="454"/>
        <v>0</v>
      </c>
    </row>
    <row r="3588" spans="1:8">
      <c r="A3588" s="363" t="str">
        <f t="shared" si="455"/>
        <v/>
      </c>
      <c r="B3588" s="363" t="str">
        <f t="shared" si="448"/>
        <v/>
      </c>
      <c r="C3588" s="405" t="str">
        <f t="shared" si="449"/>
        <v/>
      </c>
      <c r="D3588" s="405">
        <f t="shared" si="450"/>
        <v>0</v>
      </c>
      <c r="E3588" s="405" t="str">
        <f t="shared" si="451"/>
        <v/>
      </c>
      <c r="F3588" s="405">
        <f t="shared" si="452"/>
        <v>0</v>
      </c>
      <c r="G3588" s="405">
        <f t="shared" si="453"/>
        <v>0</v>
      </c>
      <c r="H3588" s="405">
        <f t="shared" si="454"/>
        <v>0</v>
      </c>
    </row>
    <row r="3589" spans="1:8">
      <c r="A3589" s="363" t="str">
        <f t="shared" si="455"/>
        <v/>
      </c>
      <c r="B3589" s="363" t="str">
        <f t="shared" si="448"/>
        <v/>
      </c>
      <c r="C3589" s="405" t="str">
        <f t="shared" si="449"/>
        <v/>
      </c>
      <c r="D3589" s="405">
        <f t="shared" si="450"/>
        <v>0</v>
      </c>
      <c r="E3589" s="405" t="str">
        <f t="shared" si="451"/>
        <v/>
      </c>
      <c r="F3589" s="405">
        <f t="shared" si="452"/>
        <v>0</v>
      </c>
      <c r="G3589" s="405">
        <f t="shared" si="453"/>
        <v>0</v>
      </c>
      <c r="H3589" s="405">
        <f t="shared" si="454"/>
        <v>0</v>
      </c>
    </row>
    <row r="3590" spans="1:8">
      <c r="A3590" s="363" t="str">
        <f t="shared" si="455"/>
        <v/>
      </c>
      <c r="B3590" s="363" t="str">
        <f t="shared" si="448"/>
        <v/>
      </c>
      <c r="C3590" s="405" t="str">
        <f t="shared" si="449"/>
        <v/>
      </c>
      <c r="D3590" s="405">
        <f t="shared" si="450"/>
        <v>0</v>
      </c>
      <c r="E3590" s="405" t="str">
        <f t="shared" si="451"/>
        <v/>
      </c>
      <c r="F3590" s="405">
        <f t="shared" si="452"/>
        <v>0</v>
      </c>
      <c r="G3590" s="405">
        <f t="shared" si="453"/>
        <v>0</v>
      </c>
      <c r="H3590" s="405">
        <f t="shared" si="454"/>
        <v>0</v>
      </c>
    </row>
    <row r="3591" spans="1:8">
      <c r="A3591" s="363" t="str">
        <f t="shared" si="455"/>
        <v/>
      </c>
      <c r="B3591" s="363" t="str">
        <f t="shared" si="448"/>
        <v/>
      </c>
      <c r="C3591" s="405" t="str">
        <f t="shared" si="449"/>
        <v/>
      </c>
      <c r="D3591" s="405">
        <f t="shared" si="450"/>
        <v>0</v>
      </c>
      <c r="E3591" s="405" t="str">
        <f t="shared" si="451"/>
        <v/>
      </c>
      <c r="F3591" s="405">
        <f t="shared" si="452"/>
        <v>0</v>
      </c>
      <c r="G3591" s="405">
        <f t="shared" si="453"/>
        <v>0</v>
      </c>
      <c r="H3591" s="405">
        <f t="shared" si="454"/>
        <v>0</v>
      </c>
    </row>
    <row r="3592" spans="1:8">
      <c r="A3592" s="363" t="str">
        <f t="shared" si="455"/>
        <v/>
      </c>
      <c r="B3592" s="363" t="str">
        <f t="shared" si="448"/>
        <v/>
      </c>
      <c r="C3592" s="405" t="str">
        <f t="shared" si="449"/>
        <v/>
      </c>
      <c r="D3592" s="405">
        <f t="shared" si="450"/>
        <v>0</v>
      </c>
      <c r="E3592" s="405" t="str">
        <f t="shared" si="451"/>
        <v/>
      </c>
      <c r="F3592" s="405">
        <f t="shared" si="452"/>
        <v>0</v>
      </c>
      <c r="G3592" s="405">
        <f t="shared" si="453"/>
        <v>0</v>
      </c>
      <c r="H3592" s="405">
        <f t="shared" si="454"/>
        <v>0</v>
      </c>
    </row>
    <row r="3593" spans="1:8">
      <c r="A3593" s="363" t="str">
        <f t="shared" si="455"/>
        <v/>
      </c>
      <c r="B3593" s="363" t="str">
        <f t="shared" si="448"/>
        <v/>
      </c>
      <c r="C3593" s="405" t="str">
        <f t="shared" si="449"/>
        <v/>
      </c>
      <c r="D3593" s="405">
        <f t="shared" si="450"/>
        <v>0</v>
      </c>
      <c r="E3593" s="405" t="str">
        <f t="shared" si="451"/>
        <v/>
      </c>
      <c r="F3593" s="405">
        <f t="shared" si="452"/>
        <v>0</v>
      </c>
      <c r="G3593" s="405">
        <f t="shared" si="453"/>
        <v>0</v>
      </c>
      <c r="H3593" s="405">
        <f t="shared" si="454"/>
        <v>0</v>
      </c>
    </row>
    <row r="3594" spans="1:8">
      <c r="A3594" s="363" t="str">
        <f t="shared" si="455"/>
        <v/>
      </c>
      <c r="B3594" s="363" t="str">
        <f t="shared" si="448"/>
        <v/>
      </c>
      <c r="C3594" s="405" t="str">
        <f t="shared" si="449"/>
        <v/>
      </c>
      <c r="D3594" s="405">
        <f t="shared" si="450"/>
        <v>0</v>
      </c>
      <c r="E3594" s="405" t="str">
        <f t="shared" si="451"/>
        <v/>
      </c>
      <c r="F3594" s="405">
        <f t="shared" si="452"/>
        <v>0</v>
      </c>
      <c r="G3594" s="405">
        <f t="shared" si="453"/>
        <v>0</v>
      </c>
      <c r="H3594" s="405">
        <f t="shared" si="454"/>
        <v>0</v>
      </c>
    </row>
    <row r="3595" spans="1:8">
      <c r="A3595" s="363" t="str">
        <f t="shared" si="455"/>
        <v/>
      </c>
      <c r="B3595" s="363" t="str">
        <f t="shared" si="448"/>
        <v/>
      </c>
      <c r="C3595" s="405" t="str">
        <f t="shared" si="449"/>
        <v/>
      </c>
      <c r="D3595" s="405">
        <f t="shared" si="450"/>
        <v>0</v>
      </c>
      <c r="E3595" s="405" t="str">
        <f t="shared" si="451"/>
        <v/>
      </c>
      <c r="F3595" s="405">
        <f t="shared" si="452"/>
        <v>0</v>
      </c>
      <c r="G3595" s="405">
        <f t="shared" si="453"/>
        <v>0</v>
      </c>
      <c r="H3595" s="405">
        <f t="shared" si="454"/>
        <v>0</v>
      </c>
    </row>
    <row r="3596" spans="1:8">
      <c r="A3596" s="363" t="str">
        <f t="shared" si="455"/>
        <v/>
      </c>
      <c r="B3596" s="363" t="str">
        <f t="shared" si="448"/>
        <v/>
      </c>
      <c r="C3596" s="405" t="str">
        <f t="shared" si="449"/>
        <v/>
      </c>
      <c r="D3596" s="405">
        <f t="shared" si="450"/>
        <v>0</v>
      </c>
      <c r="E3596" s="405" t="str">
        <f t="shared" si="451"/>
        <v/>
      </c>
      <c r="F3596" s="405">
        <f t="shared" si="452"/>
        <v>0</v>
      </c>
      <c r="G3596" s="405">
        <f t="shared" si="453"/>
        <v>0</v>
      </c>
      <c r="H3596" s="405">
        <f t="shared" si="454"/>
        <v>0</v>
      </c>
    </row>
    <row r="3597" spans="1:8">
      <c r="A3597" s="363" t="str">
        <f t="shared" si="455"/>
        <v/>
      </c>
      <c r="B3597" s="363" t="str">
        <f t="shared" si="448"/>
        <v/>
      </c>
      <c r="C3597" s="405" t="str">
        <f t="shared" si="449"/>
        <v/>
      </c>
      <c r="D3597" s="405">
        <f t="shared" si="450"/>
        <v>0</v>
      </c>
      <c r="E3597" s="405" t="str">
        <f t="shared" si="451"/>
        <v/>
      </c>
      <c r="F3597" s="405">
        <f t="shared" si="452"/>
        <v>0</v>
      </c>
      <c r="G3597" s="405">
        <f t="shared" si="453"/>
        <v>0</v>
      </c>
      <c r="H3597" s="405">
        <f t="shared" si="454"/>
        <v>0</v>
      </c>
    </row>
    <row r="3598" spans="1:8">
      <c r="A3598" s="363" t="str">
        <f t="shared" si="455"/>
        <v/>
      </c>
      <c r="B3598" s="363" t="str">
        <f t="shared" si="448"/>
        <v/>
      </c>
      <c r="C3598" s="405" t="str">
        <f t="shared" si="449"/>
        <v/>
      </c>
      <c r="D3598" s="405">
        <f t="shared" si="450"/>
        <v>0</v>
      </c>
      <c r="E3598" s="405" t="str">
        <f t="shared" si="451"/>
        <v/>
      </c>
      <c r="F3598" s="405">
        <f t="shared" si="452"/>
        <v>0</v>
      </c>
      <c r="G3598" s="405">
        <f t="shared" si="453"/>
        <v>0</v>
      </c>
      <c r="H3598" s="405">
        <f t="shared" si="454"/>
        <v>0</v>
      </c>
    </row>
    <row r="3599" spans="1:8">
      <c r="A3599" s="363" t="str">
        <f t="shared" si="455"/>
        <v/>
      </c>
      <c r="B3599" s="363" t="str">
        <f t="shared" si="448"/>
        <v/>
      </c>
      <c r="C3599" s="405" t="str">
        <f t="shared" si="449"/>
        <v/>
      </c>
      <c r="D3599" s="405">
        <f t="shared" si="450"/>
        <v>0</v>
      </c>
      <c r="E3599" s="405" t="str">
        <f t="shared" si="451"/>
        <v/>
      </c>
      <c r="F3599" s="405">
        <f t="shared" si="452"/>
        <v>0</v>
      </c>
      <c r="G3599" s="405">
        <f t="shared" si="453"/>
        <v>0</v>
      </c>
      <c r="H3599" s="405">
        <f t="shared" si="454"/>
        <v>0</v>
      </c>
    </row>
    <row r="3600" spans="1:8">
      <c r="A3600" s="363" t="str">
        <f t="shared" si="455"/>
        <v/>
      </c>
      <c r="B3600" s="363" t="str">
        <f t="shared" si="448"/>
        <v/>
      </c>
      <c r="C3600" s="405" t="str">
        <f t="shared" si="449"/>
        <v/>
      </c>
      <c r="D3600" s="405">
        <f t="shared" si="450"/>
        <v>0</v>
      </c>
      <c r="E3600" s="405" t="str">
        <f t="shared" si="451"/>
        <v/>
      </c>
      <c r="F3600" s="405">
        <f t="shared" si="452"/>
        <v>0</v>
      </c>
      <c r="G3600" s="405">
        <f t="shared" si="453"/>
        <v>0</v>
      </c>
      <c r="H3600" s="405">
        <f t="shared" si="454"/>
        <v>0</v>
      </c>
    </row>
    <row r="3601" spans="1:8">
      <c r="A3601" s="363" t="str">
        <f t="shared" si="455"/>
        <v/>
      </c>
      <c r="B3601" s="363" t="str">
        <f t="shared" si="448"/>
        <v/>
      </c>
      <c r="C3601" s="405" t="str">
        <f t="shared" si="449"/>
        <v/>
      </c>
      <c r="D3601" s="405">
        <f t="shared" si="450"/>
        <v>0</v>
      </c>
      <c r="E3601" s="405" t="str">
        <f t="shared" si="451"/>
        <v/>
      </c>
      <c r="F3601" s="405">
        <f t="shared" si="452"/>
        <v>0</v>
      </c>
      <c r="G3601" s="405">
        <f t="shared" si="453"/>
        <v>0</v>
      </c>
      <c r="H3601" s="405">
        <f t="shared" si="454"/>
        <v>0</v>
      </c>
    </row>
    <row r="3602" spans="1:8">
      <c r="A3602" s="363" t="str">
        <f t="shared" si="455"/>
        <v/>
      </c>
      <c r="B3602" s="363" t="str">
        <f t="shared" si="448"/>
        <v/>
      </c>
      <c r="C3602" s="405" t="str">
        <f t="shared" si="449"/>
        <v/>
      </c>
      <c r="D3602" s="405">
        <f t="shared" si="450"/>
        <v>0</v>
      </c>
      <c r="E3602" s="405" t="str">
        <f t="shared" si="451"/>
        <v/>
      </c>
      <c r="F3602" s="405">
        <f t="shared" si="452"/>
        <v>0</v>
      </c>
      <c r="G3602" s="405">
        <f t="shared" si="453"/>
        <v>0</v>
      </c>
      <c r="H3602" s="405">
        <f t="shared" si="454"/>
        <v>0</v>
      </c>
    </row>
    <row r="3603" spans="1:8">
      <c r="A3603" s="363" t="str">
        <f t="shared" si="455"/>
        <v/>
      </c>
      <c r="B3603" s="363" t="str">
        <f t="shared" si="448"/>
        <v/>
      </c>
      <c r="C3603" s="405" t="str">
        <f t="shared" si="449"/>
        <v/>
      </c>
      <c r="D3603" s="405">
        <f t="shared" si="450"/>
        <v>0</v>
      </c>
      <c r="E3603" s="405" t="str">
        <f t="shared" si="451"/>
        <v/>
      </c>
      <c r="F3603" s="405">
        <f t="shared" si="452"/>
        <v>0</v>
      </c>
      <c r="G3603" s="405">
        <f t="shared" si="453"/>
        <v>0</v>
      </c>
      <c r="H3603" s="405">
        <f t="shared" si="454"/>
        <v>0</v>
      </c>
    </row>
    <row r="3604" spans="1:8">
      <c r="A3604" s="363" t="str">
        <f t="shared" si="455"/>
        <v/>
      </c>
      <c r="B3604" s="363" t="str">
        <f t="shared" si="448"/>
        <v/>
      </c>
      <c r="C3604" s="405" t="str">
        <f t="shared" si="449"/>
        <v/>
      </c>
      <c r="D3604" s="405">
        <f t="shared" si="450"/>
        <v>0</v>
      </c>
      <c r="E3604" s="405" t="str">
        <f t="shared" si="451"/>
        <v/>
      </c>
      <c r="F3604" s="405">
        <f t="shared" si="452"/>
        <v>0</v>
      </c>
      <c r="G3604" s="405">
        <f t="shared" si="453"/>
        <v>0</v>
      </c>
      <c r="H3604" s="405">
        <f t="shared" si="454"/>
        <v>0</v>
      </c>
    </row>
    <row r="3605" spans="1:8">
      <c r="A3605" s="363" t="str">
        <f t="shared" si="455"/>
        <v/>
      </c>
      <c r="B3605" s="363" t="str">
        <f t="shared" si="448"/>
        <v/>
      </c>
      <c r="C3605" s="405" t="str">
        <f t="shared" si="449"/>
        <v/>
      </c>
      <c r="D3605" s="405">
        <f t="shared" si="450"/>
        <v>0</v>
      </c>
      <c r="E3605" s="405" t="str">
        <f t="shared" si="451"/>
        <v/>
      </c>
      <c r="F3605" s="405">
        <f t="shared" si="452"/>
        <v>0</v>
      </c>
      <c r="G3605" s="405">
        <f t="shared" si="453"/>
        <v>0</v>
      </c>
      <c r="H3605" s="405">
        <f t="shared" si="454"/>
        <v>0</v>
      </c>
    </row>
    <row r="3606" spans="1:8">
      <c r="A3606" s="363" t="str">
        <f t="shared" si="455"/>
        <v/>
      </c>
      <c r="B3606" s="363" t="str">
        <f t="shared" si="448"/>
        <v/>
      </c>
      <c r="C3606" s="405" t="str">
        <f t="shared" si="449"/>
        <v/>
      </c>
      <c r="D3606" s="405">
        <f t="shared" si="450"/>
        <v>0</v>
      </c>
      <c r="E3606" s="405" t="str">
        <f t="shared" si="451"/>
        <v/>
      </c>
      <c r="F3606" s="405">
        <f t="shared" si="452"/>
        <v>0</v>
      </c>
      <c r="G3606" s="405">
        <f t="shared" si="453"/>
        <v>0</v>
      </c>
      <c r="H3606" s="405">
        <f t="shared" si="454"/>
        <v>0</v>
      </c>
    </row>
    <row r="3607" spans="1:8">
      <c r="A3607" s="363" t="str">
        <f t="shared" si="455"/>
        <v/>
      </c>
      <c r="B3607" s="363" t="str">
        <f t="shared" si="448"/>
        <v/>
      </c>
      <c r="C3607" s="405" t="str">
        <f t="shared" si="449"/>
        <v/>
      </c>
      <c r="D3607" s="405">
        <f t="shared" si="450"/>
        <v>0</v>
      </c>
      <c r="E3607" s="405" t="str">
        <f t="shared" si="451"/>
        <v/>
      </c>
      <c r="F3607" s="405">
        <f t="shared" si="452"/>
        <v>0</v>
      </c>
      <c r="G3607" s="405">
        <f t="shared" si="453"/>
        <v>0</v>
      </c>
      <c r="H3607" s="405">
        <f t="shared" si="454"/>
        <v>0</v>
      </c>
    </row>
    <row r="3608" spans="1:8">
      <c r="A3608" s="363" t="str">
        <f t="shared" si="455"/>
        <v/>
      </c>
      <c r="B3608" s="363" t="str">
        <f t="shared" si="448"/>
        <v/>
      </c>
      <c r="C3608" s="405" t="str">
        <f t="shared" si="449"/>
        <v/>
      </c>
      <c r="D3608" s="405">
        <f t="shared" si="450"/>
        <v>0</v>
      </c>
      <c r="E3608" s="405" t="str">
        <f t="shared" si="451"/>
        <v/>
      </c>
      <c r="F3608" s="405">
        <f t="shared" si="452"/>
        <v>0</v>
      </c>
      <c r="G3608" s="405">
        <f t="shared" si="453"/>
        <v>0</v>
      </c>
      <c r="H3608" s="405">
        <f t="shared" si="454"/>
        <v>0</v>
      </c>
    </row>
    <row r="3609" spans="1:8">
      <c r="A3609" s="363" t="str">
        <f t="shared" si="455"/>
        <v/>
      </c>
      <c r="B3609" s="363" t="str">
        <f t="shared" si="448"/>
        <v/>
      </c>
      <c r="C3609" s="405" t="str">
        <f t="shared" si="449"/>
        <v/>
      </c>
      <c r="D3609" s="405">
        <f t="shared" si="450"/>
        <v>0</v>
      </c>
      <c r="E3609" s="405" t="str">
        <f t="shared" si="451"/>
        <v/>
      </c>
      <c r="F3609" s="405">
        <f t="shared" si="452"/>
        <v>0</v>
      </c>
      <c r="G3609" s="405">
        <f t="shared" si="453"/>
        <v>0</v>
      </c>
      <c r="H3609" s="405">
        <f t="shared" si="454"/>
        <v>0</v>
      </c>
    </row>
    <row r="3610" spans="1:8">
      <c r="A3610" s="363" t="str">
        <f t="shared" si="455"/>
        <v/>
      </c>
      <c r="B3610" s="363" t="str">
        <f t="shared" si="448"/>
        <v/>
      </c>
      <c r="C3610" s="405" t="str">
        <f t="shared" si="449"/>
        <v/>
      </c>
      <c r="D3610" s="405">
        <f t="shared" si="450"/>
        <v>0</v>
      </c>
      <c r="E3610" s="405" t="str">
        <f t="shared" si="451"/>
        <v/>
      </c>
      <c r="F3610" s="405">
        <f t="shared" si="452"/>
        <v>0</v>
      </c>
      <c r="G3610" s="405">
        <f t="shared" si="453"/>
        <v>0</v>
      </c>
      <c r="H3610" s="405">
        <f t="shared" si="454"/>
        <v>0</v>
      </c>
    </row>
    <row r="3611" spans="1:8">
      <c r="A3611" s="363" t="str">
        <f t="shared" si="455"/>
        <v/>
      </c>
      <c r="B3611" s="363" t="str">
        <f t="shared" si="448"/>
        <v/>
      </c>
      <c r="C3611" s="405" t="str">
        <f t="shared" si="449"/>
        <v/>
      </c>
      <c r="D3611" s="405">
        <f t="shared" si="450"/>
        <v>0</v>
      </c>
      <c r="E3611" s="405" t="str">
        <f t="shared" si="451"/>
        <v/>
      </c>
      <c r="F3611" s="405">
        <f t="shared" si="452"/>
        <v>0</v>
      </c>
      <c r="G3611" s="405">
        <f t="shared" si="453"/>
        <v>0</v>
      </c>
      <c r="H3611" s="405">
        <f t="shared" si="454"/>
        <v>0</v>
      </c>
    </row>
    <row r="3612" spans="1:8">
      <c r="A3612" s="363" t="str">
        <f t="shared" si="455"/>
        <v/>
      </c>
      <c r="B3612" s="363" t="str">
        <f t="shared" si="448"/>
        <v/>
      </c>
      <c r="C3612" s="405" t="str">
        <f t="shared" si="449"/>
        <v/>
      </c>
      <c r="D3612" s="405">
        <f t="shared" si="450"/>
        <v>0</v>
      </c>
      <c r="E3612" s="405" t="str">
        <f t="shared" si="451"/>
        <v/>
      </c>
      <c r="F3612" s="405">
        <f t="shared" si="452"/>
        <v>0</v>
      </c>
      <c r="G3612" s="405">
        <f t="shared" si="453"/>
        <v>0</v>
      </c>
      <c r="H3612" s="405">
        <f t="shared" si="454"/>
        <v>0</v>
      </c>
    </row>
    <row r="3613" spans="1:8">
      <c r="A3613" s="363" t="str">
        <f t="shared" si="455"/>
        <v/>
      </c>
      <c r="B3613" s="363" t="str">
        <f t="shared" si="448"/>
        <v/>
      </c>
      <c r="C3613" s="405" t="str">
        <f t="shared" si="449"/>
        <v/>
      </c>
      <c r="D3613" s="405">
        <f t="shared" si="450"/>
        <v>0</v>
      </c>
      <c r="E3613" s="405" t="str">
        <f t="shared" si="451"/>
        <v/>
      </c>
      <c r="F3613" s="405">
        <f t="shared" si="452"/>
        <v>0</v>
      </c>
      <c r="G3613" s="405">
        <f t="shared" si="453"/>
        <v>0</v>
      </c>
      <c r="H3613" s="405">
        <f t="shared" si="454"/>
        <v>0</v>
      </c>
    </row>
    <row r="3614" spans="1:8">
      <c r="A3614" s="363" t="str">
        <f t="shared" si="455"/>
        <v/>
      </c>
      <c r="B3614" s="363" t="str">
        <f t="shared" si="448"/>
        <v/>
      </c>
      <c r="C3614" s="405" t="str">
        <f t="shared" si="449"/>
        <v/>
      </c>
      <c r="D3614" s="405">
        <f t="shared" si="450"/>
        <v>0</v>
      </c>
      <c r="E3614" s="405" t="str">
        <f t="shared" si="451"/>
        <v/>
      </c>
      <c r="F3614" s="405">
        <f t="shared" si="452"/>
        <v>0</v>
      </c>
      <c r="G3614" s="405">
        <f t="shared" si="453"/>
        <v>0</v>
      </c>
      <c r="H3614" s="405">
        <f t="shared" si="454"/>
        <v>0</v>
      </c>
    </row>
    <row r="3615" spans="1:8">
      <c r="A3615" s="363" t="str">
        <f t="shared" si="455"/>
        <v/>
      </c>
      <c r="B3615" s="363" t="str">
        <f t="shared" si="448"/>
        <v/>
      </c>
      <c r="C3615" s="405" t="str">
        <f t="shared" si="449"/>
        <v/>
      </c>
      <c r="D3615" s="405">
        <f t="shared" si="450"/>
        <v>0</v>
      </c>
      <c r="E3615" s="405" t="str">
        <f t="shared" si="451"/>
        <v/>
      </c>
      <c r="F3615" s="405">
        <f t="shared" si="452"/>
        <v>0</v>
      </c>
      <c r="G3615" s="405">
        <f t="shared" si="453"/>
        <v>0</v>
      </c>
      <c r="H3615" s="405">
        <f t="shared" si="454"/>
        <v>0</v>
      </c>
    </row>
    <row r="3616" spans="1:8">
      <c r="A3616" s="363" t="str">
        <f t="shared" si="455"/>
        <v/>
      </c>
      <c r="B3616" s="363" t="str">
        <f t="shared" si="448"/>
        <v/>
      </c>
      <c r="C3616" s="405" t="str">
        <f t="shared" si="449"/>
        <v/>
      </c>
      <c r="D3616" s="405">
        <f t="shared" si="450"/>
        <v>0</v>
      </c>
      <c r="E3616" s="405" t="str">
        <f t="shared" si="451"/>
        <v/>
      </c>
      <c r="F3616" s="405">
        <f t="shared" si="452"/>
        <v>0</v>
      </c>
      <c r="G3616" s="405">
        <f t="shared" si="453"/>
        <v>0</v>
      </c>
      <c r="H3616" s="405">
        <f t="shared" si="454"/>
        <v>0</v>
      </c>
    </row>
    <row r="3617" spans="1:8">
      <c r="A3617" s="363" t="str">
        <f t="shared" si="455"/>
        <v/>
      </c>
      <c r="B3617" s="363" t="str">
        <f t="shared" si="448"/>
        <v/>
      </c>
      <c r="C3617" s="405" t="str">
        <f t="shared" si="449"/>
        <v/>
      </c>
      <c r="D3617" s="405">
        <f t="shared" si="450"/>
        <v>0</v>
      </c>
      <c r="E3617" s="405" t="str">
        <f t="shared" si="451"/>
        <v/>
      </c>
      <c r="F3617" s="405">
        <f t="shared" si="452"/>
        <v>0</v>
      </c>
      <c r="G3617" s="405">
        <f t="shared" si="453"/>
        <v>0</v>
      </c>
      <c r="H3617" s="405">
        <f t="shared" si="454"/>
        <v>0</v>
      </c>
    </row>
    <row r="3618" spans="1:8">
      <c r="A3618" s="363" t="str">
        <f t="shared" si="455"/>
        <v/>
      </c>
      <c r="B3618" s="363" t="str">
        <f t="shared" si="448"/>
        <v/>
      </c>
      <c r="C3618" s="405" t="str">
        <f t="shared" si="449"/>
        <v/>
      </c>
      <c r="D3618" s="405">
        <f t="shared" si="450"/>
        <v>0</v>
      </c>
      <c r="E3618" s="405" t="str">
        <f t="shared" si="451"/>
        <v/>
      </c>
      <c r="F3618" s="405">
        <f t="shared" si="452"/>
        <v>0</v>
      </c>
      <c r="G3618" s="405">
        <f t="shared" si="453"/>
        <v>0</v>
      </c>
      <c r="H3618" s="405">
        <f t="shared" si="454"/>
        <v>0</v>
      </c>
    </row>
    <row r="3619" spans="1:8">
      <c r="A3619" s="363" t="str">
        <f t="shared" si="455"/>
        <v/>
      </c>
      <c r="B3619" s="363" t="str">
        <f t="shared" si="448"/>
        <v/>
      </c>
      <c r="C3619" s="405" t="str">
        <f t="shared" si="449"/>
        <v/>
      </c>
      <c r="D3619" s="405">
        <f t="shared" si="450"/>
        <v>0</v>
      </c>
      <c r="E3619" s="405" t="str">
        <f t="shared" si="451"/>
        <v/>
      </c>
      <c r="F3619" s="405">
        <f t="shared" si="452"/>
        <v>0</v>
      </c>
      <c r="G3619" s="405">
        <f t="shared" si="453"/>
        <v>0</v>
      </c>
      <c r="H3619" s="405">
        <f t="shared" si="454"/>
        <v>0</v>
      </c>
    </row>
    <row r="3620" spans="1:8">
      <c r="A3620" s="363" t="str">
        <f t="shared" si="455"/>
        <v/>
      </c>
      <c r="B3620" s="363" t="str">
        <f t="shared" si="448"/>
        <v/>
      </c>
      <c r="C3620" s="405" t="str">
        <f t="shared" si="449"/>
        <v/>
      </c>
      <c r="D3620" s="405">
        <f t="shared" si="450"/>
        <v>0</v>
      </c>
      <c r="E3620" s="405" t="str">
        <f t="shared" si="451"/>
        <v/>
      </c>
      <c r="F3620" s="405">
        <f t="shared" si="452"/>
        <v>0</v>
      </c>
      <c r="G3620" s="405">
        <f t="shared" si="453"/>
        <v>0</v>
      </c>
      <c r="H3620" s="405">
        <f t="shared" si="454"/>
        <v>0</v>
      </c>
    </row>
    <row r="3621" spans="1:8">
      <c r="A3621" s="363" t="str">
        <f t="shared" si="455"/>
        <v/>
      </c>
      <c r="B3621" s="363" t="str">
        <f t="shared" si="448"/>
        <v/>
      </c>
      <c r="C3621" s="405" t="str">
        <f t="shared" si="449"/>
        <v/>
      </c>
      <c r="D3621" s="405">
        <f t="shared" si="450"/>
        <v>0</v>
      </c>
      <c r="E3621" s="405" t="str">
        <f t="shared" si="451"/>
        <v/>
      </c>
      <c r="F3621" s="405">
        <f t="shared" si="452"/>
        <v>0</v>
      </c>
      <c r="G3621" s="405">
        <f t="shared" si="453"/>
        <v>0</v>
      </c>
      <c r="H3621" s="405">
        <f t="shared" si="454"/>
        <v>0</v>
      </c>
    </row>
    <row r="3622" spans="1:8">
      <c r="A3622" s="363" t="str">
        <f t="shared" si="455"/>
        <v/>
      </c>
      <c r="B3622" s="363" t="str">
        <f t="shared" si="448"/>
        <v/>
      </c>
      <c r="C3622" s="405" t="str">
        <f t="shared" si="449"/>
        <v/>
      </c>
      <c r="D3622" s="405">
        <f t="shared" si="450"/>
        <v>0</v>
      </c>
      <c r="E3622" s="405" t="str">
        <f t="shared" si="451"/>
        <v/>
      </c>
      <c r="F3622" s="405">
        <f t="shared" si="452"/>
        <v>0</v>
      </c>
      <c r="G3622" s="405">
        <f t="shared" si="453"/>
        <v>0</v>
      </c>
      <c r="H3622" s="405">
        <f t="shared" si="454"/>
        <v>0</v>
      </c>
    </row>
    <row r="3623" spans="1:8">
      <c r="A3623" s="363" t="str">
        <f t="shared" si="455"/>
        <v/>
      </c>
      <c r="B3623" s="363" t="str">
        <f t="shared" si="448"/>
        <v/>
      </c>
      <c r="C3623" s="405" t="str">
        <f t="shared" si="449"/>
        <v/>
      </c>
      <c r="D3623" s="405">
        <f t="shared" si="450"/>
        <v>0</v>
      </c>
      <c r="E3623" s="405" t="str">
        <f t="shared" si="451"/>
        <v/>
      </c>
      <c r="F3623" s="405">
        <f t="shared" si="452"/>
        <v>0</v>
      </c>
      <c r="G3623" s="405">
        <f t="shared" si="453"/>
        <v>0</v>
      </c>
      <c r="H3623" s="405">
        <f t="shared" si="454"/>
        <v>0</v>
      </c>
    </row>
    <row r="3624" spans="1:8">
      <c r="A3624" s="363" t="str">
        <f t="shared" si="455"/>
        <v/>
      </c>
      <c r="B3624" s="363" t="str">
        <f t="shared" si="448"/>
        <v/>
      </c>
      <c r="C3624" s="405" t="str">
        <f t="shared" si="449"/>
        <v/>
      </c>
      <c r="D3624" s="405">
        <f t="shared" si="450"/>
        <v>0</v>
      </c>
      <c r="E3624" s="405" t="str">
        <f t="shared" si="451"/>
        <v/>
      </c>
      <c r="F3624" s="405">
        <f t="shared" si="452"/>
        <v>0</v>
      </c>
      <c r="G3624" s="405">
        <f t="shared" si="453"/>
        <v>0</v>
      </c>
      <c r="H3624" s="405">
        <f t="shared" si="454"/>
        <v>0</v>
      </c>
    </row>
    <row r="3625" spans="1:8">
      <c r="A3625" s="363" t="str">
        <f t="shared" si="455"/>
        <v/>
      </c>
      <c r="B3625" s="363" t="str">
        <f t="shared" si="448"/>
        <v/>
      </c>
      <c r="C3625" s="405" t="str">
        <f t="shared" si="449"/>
        <v/>
      </c>
      <c r="D3625" s="405">
        <f t="shared" si="450"/>
        <v>0</v>
      </c>
      <c r="E3625" s="405" t="str">
        <f t="shared" si="451"/>
        <v/>
      </c>
      <c r="F3625" s="405">
        <f t="shared" si="452"/>
        <v>0</v>
      </c>
      <c r="G3625" s="405">
        <f t="shared" si="453"/>
        <v>0</v>
      </c>
      <c r="H3625" s="405">
        <f t="shared" si="454"/>
        <v>0</v>
      </c>
    </row>
    <row r="3626" spans="1:8">
      <c r="A3626" s="363" t="str">
        <f t="shared" si="455"/>
        <v/>
      </c>
      <c r="B3626" s="363" t="str">
        <f t="shared" si="448"/>
        <v/>
      </c>
      <c r="C3626" s="405" t="str">
        <f t="shared" si="449"/>
        <v/>
      </c>
      <c r="D3626" s="405">
        <f t="shared" si="450"/>
        <v>0</v>
      </c>
      <c r="E3626" s="405" t="str">
        <f t="shared" si="451"/>
        <v/>
      </c>
      <c r="F3626" s="405">
        <f t="shared" si="452"/>
        <v>0</v>
      </c>
      <c r="G3626" s="405">
        <f t="shared" si="453"/>
        <v>0</v>
      </c>
      <c r="H3626" s="405">
        <f t="shared" si="454"/>
        <v>0</v>
      </c>
    </row>
    <row r="3627" spans="1:8">
      <c r="A3627" s="363" t="str">
        <f t="shared" si="455"/>
        <v/>
      </c>
      <c r="B3627" s="363" t="str">
        <f t="shared" si="448"/>
        <v/>
      </c>
      <c r="C3627" s="405" t="str">
        <f t="shared" si="449"/>
        <v/>
      </c>
      <c r="D3627" s="405">
        <f t="shared" si="450"/>
        <v>0</v>
      </c>
      <c r="E3627" s="405" t="str">
        <f t="shared" si="451"/>
        <v/>
      </c>
      <c r="F3627" s="405">
        <f t="shared" si="452"/>
        <v>0</v>
      </c>
      <c r="G3627" s="405">
        <f t="shared" si="453"/>
        <v>0</v>
      </c>
      <c r="H3627" s="405">
        <f t="shared" si="454"/>
        <v>0</v>
      </c>
    </row>
    <row r="3628" spans="1:8">
      <c r="A3628" s="363" t="str">
        <f t="shared" si="455"/>
        <v/>
      </c>
      <c r="B3628" s="363" t="str">
        <f t="shared" si="448"/>
        <v/>
      </c>
      <c r="C3628" s="405" t="str">
        <f t="shared" si="449"/>
        <v/>
      </c>
      <c r="D3628" s="405">
        <f t="shared" si="450"/>
        <v>0</v>
      </c>
      <c r="E3628" s="405" t="str">
        <f t="shared" si="451"/>
        <v/>
      </c>
      <c r="F3628" s="405">
        <f t="shared" si="452"/>
        <v>0</v>
      </c>
      <c r="G3628" s="405">
        <f t="shared" si="453"/>
        <v>0</v>
      </c>
      <c r="H3628" s="405">
        <f t="shared" si="454"/>
        <v>0</v>
      </c>
    </row>
    <row r="3629" spans="1:8">
      <c r="A3629" s="363" t="str">
        <f t="shared" si="455"/>
        <v/>
      </c>
      <c r="B3629" s="363" t="str">
        <f t="shared" si="448"/>
        <v/>
      </c>
      <c r="C3629" s="405" t="str">
        <f t="shared" si="449"/>
        <v/>
      </c>
      <c r="D3629" s="405">
        <f t="shared" si="450"/>
        <v>0</v>
      </c>
      <c r="E3629" s="405" t="str">
        <f t="shared" si="451"/>
        <v/>
      </c>
      <c r="F3629" s="405">
        <f t="shared" si="452"/>
        <v>0</v>
      </c>
      <c r="G3629" s="405">
        <f t="shared" si="453"/>
        <v>0</v>
      </c>
      <c r="H3629" s="405">
        <f t="shared" si="454"/>
        <v>0</v>
      </c>
    </row>
    <row r="3630" spans="1:8">
      <c r="A3630" s="363" t="str">
        <f t="shared" si="455"/>
        <v/>
      </c>
      <c r="B3630" s="363" t="str">
        <f t="shared" si="448"/>
        <v/>
      </c>
      <c r="C3630" s="405" t="str">
        <f t="shared" si="449"/>
        <v/>
      </c>
      <c r="D3630" s="405">
        <f t="shared" si="450"/>
        <v>0</v>
      </c>
      <c r="E3630" s="405" t="str">
        <f t="shared" si="451"/>
        <v/>
      </c>
      <c r="F3630" s="405">
        <f t="shared" si="452"/>
        <v>0</v>
      </c>
      <c r="G3630" s="405">
        <f t="shared" si="453"/>
        <v>0</v>
      </c>
      <c r="H3630" s="405">
        <f t="shared" si="454"/>
        <v>0</v>
      </c>
    </row>
    <row r="3631" spans="1:8">
      <c r="A3631" s="363" t="str">
        <f t="shared" si="455"/>
        <v/>
      </c>
      <c r="B3631" s="363" t="str">
        <f t="shared" si="448"/>
        <v/>
      </c>
      <c r="C3631" s="405" t="str">
        <f t="shared" si="449"/>
        <v/>
      </c>
      <c r="D3631" s="405">
        <f t="shared" si="450"/>
        <v>0</v>
      </c>
      <c r="E3631" s="405" t="str">
        <f t="shared" si="451"/>
        <v/>
      </c>
      <c r="F3631" s="405">
        <f t="shared" si="452"/>
        <v>0</v>
      </c>
      <c r="G3631" s="405">
        <f t="shared" si="453"/>
        <v>0</v>
      </c>
      <c r="H3631" s="405">
        <f t="shared" si="454"/>
        <v>0</v>
      </c>
    </row>
    <row r="3632" spans="1:8">
      <c r="A3632" s="363" t="str">
        <f t="shared" si="455"/>
        <v/>
      </c>
      <c r="B3632" s="363" t="str">
        <f t="shared" si="448"/>
        <v/>
      </c>
      <c r="C3632" s="405" t="str">
        <f t="shared" si="449"/>
        <v/>
      </c>
      <c r="D3632" s="405">
        <f t="shared" si="450"/>
        <v>0</v>
      </c>
      <c r="E3632" s="405" t="str">
        <f t="shared" si="451"/>
        <v/>
      </c>
      <c r="F3632" s="405">
        <f t="shared" si="452"/>
        <v>0</v>
      </c>
      <c r="G3632" s="405">
        <f t="shared" si="453"/>
        <v>0</v>
      </c>
      <c r="H3632" s="405">
        <f t="shared" si="454"/>
        <v>0</v>
      </c>
    </row>
    <row r="3633" spans="1:8">
      <c r="A3633" s="363" t="str">
        <f t="shared" si="455"/>
        <v/>
      </c>
      <c r="B3633" s="363" t="str">
        <f t="shared" si="448"/>
        <v/>
      </c>
      <c r="C3633" s="405" t="str">
        <f t="shared" si="449"/>
        <v/>
      </c>
      <c r="D3633" s="405">
        <f t="shared" si="450"/>
        <v>0</v>
      </c>
      <c r="E3633" s="405" t="str">
        <f t="shared" si="451"/>
        <v/>
      </c>
      <c r="F3633" s="405">
        <f t="shared" si="452"/>
        <v>0</v>
      </c>
      <c r="G3633" s="405">
        <f t="shared" si="453"/>
        <v>0</v>
      </c>
      <c r="H3633" s="405">
        <f t="shared" si="454"/>
        <v>0</v>
      </c>
    </row>
    <row r="3634" spans="1:8">
      <c r="A3634" s="363" t="str">
        <f t="shared" si="455"/>
        <v/>
      </c>
      <c r="B3634" s="363" t="str">
        <f t="shared" si="448"/>
        <v/>
      </c>
      <c r="C3634" s="405" t="str">
        <f t="shared" si="449"/>
        <v/>
      </c>
      <c r="D3634" s="405">
        <f t="shared" si="450"/>
        <v>0</v>
      </c>
      <c r="E3634" s="405" t="str">
        <f t="shared" si="451"/>
        <v/>
      </c>
      <c r="F3634" s="405">
        <f t="shared" si="452"/>
        <v>0</v>
      </c>
      <c r="G3634" s="405">
        <f t="shared" si="453"/>
        <v>0</v>
      </c>
      <c r="H3634" s="405">
        <f t="shared" si="454"/>
        <v>0</v>
      </c>
    </row>
    <row r="3635" spans="1:8">
      <c r="A3635" s="363" t="str">
        <f t="shared" si="455"/>
        <v/>
      </c>
      <c r="B3635" s="363" t="str">
        <f t="shared" si="448"/>
        <v/>
      </c>
      <c r="C3635" s="405" t="str">
        <f t="shared" si="449"/>
        <v/>
      </c>
      <c r="D3635" s="405">
        <f t="shared" si="450"/>
        <v>0</v>
      </c>
      <c r="E3635" s="405" t="str">
        <f t="shared" si="451"/>
        <v/>
      </c>
      <c r="F3635" s="405">
        <f t="shared" si="452"/>
        <v>0</v>
      </c>
      <c r="G3635" s="405">
        <f t="shared" si="453"/>
        <v>0</v>
      </c>
      <c r="H3635" s="405">
        <f t="shared" si="454"/>
        <v>0</v>
      </c>
    </row>
    <row r="3636" spans="1:8">
      <c r="A3636" s="363" t="str">
        <f t="shared" si="455"/>
        <v/>
      </c>
      <c r="B3636" s="363" t="str">
        <f t="shared" si="448"/>
        <v/>
      </c>
      <c r="C3636" s="405" t="str">
        <f t="shared" si="449"/>
        <v/>
      </c>
      <c r="D3636" s="405">
        <f t="shared" si="450"/>
        <v>0</v>
      </c>
      <c r="E3636" s="405" t="str">
        <f t="shared" si="451"/>
        <v/>
      </c>
      <c r="F3636" s="405">
        <f t="shared" si="452"/>
        <v>0</v>
      </c>
      <c r="G3636" s="405">
        <f t="shared" si="453"/>
        <v>0</v>
      </c>
      <c r="H3636" s="405">
        <f t="shared" si="454"/>
        <v>0</v>
      </c>
    </row>
    <row r="3637" spans="1:8">
      <c r="A3637" s="363" t="str">
        <f t="shared" si="455"/>
        <v/>
      </c>
      <c r="B3637" s="363" t="str">
        <f t="shared" si="448"/>
        <v/>
      </c>
      <c r="C3637" s="405" t="str">
        <f t="shared" si="449"/>
        <v/>
      </c>
      <c r="D3637" s="405">
        <f t="shared" si="450"/>
        <v>0</v>
      </c>
      <c r="E3637" s="405" t="str">
        <f t="shared" si="451"/>
        <v/>
      </c>
      <c r="F3637" s="405">
        <f t="shared" si="452"/>
        <v>0</v>
      </c>
      <c r="G3637" s="405">
        <f t="shared" si="453"/>
        <v>0</v>
      </c>
      <c r="H3637" s="405">
        <f t="shared" si="454"/>
        <v>0</v>
      </c>
    </row>
    <row r="3638" spans="1:8">
      <c r="A3638" s="363" t="str">
        <f t="shared" si="455"/>
        <v/>
      </c>
      <c r="B3638" s="363" t="str">
        <f t="shared" si="448"/>
        <v/>
      </c>
      <c r="C3638" s="405" t="str">
        <f t="shared" si="449"/>
        <v/>
      </c>
      <c r="D3638" s="405">
        <f t="shared" si="450"/>
        <v>0</v>
      </c>
      <c r="E3638" s="405" t="str">
        <f t="shared" si="451"/>
        <v/>
      </c>
      <c r="F3638" s="405">
        <f t="shared" si="452"/>
        <v>0</v>
      </c>
      <c r="G3638" s="405">
        <f t="shared" si="453"/>
        <v>0</v>
      </c>
      <c r="H3638" s="405">
        <f t="shared" si="454"/>
        <v>0</v>
      </c>
    </row>
    <row r="3639" spans="1:8">
      <c r="A3639" s="363" t="str">
        <f t="shared" si="455"/>
        <v/>
      </c>
      <c r="B3639" s="363" t="str">
        <f t="shared" si="448"/>
        <v/>
      </c>
      <c r="C3639" s="405" t="str">
        <f t="shared" si="449"/>
        <v/>
      </c>
      <c r="D3639" s="405">
        <f t="shared" si="450"/>
        <v>0</v>
      </c>
      <c r="E3639" s="405" t="str">
        <f t="shared" si="451"/>
        <v/>
      </c>
      <c r="F3639" s="405">
        <f t="shared" si="452"/>
        <v>0</v>
      </c>
      <c r="G3639" s="405">
        <f t="shared" si="453"/>
        <v>0</v>
      </c>
      <c r="H3639" s="405">
        <f t="shared" si="454"/>
        <v>0</v>
      </c>
    </row>
    <row r="3640" spans="1:8">
      <c r="A3640" s="363" t="str">
        <f t="shared" si="455"/>
        <v/>
      </c>
      <c r="B3640" s="363" t="str">
        <f t="shared" si="448"/>
        <v/>
      </c>
      <c r="C3640" s="405" t="str">
        <f t="shared" si="449"/>
        <v/>
      </c>
      <c r="D3640" s="405">
        <f t="shared" si="450"/>
        <v>0</v>
      </c>
      <c r="E3640" s="405" t="str">
        <f t="shared" si="451"/>
        <v/>
      </c>
      <c r="F3640" s="405">
        <f t="shared" si="452"/>
        <v>0</v>
      </c>
      <c r="G3640" s="405">
        <f t="shared" si="453"/>
        <v>0</v>
      </c>
      <c r="H3640" s="405">
        <f t="shared" si="454"/>
        <v>0</v>
      </c>
    </row>
    <row r="3641" spans="1:8">
      <c r="A3641" s="363" t="str">
        <f t="shared" si="455"/>
        <v/>
      </c>
      <c r="B3641" s="363" t="str">
        <f t="shared" si="448"/>
        <v/>
      </c>
      <c r="C3641" s="405" t="str">
        <f t="shared" si="449"/>
        <v/>
      </c>
      <c r="D3641" s="405">
        <f t="shared" si="450"/>
        <v>0</v>
      </c>
      <c r="E3641" s="405" t="str">
        <f t="shared" si="451"/>
        <v/>
      </c>
      <c r="F3641" s="405">
        <f t="shared" si="452"/>
        <v>0</v>
      </c>
      <c r="G3641" s="405">
        <f t="shared" si="453"/>
        <v>0</v>
      </c>
      <c r="H3641" s="405">
        <f t="shared" si="454"/>
        <v>0</v>
      </c>
    </row>
    <row r="3642" spans="1:8">
      <c r="A3642" s="363" t="str">
        <f t="shared" si="455"/>
        <v/>
      </c>
      <c r="B3642" s="363" t="str">
        <f t="shared" si="448"/>
        <v/>
      </c>
      <c r="C3642" s="405" t="str">
        <f t="shared" si="449"/>
        <v/>
      </c>
      <c r="D3642" s="405">
        <f t="shared" si="450"/>
        <v>0</v>
      </c>
      <c r="E3642" s="405" t="str">
        <f t="shared" si="451"/>
        <v/>
      </c>
      <c r="F3642" s="405">
        <f t="shared" si="452"/>
        <v>0</v>
      </c>
      <c r="G3642" s="405">
        <f t="shared" si="453"/>
        <v>0</v>
      </c>
      <c r="H3642" s="405">
        <f t="shared" si="454"/>
        <v>0</v>
      </c>
    </row>
    <row r="3643" spans="1:8">
      <c r="A3643" s="363" t="str">
        <f t="shared" si="455"/>
        <v/>
      </c>
      <c r="B3643" s="363" t="str">
        <f t="shared" si="448"/>
        <v/>
      </c>
      <c r="C3643" s="405" t="str">
        <f t="shared" si="449"/>
        <v/>
      </c>
      <c r="D3643" s="405">
        <f t="shared" si="450"/>
        <v>0</v>
      </c>
      <c r="E3643" s="405" t="str">
        <f t="shared" si="451"/>
        <v/>
      </c>
      <c r="F3643" s="405">
        <f t="shared" si="452"/>
        <v>0</v>
      </c>
      <c r="G3643" s="405">
        <f t="shared" si="453"/>
        <v>0</v>
      </c>
      <c r="H3643" s="405">
        <f t="shared" si="454"/>
        <v>0</v>
      </c>
    </row>
    <row r="3644" spans="1:8">
      <c r="A3644" s="363" t="str">
        <f t="shared" si="455"/>
        <v/>
      </c>
      <c r="B3644" s="363" t="str">
        <f t="shared" si="448"/>
        <v/>
      </c>
      <c r="C3644" s="405" t="str">
        <f t="shared" si="449"/>
        <v/>
      </c>
      <c r="D3644" s="405">
        <f t="shared" si="450"/>
        <v>0</v>
      </c>
      <c r="E3644" s="405" t="str">
        <f t="shared" si="451"/>
        <v/>
      </c>
      <c r="F3644" s="405">
        <f t="shared" si="452"/>
        <v>0</v>
      </c>
      <c r="G3644" s="405">
        <f t="shared" si="453"/>
        <v>0</v>
      </c>
      <c r="H3644" s="405">
        <f t="shared" si="454"/>
        <v>0</v>
      </c>
    </row>
    <row r="3645" spans="1:8">
      <c r="A3645" s="363" t="str">
        <f t="shared" si="455"/>
        <v/>
      </c>
      <c r="B3645" s="363" t="str">
        <f t="shared" si="448"/>
        <v/>
      </c>
      <c r="C3645" s="405" t="str">
        <f t="shared" si="449"/>
        <v/>
      </c>
      <c r="D3645" s="405">
        <f t="shared" si="450"/>
        <v>0</v>
      </c>
      <c r="E3645" s="405" t="str">
        <f t="shared" si="451"/>
        <v/>
      </c>
      <c r="F3645" s="405">
        <f t="shared" si="452"/>
        <v>0</v>
      </c>
      <c r="G3645" s="405">
        <f t="shared" si="453"/>
        <v>0</v>
      </c>
      <c r="H3645" s="405">
        <f t="shared" si="454"/>
        <v>0</v>
      </c>
    </row>
    <row r="3646" spans="1:8">
      <c r="A3646" s="363" t="str">
        <f t="shared" si="455"/>
        <v/>
      </c>
      <c r="B3646" s="363" t="str">
        <f t="shared" si="448"/>
        <v/>
      </c>
      <c r="C3646" s="405" t="str">
        <f t="shared" si="449"/>
        <v/>
      </c>
      <c r="D3646" s="405">
        <f t="shared" si="450"/>
        <v>0</v>
      </c>
      <c r="E3646" s="405" t="str">
        <f t="shared" si="451"/>
        <v/>
      </c>
      <c r="F3646" s="405">
        <f t="shared" si="452"/>
        <v>0</v>
      </c>
      <c r="G3646" s="405">
        <f t="shared" si="453"/>
        <v>0</v>
      </c>
      <c r="H3646" s="405">
        <f t="shared" si="454"/>
        <v>0</v>
      </c>
    </row>
    <row r="3647" spans="1:8">
      <c r="A3647" s="363" t="str">
        <f t="shared" si="455"/>
        <v/>
      </c>
      <c r="B3647" s="363" t="str">
        <f t="shared" si="448"/>
        <v/>
      </c>
      <c r="C3647" s="405" t="str">
        <f t="shared" si="449"/>
        <v/>
      </c>
      <c r="D3647" s="405">
        <f t="shared" si="450"/>
        <v>0</v>
      </c>
      <c r="E3647" s="405" t="str">
        <f t="shared" si="451"/>
        <v/>
      </c>
      <c r="F3647" s="405">
        <f t="shared" si="452"/>
        <v>0</v>
      </c>
      <c r="G3647" s="405">
        <f t="shared" si="453"/>
        <v>0</v>
      </c>
      <c r="H3647" s="405">
        <f t="shared" si="454"/>
        <v>0</v>
      </c>
    </row>
    <row r="3648" spans="1:8">
      <c r="A3648" s="363" t="str">
        <f t="shared" si="455"/>
        <v/>
      </c>
      <c r="B3648" s="363" t="str">
        <f t="shared" si="448"/>
        <v/>
      </c>
      <c r="C3648" s="405" t="str">
        <f t="shared" si="449"/>
        <v/>
      </c>
      <c r="D3648" s="405">
        <f t="shared" si="450"/>
        <v>0</v>
      </c>
      <c r="E3648" s="405" t="str">
        <f t="shared" si="451"/>
        <v/>
      </c>
      <c r="F3648" s="405">
        <f t="shared" si="452"/>
        <v>0</v>
      </c>
      <c r="G3648" s="405">
        <f t="shared" si="453"/>
        <v>0</v>
      </c>
      <c r="H3648" s="405">
        <f t="shared" si="454"/>
        <v>0</v>
      </c>
    </row>
    <row r="3649" spans="1:8">
      <c r="A3649" s="363" t="str">
        <f t="shared" si="455"/>
        <v/>
      </c>
      <c r="B3649" s="363" t="str">
        <f t="shared" si="448"/>
        <v/>
      </c>
      <c r="C3649" s="405" t="str">
        <f t="shared" si="449"/>
        <v/>
      </c>
      <c r="D3649" s="405">
        <f t="shared" si="450"/>
        <v>0</v>
      </c>
      <c r="E3649" s="405" t="str">
        <f t="shared" si="451"/>
        <v/>
      </c>
      <c r="F3649" s="405">
        <f t="shared" si="452"/>
        <v>0</v>
      </c>
      <c r="G3649" s="405">
        <f t="shared" si="453"/>
        <v>0</v>
      </c>
      <c r="H3649" s="405">
        <f t="shared" si="454"/>
        <v>0</v>
      </c>
    </row>
    <row r="3650" spans="1:8">
      <c r="A3650" s="363" t="str">
        <f t="shared" si="455"/>
        <v/>
      </c>
      <c r="B3650" s="363" t="str">
        <f t="shared" ref="B3650:B3713" si="456">LEFT(L3650,2)</f>
        <v/>
      </c>
      <c r="C3650" s="405" t="str">
        <f t="shared" ref="C3650:C3713" si="457">IF(B3650="","","第"&amp;RIGHT(L3650,6)&amp;"号")</f>
        <v/>
      </c>
      <c r="D3650" s="405">
        <f t="shared" ref="D3650:D3713" si="458">N3650</f>
        <v>0</v>
      </c>
      <c r="E3650" s="405" t="str">
        <f t="shared" ref="E3650:E3713" si="459">IF(V3650="　",O3650,"")</f>
        <v/>
      </c>
      <c r="F3650" s="405">
        <f t="shared" ref="F3650:F3713" si="460">IF(V3650="　",P3650,W3650)</f>
        <v>0</v>
      </c>
      <c r="G3650" s="405">
        <f t="shared" ref="G3650:G3713" si="461">IF(V3650="　","主たる営業所",V3650)</f>
        <v>0</v>
      </c>
      <c r="H3650" s="405">
        <f t="shared" ref="H3650:H3713" si="462">IF(V3650="　",R3650,Y3650)</f>
        <v>0</v>
      </c>
    </row>
    <row r="3651" spans="1:8">
      <c r="A3651" s="363" t="str">
        <f t="shared" ref="A3651:A3714" si="463">IF(B3651="","",A3650+1)</f>
        <v/>
      </c>
      <c r="B3651" s="363" t="str">
        <f t="shared" si="456"/>
        <v/>
      </c>
      <c r="C3651" s="405" t="str">
        <f t="shared" si="457"/>
        <v/>
      </c>
      <c r="D3651" s="405">
        <f t="shared" si="458"/>
        <v>0</v>
      </c>
      <c r="E3651" s="405" t="str">
        <f t="shared" si="459"/>
        <v/>
      </c>
      <c r="F3651" s="405">
        <f t="shared" si="460"/>
        <v>0</v>
      </c>
      <c r="G3651" s="405">
        <f t="shared" si="461"/>
        <v>0</v>
      </c>
      <c r="H3651" s="405">
        <f t="shared" si="462"/>
        <v>0</v>
      </c>
    </row>
    <row r="3652" spans="1:8">
      <c r="A3652" s="363" t="str">
        <f t="shared" si="463"/>
        <v/>
      </c>
      <c r="B3652" s="363" t="str">
        <f t="shared" si="456"/>
        <v/>
      </c>
      <c r="C3652" s="405" t="str">
        <f t="shared" si="457"/>
        <v/>
      </c>
      <c r="D3652" s="405">
        <f t="shared" si="458"/>
        <v>0</v>
      </c>
      <c r="E3652" s="405" t="str">
        <f t="shared" si="459"/>
        <v/>
      </c>
      <c r="F3652" s="405">
        <f t="shared" si="460"/>
        <v>0</v>
      </c>
      <c r="G3652" s="405">
        <f t="shared" si="461"/>
        <v>0</v>
      </c>
      <c r="H3652" s="405">
        <f t="shared" si="462"/>
        <v>0</v>
      </c>
    </row>
    <row r="3653" spans="1:8">
      <c r="A3653" s="363" t="str">
        <f t="shared" si="463"/>
        <v/>
      </c>
      <c r="B3653" s="363" t="str">
        <f t="shared" si="456"/>
        <v/>
      </c>
      <c r="C3653" s="405" t="str">
        <f t="shared" si="457"/>
        <v/>
      </c>
      <c r="D3653" s="405">
        <f t="shared" si="458"/>
        <v>0</v>
      </c>
      <c r="E3653" s="405" t="str">
        <f t="shared" si="459"/>
        <v/>
      </c>
      <c r="F3653" s="405">
        <f t="shared" si="460"/>
        <v>0</v>
      </c>
      <c r="G3653" s="405">
        <f t="shared" si="461"/>
        <v>0</v>
      </c>
      <c r="H3653" s="405">
        <f t="shared" si="462"/>
        <v>0</v>
      </c>
    </row>
    <row r="3654" spans="1:8">
      <c r="A3654" s="363" t="str">
        <f t="shared" si="463"/>
        <v/>
      </c>
      <c r="B3654" s="363" t="str">
        <f t="shared" si="456"/>
        <v/>
      </c>
      <c r="C3654" s="405" t="str">
        <f t="shared" si="457"/>
        <v/>
      </c>
      <c r="D3654" s="405">
        <f t="shared" si="458"/>
        <v>0</v>
      </c>
      <c r="E3654" s="405" t="str">
        <f t="shared" si="459"/>
        <v/>
      </c>
      <c r="F3654" s="405">
        <f t="shared" si="460"/>
        <v>0</v>
      </c>
      <c r="G3654" s="405">
        <f t="shared" si="461"/>
        <v>0</v>
      </c>
      <c r="H3654" s="405">
        <f t="shared" si="462"/>
        <v>0</v>
      </c>
    </row>
    <row r="3655" spans="1:8">
      <c r="A3655" s="363" t="str">
        <f t="shared" si="463"/>
        <v/>
      </c>
      <c r="B3655" s="363" t="str">
        <f t="shared" si="456"/>
        <v/>
      </c>
      <c r="C3655" s="405" t="str">
        <f t="shared" si="457"/>
        <v/>
      </c>
      <c r="D3655" s="405">
        <f t="shared" si="458"/>
        <v>0</v>
      </c>
      <c r="E3655" s="405" t="str">
        <f t="shared" si="459"/>
        <v/>
      </c>
      <c r="F3655" s="405">
        <f t="shared" si="460"/>
        <v>0</v>
      </c>
      <c r="G3655" s="405">
        <f t="shared" si="461"/>
        <v>0</v>
      </c>
      <c r="H3655" s="405">
        <f t="shared" si="462"/>
        <v>0</v>
      </c>
    </row>
    <row r="3656" spans="1:8">
      <c r="A3656" s="363" t="str">
        <f t="shared" si="463"/>
        <v/>
      </c>
      <c r="B3656" s="363" t="str">
        <f t="shared" si="456"/>
        <v/>
      </c>
      <c r="C3656" s="405" t="str">
        <f t="shared" si="457"/>
        <v/>
      </c>
      <c r="D3656" s="405">
        <f t="shared" si="458"/>
        <v>0</v>
      </c>
      <c r="E3656" s="405" t="str">
        <f t="shared" si="459"/>
        <v/>
      </c>
      <c r="F3656" s="405">
        <f t="shared" si="460"/>
        <v>0</v>
      </c>
      <c r="G3656" s="405">
        <f t="shared" si="461"/>
        <v>0</v>
      </c>
      <c r="H3656" s="405">
        <f t="shared" si="462"/>
        <v>0</v>
      </c>
    </row>
    <row r="3657" spans="1:8">
      <c r="A3657" s="363" t="str">
        <f t="shared" si="463"/>
        <v/>
      </c>
      <c r="B3657" s="363" t="str">
        <f t="shared" si="456"/>
        <v/>
      </c>
      <c r="C3657" s="405" t="str">
        <f t="shared" si="457"/>
        <v/>
      </c>
      <c r="D3657" s="405">
        <f t="shared" si="458"/>
        <v>0</v>
      </c>
      <c r="E3657" s="405" t="str">
        <f t="shared" si="459"/>
        <v/>
      </c>
      <c r="F3657" s="405">
        <f t="shared" si="460"/>
        <v>0</v>
      </c>
      <c r="G3657" s="405">
        <f t="shared" si="461"/>
        <v>0</v>
      </c>
      <c r="H3657" s="405">
        <f t="shared" si="462"/>
        <v>0</v>
      </c>
    </row>
    <row r="3658" spans="1:8">
      <c r="A3658" s="363" t="str">
        <f t="shared" si="463"/>
        <v/>
      </c>
      <c r="B3658" s="363" t="str">
        <f t="shared" si="456"/>
        <v/>
      </c>
      <c r="C3658" s="405" t="str">
        <f t="shared" si="457"/>
        <v/>
      </c>
      <c r="D3658" s="405">
        <f t="shared" si="458"/>
        <v>0</v>
      </c>
      <c r="E3658" s="405" t="str">
        <f t="shared" si="459"/>
        <v/>
      </c>
      <c r="F3658" s="405">
        <f t="shared" si="460"/>
        <v>0</v>
      </c>
      <c r="G3658" s="405">
        <f t="shared" si="461"/>
        <v>0</v>
      </c>
      <c r="H3658" s="405">
        <f t="shared" si="462"/>
        <v>0</v>
      </c>
    </row>
    <row r="3659" spans="1:8">
      <c r="A3659" s="363" t="str">
        <f t="shared" si="463"/>
        <v/>
      </c>
      <c r="B3659" s="363" t="str">
        <f t="shared" si="456"/>
        <v/>
      </c>
      <c r="C3659" s="405" t="str">
        <f t="shared" si="457"/>
        <v/>
      </c>
      <c r="D3659" s="405">
        <f t="shared" si="458"/>
        <v>0</v>
      </c>
      <c r="E3659" s="405" t="str">
        <f t="shared" si="459"/>
        <v/>
      </c>
      <c r="F3659" s="405">
        <f t="shared" si="460"/>
        <v>0</v>
      </c>
      <c r="G3659" s="405">
        <f t="shared" si="461"/>
        <v>0</v>
      </c>
      <c r="H3659" s="405">
        <f t="shared" si="462"/>
        <v>0</v>
      </c>
    </row>
    <row r="3660" spans="1:8">
      <c r="A3660" s="363" t="str">
        <f t="shared" si="463"/>
        <v/>
      </c>
      <c r="B3660" s="363" t="str">
        <f t="shared" si="456"/>
        <v/>
      </c>
      <c r="C3660" s="405" t="str">
        <f t="shared" si="457"/>
        <v/>
      </c>
      <c r="D3660" s="405">
        <f t="shared" si="458"/>
        <v>0</v>
      </c>
      <c r="E3660" s="405" t="str">
        <f t="shared" si="459"/>
        <v/>
      </c>
      <c r="F3660" s="405">
        <f t="shared" si="460"/>
        <v>0</v>
      </c>
      <c r="G3660" s="405">
        <f t="shared" si="461"/>
        <v>0</v>
      </c>
      <c r="H3660" s="405">
        <f t="shared" si="462"/>
        <v>0</v>
      </c>
    </row>
    <row r="3661" spans="1:8">
      <c r="A3661" s="363" t="str">
        <f t="shared" si="463"/>
        <v/>
      </c>
      <c r="B3661" s="363" t="str">
        <f t="shared" si="456"/>
        <v/>
      </c>
      <c r="C3661" s="405" t="str">
        <f t="shared" si="457"/>
        <v/>
      </c>
      <c r="D3661" s="405">
        <f t="shared" si="458"/>
        <v>0</v>
      </c>
      <c r="E3661" s="405" t="str">
        <f t="shared" si="459"/>
        <v/>
      </c>
      <c r="F3661" s="405">
        <f t="shared" si="460"/>
        <v>0</v>
      </c>
      <c r="G3661" s="405">
        <f t="shared" si="461"/>
        <v>0</v>
      </c>
      <c r="H3661" s="405">
        <f t="shared" si="462"/>
        <v>0</v>
      </c>
    </row>
    <row r="3662" spans="1:8">
      <c r="A3662" s="363" t="str">
        <f t="shared" si="463"/>
        <v/>
      </c>
      <c r="B3662" s="363" t="str">
        <f t="shared" si="456"/>
        <v/>
      </c>
      <c r="C3662" s="405" t="str">
        <f t="shared" si="457"/>
        <v/>
      </c>
      <c r="D3662" s="405">
        <f t="shared" si="458"/>
        <v>0</v>
      </c>
      <c r="E3662" s="405" t="str">
        <f t="shared" si="459"/>
        <v/>
      </c>
      <c r="F3662" s="405">
        <f t="shared" si="460"/>
        <v>0</v>
      </c>
      <c r="G3662" s="405">
        <f t="shared" si="461"/>
        <v>0</v>
      </c>
      <c r="H3662" s="405">
        <f t="shared" si="462"/>
        <v>0</v>
      </c>
    </row>
    <row r="3663" spans="1:8">
      <c r="A3663" s="363" t="str">
        <f t="shared" si="463"/>
        <v/>
      </c>
      <c r="B3663" s="363" t="str">
        <f t="shared" si="456"/>
        <v/>
      </c>
      <c r="C3663" s="405" t="str">
        <f t="shared" si="457"/>
        <v/>
      </c>
      <c r="D3663" s="405">
        <f t="shared" si="458"/>
        <v>0</v>
      </c>
      <c r="E3663" s="405" t="str">
        <f t="shared" si="459"/>
        <v/>
      </c>
      <c r="F3663" s="405">
        <f t="shared" si="460"/>
        <v>0</v>
      </c>
      <c r="G3663" s="405">
        <f t="shared" si="461"/>
        <v>0</v>
      </c>
      <c r="H3663" s="405">
        <f t="shared" si="462"/>
        <v>0</v>
      </c>
    </row>
    <row r="3664" spans="1:8">
      <c r="A3664" s="363" t="str">
        <f t="shared" si="463"/>
        <v/>
      </c>
      <c r="B3664" s="363" t="str">
        <f t="shared" si="456"/>
        <v/>
      </c>
      <c r="C3664" s="405" t="str">
        <f t="shared" si="457"/>
        <v/>
      </c>
      <c r="D3664" s="405">
        <f t="shared" si="458"/>
        <v>0</v>
      </c>
      <c r="E3664" s="405" t="str">
        <f t="shared" si="459"/>
        <v/>
      </c>
      <c r="F3664" s="405">
        <f t="shared" si="460"/>
        <v>0</v>
      </c>
      <c r="G3664" s="405">
        <f t="shared" si="461"/>
        <v>0</v>
      </c>
      <c r="H3664" s="405">
        <f t="shared" si="462"/>
        <v>0</v>
      </c>
    </row>
    <row r="3665" spans="1:8">
      <c r="A3665" s="363" t="str">
        <f t="shared" si="463"/>
        <v/>
      </c>
      <c r="B3665" s="363" t="str">
        <f t="shared" si="456"/>
        <v/>
      </c>
      <c r="C3665" s="405" t="str">
        <f t="shared" si="457"/>
        <v/>
      </c>
      <c r="D3665" s="405">
        <f t="shared" si="458"/>
        <v>0</v>
      </c>
      <c r="E3665" s="405" t="str">
        <f t="shared" si="459"/>
        <v/>
      </c>
      <c r="F3665" s="405">
        <f t="shared" si="460"/>
        <v>0</v>
      </c>
      <c r="G3665" s="405">
        <f t="shared" si="461"/>
        <v>0</v>
      </c>
      <c r="H3665" s="405">
        <f t="shared" si="462"/>
        <v>0</v>
      </c>
    </row>
    <row r="3666" spans="1:8">
      <c r="A3666" s="363" t="str">
        <f t="shared" si="463"/>
        <v/>
      </c>
      <c r="B3666" s="363" t="str">
        <f t="shared" si="456"/>
        <v/>
      </c>
      <c r="C3666" s="405" t="str">
        <f t="shared" si="457"/>
        <v/>
      </c>
      <c r="D3666" s="405">
        <f t="shared" si="458"/>
        <v>0</v>
      </c>
      <c r="E3666" s="405" t="str">
        <f t="shared" si="459"/>
        <v/>
      </c>
      <c r="F3666" s="405">
        <f t="shared" si="460"/>
        <v>0</v>
      </c>
      <c r="G3666" s="405">
        <f t="shared" si="461"/>
        <v>0</v>
      </c>
      <c r="H3666" s="405">
        <f t="shared" si="462"/>
        <v>0</v>
      </c>
    </row>
    <row r="3667" spans="1:8">
      <c r="A3667" s="363" t="str">
        <f t="shared" si="463"/>
        <v/>
      </c>
      <c r="B3667" s="363" t="str">
        <f t="shared" si="456"/>
        <v/>
      </c>
      <c r="C3667" s="405" t="str">
        <f t="shared" si="457"/>
        <v/>
      </c>
      <c r="D3667" s="405">
        <f t="shared" si="458"/>
        <v>0</v>
      </c>
      <c r="E3667" s="405" t="str">
        <f t="shared" si="459"/>
        <v/>
      </c>
      <c r="F3667" s="405">
        <f t="shared" si="460"/>
        <v>0</v>
      </c>
      <c r="G3667" s="405">
        <f t="shared" si="461"/>
        <v>0</v>
      </c>
      <c r="H3667" s="405">
        <f t="shared" si="462"/>
        <v>0</v>
      </c>
    </row>
    <row r="3668" spans="1:8">
      <c r="A3668" s="363" t="str">
        <f t="shared" si="463"/>
        <v/>
      </c>
      <c r="B3668" s="363" t="str">
        <f t="shared" si="456"/>
        <v/>
      </c>
      <c r="C3668" s="405" t="str">
        <f t="shared" si="457"/>
        <v/>
      </c>
      <c r="D3668" s="405">
        <f t="shared" si="458"/>
        <v>0</v>
      </c>
      <c r="E3668" s="405" t="str">
        <f t="shared" si="459"/>
        <v/>
      </c>
      <c r="F3668" s="405">
        <f t="shared" si="460"/>
        <v>0</v>
      </c>
      <c r="G3668" s="405">
        <f t="shared" si="461"/>
        <v>0</v>
      </c>
      <c r="H3668" s="405">
        <f t="shared" si="462"/>
        <v>0</v>
      </c>
    </row>
    <row r="3669" spans="1:8">
      <c r="A3669" s="363" t="str">
        <f t="shared" si="463"/>
        <v/>
      </c>
      <c r="B3669" s="363" t="str">
        <f t="shared" si="456"/>
        <v/>
      </c>
      <c r="C3669" s="405" t="str">
        <f t="shared" si="457"/>
        <v/>
      </c>
      <c r="D3669" s="405">
        <f t="shared" si="458"/>
        <v>0</v>
      </c>
      <c r="E3669" s="405" t="str">
        <f t="shared" si="459"/>
        <v/>
      </c>
      <c r="F3669" s="405">
        <f t="shared" si="460"/>
        <v>0</v>
      </c>
      <c r="G3669" s="405">
        <f t="shared" si="461"/>
        <v>0</v>
      </c>
      <c r="H3669" s="405">
        <f t="shared" si="462"/>
        <v>0</v>
      </c>
    </row>
    <row r="3670" spans="1:8">
      <c r="A3670" s="363" t="str">
        <f t="shared" si="463"/>
        <v/>
      </c>
      <c r="B3670" s="363" t="str">
        <f t="shared" si="456"/>
        <v/>
      </c>
      <c r="C3670" s="405" t="str">
        <f t="shared" si="457"/>
        <v/>
      </c>
      <c r="D3670" s="405">
        <f t="shared" si="458"/>
        <v>0</v>
      </c>
      <c r="E3670" s="405" t="str">
        <f t="shared" si="459"/>
        <v/>
      </c>
      <c r="F3670" s="405">
        <f t="shared" si="460"/>
        <v>0</v>
      </c>
      <c r="G3670" s="405">
        <f t="shared" si="461"/>
        <v>0</v>
      </c>
      <c r="H3670" s="405">
        <f t="shared" si="462"/>
        <v>0</v>
      </c>
    </row>
    <row r="3671" spans="1:8">
      <c r="A3671" s="363" t="str">
        <f t="shared" si="463"/>
        <v/>
      </c>
      <c r="B3671" s="363" t="str">
        <f t="shared" si="456"/>
        <v/>
      </c>
      <c r="C3671" s="405" t="str">
        <f t="shared" si="457"/>
        <v/>
      </c>
      <c r="D3671" s="405">
        <f t="shared" si="458"/>
        <v>0</v>
      </c>
      <c r="E3671" s="405" t="str">
        <f t="shared" si="459"/>
        <v/>
      </c>
      <c r="F3671" s="405">
        <f t="shared" si="460"/>
        <v>0</v>
      </c>
      <c r="G3671" s="405">
        <f t="shared" si="461"/>
        <v>0</v>
      </c>
      <c r="H3671" s="405">
        <f t="shared" si="462"/>
        <v>0</v>
      </c>
    </row>
    <row r="3672" spans="1:8">
      <c r="A3672" s="363" t="str">
        <f t="shared" si="463"/>
        <v/>
      </c>
      <c r="B3672" s="363" t="str">
        <f t="shared" si="456"/>
        <v/>
      </c>
      <c r="C3672" s="405" t="str">
        <f t="shared" si="457"/>
        <v/>
      </c>
      <c r="D3672" s="405">
        <f t="shared" si="458"/>
        <v>0</v>
      </c>
      <c r="E3672" s="405" t="str">
        <f t="shared" si="459"/>
        <v/>
      </c>
      <c r="F3672" s="405">
        <f t="shared" si="460"/>
        <v>0</v>
      </c>
      <c r="G3672" s="405">
        <f t="shared" si="461"/>
        <v>0</v>
      </c>
      <c r="H3672" s="405">
        <f t="shared" si="462"/>
        <v>0</v>
      </c>
    </row>
    <row r="3673" spans="1:8">
      <c r="A3673" s="363" t="str">
        <f t="shared" si="463"/>
        <v/>
      </c>
      <c r="B3673" s="363" t="str">
        <f t="shared" si="456"/>
        <v/>
      </c>
      <c r="C3673" s="405" t="str">
        <f t="shared" si="457"/>
        <v/>
      </c>
      <c r="D3673" s="405">
        <f t="shared" si="458"/>
        <v>0</v>
      </c>
      <c r="E3673" s="405" t="str">
        <f t="shared" si="459"/>
        <v/>
      </c>
      <c r="F3673" s="405">
        <f t="shared" si="460"/>
        <v>0</v>
      </c>
      <c r="G3673" s="405">
        <f t="shared" si="461"/>
        <v>0</v>
      </c>
      <c r="H3673" s="405">
        <f t="shared" si="462"/>
        <v>0</v>
      </c>
    </row>
    <row r="3674" spans="1:8">
      <c r="A3674" s="363" t="str">
        <f t="shared" si="463"/>
        <v/>
      </c>
      <c r="B3674" s="363" t="str">
        <f t="shared" si="456"/>
        <v/>
      </c>
      <c r="C3674" s="405" t="str">
        <f t="shared" si="457"/>
        <v/>
      </c>
      <c r="D3674" s="405">
        <f t="shared" si="458"/>
        <v>0</v>
      </c>
      <c r="E3674" s="405" t="str">
        <f t="shared" si="459"/>
        <v/>
      </c>
      <c r="F3674" s="405">
        <f t="shared" si="460"/>
        <v>0</v>
      </c>
      <c r="G3674" s="405">
        <f t="shared" si="461"/>
        <v>0</v>
      </c>
      <c r="H3674" s="405">
        <f t="shared" si="462"/>
        <v>0</v>
      </c>
    </row>
    <row r="3675" spans="1:8">
      <c r="A3675" s="363" t="str">
        <f t="shared" si="463"/>
        <v/>
      </c>
      <c r="B3675" s="363" t="str">
        <f t="shared" si="456"/>
        <v/>
      </c>
      <c r="C3675" s="405" t="str">
        <f t="shared" si="457"/>
        <v/>
      </c>
      <c r="D3675" s="405">
        <f t="shared" si="458"/>
        <v>0</v>
      </c>
      <c r="E3675" s="405" t="str">
        <f t="shared" si="459"/>
        <v/>
      </c>
      <c r="F3675" s="405">
        <f t="shared" si="460"/>
        <v>0</v>
      </c>
      <c r="G3675" s="405">
        <f t="shared" si="461"/>
        <v>0</v>
      </c>
      <c r="H3675" s="405">
        <f t="shared" si="462"/>
        <v>0</v>
      </c>
    </row>
    <row r="3676" spans="1:8">
      <c r="A3676" s="363" t="str">
        <f t="shared" si="463"/>
        <v/>
      </c>
      <c r="B3676" s="363" t="str">
        <f t="shared" si="456"/>
        <v/>
      </c>
      <c r="C3676" s="405" t="str">
        <f t="shared" si="457"/>
        <v/>
      </c>
      <c r="D3676" s="405">
        <f t="shared" si="458"/>
        <v>0</v>
      </c>
      <c r="E3676" s="405" t="str">
        <f t="shared" si="459"/>
        <v/>
      </c>
      <c r="F3676" s="405">
        <f t="shared" si="460"/>
        <v>0</v>
      </c>
      <c r="G3676" s="405">
        <f t="shared" si="461"/>
        <v>0</v>
      </c>
      <c r="H3676" s="405">
        <f t="shared" si="462"/>
        <v>0</v>
      </c>
    </row>
    <row r="3677" spans="1:8">
      <c r="A3677" s="363" t="str">
        <f t="shared" si="463"/>
        <v/>
      </c>
      <c r="B3677" s="363" t="str">
        <f t="shared" si="456"/>
        <v/>
      </c>
      <c r="C3677" s="405" t="str">
        <f t="shared" si="457"/>
        <v/>
      </c>
      <c r="D3677" s="405">
        <f t="shared" si="458"/>
        <v>0</v>
      </c>
      <c r="E3677" s="405" t="str">
        <f t="shared" si="459"/>
        <v/>
      </c>
      <c r="F3677" s="405">
        <f t="shared" si="460"/>
        <v>0</v>
      </c>
      <c r="G3677" s="405">
        <f t="shared" si="461"/>
        <v>0</v>
      </c>
      <c r="H3677" s="405">
        <f t="shared" si="462"/>
        <v>0</v>
      </c>
    </row>
    <row r="3678" spans="1:8">
      <c r="A3678" s="363" t="str">
        <f t="shared" si="463"/>
        <v/>
      </c>
      <c r="B3678" s="363" t="str">
        <f t="shared" si="456"/>
        <v/>
      </c>
      <c r="C3678" s="405" t="str">
        <f t="shared" si="457"/>
        <v/>
      </c>
      <c r="D3678" s="405">
        <f t="shared" si="458"/>
        <v>0</v>
      </c>
      <c r="E3678" s="405" t="str">
        <f t="shared" si="459"/>
        <v/>
      </c>
      <c r="F3678" s="405">
        <f t="shared" si="460"/>
        <v>0</v>
      </c>
      <c r="G3678" s="405">
        <f t="shared" si="461"/>
        <v>0</v>
      </c>
      <c r="H3678" s="405">
        <f t="shared" si="462"/>
        <v>0</v>
      </c>
    </row>
    <row r="3679" spans="1:8">
      <c r="A3679" s="363" t="str">
        <f t="shared" si="463"/>
        <v/>
      </c>
      <c r="B3679" s="363" t="str">
        <f t="shared" si="456"/>
        <v/>
      </c>
      <c r="C3679" s="405" t="str">
        <f t="shared" si="457"/>
        <v/>
      </c>
      <c r="D3679" s="405">
        <f t="shared" si="458"/>
        <v>0</v>
      </c>
      <c r="E3679" s="405" t="str">
        <f t="shared" si="459"/>
        <v/>
      </c>
      <c r="F3679" s="405">
        <f t="shared" si="460"/>
        <v>0</v>
      </c>
      <c r="G3679" s="405">
        <f t="shared" si="461"/>
        <v>0</v>
      </c>
      <c r="H3679" s="405">
        <f t="shared" si="462"/>
        <v>0</v>
      </c>
    </row>
    <row r="3680" spans="1:8">
      <c r="A3680" s="363" t="str">
        <f t="shared" si="463"/>
        <v/>
      </c>
      <c r="B3680" s="363" t="str">
        <f t="shared" si="456"/>
        <v/>
      </c>
      <c r="C3680" s="405" t="str">
        <f t="shared" si="457"/>
        <v/>
      </c>
      <c r="D3680" s="405">
        <f t="shared" si="458"/>
        <v>0</v>
      </c>
      <c r="E3680" s="405" t="str">
        <f t="shared" si="459"/>
        <v/>
      </c>
      <c r="F3680" s="405">
        <f t="shared" si="460"/>
        <v>0</v>
      </c>
      <c r="G3680" s="405">
        <f t="shared" si="461"/>
        <v>0</v>
      </c>
      <c r="H3680" s="405">
        <f t="shared" si="462"/>
        <v>0</v>
      </c>
    </row>
    <row r="3681" spans="1:8">
      <c r="A3681" s="363" t="str">
        <f t="shared" si="463"/>
        <v/>
      </c>
      <c r="B3681" s="363" t="str">
        <f t="shared" si="456"/>
        <v/>
      </c>
      <c r="C3681" s="405" t="str">
        <f t="shared" si="457"/>
        <v/>
      </c>
      <c r="D3681" s="405">
        <f t="shared" si="458"/>
        <v>0</v>
      </c>
      <c r="E3681" s="405" t="str">
        <f t="shared" si="459"/>
        <v/>
      </c>
      <c r="F3681" s="405">
        <f t="shared" si="460"/>
        <v>0</v>
      </c>
      <c r="G3681" s="405">
        <f t="shared" si="461"/>
        <v>0</v>
      </c>
      <c r="H3681" s="405">
        <f t="shared" si="462"/>
        <v>0</v>
      </c>
    </row>
    <row r="3682" spans="1:8">
      <c r="A3682" s="363" t="str">
        <f t="shared" si="463"/>
        <v/>
      </c>
      <c r="B3682" s="363" t="str">
        <f t="shared" si="456"/>
        <v/>
      </c>
      <c r="C3682" s="405" t="str">
        <f t="shared" si="457"/>
        <v/>
      </c>
      <c r="D3682" s="405">
        <f t="shared" si="458"/>
        <v>0</v>
      </c>
      <c r="E3682" s="405" t="str">
        <f t="shared" si="459"/>
        <v/>
      </c>
      <c r="F3682" s="405">
        <f t="shared" si="460"/>
        <v>0</v>
      </c>
      <c r="G3682" s="405">
        <f t="shared" si="461"/>
        <v>0</v>
      </c>
      <c r="H3682" s="405">
        <f t="shared" si="462"/>
        <v>0</v>
      </c>
    </row>
    <row r="3683" spans="1:8">
      <c r="A3683" s="363" t="str">
        <f t="shared" si="463"/>
        <v/>
      </c>
      <c r="B3683" s="363" t="str">
        <f t="shared" si="456"/>
        <v/>
      </c>
      <c r="C3683" s="405" t="str">
        <f t="shared" si="457"/>
        <v/>
      </c>
      <c r="D3683" s="405">
        <f t="shared" si="458"/>
        <v>0</v>
      </c>
      <c r="E3683" s="405" t="str">
        <f t="shared" si="459"/>
        <v/>
      </c>
      <c r="F3683" s="405">
        <f t="shared" si="460"/>
        <v>0</v>
      </c>
      <c r="G3683" s="405">
        <f t="shared" si="461"/>
        <v>0</v>
      </c>
      <c r="H3683" s="405">
        <f t="shared" si="462"/>
        <v>0</v>
      </c>
    </row>
    <row r="3684" spans="1:8">
      <c r="A3684" s="363" t="str">
        <f t="shared" si="463"/>
        <v/>
      </c>
      <c r="B3684" s="363" t="str">
        <f t="shared" si="456"/>
        <v/>
      </c>
      <c r="C3684" s="405" t="str">
        <f t="shared" si="457"/>
        <v/>
      </c>
      <c r="D3684" s="405">
        <f t="shared" si="458"/>
        <v>0</v>
      </c>
      <c r="E3684" s="405" t="str">
        <f t="shared" si="459"/>
        <v/>
      </c>
      <c r="F3684" s="405">
        <f t="shared" si="460"/>
        <v>0</v>
      </c>
      <c r="G3684" s="405">
        <f t="shared" si="461"/>
        <v>0</v>
      </c>
      <c r="H3684" s="405">
        <f t="shared" si="462"/>
        <v>0</v>
      </c>
    </row>
    <row r="3685" spans="1:8">
      <c r="A3685" s="363" t="str">
        <f t="shared" si="463"/>
        <v/>
      </c>
      <c r="B3685" s="363" t="str">
        <f t="shared" si="456"/>
        <v/>
      </c>
      <c r="C3685" s="405" t="str">
        <f t="shared" si="457"/>
        <v/>
      </c>
      <c r="D3685" s="405">
        <f t="shared" si="458"/>
        <v>0</v>
      </c>
      <c r="E3685" s="405" t="str">
        <f t="shared" si="459"/>
        <v/>
      </c>
      <c r="F3685" s="405">
        <f t="shared" si="460"/>
        <v>0</v>
      </c>
      <c r="G3685" s="405">
        <f t="shared" si="461"/>
        <v>0</v>
      </c>
      <c r="H3685" s="405">
        <f t="shared" si="462"/>
        <v>0</v>
      </c>
    </row>
    <row r="3686" spans="1:8">
      <c r="A3686" s="363" t="str">
        <f t="shared" si="463"/>
        <v/>
      </c>
      <c r="B3686" s="363" t="str">
        <f t="shared" si="456"/>
        <v/>
      </c>
      <c r="C3686" s="405" t="str">
        <f t="shared" si="457"/>
        <v/>
      </c>
      <c r="D3686" s="405">
        <f t="shared" si="458"/>
        <v>0</v>
      </c>
      <c r="E3686" s="405" t="str">
        <f t="shared" si="459"/>
        <v/>
      </c>
      <c r="F3686" s="405">
        <f t="shared" si="460"/>
        <v>0</v>
      </c>
      <c r="G3686" s="405">
        <f t="shared" si="461"/>
        <v>0</v>
      </c>
      <c r="H3686" s="405">
        <f t="shared" si="462"/>
        <v>0</v>
      </c>
    </row>
    <row r="3687" spans="1:8">
      <c r="A3687" s="363" t="str">
        <f t="shared" si="463"/>
        <v/>
      </c>
      <c r="B3687" s="363" t="str">
        <f t="shared" si="456"/>
        <v/>
      </c>
      <c r="C3687" s="405" t="str">
        <f t="shared" si="457"/>
        <v/>
      </c>
      <c r="D3687" s="405">
        <f t="shared" si="458"/>
        <v>0</v>
      </c>
      <c r="E3687" s="405" t="str">
        <f t="shared" si="459"/>
        <v/>
      </c>
      <c r="F3687" s="405">
        <f t="shared" si="460"/>
        <v>0</v>
      </c>
      <c r="G3687" s="405">
        <f t="shared" si="461"/>
        <v>0</v>
      </c>
      <c r="H3687" s="405">
        <f t="shared" si="462"/>
        <v>0</v>
      </c>
    </row>
    <row r="3688" spans="1:8">
      <c r="A3688" s="363" t="str">
        <f t="shared" si="463"/>
        <v/>
      </c>
      <c r="B3688" s="363" t="str">
        <f t="shared" si="456"/>
        <v/>
      </c>
      <c r="C3688" s="405" t="str">
        <f t="shared" si="457"/>
        <v/>
      </c>
      <c r="D3688" s="405">
        <f t="shared" si="458"/>
        <v>0</v>
      </c>
      <c r="E3688" s="405" t="str">
        <f t="shared" si="459"/>
        <v/>
      </c>
      <c r="F3688" s="405">
        <f t="shared" si="460"/>
        <v>0</v>
      </c>
      <c r="G3688" s="405">
        <f t="shared" si="461"/>
        <v>0</v>
      </c>
      <c r="H3688" s="405">
        <f t="shared" si="462"/>
        <v>0</v>
      </c>
    </row>
    <row r="3689" spans="1:8">
      <c r="A3689" s="363" t="str">
        <f t="shared" si="463"/>
        <v/>
      </c>
      <c r="B3689" s="363" t="str">
        <f t="shared" si="456"/>
        <v/>
      </c>
      <c r="C3689" s="405" t="str">
        <f t="shared" si="457"/>
        <v/>
      </c>
      <c r="D3689" s="405">
        <f t="shared" si="458"/>
        <v>0</v>
      </c>
      <c r="E3689" s="405" t="str">
        <f t="shared" si="459"/>
        <v/>
      </c>
      <c r="F3689" s="405">
        <f t="shared" si="460"/>
        <v>0</v>
      </c>
      <c r="G3689" s="405">
        <f t="shared" si="461"/>
        <v>0</v>
      </c>
      <c r="H3689" s="405">
        <f t="shared" si="462"/>
        <v>0</v>
      </c>
    </row>
    <row r="3690" spans="1:8">
      <c r="A3690" s="363" t="str">
        <f t="shared" si="463"/>
        <v/>
      </c>
      <c r="B3690" s="363" t="str">
        <f t="shared" si="456"/>
        <v/>
      </c>
      <c r="C3690" s="405" t="str">
        <f t="shared" si="457"/>
        <v/>
      </c>
      <c r="D3690" s="405">
        <f t="shared" si="458"/>
        <v>0</v>
      </c>
      <c r="E3690" s="405" t="str">
        <f t="shared" si="459"/>
        <v/>
      </c>
      <c r="F3690" s="405">
        <f t="shared" si="460"/>
        <v>0</v>
      </c>
      <c r="G3690" s="405">
        <f t="shared" si="461"/>
        <v>0</v>
      </c>
      <c r="H3690" s="405">
        <f t="shared" si="462"/>
        <v>0</v>
      </c>
    </row>
    <row r="3691" spans="1:8">
      <c r="A3691" s="363" t="str">
        <f t="shared" si="463"/>
        <v/>
      </c>
      <c r="B3691" s="363" t="str">
        <f t="shared" si="456"/>
        <v/>
      </c>
      <c r="C3691" s="405" t="str">
        <f t="shared" si="457"/>
        <v/>
      </c>
      <c r="D3691" s="405">
        <f t="shared" si="458"/>
        <v>0</v>
      </c>
      <c r="E3691" s="405" t="str">
        <f t="shared" si="459"/>
        <v/>
      </c>
      <c r="F3691" s="405">
        <f t="shared" si="460"/>
        <v>0</v>
      </c>
      <c r="G3691" s="405">
        <f t="shared" si="461"/>
        <v>0</v>
      </c>
      <c r="H3691" s="405">
        <f t="shared" si="462"/>
        <v>0</v>
      </c>
    </row>
    <row r="3692" spans="1:8">
      <c r="A3692" s="363" t="str">
        <f t="shared" si="463"/>
        <v/>
      </c>
      <c r="B3692" s="363" t="str">
        <f t="shared" si="456"/>
        <v/>
      </c>
      <c r="C3692" s="405" t="str">
        <f t="shared" si="457"/>
        <v/>
      </c>
      <c r="D3692" s="405">
        <f t="shared" si="458"/>
        <v>0</v>
      </c>
      <c r="E3692" s="405" t="str">
        <f t="shared" si="459"/>
        <v/>
      </c>
      <c r="F3692" s="405">
        <f t="shared" si="460"/>
        <v>0</v>
      </c>
      <c r="G3692" s="405">
        <f t="shared" si="461"/>
        <v>0</v>
      </c>
      <c r="H3692" s="405">
        <f t="shared" si="462"/>
        <v>0</v>
      </c>
    </row>
    <row r="3693" spans="1:8">
      <c r="A3693" s="363" t="str">
        <f t="shared" si="463"/>
        <v/>
      </c>
      <c r="B3693" s="363" t="str">
        <f t="shared" si="456"/>
        <v/>
      </c>
      <c r="C3693" s="405" t="str">
        <f t="shared" si="457"/>
        <v/>
      </c>
      <c r="D3693" s="405">
        <f t="shared" si="458"/>
        <v>0</v>
      </c>
      <c r="E3693" s="405" t="str">
        <f t="shared" si="459"/>
        <v/>
      </c>
      <c r="F3693" s="405">
        <f t="shared" si="460"/>
        <v>0</v>
      </c>
      <c r="G3693" s="405">
        <f t="shared" si="461"/>
        <v>0</v>
      </c>
      <c r="H3693" s="405">
        <f t="shared" si="462"/>
        <v>0</v>
      </c>
    </row>
    <row r="3694" spans="1:8">
      <c r="A3694" s="363" t="str">
        <f t="shared" si="463"/>
        <v/>
      </c>
      <c r="B3694" s="363" t="str">
        <f t="shared" si="456"/>
        <v/>
      </c>
      <c r="C3694" s="405" t="str">
        <f t="shared" si="457"/>
        <v/>
      </c>
      <c r="D3694" s="405">
        <f t="shared" si="458"/>
        <v>0</v>
      </c>
      <c r="E3694" s="405" t="str">
        <f t="shared" si="459"/>
        <v/>
      </c>
      <c r="F3694" s="405">
        <f t="shared" si="460"/>
        <v>0</v>
      </c>
      <c r="G3694" s="405">
        <f t="shared" si="461"/>
        <v>0</v>
      </c>
      <c r="H3694" s="405">
        <f t="shared" si="462"/>
        <v>0</v>
      </c>
    </row>
    <row r="3695" spans="1:8">
      <c r="A3695" s="363" t="str">
        <f t="shared" si="463"/>
        <v/>
      </c>
      <c r="B3695" s="363" t="str">
        <f t="shared" si="456"/>
        <v/>
      </c>
      <c r="C3695" s="405" t="str">
        <f t="shared" si="457"/>
        <v/>
      </c>
      <c r="D3695" s="405">
        <f t="shared" si="458"/>
        <v>0</v>
      </c>
      <c r="E3695" s="405" t="str">
        <f t="shared" si="459"/>
        <v/>
      </c>
      <c r="F3695" s="405">
        <f t="shared" si="460"/>
        <v>0</v>
      </c>
      <c r="G3695" s="405">
        <f t="shared" si="461"/>
        <v>0</v>
      </c>
      <c r="H3695" s="405">
        <f t="shared" si="462"/>
        <v>0</v>
      </c>
    </row>
    <row r="3696" spans="1:8">
      <c r="A3696" s="363" t="str">
        <f t="shared" si="463"/>
        <v/>
      </c>
      <c r="B3696" s="363" t="str">
        <f t="shared" si="456"/>
        <v/>
      </c>
      <c r="C3696" s="405" t="str">
        <f t="shared" si="457"/>
        <v/>
      </c>
      <c r="D3696" s="405">
        <f t="shared" si="458"/>
        <v>0</v>
      </c>
      <c r="E3696" s="405" t="str">
        <f t="shared" si="459"/>
        <v/>
      </c>
      <c r="F3696" s="405">
        <f t="shared" si="460"/>
        <v>0</v>
      </c>
      <c r="G3696" s="405">
        <f t="shared" si="461"/>
        <v>0</v>
      </c>
      <c r="H3696" s="405">
        <f t="shared" si="462"/>
        <v>0</v>
      </c>
    </row>
    <row r="3697" spans="1:8">
      <c r="A3697" s="363" t="str">
        <f t="shared" si="463"/>
        <v/>
      </c>
      <c r="B3697" s="363" t="str">
        <f t="shared" si="456"/>
        <v/>
      </c>
      <c r="C3697" s="405" t="str">
        <f t="shared" si="457"/>
        <v/>
      </c>
      <c r="D3697" s="405">
        <f t="shared" si="458"/>
        <v>0</v>
      </c>
      <c r="E3697" s="405" t="str">
        <f t="shared" si="459"/>
        <v/>
      </c>
      <c r="F3697" s="405">
        <f t="shared" si="460"/>
        <v>0</v>
      </c>
      <c r="G3697" s="405">
        <f t="shared" si="461"/>
        <v>0</v>
      </c>
      <c r="H3697" s="405">
        <f t="shared" si="462"/>
        <v>0</v>
      </c>
    </row>
    <row r="3698" spans="1:8">
      <c r="A3698" s="363" t="str">
        <f t="shared" si="463"/>
        <v/>
      </c>
      <c r="B3698" s="363" t="str">
        <f t="shared" si="456"/>
        <v/>
      </c>
      <c r="C3698" s="405" t="str">
        <f t="shared" si="457"/>
        <v/>
      </c>
      <c r="D3698" s="405">
        <f t="shared" si="458"/>
        <v>0</v>
      </c>
      <c r="E3698" s="405" t="str">
        <f t="shared" si="459"/>
        <v/>
      </c>
      <c r="F3698" s="405">
        <f t="shared" si="460"/>
        <v>0</v>
      </c>
      <c r="G3698" s="405">
        <f t="shared" si="461"/>
        <v>0</v>
      </c>
      <c r="H3698" s="405">
        <f t="shared" si="462"/>
        <v>0</v>
      </c>
    </row>
    <row r="3699" spans="1:8">
      <c r="A3699" s="363" t="str">
        <f t="shared" si="463"/>
        <v/>
      </c>
      <c r="B3699" s="363" t="str">
        <f t="shared" si="456"/>
        <v/>
      </c>
      <c r="C3699" s="405" t="str">
        <f t="shared" si="457"/>
        <v/>
      </c>
      <c r="D3699" s="405">
        <f t="shared" si="458"/>
        <v>0</v>
      </c>
      <c r="E3699" s="405" t="str">
        <f t="shared" si="459"/>
        <v/>
      </c>
      <c r="F3699" s="405">
        <f t="shared" si="460"/>
        <v>0</v>
      </c>
      <c r="G3699" s="405">
        <f t="shared" si="461"/>
        <v>0</v>
      </c>
      <c r="H3699" s="405">
        <f t="shared" si="462"/>
        <v>0</v>
      </c>
    </row>
    <row r="3700" spans="1:8">
      <c r="A3700" s="363" t="str">
        <f t="shared" si="463"/>
        <v/>
      </c>
      <c r="B3700" s="363" t="str">
        <f t="shared" si="456"/>
        <v/>
      </c>
      <c r="C3700" s="405" t="str">
        <f t="shared" si="457"/>
        <v/>
      </c>
      <c r="D3700" s="405">
        <f t="shared" si="458"/>
        <v>0</v>
      </c>
      <c r="E3700" s="405" t="str">
        <f t="shared" si="459"/>
        <v/>
      </c>
      <c r="F3700" s="405">
        <f t="shared" si="460"/>
        <v>0</v>
      </c>
      <c r="G3700" s="405">
        <f t="shared" si="461"/>
        <v>0</v>
      </c>
      <c r="H3700" s="405">
        <f t="shared" si="462"/>
        <v>0</v>
      </c>
    </row>
    <row r="3701" spans="1:8">
      <c r="A3701" s="363" t="str">
        <f t="shared" si="463"/>
        <v/>
      </c>
      <c r="B3701" s="363" t="str">
        <f t="shared" si="456"/>
        <v/>
      </c>
      <c r="C3701" s="405" t="str">
        <f t="shared" si="457"/>
        <v/>
      </c>
      <c r="D3701" s="405">
        <f t="shared" si="458"/>
        <v>0</v>
      </c>
      <c r="E3701" s="405" t="str">
        <f t="shared" si="459"/>
        <v/>
      </c>
      <c r="F3701" s="405">
        <f t="shared" si="460"/>
        <v>0</v>
      </c>
      <c r="G3701" s="405">
        <f t="shared" si="461"/>
        <v>0</v>
      </c>
      <c r="H3701" s="405">
        <f t="shared" si="462"/>
        <v>0</v>
      </c>
    </row>
    <row r="3702" spans="1:8">
      <c r="A3702" s="363" t="str">
        <f t="shared" si="463"/>
        <v/>
      </c>
      <c r="B3702" s="363" t="str">
        <f t="shared" si="456"/>
        <v/>
      </c>
      <c r="C3702" s="405" t="str">
        <f t="shared" si="457"/>
        <v/>
      </c>
      <c r="D3702" s="405">
        <f t="shared" si="458"/>
        <v>0</v>
      </c>
      <c r="E3702" s="405" t="str">
        <f t="shared" si="459"/>
        <v/>
      </c>
      <c r="F3702" s="405">
        <f t="shared" si="460"/>
        <v>0</v>
      </c>
      <c r="G3702" s="405">
        <f t="shared" si="461"/>
        <v>0</v>
      </c>
      <c r="H3702" s="405">
        <f t="shared" si="462"/>
        <v>0</v>
      </c>
    </row>
    <row r="3703" spans="1:8">
      <c r="A3703" s="363" t="str">
        <f t="shared" si="463"/>
        <v/>
      </c>
      <c r="B3703" s="363" t="str">
        <f t="shared" si="456"/>
        <v/>
      </c>
      <c r="C3703" s="405" t="str">
        <f t="shared" si="457"/>
        <v/>
      </c>
      <c r="D3703" s="405">
        <f t="shared" si="458"/>
        <v>0</v>
      </c>
      <c r="E3703" s="405" t="str">
        <f t="shared" si="459"/>
        <v/>
      </c>
      <c r="F3703" s="405">
        <f t="shared" si="460"/>
        <v>0</v>
      </c>
      <c r="G3703" s="405">
        <f t="shared" si="461"/>
        <v>0</v>
      </c>
      <c r="H3703" s="405">
        <f t="shared" si="462"/>
        <v>0</v>
      </c>
    </row>
    <row r="3704" spans="1:8">
      <c r="A3704" s="363" t="str">
        <f t="shared" si="463"/>
        <v/>
      </c>
      <c r="B3704" s="363" t="str">
        <f t="shared" si="456"/>
        <v/>
      </c>
      <c r="C3704" s="405" t="str">
        <f t="shared" si="457"/>
        <v/>
      </c>
      <c r="D3704" s="405">
        <f t="shared" si="458"/>
        <v>0</v>
      </c>
      <c r="E3704" s="405" t="str">
        <f t="shared" si="459"/>
        <v/>
      </c>
      <c r="F3704" s="405">
        <f t="shared" si="460"/>
        <v>0</v>
      </c>
      <c r="G3704" s="405">
        <f t="shared" si="461"/>
        <v>0</v>
      </c>
      <c r="H3704" s="405">
        <f t="shared" si="462"/>
        <v>0</v>
      </c>
    </row>
    <row r="3705" spans="1:8">
      <c r="A3705" s="363" t="str">
        <f t="shared" si="463"/>
        <v/>
      </c>
      <c r="B3705" s="363" t="str">
        <f t="shared" si="456"/>
        <v/>
      </c>
      <c r="C3705" s="405" t="str">
        <f t="shared" si="457"/>
        <v/>
      </c>
      <c r="D3705" s="405">
        <f t="shared" si="458"/>
        <v>0</v>
      </c>
      <c r="E3705" s="405" t="str">
        <f t="shared" si="459"/>
        <v/>
      </c>
      <c r="F3705" s="405">
        <f t="shared" si="460"/>
        <v>0</v>
      </c>
      <c r="G3705" s="405">
        <f t="shared" si="461"/>
        <v>0</v>
      </c>
      <c r="H3705" s="405">
        <f t="shared" si="462"/>
        <v>0</v>
      </c>
    </row>
    <row r="3706" spans="1:8">
      <c r="A3706" s="363" t="str">
        <f t="shared" si="463"/>
        <v/>
      </c>
      <c r="B3706" s="363" t="str">
        <f t="shared" si="456"/>
        <v/>
      </c>
      <c r="C3706" s="405" t="str">
        <f t="shared" si="457"/>
        <v/>
      </c>
      <c r="D3706" s="405">
        <f t="shared" si="458"/>
        <v>0</v>
      </c>
      <c r="E3706" s="405" t="str">
        <f t="shared" si="459"/>
        <v/>
      </c>
      <c r="F3706" s="405">
        <f t="shared" si="460"/>
        <v>0</v>
      </c>
      <c r="G3706" s="405">
        <f t="shared" si="461"/>
        <v>0</v>
      </c>
      <c r="H3706" s="405">
        <f t="shared" si="462"/>
        <v>0</v>
      </c>
    </row>
    <row r="3707" spans="1:8">
      <c r="A3707" s="363" t="str">
        <f t="shared" si="463"/>
        <v/>
      </c>
      <c r="B3707" s="363" t="str">
        <f t="shared" si="456"/>
        <v/>
      </c>
      <c r="C3707" s="405" t="str">
        <f t="shared" si="457"/>
        <v/>
      </c>
      <c r="D3707" s="405">
        <f t="shared" si="458"/>
        <v>0</v>
      </c>
      <c r="E3707" s="405" t="str">
        <f t="shared" si="459"/>
        <v/>
      </c>
      <c r="F3707" s="405">
        <f t="shared" si="460"/>
        <v>0</v>
      </c>
      <c r="G3707" s="405">
        <f t="shared" si="461"/>
        <v>0</v>
      </c>
      <c r="H3707" s="405">
        <f t="shared" si="462"/>
        <v>0</v>
      </c>
    </row>
    <row r="3708" spans="1:8">
      <c r="A3708" s="363" t="str">
        <f t="shared" si="463"/>
        <v/>
      </c>
      <c r="B3708" s="363" t="str">
        <f t="shared" si="456"/>
        <v/>
      </c>
      <c r="C3708" s="405" t="str">
        <f t="shared" si="457"/>
        <v/>
      </c>
      <c r="D3708" s="405">
        <f t="shared" si="458"/>
        <v>0</v>
      </c>
      <c r="E3708" s="405" t="str">
        <f t="shared" si="459"/>
        <v/>
      </c>
      <c r="F3708" s="405">
        <f t="shared" si="460"/>
        <v>0</v>
      </c>
      <c r="G3708" s="405">
        <f t="shared" si="461"/>
        <v>0</v>
      </c>
      <c r="H3708" s="405">
        <f t="shared" si="462"/>
        <v>0</v>
      </c>
    </row>
    <row r="3709" spans="1:8">
      <c r="A3709" s="363" t="str">
        <f t="shared" si="463"/>
        <v/>
      </c>
      <c r="B3709" s="363" t="str">
        <f t="shared" si="456"/>
        <v/>
      </c>
      <c r="C3709" s="405" t="str">
        <f t="shared" si="457"/>
        <v/>
      </c>
      <c r="D3709" s="405">
        <f t="shared" si="458"/>
        <v>0</v>
      </c>
      <c r="E3709" s="405" t="str">
        <f t="shared" si="459"/>
        <v/>
      </c>
      <c r="F3709" s="405">
        <f t="shared" si="460"/>
        <v>0</v>
      </c>
      <c r="G3709" s="405">
        <f t="shared" si="461"/>
        <v>0</v>
      </c>
      <c r="H3709" s="405">
        <f t="shared" si="462"/>
        <v>0</v>
      </c>
    </row>
    <row r="3710" spans="1:8">
      <c r="A3710" s="363" t="str">
        <f t="shared" si="463"/>
        <v/>
      </c>
      <c r="B3710" s="363" t="str">
        <f t="shared" si="456"/>
        <v/>
      </c>
      <c r="C3710" s="405" t="str">
        <f t="shared" si="457"/>
        <v/>
      </c>
      <c r="D3710" s="405">
        <f t="shared" si="458"/>
        <v>0</v>
      </c>
      <c r="E3710" s="405" t="str">
        <f t="shared" si="459"/>
        <v/>
      </c>
      <c r="F3710" s="405">
        <f t="shared" si="460"/>
        <v>0</v>
      </c>
      <c r="G3710" s="405">
        <f t="shared" si="461"/>
        <v>0</v>
      </c>
      <c r="H3710" s="405">
        <f t="shared" si="462"/>
        <v>0</v>
      </c>
    </row>
    <row r="3711" spans="1:8">
      <c r="A3711" s="363" t="str">
        <f t="shared" si="463"/>
        <v/>
      </c>
      <c r="B3711" s="363" t="str">
        <f t="shared" si="456"/>
        <v/>
      </c>
      <c r="C3711" s="405" t="str">
        <f t="shared" si="457"/>
        <v/>
      </c>
      <c r="D3711" s="405">
        <f t="shared" si="458"/>
        <v>0</v>
      </c>
      <c r="E3711" s="405" t="str">
        <f t="shared" si="459"/>
        <v/>
      </c>
      <c r="F3711" s="405">
        <f t="shared" si="460"/>
        <v>0</v>
      </c>
      <c r="G3711" s="405">
        <f t="shared" si="461"/>
        <v>0</v>
      </c>
      <c r="H3711" s="405">
        <f t="shared" si="462"/>
        <v>0</v>
      </c>
    </row>
    <row r="3712" spans="1:8">
      <c r="A3712" s="363" t="str">
        <f t="shared" si="463"/>
        <v/>
      </c>
      <c r="B3712" s="363" t="str">
        <f t="shared" si="456"/>
        <v/>
      </c>
      <c r="C3712" s="405" t="str">
        <f t="shared" si="457"/>
        <v/>
      </c>
      <c r="D3712" s="405">
        <f t="shared" si="458"/>
        <v>0</v>
      </c>
      <c r="E3712" s="405" t="str">
        <f t="shared" si="459"/>
        <v/>
      </c>
      <c r="F3712" s="405">
        <f t="shared" si="460"/>
        <v>0</v>
      </c>
      <c r="G3712" s="405">
        <f t="shared" si="461"/>
        <v>0</v>
      </c>
      <c r="H3712" s="405">
        <f t="shared" si="462"/>
        <v>0</v>
      </c>
    </row>
    <row r="3713" spans="1:8">
      <c r="A3713" s="363" t="str">
        <f t="shared" si="463"/>
        <v/>
      </c>
      <c r="B3713" s="363" t="str">
        <f t="shared" si="456"/>
        <v/>
      </c>
      <c r="C3713" s="405" t="str">
        <f t="shared" si="457"/>
        <v/>
      </c>
      <c r="D3713" s="405">
        <f t="shared" si="458"/>
        <v>0</v>
      </c>
      <c r="E3713" s="405" t="str">
        <f t="shared" si="459"/>
        <v/>
      </c>
      <c r="F3713" s="405">
        <f t="shared" si="460"/>
        <v>0</v>
      </c>
      <c r="G3713" s="405">
        <f t="shared" si="461"/>
        <v>0</v>
      </c>
      <c r="H3713" s="405">
        <f t="shared" si="462"/>
        <v>0</v>
      </c>
    </row>
    <row r="3714" spans="1:8">
      <c r="A3714" s="363" t="str">
        <f t="shared" si="463"/>
        <v/>
      </c>
      <c r="B3714" s="363" t="str">
        <f t="shared" ref="B3714:B3727" si="464">LEFT(L3714,2)</f>
        <v/>
      </c>
      <c r="C3714" s="405" t="str">
        <f t="shared" ref="C3714:C3727" si="465">IF(B3714="","","第"&amp;RIGHT(L3714,6)&amp;"号")</f>
        <v/>
      </c>
      <c r="D3714" s="405">
        <f t="shared" ref="D3714:D3727" si="466">N3714</f>
        <v>0</v>
      </c>
      <c r="E3714" s="405" t="str">
        <f t="shared" ref="E3714:E3727" si="467">IF(V3714="　",O3714,"")</f>
        <v/>
      </c>
      <c r="F3714" s="405">
        <f t="shared" ref="F3714:F3727" si="468">IF(V3714="　",P3714,W3714)</f>
        <v>0</v>
      </c>
      <c r="G3714" s="405">
        <f t="shared" ref="G3714:G3727" si="469">IF(V3714="　","主たる営業所",V3714)</f>
        <v>0</v>
      </c>
      <c r="H3714" s="405">
        <f t="shared" ref="H3714:H3727" si="470">IF(V3714="　",R3714,Y3714)</f>
        <v>0</v>
      </c>
    </row>
    <row r="3715" spans="1:8">
      <c r="A3715" s="363" t="str">
        <f t="shared" ref="A3715:A3727" si="471">IF(B3715="","",A3714+1)</f>
        <v/>
      </c>
      <c r="B3715" s="363" t="str">
        <f t="shared" si="464"/>
        <v/>
      </c>
      <c r="C3715" s="405" t="str">
        <f t="shared" si="465"/>
        <v/>
      </c>
      <c r="D3715" s="405">
        <f t="shared" si="466"/>
        <v>0</v>
      </c>
      <c r="E3715" s="405" t="str">
        <f t="shared" si="467"/>
        <v/>
      </c>
      <c r="F3715" s="405">
        <f t="shared" si="468"/>
        <v>0</v>
      </c>
      <c r="G3715" s="405">
        <f t="shared" si="469"/>
        <v>0</v>
      </c>
      <c r="H3715" s="405">
        <f t="shared" si="470"/>
        <v>0</v>
      </c>
    </row>
    <row r="3716" spans="1:8">
      <c r="A3716" s="363" t="str">
        <f t="shared" si="471"/>
        <v/>
      </c>
      <c r="B3716" s="363" t="str">
        <f t="shared" si="464"/>
        <v/>
      </c>
      <c r="C3716" s="405" t="str">
        <f t="shared" si="465"/>
        <v/>
      </c>
      <c r="D3716" s="405">
        <f t="shared" si="466"/>
        <v>0</v>
      </c>
      <c r="E3716" s="405" t="str">
        <f t="shared" si="467"/>
        <v/>
      </c>
      <c r="F3716" s="405">
        <f t="shared" si="468"/>
        <v>0</v>
      </c>
      <c r="G3716" s="405">
        <f t="shared" si="469"/>
        <v>0</v>
      </c>
      <c r="H3716" s="405">
        <f t="shared" si="470"/>
        <v>0</v>
      </c>
    </row>
    <row r="3717" spans="1:8">
      <c r="A3717" s="363" t="str">
        <f t="shared" si="471"/>
        <v/>
      </c>
      <c r="B3717" s="363" t="str">
        <f t="shared" si="464"/>
        <v/>
      </c>
      <c r="C3717" s="405" t="str">
        <f t="shared" si="465"/>
        <v/>
      </c>
      <c r="D3717" s="405">
        <f t="shared" si="466"/>
        <v>0</v>
      </c>
      <c r="E3717" s="405" t="str">
        <f t="shared" si="467"/>
        <v/>
      </c>
      <c r="F3717" s="405">
        <f t="shared" si="468"/>
        <v>0</v>
      </c>
      <c r="G3717" s="405">
        <f t="shared" si="469"/>
        <v>0</v>
      </c>
      <c r="H3717" s="405">
        <f t="shared" si="470"/>
        <v>0</v>
      </c>
    </row>
    <row r="3718" spans="1:8">
      <c r="A3718" s="363" t="str">
        <f t="shared" si="471"/>
        <v/>
      </c>
      <c r="B3718" s="363" t="str">
        <f t="shared" si="464"/>
        <v/>
      </c>
      <c r="C3718" s="405" t="str">
        <f t="shared" si="465"/>
        <v/>
      </c>
      <c r="D3718" s="405">
        <f t="shared" si="466"/>
        <v>0</v>
      </c>
      <c r="E3718" s="405" t="str">
        <f t="shared" si="467"/>
        <v/>
      </c>
      <c r="F3718" s="405">
        <f t="shared" si="468"/>
        <v>0</v>
      </c>
      <c r="G3718" s="405">
        <f t="shared" si="469"/>
        <v>0</v>
      </c>
      <c r="H3718" s="405">
        <f t="shared" si="470"/>
        <v>0</v>
      </c>
    </row>
    <row r="3719" spans="1:8">
      <c r="A3719" s="363" t="str">
        <f t="shared" si="471"/>
        <v/>
      </c>
      <c r="B3719" s="363" t="str">
        <f t="shared" si="464"/>
        <v/>
      </c>
      <c r="C3719" s="405" t="str">
        <f t="shared" si="465"/>
        <v/>
      </c>
      <c r="D3719" s="405">
        <f t="shared" si="466"/>
        <v>0</v>
      </c>
      <c r="E3719" s="405" t="str">
        <f t="shared" si="467"/>
        <v/>
      </c>
      <c r="F3719" s="405">
        <f t="shared" si="468"/>
        <v>0</v>
      </c>
      <c r="G3719" s="405">
        <f t="shared" si="469"/>
        <v>0</v>
      </c>
      <c r="H3719" s="405">
        <f t="shared" si="470"/>
        <v>0</v>
      </c>
    </row>
    <row r="3720" spans="1:8">
      <c r="A3720" s="363" t="str">
        <f t="shared" si="471"/>
        <v/>
      </c>
      <c r="B3720" s="363" t="str">
        <f t="shared" si="464"/>
        <v/>
      </c>
      <c r="C3720" s="405" t="str">
        <f t="shared" si="465"/>
        <v/>
      </c>
      <c r="D3720" s="405">
        <f t="shared" si="466"/>
        <v>0</v>
      </c>
      <c r="E3720" s="405" t="str">
        <f t="shared" si="467"/>
        <v/>
      </c>
      <c r="F3720" s="405">
        <f t="shared" si="468"/>
        <v>0</v>
      </c>
      <c r="G3720" s="405">
        <f t="shared" si="469"/>
        <v>0</v>
      </c>
      <c r="H3720" s="405">
        <f t="shared" si="470"/>
        <v>0</v>
      </c>
    </row>
    <row r="3721" spans="1:8">
      <c r="A3721" s="363" t="str">
        <f t="shared" si="471"/>
        <v/>
      </c>
      <c r="B3721" s="363" t="str">
        <f t="shared" si="464"/>
        <v/>
      </c>
      <c r="C3721" s="405" t="str">
        <f t="shared" si="465"/>
        <v/>
      </c>
      <c r="D3721" s="405">
        <f t="shared" si="466"/>
        <v>0</v>
      </c>
      <c r="E3721" s="405" t="str">
        <f t="shared" si="467"/>
        <v/>
      </c>
      <c r="F3721" s="405">
        <f t="shared" si="468"/>
        <v>0</v>
      </c>
      <c r="G3721" s="405">
        <f t="shared" si="469"/>
        <v>0</v>
      </c>
      <c r="H3721" s="405">
        <f t="shared" si="470"/>
        <v>0</v>
      </c>
    </row>
    <row r="3722" spans="1:8">
      <c r="A3722" s="363" t="str">
        <f t="shared" si="471"/>
        <v/>
      </c>
      <c r="B3722" s="363" t="str">
        <f t="shared" si="464"/>
        <v/>
      </c>
      <c r="C3722" s="405" t="str">
        <f t="shared" si="465"/>
        <v/>
      </c>
      <c r="D3722" s="405">
        <f t="shared" si="466"/>
        <v>0</v>
      </c>
      <c r="E3722" s="405" t="str">
        <f t="shared" si="467"/>
        <v/>
      </c>
      <c r="F3722" s="405">
        <f t="shared" si="468"/>
        <v>0</v>
      </c>
      <c r="G3722" s="405">
        <f t="shared" si="469"/>
        <v>0</v>
      </c>
      <c r="H3722" s="405">
        <f t="shared" si="470"/>
        <v>0</v>
      </c>
    </row>
    <row r="3723" spans="1:8">
      <c r="A3723" s="363" t="str">
        <f t="shared" si="471"/>
        <v/>
      </c>
      <c r="B3723" s="363" t="str">
        <f t="shared" si="464"/>
        <v/>
      </c>
      <c r="C3723" s="405" t="str">
        <f t="shared" si="465"/>
        <v/>
      </c>
      <c r="D3723" s="405">
        <f t="shared" si="466"/>
        <v>0</v>
      </c>
      <c r="E3723" s="405" t="str">
        <f t="shared" si="467"/>
        <v/>
      </c>
      <c r="F3723" s="405">
        <f t="shared" si="468"/>
        <v>0</v>
      </c>
      <c r="G3723" s="405">
        <f t="shared" si="469"/>
        <v>0</v>
      </c>
      <c r="H3723" s="405">
        <f t="shared" si="470"/>
        <v>0</v>
      </c>
    </row>
    <row r="3724" spans="1:8">
      <c r="A3724" s="363" t="str">
        <f t="shared" si="471"/>
        <v/>
      </c>
      <c r="B3724" s="363" t="str">
        <f t="shared" si="464"/>
        <v/>
      </c>
      <c r="C3724" s="405" t="str">
        <f t="shared" si="465"/>
        <v/>
      </c>
      <c r="D3724" s="405">
        <f t="shared" si="466"/>
        <v>0</v>
      </c>
      <c r="E3724" s="405" t="str">
        <f t="shared" si="467"/>
        <v/>
      </c>
      <c r="F3724" s="405">
        <f t="shared" si="468"/>
        <v>0</v>
      </c>
      <c r="G3724" s="405">
        <f t="shared" si="469"/>
        <v>0</v>
      </c>
      <c r="H3724" s="405">
        <f t="shared" si="470"/>
        <v>0</v>
      </c>
    </row>
    <row r="3725" spans="1:8">
      <c r="A3725" s="363" t="str">
        <f t="shared" si="471"/>
        <v/>
      </c>
      <c r="B3725" s="363" t="str">
        <f t="shared" si="464"/>
        <v/>
      </c>
      <c r="C3725" s="405" t="str">
        <f t="shared" si="465"/>
        <v/>
      </c>
      <c r="D3725" s="405">
        <f t="shared" si="466"/>
        <v>0</v>
      </c>
      <c r="E3725" s="405" t="str">
        <f t="shared" si="467"/>
        <v/>
      </c>
      <c r="F3725" s="405">
        <f t="shared" si="468"/>
        <v>0</v>
      </c>
      <c r="G3725" s="405">
        <f t="shared" si="469"/>
        <v>0</v>
      </c>
      <c r="H3725" s="405">
        <f t="shared" si="470"/>
        <v>0</v>
      </c>
    </row>
    <row r="3726" spans="1:8">
      <c r="A3726" s="363" t="str">
        <f t="shared" si="471"/>
        <v/>
      </c>
      <c r="B3726" s="363" t="str">
        <f t="shared" si="464"/>
        <v/>
      </c>
      <c r="C3726" s="405" t="str">
        <f t="shared" si="465"/>
        <v/>
      </c>
      <c r="D3726" s="405">
        <f t="shared" si="466"/>
        <v>0</v>
      </c>
      <c r="E3726" s="405" t="str">
        <f t="shared" si="467"/>
        <v/>
      </c>
      <c r="F3726" s="405">
        <f t="shared" si="468"/>
        <v>0</v>
      </c>
      <c r="G3726" s="405">
        <f t="shared" si="469"/>
        <v>0</v>
      </c>
      <c r="H3726" s="405">
        <f t="shared" si="470"/>
        <v>0</v>
      </c>
    </row>
    <row r="3727" spans="1:8">
      <c r="A3727" s="363" t="str">
        <f t="shared" si="471"/>
        <v/>
      </c>
      <c r="B3727" s="363" t="str">
        <f t="shared" si="464"/>
        <v/>
      </c>
      <c r="C3727" s="405" t="str">
        <f t="shared" si="465"/>
        <v/>
      </c>
      <c r="D3727" s="405">
        <f t="shared" si="466"/>
        <v>0</v>
      </c>
      <c r="E3727" s="405" t="str">
        <f t="shared" si="467"/>
        <v/>
      </c>
      <c r="F3727" s="405">
        <f t="shared" si="468"/>
        <v>0</v>
      </c>
      <c r="G3727" s="405">
        <f t="shared" si="469"/>
        <v>0</v>
      </c>
      <c r="H3727" s="405">
        <f t="shared" si="470"/>
        <v>0</v>
      </c>
    </row>
  </sheetData>
  <autoFilter ref="A1:Z3727" xr:uid="{00000000-0001-0000-0400-000000000000}"/>
  <phoneticPr fontId="2"/>
  <pageMargins left="0.7" right="0.7" top="0.75" bottom="0.75" header="0.3" footer="0.3"/>
  <pageSetup paperSize="9" orientation="portrait" copies="0"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31"/>
  <dimension ref="A2:V18"/>
  <sheetViews>
    <sheetView workbookViewId="0">
      <selection activeCell="P23" sqref="P23"/>
    </sheetView>
  </sheetViews>
  <sheetFormatPr defaultColWidth="9" defaultRowHeight="13.5"/>
  <cols>
    <col min="1" max="1" width="7" style="144" bestFit="1" customWidth="1"/>
    <col min="2" max="2" width="2.75" style="144" bestFit="1" customWidth="1"/>
    <col min="3" max="3" width="2.625" style="144" customWidth="1"/>
    <col min="4" max="4" width="6.5" style="144" bestFit="1" customWidth="1"/>
    <col min="5" max="6" width="5.25" style="144" bestFit="1" customWidth="1"/>
    <col min="7" max="7" width="6.5" style="144" bestFit="1" customWidth="1"/>
    <col min="8" max="9" width="5.25" style="144" bestFit="1" customWidth="1"/>
    <col min="10" max="10" width="2.625" style="144" bestFit="1" customWidth="1"/>
    <col min="11" max="11" width="2.625" style="144" customWidth="1"/>
    <col min="12" max="12" width="4.625" style="144" bestFit="1" customWidth="1"/>
    <col min="13" max="13" width="2.625" style="144" bestFit="1" customWidth="1"/>
    <col min="14" max="14" width="15.125" style="144" bestFit="1" customWidth="1"/>
    <col min="15" max="15" width="11" style="144" bestFit="1" customWidth="1"/>
    <col min="16" max="16" width="15.125" style="144" bestFit="1" customWidth="1"/>
    <col min="17" max="17" width="56.75" style="144" bestFit="1" customWidth="1"/>
    <col min="18" max="18" width="54.75" style="144" bestFit="1" customWidth="1"/>
    <col min="19" max="19" width="15.125" style="144" bestFit="1" customWidth="1"/>
    <col min="20" max="20" width="18" style="144" bestFit="1" customWidth="1"/>
    <col min="21" max="22" width="5.375" style="144" bestFit="1" customWidth="1"/>
    <col min="23" max="16384" width="9" style="144"/>
  </cols>
  <sheetData>
    <row r="2" spans="1:22">
      <c r="A2" s="143" t="s">
        <v>1</v>
      </c>
      <c r="B2" s="143"/>
      <c r="D2" s="143" t="s">
        <v>76</v>
      </c>
      <c r="E2" s="143"/>
      <c r="F2" s="143"/>
      <c r="G2" s="143"/>
      <c r="H2" s="143"/>
      <c r="I2" s="143"/>
      <c r="J2" s="143"/>
      <c r="Q2" s="144" t="s">
        <v>194</v>
      </c>
      <c r="R2" s="144" t="s">
        <v>200</v>
      </c>
      <c r="S2" s="144" t="s">
        <v>201</v>
      </c>
      <c r="T2" s="144" t="s">
        <v>234</v>
      </c>
      <c r="U2" s="144" t="s">
        <v>235</v>
      </c>
      <c r="V2" s="144" t="s">
        <v>236</v>
      </c>
    </row>
    <row r="3" spans="1:22">
      <c r="A3" s="144" t="s">
        <v>172</v>
      </c>
      <c r="B3" s="144">
        <v>1</v>
      </c>
      <c r="D3" s="144">
        <f>G4</f>
        <v>9000</v>
      </c>
      <c r="E3" s="144" t="s">
        <v>197</v>
      </c>
      <c r="F3" s="144" t="s">
        <v>198</v>
      </c>
      <c r="J3" s="144">
        <v>1</v>
      </c>
      <c r="L3" s="144">
        <v>111</v>
      </c>
      <c r="M3" s="144">
        <v>1</v>
      </c>
      <c r="N3" s="144" t="s">
        <v>237</v>
      </c>
      <c r="P3" s="144" t="s">
        <v>237</v>
      </c>
      <c r="Q3" s="144" t="str">
        <f>$R$8</f>
        <v xml:space="preserve"> 削除</v>
      </c>
      <c r="R3" s="144" t="s">
        <v>1245</v>
      </c>
      <c r="S3" s="144" t="e">
        <f>VLOOKUP($P$18,$P$14:$Q$15,2,FALSE)</f>
        <v>#N/A</v>
      </c>
      <c r="T3" s="144" t="str">
        <f>IF($U3="","　",$U3)&amp;"字"&amp;U$2&amp;"　"&amp;IF($V3="","　",$V3)&amp;"字"&amp;$V$2</f>
        <v>　字抹消　19字挿入</v>
      </c>
      <c r="V3" s="144">
        <v>19</v>
      </c>
    </row>
    <row r="4" spans="1:22">
      <c r="A4" s="144" t="s">
        <v>5</v>
      </c>
      <c r="B4" s="144">
        <v>2</v>
      </c>
      <c r="D4" s="145">
        <v>4500</v>
      </c>
      <c r="E4" s="144" t="s">
        <v>197</v>
      </c>
      <c r="F4" s="144" t="s">
        <v>198</v>
      </c>
      <c r="G4" s="145">
        <v>9000</v>
      </c>
      <c r="H4" s="144" t="s">
        <v>197</v>
      </c>
      <c r="I4" s="144" t="s">
        <v>196</v>
      </c>
      <c r="J4" s="144">
        <v>2</v>
      </c>
      <c r="L4" s="144">
        <v>112</v>
      </c>
      <c r="M4" s="144">
        <v>2</v>
      </c>
      <c r="N4" s="144" t="s">
        <v>195</v>
      </c>
      <c r="P4" s="144" t="s">
        <v>195</v>
      </c>
      <c r="Q4" s="144" t="s">
        <v>1161</v>
      </c>
      <c r="R4" s="144" t="str">
        <f>$R$8</f>
        <v xml:space="preserve"> 削除</v>
      </c>
      <c r="S4" s="144" t="str">
        <f>$R$8</f>
        <v xml:space="preserve"> 削除</v>
      </c>
      <c r="T4" s="144" t="str">
        <f>IF($U4="","　",$U4)&amp;"字"&amp;U$2&amp;"　"&amp;IF($V4="","　",$V4)&amp;"字"&amp;$V$2</f>
        <v>44字抹消　3字挿入</v>
      </c>
      <c r="U4" s="144">
        <v>44</v>
      </c>
      <c r="V4" s="144">
        <v>3</v>
      </c>
    </row>
    <row r="5" spans="1:22">
      <c r="G5" s="144">
        <f>D4</f>
        <v>4500</v>
      </c>
      <c r="H5" s="144" t="s">
        <v>197</v>
      </c>
      <c r="I5" s="144" t="s">
        <v>196</v>
      </c>
      <c r="J5" s="144">
        <v>3</v>
      </c>
      <c r="L5" s="144">
        <v>113</v>
      </c>
      <c r="M5" s="144">
        <v>2</v>
      </c>
      <c r="N5" s="144" t="s">
        <v>195</v>
      </c>
      <c r="P5" s="144" t="s">
        <v>238</v>
      </c>
      <c r="Q5" s="144" t="str">
        <f>$R$8</f>
        <v xml:space="preserve"> 削除</v>
      </c>
      <c r="R5" s="144" t="s">
        <v>7181</v>
      </c>
      <c r="S5" s="144" t="str">
        <f>$R$8</f>
        <v xml:space="preserve"> 削除</v>
      </c>
      <c r="T5" s="144" t="str">
        <f>IF($U5="","　",$U5)&amp;"字"&amp;U$2</f>
        <v>　字抹消</v>
      </c>
    </row>
    <row r="6" spans="1:22">
      <c r="D6" s="638" t="s">
        <v>391</v>
      </c>
      <c r="E6" s="638"/>
      <c r="F6" s="639">
        <v>45689</v>
      </c>
      <c r="G6" s="639"/>
      <c r="H6" s="639"/>
      <c r="L6" s="144">
        <v>121</v>
      </c>
      <c r="M6" s="144">
        <v>3</v>
      </c>
      <c r="N6" s="144" t="s">
        <v>238</v>
      </c>
      <c r="P6" s="144" t="s">
        <v>194</v>
      </c>
      <c r="Q6" s="144" t="s">
        <v>1160</v>
      </c>
      <c r="R6" s="144" t="str">
        <f>$R$8</f>
        <v xml:space="preserve"> 削除</v>
      </c>
      <c r="S6" s="144" t="str">
        <f>$R$8</f>
        <v xml:space="preserve"> 削除</v>
      </c>
      <c r="T6" s="144" t="str">
        <f>IF($U6="","　",$U6)&amp;"字"&amp;U$2</f>
        <v>44字抹消</v>
      </c>
      <c r="U6" s="144">
        <v>44</v>
      </c>
    </row>
    <row r="7" spans="1:22">
      <c r="D7" s="638" t="s">
        <v>392</v>
      </c>
      <c r="E7" s="638"/>
      <c r="F7" s="639">
        <v>45737</v>
      </c>
      <c r="G7" s="639"/>
      <c r="H7" s="639"/>
      <c r="L7" s="144">
        <v>122</v>
      </c>
      <c r="M7" s="144">
        <v>4</v>
      </c>
      <c r="N7" s="144" t="s">
        <v>194</v>
      </c>
      <c r="P7" s="2"/>
    </row>
    <row r="8" spans="1:22">
      <c r="L8" s="144">
        <v>123</v>
      </c>
      <c r="M8" s="144">
        <v>4</v>
      </c>
      <c r="N8" s="144" t="s">
        <v>194</v>
      </c>
      <c r="P8" s="2"/>
      <c r="Q8" s="146" t="s">
        <v>390</v>
      </c>
      <c r="R8" s="145" t="s">
        <v>1162</v>
      </c>
    </row>
    <row r="9" spans="1:22">
      <c r="L9" s="144">
        <v>133</v>
      </c>
      <c r="M9" s="144">
        <v>4</v>
      </c>
      <c r="N9" s="144" t="s">
        <v>194</v>
      </c>
      <c r="P9" s="2"/>
    </row>
    <row r="10" spans="1:22">
      <c r="L10" s="144">
        <v>211</v>
      </c>
      <c r="M10" s="144">
        <v>5</v>
      </c>
      <c r="N10" s="144" t="s">
        <v>237</v>
      </c>
      <c r="P10" s="2"/>
      <c r="Q10" s="146" t="str">
        <f>D6</f>
        <v>摘要日</v>
      </c>
      <c r="R10" s="147"/>
    </row>
    <row r="11" spans="1:22">
      <c r="D11" s="143" t="s">
        <v>199</v>
      </c>
      <c r="E11" s="143"/>
      <c r="F11" s="143"/>
      <c r="G11" s="143"/>
      <c r="H11" s="143"/>
      <c r="I11" s="143"/>
      <c r="J11" s="143"/>
      <c r="L11" s="144">
        <v>212</v>
      </c>
      <c r="M11" s="144">
        <v>5</v>
      </c>
      <c r="N11" s="144" t="s">
        <v>237</v>
      </c>
      <c r="P11" s="2"/>
      <c r="Q11" s="146" t="str">
        <f>D7</f>
        <v>修正日</v>
      </c>
      <c r="R11" s="147"/>
    </row>
    <row r="12" spans="1:22">
      <c r="D12" s="144">
        <f>G13</f>
        <v>8000</v>
      </c>
      <c r="E12" s="144" t="s">
        <v>197</v>
      </c>
      <c r="F12" s="144" t="s">
        <v>198</v>
      </c>
      <c r="J12" s="144">
        <v>1</v>
      </c>
      <c r="L12" s="144">
        <v>213</v>
      </c>
      <c r="M12" s="144">
        <v>6</v>
      </c>
      <c r="N12" s="144" t="s">
        <v>195</v>
      </c>
      <c r="P12" s="2"/>
    </row>
    <row r="13" spans="1:22">
      <c r="D13" s="145">
        <v>5000</v>
      </c>
      <c r="E13" s="144" t="s">
        <v>197</v>
      </c>
      <c r="F13" s="144" t="s">
        <v>198</v>
      </c>
      <c r="G13" s="145">
        <v>8000</v>
      </c>
      <c r="H13" s="144" t="s">
        <v>197</v>
      </c>
      <c r="I13" s="144" t="s">
        <v>196</v>
      </c>
      <c r="J13" s="144">
        <v>2</v>
      </c>
      <c r="L13" s="144">
        <v>221</v>
      </c>
      <c r="M13" s="144">
        <v>5</v>
      </c>
      <c r="N13" s="144" t="s">
        <v>237</v>
      </c>
      <c r="P13" s="2"/>
    </row>
    <row r="14" spans="1:22">
      <c r="G14" s="144">
        <f>D13</f>
        <v>5000</v>
      </c>
      <c r="H14" s="144" t="s">
        <v>197</v>
      </c>
      <c r="I14" s="144" t="s">
        <v>196</v>
      </c>
      <c r="J14" s="144">
        <v>3</v>
      </c>
      <c r="L14" s="144">
        <v>222</v>
      </c>
      <c r="M14" s="144">
        <v>5</v>
      </c>
      <c r="N14" s="144" t="s">
        <v>237</v>
      </c>
      <c r="P14" s="2" t="s">
        <v>1235</v>
      </c>
      <c r="Q14" s="2" t="s">
        <v>1238</v>
      </c>
    </row>
    <row r="15" spans="1:22">
      <c r="D15" s="638" t="str">
        <f>D6</f>
        <v>摘要日</v>
      </c>
      <c r="E15" s="638"/>
      <c r="F15" s="639">
        <v>45689</v>
      </c>
      <c r="G15" s="639"/>
      <c r="H15" s="639"/>
      <c r="L15" s="144">
        <v>223</v>
      </c>
      <c r="M15" s="144">
        <v>6</v>
      </c>
      <c r="N15" s="144" t="s">
        <v>195</v>
      </c>
      <c r="P15" s="2" t="s">
        <v>1236</v>
      </c>
      <c r="Q15" s="161" t="str">
        <f>R8</f>
        <v xml:space="preserve"> 削除</v>
      </c>
    </row>
    <row r="16" spans="1:22">
      <c r="D16" s="638" t="str">
        <f>D7</f>
        <v>修正日</v>
      </c>
      <c r="E16" s="638"/>
      <c r="F16" s="639">
        <v>45737</v>
      </c>
      <c r="G16" s="639"/>
      <c r="H16" s="639"/>
      <c r="L16" s="144">
        <v>233</v>
      </c>
      <c r="M16" s="144">
        <v>7</v>
      </c>
      <c r="N16" s="144" t="s">
        <v>194</v>
      </c>
      <c r="P16" s="2"/>
    </row>
    <row r="17" spans="16:16">
      <c r="P17" s="144" t="s">
        <v>1237</v>
      </c>
    </row>
    <row r="18" spans="16:16">
      <c r="P18" s="144">
        <f>契約日ほか!AA24</f>
        <v>0</v>
      </c>
    </row>
  </sheetData>
  <sheetProtection selectLockedCells="1"/>
  <mergeCells count="8">
    <mergeCell ref="D16:E16"/>
    <mergeCell ref="F15:H15"/>
    <mergeCell ref="F16:H16"/>
    <mergeCell ref="F6:H6"/>
    <mergeCell ref="F7:H7"/>
    <mergeCell ref="D6:E6"/>
    <mergeCell ref="D7:E7"/>
    <mergeCell ref="D15:E15"/>
  </mergeCells>
  <phoneticPr fontId="2"/>
  <pageMargins left="0.7" right="0.7" top="0.75" bottom="0.75" header="0.3" footer="0.3"/>
  <pageSetup paperSize="9"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2"/>
  <dimension ref="A1:L835"/>
  <sheetViews>
    <sheetView zoomScaleNormal="100" workbookViewId="0">
      <pane ySplit="1" topLeftCell="A2" activePane="bottomLeft" state="frozen"/>
      <selection activeCell="G14" sqref="G14"/>
      <selection pane="bottomLeft" activeCell="R28" sqref="R28"/>
    </sheetView>
  </sheetViews>
  <sheetFormatPr defaultColWidth="2.625" defaultRowHeight="15" customHeight="1"/>
  <cols>
    <col min="2" max="2" width="4.5" bestFit="1" customWidth="1"/>
    <col min="3" max="3" width="114.875" style="369" bestFit="1" customWidth="1"/>
    <col min="4" max="4" width="9.125" bestFit="1" customWidth="1"/>
    <col min="5" max="6" width="6.625" customWidth="1"/>
    <col min="8" max="8" width="7.25" bestFit="1" customWidth="1"/>
    <col min="9" max="9" width="5.625" customWidth="1"/>
    <col min="10" max="10" width="4.5" bestFit="1" customWidth="1"/>
    <col min="12" max="12" width="13" bestFit="1" customWidth="1"/>
  </cols>
  <sheetData>
    <row r="1" spans="1:10" ht="15" customHeight="1">
      <c r="C1" s="369" t="s">
        <v>1039</v>
      </c>
      <c r="D1" t="s">
        <v>1075</v>
      </c>
      <c r="E1" t="s">
        <v>964</v>
      </c>
      <c r="F1">
        <f>閲覧図書!$C$6</f>
        <v>0</v>
      </c>
      <c r="H1" t="s">
        <v>966</v>
      </c>
      <c r="I1" s="149">
        <v>2.5</v>
      </c>
      <c r="J1" t="s">
        <v>967</v>
      </c>
    </row>
    <row r="2" spans="1:10" ht="15" customHeight="1">
      <c r="A2">
        <v>1</v>
      </c>
      <c r="B2">
        <f>IF(A2=0,0,B1+1)</f>
        <v>1</v>
      </c>
      <c r="C2" s="369" t="s">
        <v>973</v>
      </c>
      <c r="D2">
        <f t="shared" ref="D2:D26" si="0">LEN(C2)</f>
        <v>5</v>
      </c>
    </row>
    <row r="3" spans="1:10" ht="15" customHeight="1">
      <c r="A3">
        <v>1</v>
      </c>
      <c r="B3">
        <f>IF($A3=0,0,MAX($B$1:$B2)+1)</f>
        <v>2</v>
      </c>
      <c r="C3" s="369" t="s">
        <v>1056</v>
      </c>
      <c r="D3">
        <f t="shared" si="0"/>
        <v>57</v>
      </c>
    </row>
    <row r="4" spans="1:10" ht="15" customHeight="1">
      <c r="A4">
        <v>1</v>
      </c>
      <c r="B4">
        <f>IF($A4=0,0,MAX($B$1:$B3)+1)</f>
        <v>3</v>
      </c>
      <c r="C4" s="369" t="s">
        <v>1057</v>
      </c>
      <c r="D4">
        <f t="shared" si="0"/>
        <v>57</v>
      </c>
    </row>
    <row r="5" spans="1:10" ht="15" customHeight="1">
      <c r="A5">
        <v>1</v>
      </c>
      <c r="B5">
        <f>IF($A5=0,0,MAX($B$1:$B4)+1)</f>
        <v>4</v>
      </c>
      <c r="C5" s="369" t="s">
        <v>1055</v>
      </c>
      <c r="D5">
        <f t="shared" si="0"/>
        <v>36</v>
      </c>
    </row>
    <row r="6" spans="1:10" ht="15" customHeight="1">
      <c r="A6">
        <v>1</v>
      </c>
      <c r="B6">
        <f>IF($A6=0,0,MAX($B$1:$B5)+1)</f>
        <v>5</v>
      </c>
      <c r="C6" s="369" t="s">
        <v>1059</v>
      </c>
      <c r="D6">
        <f t="shared" si="0"/>
        <v>57</v>
      </c>
    </row>
    <row r="7" spans="1:10" ht="15" customHeight="1">
      <c r="A7">
        <v>1</v>
      </c>
      <c r="B7">
        <f>IF($A7=0,0,MAX($B$1:$B6)+1)</f>
        <v>6</v>
      </c>
      <c r="C7" s="369" t="s">
        <v>1058</v>
      </c>
      <c r="D7">
        <f t="shared" si="0"/>
        <v>14</v>
      </c>
    </row>
    <row r="8" spans="1:10" ht="15" customHeight="1">
      <c r="A8">
        <v>1</v>
      </c>
      <c r="B8">
        <f>IF($A8=0,0,MAX($B$1:$B7)+1)</f>
        <v>7</v>
      </c>
      <c r="C8" s="369" t="s">
        <v>1061</v>
      </c>
      <c r="D8">
        <f t="shared" si="0"/>
        <v>57</v>
      </c>
    </row>
    <row r="9" spans="1:10" ht="15" customHeight="1">
      <c r="A9">
        <v>1</v>
      </c>
      <c r="B9">
        <f>IF($A9=0,0,MAX($B$1:$B8)+1)</f>
        <v>8</v>
      </c>
      <c r="C9" s="369" t="s">
        <v>1060</v>
      </c>
      <c r="D9">
        <f t="shared" si="0"/>
        <v>39</v>
      </c>
    </row>
    <row r="10" spans="1:10" ht="15" customHeight="1">
      <c r="A10">
        <v>1</v>
      </c>
      <c r="B10">
        <f>IF($A10=0,0,MAX($B$1:$B9)+1)</f>
        <v>9</v>
      </c>
      <c r="C10" s="369" t="s">
        <v>421</v>
      </c>
      <c r="D10">
        <f t="shared" si="0"/>
        <v>35</v>
      </c>
    </row>
    <row r="11" spans="1:10" ht="15" customHeight="1">
      <c r="A11">
        <v>1</v>
      </c>
      <c r="B11">
        <f>IF($A11=0,0,MAX($B$1:$B10)+1)</f>
        <v>10</v>
      </c>
      <c r="C11" s="369" t="s">
        <v>422</v>
      </c>
      <c r="D11">
        <f t="shared" si="0"/>
        <v>49</v>
      </c>
    </row>
    <row r="12" spans="1:10" ht="15" customHeight="1">
      <c r="A12">
        <v>1</v>
      </c>
      <c r="B12">
        <f>IF($A12=0,0,MAX($B$1:$B11)+1)</f>
        <v>11</v>
      </c>
      <c r="C12" s="369" t="s">
        <v>423</v>
      </c>
      <c r="D12">
        <f t="shared" si="0"/>
        <v>38</v>
      </c>
    </row>
    <row r="13" spans="1:10" ht="15" customHeight="1">
      <c r="A13">
        <v>1</v>
      </c>
      <c r="B13">
        <f>IF($A13=0,0,MAX($B$1:$B12)+1)</f>
        <v>12</v>
      </c>
      <c r="C13" s="369" t="s">
        <v>424</v>
      </c>
      <c r="D13">
        <f t="shared" si="0"/>
        <v>30</v>
      </c>
    </row>
    <row r="14" spans="1:10" ht="15" customHeight="1">
      <c r="A14">
        <v>1</v>
      </c>
      <c r="B14">
        <f>IF($A14=0,0,MAX($B$1:$B13)+1)</f>
        <v>13</v>
      </c>
      <c r="C14" s="369" t="s">
        <v>1063</v>
      </c>
      <c r="D14">
        <f t="shared" si="0"/>
        <v>57</v>
      </c>
    </row>
    <row r="15" spans="1:10" ht="15" customHeight="1">
      <c r="A15">
        <v>1</v>
      </c>
      <c r="B15">
        <f>IF($A15=0,0,MAX($B$1:$B14)+1)</f>
        <v>14</v>
      </c>
      <c r="C15" s="369" t="s">
        <v>1062</v>
      </c>
      <c r="D15">
        <f t="shared" si="0"/>
        <v>21</v>
      </c>
    </row>
    <row r="16" spans="1:10" ht="15" customHeight="1">
      <c r="A16">
        <v>1</v>
      </c>
      <c r="B16">
        <f>IF($A16=0,0,MAX($B$1:$B15)+1)</f>
        <v>15</v>
      </c>
      <c r="C16" s="369" t="s">
        <v>1065</v>
      </c>
      <c r="D16">
        <f t="shared" si="0"/>
        <v>61</v>
      </c>
    </row>
    <row r="17" spans="1:4" ht="15" customHeight="1">
      <c r="A17">
        <v>1</v>
      </c>
      <c r="B17">
        <f>IF($A17=0,0,MAX($B$1:$B16)+1)</f>
        <v>16</v>
      </c>
      <c r="C17" s="369" t="s">
        <v>1064</v>
      </c>
      <c r="D17">
        <f t="shared" si="0"/>
        <v>15</v>
      </c>
    </row>
    <row r="18" spans="1:4" ht="15" customHeight="1">
      <c r="A18">
        <v>1</v>
      </c>
      <c r="B18">
        <f>IF($A18=0,0,MAX($B$1:$B17)+1)</f>
        <v>17</v>
      </c>
      <c r="C18" s="369" t="s">
        <v>425</v>
      </c>
      <c r="D18">
        <f t="shared" si="0"/>
        <v>26</v>
      </c>
    </row>
    <row r="19" spans="1:4" ht="15" customHeight="1">
      <c r="A19">
        <v>1</v>
      </c>
      <c r="B19">
        <f>IF($A19=0,0,MAX($B$1:$B18)+1)</f>
        <v>18</v>
      </c>
      <c r="C19" s="369" t="s">
        <v>426</v>
      </c>
      <c r="D19">
        <f t="shared" si="0"/>
        <v>46</v>
      </c>
    </row>
    <row r="20" spans="1:4" ht="15" customHeight="1">
      <c r="A20">
        <v>1</v>
      </c>
      <c r="B20">
        <f>IF($A20=0,0,MAX($B$1:$B19)+1)</f>
        <v>19</v>
      </c>
      <c r="C20" s="369" t="s">
        <v>1066</v>
      </c>
      <c r="D20">
        <f t="shared" si="0"/>
        <v>58</v>
      </c>
    </row>
    <row r="21" spans="1:4" ht="15" customHeight="1">
      <c r="A21">
        <v>1</v>
      </c>
      <c r="B21">
        <f>IF($A21=0,0,MAX($B$1:$B20)+1)</f>
        <v>20</v>
      </c>
      <c r="C21" s="369" t="s">
        <v>1067</v>
      </c>
      <c r="D21">
        <f t="shared" si="0"/>
        <v>57</v>
      </c>
    </row>
    <row r="22" spans="1:4" ht="15" customHeight="1">
      <c r="A22">
        <v>1</v>
      </c>
      <c r="B22">
        <f>IF($A22=0,0,MAX($B$1:$B21)+1)</f>
        <v>21</v>
      </c>
      <c r="C22" s="369" t="s">
        <v>1069</v>
      </c>
      <c r="D22">
        <f t="shared" si="0"/>
        <v>57</v>
      </c>
    </row>
    <row r="23" spans="1:4" ht="15" customHeight="1">
      <c r="A23">
        <v>1</v>
      </c>
      <c r="B23">
        <f>IF($A23=0,0,MAX($B$1:$B22)+1)</f>
        <v>22</v>
      </c>
      <c r="C23" s="369" t="s">
        <v>1068</v>
      </c>
      <c r="D23">
        <f t="shared" si="0"/>
        <v>8</v>
      </c>
    </row>
    <row r="24" spans="1:4" ht="15" customHeight="1">
      <c r="A24">
        <v>1</v>
      </c>
      <c r="B24">
        <f>IF($A24=0,0,MAX($B$1:$B23)+1)</f>
        <v>23</v>
      </c>
      <c r="D24">
        <f t="shared" si="0"/>
        <v>0</v>
      </c>
    </row>
    <row r="25" spans="1:4" ht="15" customHeight="1">
      <c r="A25">
        <v>1</v>
      </c>
      <c r="B25">
        <f>IF($A25=0,0,MAX($B$1:$B24)+1)</f>
        <v>24</v>
      </c>
      <c r="C25" s="369" t="s">
        <v>974</v>
      </c>
      <c r="D25">
        <f t="shared" si="0"/>
        <v>10</v>
      </c>
    </row>
    <row r="26" spans="1:4" ht="15" customHeight="1">
      <c r="A26">
        <v>1</v>
      </c>
      <c r="B26">
        <f>IF($A26=0,0,MAX($B$1:$B25)+1)</f>
        <v>25</v>
      </c>
      <c r="C26" s="369" t="s">
        <v>427</v>
      </c>
      <c r="D26">
        <f t="shared" si="0"/>
        <v>57</v>
      </c>
    </row>
    <row r="27" spans="1:4" ht="15" customHeight="1">
      <c r="A27">
        <v>1</v>
      </c>
      <c r="B27">
        <f>IF($A27=0,0,MAX($B$1:$B26)+1)</f>
        <v>26</v>
      </c>
      <c r="C27" s="369" t="s">
        <v>419</v>
      </c>
      <c r="D27">
        <f>LEN(C27)</f>
        <v>57</v>
      </c>
    </row>
    <row r="28" spans="1:4" ht="15" customHeight="1">
      <c r="A28">
        <v>1</v>
      </c>
      <c r="B28">
        <f>IF($A28=0,0,MAX($B$1:$B27)+1)</f>
        <v>27</v>
      </c>
      <c r="C28" s="369" t="s">
        <v>420</v>
      </c>
      <c r="D28">
        <f t="shared" ref="D28:D97" si="1">LEN(C28)</f>
        <v>30</v>
      </c>
    </row>
    <row r="29" spans="1:4" ht="15" customHeight="1">
      <c r="A29">
        <v>1</v>
      </c>
      <c r="B29">
        <f>IF($A29=0,"",MAX($B$1:$B28)+1)</f>
        <v>28</v>
      </c>
      <c r="C29" s="369" t="s">
        <v>18529</v>
      </c>
      <c r="D29">
        <f t="shared" si="1"/>
        <v>57</v>
      </c>
    </row>
    <row r="30" spans="1:4" ht="15" customHeight="1">
      <c r="A30">
        <v>2</v>
      </c>
      <c r="B30">
        <f>IF($A30=0,"",MAX($B$1:$B29)+1)</f>
        <v>29</v>
      </c>
      <c r="C30" s="369" t="s">
        <v>18530</v>
      </c>
      <c r="D30">
        <f t="shared" si="1"/>
        <v>57</v>
      </c>
    </row>
    <row r="31" spans="1:4" ht="15" customHeight="1">
      <c r="A31">
        <v>3</v>
      </c>
      <c r="B31">
        <f>IF($A31=0,"",MAX($B$1:$B30)+1)</f>
        <v>30</v>
      </c>
      <c r="C31" s="369" t="s">
        <v>18531</v>
      </c>
      <c r="D31">
        <f t="shared" si="1"/>
        <v>40</v>
      </c>
    </row>
    <row r="32" spans="1:4" ht="15" customHeight="1">
      <c r="A32">
        <v>1</v>
      </c>
      <c r="B32">
        <f>IF($A32=0,0,MAX($B$1:$B31)+1)</f>
        <v>31</v>
      </c>
      <c r="D32">
        <f t="shared" si="1"/>
        <v>0</v>
      </c>
    </row>
    <row r="33" spans="1:4" ht="15" customHeight="1">
      <c r="A33">
        <v>1</v>
      </c>
      <c r="B33">
        <f>IF($A33=0,0,MAX($B$1:$B32)+1)</f>
        <v>32</v>
      </c>
      <c r="C33" s="369" t="s">
        <v>975</v>
      </c>
      <c r="D33">
        <f t="shared" si="1"/>
        <v>15</v>
      </c>
    </row>
    <row r="34" spans="1:4" ht="15" customHeight="1">
      <c r="A34">
        <v>1</v>
      </c>
      <c r="B34">
        <f>IF($A34=0,0,MAX($B$1:$B33)+1)</f>
        <v>33</v>
      </c>
      <c r="C34" s="369" t="s">
        <v>428</v>
      </c>
      <c r="D34">
        <f t="shared" si="1"/>
        <v>58</v>
      </c>
    </row>
    <row r="35" spans="1:4" ht="15" customHeight="1">
      <c r="A35">
        <v>1</v>
      </c>
      <c r="B35">
        <f>IF($A35=0,0,MAX($B$1:$B34)+1)</f>
        <v>34</v>
      </c>
      <c r="C35" s="369" t="s">
        <v>1070</v>
      </c>
      <c r="D35">
        <f t="shared" si="1"/>
        <v>21</v>
      </c>
    </row>
    <row r="36" spans="1:4" ht="15" customHeight="1">
      <c r="A36">
        <v>1</v>
      </c>
      <c r="B36">
        <f>IF($A36=0,0,MAX($B$1:$B35)+1)</f>
        <v>35</v>
      </c>
      <c r="C36" s="369" t="s">
        <v>18532</v>
      </c>
      <c r="D36">
        <f t="shared" si="1"/>
        <v>54</v>
      </c>
    </row>
    <row r="37" spans="1:4" ht="15" customHeight="1">
      <c r="A37">
        <v>1</v>
      </c>
      <c r="B37">
        <f>IF($A37=0,0,MAX($B$1:$B36)+1)</f>
        <v>36</v>
      </c>
      <c r="C37" s="369" t="s">
        <v>429</v>
      </c>
      <c r="D37">
        <f t="shared" si="1"/>
        <v>32</v>
      </c>
    </row>
    <row r="38" spans="1:4" ht="15" customHeight="1">
      <c r="A38">
        <v>1</v>
      </c>
      <c r="B38">
        <f>IF($A38=0,0,MAX($B$1:$B37)+1)</f>
        <v>37</v>
      </c>
      <c r="D38">
        <f t="shared" si="1"/>
        <v>0</v>
      </c>
    </row>
    <row r="39" spans="1:4" ht="15" customHeight="1">
      <c r="A39">
        <v>1</v>
      </c>
      <c r="B39">
        <f>IF($A39=0,0,MAX($B$1:$B38)+1)</f>
        <v>38</v>
      </c>
      <c r="C39" s="369" t="s">
        <v>976</v>
      </c>
      <c r="D39">
        <f t="shared" si="1"/>
        <v>8</v>
      </c>
    </row>
    <row r="40" spans="1:4" ht="15" customHeight="1">
      <c r="A40">
        <v>1</v>
      </c>
      <c r="B40">
        <f>IF($A40=0,0,MAX($B$1:$B39)+1)</f>
        <v>39</v>
      </c>
      <c r="C40" s="369" t="s">
        <v>430</v>
      </c>
      <c r="D40">
        <f t="shared" si="1"/>
        <v>57</v>
      </c>
    </row>
    <row r="41" spans="1:4" ht="15" customHeight="1">
      <c r="A41">
        <v>1</v>
      </c>
      <c r="B41">
        <f>IF($A41=0,0,MAX($B$1:$B40)+1)</f>
        <v>40</v>
      </c>
      <c r="C41" s="369" t="s">
        <v>609</v>
      </c>
      <c r="D41">
        <f t="shared" si="1"/>
        <v>50</v>
      </c>
    </row>
    <row r="42" spans="1:4" ht="15" customHeight="1">
      <c r="A42">
        <v>1</v>
      </c>
      <c r="B42">
        <f>IF($A42=0,0,MAX($B$1:$B41)+1)</f>
        <v>41</v>
      </c>
      <c r="C42" s="369" t="s">
        <v>610</v>
      </c>
      <c r="D42">
        <f t="shared" si="1"/>
        <v>11</v>
      </c>
    </row>
    <row r="43" spans="1:4" ht="15" customHeight="1">
      <c r="A43">
        <v>1</v>
      </c>
      <c r="B43">
        <f>IF($A43=0,0,MAX($B$1:$B42)+1)</f>
        <v>42</v>
      </c>
      <c r="C43" s="369" t="s">
        <v>611</v>
      </c>
      <c r="D43">
        <f t="shared" si="1"/>
        <v>25</v>
      </c>
    </row>
    <row r="44" spans="1:4" ht="15" customHeight="1">
      <c r="A44">
        <v>1</v>
      </c>
      <c r="B44">
        <f>IF($A44=0,0,MAX($B$1:$B43)+1)</f>
        <v>43</v>
      </c>
      <c r="C44" s="369" t="s">
        <v>612</v>
      </c>
      <c r="D44">
        <f t="shared" si="1"/>
        <v>57</v>
      </c>
    </row>
    <row r="45" spans="1:4" ht="15" customHeight="1">
      <c r="A45">
        <v>1</v>
      </c>
      <c r="B45">
        <f>IF($A45=0,0,MAX($B$1:$B44)+1)</f>
        <v>44</v>
      </c>
      <c r="C45" s="369" t="s">
        <v>613</v>
      </c>
      <c r="D45">
        <f t="shared" si="1"/>
        <v>59</v>
      </c>
    </row>
    <row r="46" spans="1:4" ht="15" customHeight="1">
      <c r="A46">
        <v>1</v>
      </c>
      <c r="B46">
        <f>IF($A46=0,0,MAX($B$1:$B45)+1)</f>
        <v>45</v>
      </c>
      <c r="C46" s="369" t="s">
        <v>614</v>
      </c>
      <c r="D46">
        <f t="shared" si="1"/>
        <v>9</v>
      </c>
    </row>
    <row r="47" spans="1:4" ht="15" customHeight="1">
      <c r="A47">
        <v>1</v>
      </c>
      <c r="B47">
        <f>IF($A47=0,0,MAX($B$1:$B46)+1)</f>
        <v>46</v>
      </c>
      <c r="C47" s="369" t="s">
        <v>615</v>
      </c>
      <c r="D47">
        <f t="shared" si="1"/>
        <v>35</v>
      </c>
    </row>
    <row r="48" spans="1:4" ht="15" customHeight="1">
      <c r="A48">
        <v>1</v>
      </c>
      <c r="B48">
        <f>IF($A48=0,0,MAX($B$1:$B47)+1)</f>
        <v>47</v>
      </c>
      <c r="C48" s="369" t="s">
        <v>1091</v>
      </c>
      <c r="D48">
        <f t="shared" si="1"/>
        <v>40</v>
      </c>
    </row>
    <row r="49" spans="1:4" ht="15" customHeight="1">
      <c r="A49">
        <v>1</v>
      </c>
      <c r="B49">
        <f>IF($A49=0,0,MAX($B$1:$B48)+1)</f>
        <v>48</v>
      </c>
      <c r="C49" s="369" t="s">
        <v>7148</v>
      </c>
      <c r="D49">
        <f t="shared" si="1"/>
        <v>57</v>
      </c>
    </row>
    <row r="50" spans="1:4" ht="15" customHeight="1">
      <c r="A50">
        <v>1</v>
      </c>
      <c r="B50">
        <f>IF($A50=0,0,MAX($B$1:$B49)+1)</f>
        <v>49</v>
      </c>
      <c r="C50" s="369" t="s">
        <v>7149</v>
      </c>
      <c r="D50">
        <f t="shared" si="1"/>
        <v>58</v>
      </c>
    </row>
    <row r="51" spans="1:4" ht="15" customHeight="1">
      <c r="A51">
        <v>1</v>
      </c>
      <c r="B51">
        <f>IF($A51=0,0,MAX($B$1:$B50)+1)</f>
        <v>50</v>
      </c>
      <c r="C51" s="369" t="s">
        <v>7150</v>
      </c>
      <c r="D51">
        <f t="shared" si="1"/>
        <v>38</v>
      </c>
    </row>
    <row r="52" spans="1:4" ht="15" customHeight="1">
      <c r="A52">
        <v>1</v>
      </c>
      <c r="B52">
        <f>IF($A52=0,0,MAX($B$1:$B51)+1)</f>
        <v>51</v>
      </c>
      <c r="C52" s="369" t="s">
        <v>7217</v>
      </c>
      <c r="D52">
        <f t="shared" si="1"/>
        <v>58</v>
      </c>
    </row>
    <row r="53" spans="1:4" ht="15" customHeight="1">
      <c r="A53">
        <v>1</v>
      </c>
      <c r="B53">
        <f>IF($A53=0,0,MAX($B$1:$B52)+1)</f>
        <v>52</v>
      </c>
      <c r="C53" s="369" t="s">
        <v>7151</v>
      </c>
      <c r="D53">
        <f t="shared" si="1"/>
        <v>17</v>
      </c>
    </row>
    <row r="54" spans="1:4" ht="15" customHeight="1">
      <c r="A54">
        <v>1</v>
      </c>
      <c r="B54">
        <f>IF($A54=0,0,MAX($B$1:$B53)+1)</f>
        <v>53</v>
      </c>
      <c r="C54" s="369" t="s">
        <v>7218</v>
      </c>
      <c r="D54">
        <f t="shared" si="1"/>
        <v>58</v>
      </c>
    </row>
    <row r="55" spans="1:4" ht="15" customHeight="1">
      <c r="A55">
        <v>1</v>
      </c>
      <c r="B55">
        <f>IF($A55=0,0,MAX($B$1:$B54)+1)</f>
        <v>54</v>
      </c>
      <c r="C55" s="369" t="s">
        <v>616</v>
      </c>
      <c r="D55">
        <f t="shared" si="1"/>
        <v>32</v>
      </c>
    </row>
    <row r="56" spans="1:4" ht="15" customHeight="1">
      <c r="A56">
        <v>1</v>
      </c>
      <c r="B56">
        <f>IF($A56=0,0,MAX($B$1:$B55)+1)</f>
        <v>55</v>
      </c>
      <c r="C56" s="369" t="s">
        <v>7219</v>
      </c>
      <c r="D56">
        <f t="shared" si="1"/>
        <v>57</v>
      </c>
    </row>
    <row r="57" spans="1:4" ht="15" customHeight="1">
      <c r="A57">
        <v>1</v>
      </c>
      <c r="B57">
        <f>IF($A57=0,0,MAX($B$1:$B56)+1)</f>
        <v>56</v>
      </c>
      <c r="C57" s="369" t="s">
        <v>617</v>
      </c>
      <c r="D57">
        <f t="shared" si="1"/>
        <v>53</v>
      </c>
    </row>
    <row r="58" spans="1:4" ht="15" customHeight="1">
      <c r="A58">
        <v>1</v>
      </c>
      <c r="B58">
        <f>IF($A58=0,0,MAX($B$1:$B57)+1)</f>
        <v>57</v>
      </c>
      <c r="C58" s="369" t="s">
        <v>7220</v>
      </c>
      <c r="D58">
        <f t="shared" si="1"/>
        <v>58</v>
      </c>
    </row>
    <row r="59" spans="1:4" ht="15" customHeight="1">
      <c r="A59">
        <v>1</v>
      </c>
      <c r="B59">
        <f>IF($A59=0,0,MAX($B$1:$B58)+1)</f>
        <v>58</v>
      </c>
      <c r="C59" s="369" t="s">
        <v>618</v>
      </c>
      <c r="D59">
        <f t="shared" si="1"/>
        <v>36</v>
      </c>
    </row>
    <row r="60" spans="1:4" ht="15" customHeight="1">
      <c r="A60">
        <v>1</v>
      </c>
      <c r="B60">
        <f>IF($A60=0,0,MAX($B$1:$B59)+1)</f>
        <v>59</v>
      </c>
      <c r="D60">
        <f t="shared" si="1"/>
        <v>0</v>
      </c>
    </row>
    <row r="61" spans="1:4" ht="15" customHeight="1">
      <c r="A61">
        <v>1</v>
      </c>
      <c r="B61">
        <f>IF($A61=0,0,MAX($B$1:$B60)+1)</f>
        <v>60</v>
      </c>
      <c r="C61" s="369" t="s">
        <v>977</v>
      </c>
      <c r="D61">
        <f t="shared" si="1"/>
        <v>11</v>
      </c>
    </row>
    <row r="62" spans="1:4" ht="15" customHeight="1">
      <c r="A62">
        <v>1</v>
      </c>
      <c r="B62">
        <f>IF($A62=0,0,MAX($B$1:$B61)+1)</f>
        <v>61</v>
      </c>
      <c r="C62" s="369" t="s">
        <v>431</v>
      </c>
      <c r="D62">
        <f t="shared" si="1"/>
        <v>57</v>
      </c>
    </row>
    <row r="63" spans="1:4" ht="15" customHeight="1">
      <c r="A63">
        <v>1</v>
      </c>
      <c r="B63">
        <f>IF($A63=0,0,MAX($B$1:$B62)+1)</f>
        <v>62</v>
      </c>
      <c r="C63" s="369" t="s">
        <v>619</v>
      </c>
      <c r="D63">
        <f t="shared" si="1"/>
        <v>22</v>
      </c>
    </row>
    <row r="64" spans="1:4" ht="15" customHeight="1">
      <c r="A64">
        <v>1</v>
      </c>
      <c r="B64">
        <f>IF($A64=0,0,MAX($B$1:$B63)+1)</f>
        <v>63</v>
      </c>
      <c r="C64" s="369" t="s">
        <v>432</v>
      </c>
      <c r="D64">
        <f t="shared" si="1"/>
        <v>58</v>
      </c>
    </row>
    <row r="65" spans="1:4" ht="15" customHeight="1">
      <c r="A65">
        <v>1</v>
      </c>
      <c r="B65">
        <f>IF($A65=0,0,MAX($B$1:$B64)+1)</f>
        <v>64</v>
      </c>
      <c r="C65" s="369" t="s">
        <v>620</v>
      </c>
      <c r="D65">
        <f t="shared" si="1"/>
        <v>58</v>
      </c>
    </row>
    <row r="66" spans="1:4" ht="15" customHeight="1">
      <c r="A66">
        <v>1</v>
      </c>
      <c r="B66">
        <f>IF($A66=0,0,MAX($B$1:$B65)+1)</f>
        <v>65</v>
      </c>
      <c r="C66" s="369" t="s">
        <v>621</v>
      </c>
      <c r="D66">
        <f t="shared" si="1"/>
        <v>43</v>
      </c>
    </row>
    <row r="67" spans="1:4" ht="15" customHeight="1">
      <c r="A67">
        <v>1</v>
      </c>
      <c r="B67">
        <f>IF($A67=0,0,MAX($B$1:$B66)+1)</f>
        <v>66</v>
      </c>
      <c r="C67" s="369" t="s">
        <v>433</v>
      </c>
      <c r="D67">
        <f t="shared" si="1"/>
        <v>57</v>
      </c>
    </row>
    <row r="68" spans="1:4" ht="15" customHeight="1">
      <c r="A68">
        <v>1</v>
      </c>
      <c r="B68">
        <f>IF($A68=0,0,MAX($B$1:$B67)+1)</f>
        <v>67</v>
      </c>
      <c r="C68" s="369" t="s">
        <v>622</v>
      </c>
      <c r="D68">
        <f t="shared" si="1"/>
        <v>57</v>
      </c>
    </row>
    <row r="69" spans="1:4" ht="15" customHeight="1">
      <c r="A69">
        <v>1</v>
      </c>
      <c r="B69">
        <f>IF($A69=0,0,MAX($B$1:$B68)+1)</f>
        <v>68</v>
      </c>
      <c r="C69" s="369" t="s">
        <v>418</v>
      </c>
      <c r="D69">
        <f t="shared" si="1"/>
        <v>8</v>
      </c>
    </row>
    <row r="70" spans="1:4" ht="15" customHeight="1">
      <c r="A70">
        <v>1</v>
      </c>
      <c r="B70">
        <f>IF($A70=0,0,MAX($B$1:$B69)+1)</f>
        <v>69</v>
      </c>
      <c r="C70" s="369" t="s">
        <v>434</v>
      </c>
      <c r="D70">
        <f t="shared" si="1"/>
        <v>57</v>
      </c>
    </row>
    <row r="71" spans="1:4" ht="15" customHeight="1">
      <c r="A71">
        <v>1</v>
      </c>
      <c r="B71">
        <f>IF($A71=0,0,MAX($B$1:$B70)+1)</f>
        <v>70</v>
      </c>
      <c r="C71" s="369" t="s">
        <v>623</v>
      </c>
      <c r="D71">
        <f t="shared" si="1"/>
        <v>53</v>
      </c>
    </row>
    <row r="72" spans="1:4" ht="15" customHeight="1">
      <c r="A72">
        <v>1</v>
      </c>
      <c r="B72">
        <f>IF($A72=0,0,MAX($B$1:$B71)+1)</f>
        <v>71</v>
      </c>
      <c r="D72">
        <f t="shared" si="1"/>
        <v>0</v>
      </c>
    </row>
    <row r="73" spans="1:4" ht="15" customHeight="1">
      <c r="A73">
        <v>1</v>
      </c>
      <c r="B73">
        <f>IF($A73=0,0,MAX($B$1:$B72)+1)</f>
        <v>72</v>
      </c>
      <c r="C73" s="369" t="s">
        <v>978</v>
      </c>
      <c r="D73">
        <f t="shared" si="1"/>
        <v>12</v>
      </c>
    </row>
    <row r="74" spans="1:4" ht="15" customHeight="1">
      <c r="A74">
        <v>1</v>
      </c>
      <c r="B74">
        <f>IF($A74=0,0,MAX($B$1:$B73)+1)</f>
        <v>73</v>
      </c>
      <c r="C74" s="369" t="s">
        <v>435</v>
      </c>
      <c r="D74">
        <f t="shared" si="1"/>
        <v>57</v>
      </c>
    </row>
    <row r="75" spans="1:4" ht="15" customHeight="1">
      <c r="A75">
        <v>1</v>
      </c>
      <c r="B75">
        <f>IF($A75=0,0,MAX($B$1:$B74)+1)</f>
        <v>74</v>
      </c>
      <c r="C75" s="369" t="s">
        <v>624</v>
      </c>
      <c r="D75">
        <f t="shared" si="1"/>
        <v>23</v>
      </c>
    </row>
    <row r="76" spans="1:4" ht="15" customHeight="1">
      <c r="A76">
        <v>1</v>
      </c>
      <c r="B76">
        <f>IF($A76=0,0,MAX($B$1:$B75)+1)</f>
        <v>75</v>
      </c>
      <c r="C76" s="369" t="s">
        <v>436</v>
      </c>
      <c r="D76">
        <f t="shared" si="1"/>
        <v>59</v>
      </c>
    </row>
    <row r="77" spans="1:4" ht="15" customHeight="1">
      <c r="A77">
        <v>1</v>
      </c>
      <c r="B77">
        <f>IF($A77=0,0,MAX($B$1:$B76)+1)</f>
        <v>76</v>
      </c>
      <c r="C77" s="369" t="s">
        <v>625</v>
      </c>
      <c r="D77">
        <f t="shared" si="1"/>
        <v>12</v>
      </c>
    </row>
    <row r="78" spans="1:4" ht="15" customHeight="1">
      <c r="A78">
        <v>1</v>
      </c>
      <c r="B78">
        <f>IF($A78=0,0,MAX($B$1:$B77)+1)</f>
        <v>77</v>
      </c>
      <c r="D78">
        <f t="shared" si="1"/>
        <v>0</v>
      </c>
    </row>
    <row r="79" spans="1:4" ht="15" customHeight="1">
      <c r="A79">
        <v>1</v>
      </c>
      <c r="B79">
        <f>IF($A79=0,0,MAX($B$1:$B78)+1)</f>
        <v>78</v>
      </c>
      <c r="C79" s="369" t="s">
        <v>979</v>
      </c>
      <c r="D79">
        <f t="shared" si="1"/>
        <v>10</v>
      </c>
    </row>
    <row r="80" spans="1:4" ht="15" customHeight="1">
      <c r="A80">
        <v>1</v>
      </c>
      <c r="B80">
        <f>IF($A80=0,0,MAX($B$1:$B79)+1)</f>
        <v>79</v>
      </c>
      <c r="C80" s="369" t="s">
        <v>437</v>
      </c>
      <c r="D80">
        <f t="shared" si="1"/>
        <v>51</v>
      </c>
    </row>
    <row r="81" spans="1:4" ht="15" customHeight="1">
      <c r="A81">
        <v>1</v>
      </c>
      <c r="B81">
        <f>IF($A81=0,0,MAX($B$1:$B80)+1)</f>
        <v>80</v>
      </c>
      <c r="D81">
        <f t="shared" si="1"/>
        <v>0</v>
      </c>
    </row>
    <row r="82" spans="1:4" ht="15" customHeight="1">
      <c r="A82">
        <v>1</v>
      </c>
      <c r="B82">
        <f>IF($A82=0,0,MAX($B$1:$B81)+1)</f>
        <v>81</v>
      </c>
      <c r="C82" s="369" t="s">
        <v>980</v>
      </c>
      <c r="D82">
        <f t="shared" si="1"/>
        <v>18</v>
      </c>
    </row>
    <row r="83" spans="1:4" ht="15" customHeight="1">
      <c r="A83">
        <v>1</v>
      </c>
      <c r="B83">
        <f>IF($A83=0,0,MAX($B$1:$B82)+1)</f>
        <v>82</v>
      </c>
      <c r="C83" s="369" t="s">
        <v>438</v>
      </c>
      <c r="D83">
        <f t="shared" si="1"/>
        <v>59</v>
      </c>
    </row>
    <row r="84" spans="1:4" ht="15" customHeight="1">
      <c r="A84">
        <v>1</v>
      </c>
      <c r="B84">
        <f>IF($A84=0,0,MAX($B$1:$B83)+1)</f>
        <v>83</v>
      </c>
      <c r="C84" s="369" t="s">
        <v>626</v>
      </c>
      <c r="D84">
        <f t="shared" si="1"/>
        <v>57</v>
      </c>
    </row>
    <row r="85" spans="1:4" ht="15" customHeight="1">
      <c r="A85">
        <v>1</v>
      </c>
      <c r="B85">
        <f>IF($A85=0,0,MAX($B$1:$B84)+1)</f>
        <v>84</v>
      </c>
      <c r="C85" s="369" t="s">
        <v>627</v>
      </c>
      <c r="D85">
        <f t="shared" si="1"/>
        <v>40</v>
      </c>
    </row>
    <row r="86" spans="1:4" ht="15" customHeight="1">
      <c r="A86">
        <v>1</v>
      </c>
      <c r="B86">
        <f>IF($A86=0,0,MAX($B$1:$B85)+1)</f>
        <v>85</v>
      </c>
      <c r="C86" s="369" t="s">
        <v>628</v>
      </c>
      <c r="D86">
        <f t="shared" si="1"/>
        <v>33</v>
      </c>
    </row>
    <row r="87" spans="1:4" ht="15" customHeight="1">
      <c r="A87">
        <v>1</v>
      </c>
      <c r="B87">
        <f>IF($A87=0,0,MAX($B$1:$B86)+1)</f>
        <v>86</v>
      </c>
      <c r="C87" s="369" t="s">
        <v>629</v>
      </c>
      <c r="D87">
        <f t="shared" si="1"/>
        <v>36</v>
      </c>
    </row>
    <row r="88" spans="1:4" ht="15" customHeight="1">
      <c r="A88">
        <v>1</v>
      </c>
      <c r="B88">
        <f>IF($A88=0,0,MAX($B$1:$B87)+1)</f>
        <v>87</v>
      </c>
      <c r="C88" s="369" t="s">
        <v>630</v>
      </c>
      <c r="D88">
        <f t="shared" si="1"/>
        <v>33</v>
      </c>
    </row>
    <row r="89" spans="1:4" ht="15" customHeight="1">
      <c r="A89">
        <v>1</v>
      </c>
      <c r="B89">
        <f>IF($A89=0,0,MAX($B$1:$B88)+1)</f>
        <v>88</v>
      </c>
      <c r="C89" s="369" t="s">
        <v>7152</v>
      </c>
      <c r="D89">
        <f t="shared" si="1"/>
        <v>57</v>
      </c>
    </row>
    <row r="90" spans="1:4" ht="15" customHeight="1">
      <c r="A90">
        <v>1</v>
      </c>
      <c r="B90">
        <f>IF($A90=0,0,MAX($B$1:$B89)+1)</f>
        <v>89</v>
      </c>
      <c r="C90" s="369" t="s">
        <v>7153</v>
      </c>
      <c r="D90">
        <f t="shared" si="1"/>
        <v>57</v>
      </c>
    </row>
    <row r="91" spans="1:4" ht="15" customHeight="1">
      <c r="A91">
        <v>1</v>
      </c>
      <c r="B91">
        <f>IF($A91=0,0,MAX($B$1:$B90)+1)</f>
        <v>90</v>
      </c>
      <c r="C91" s="369" t="s">
        <v>7155</v>
      </c>
      <c r="D91">
        <f t="shared" si="1"/>
        <v>57</v>
      </c>
    </row>
    <row r="92" spans="1:4" ht="15" customHeight="1">
      <c r="A92">
        <v>1</v>
      </c>
      <c r="B92">
        <f>IF($A92=0,0,MAX($B$1:$B91)+1)</f>
        <v>91</v>
      </c>
      <c r="C92" s="369" t="s">
        <v>7154</v>
      </c>
      <c r="D92">
        <f t="shared" si="1"/>
        <v>41</v>
      </c>
    </row>
    <row r="93" spans="1:4" ht="15" customHeight="1">
      <c r="A93">
        <v>1</v>
      </c>
      <c r="B93">
        <f>IF($A93=0,0,MAX($B$1:$B92)+1)</f>
        <v>92</v>
      </c>
      <c r="D93">
        <f t="shared" si="1"/>
        <v>0</v>
      </c>
    </row>
    <row r="94" spans="1:4" ht="15" customHeight="1">
      <c r="A94">
        <v>1</v>
      </c>
      <c r="B94">
        <f>IF($A94=0,0,MAX($B$1:$B93)+1)</f>
        <v>93</v>
      </c>
      <c r="C94" s="369" t="s">
        <v>981</v>
      </c>
      <c r="D94">
        <f t="shared" si="1"/>
        <v>10</v>
      </c>
    </row>
    <row r="95" spans="1:4" ht="15" customHeight="1">
      <c r="A95">
        <v>1</v>
      </c>
      <c r="B95">
        <f>IF($A95=0,0,MAX($B$1:$B94)+1)</f>
        <v>94</v>
      </c>
      <c r="C95" s="369" t="s">
        <v>439</v>
      </c>
      <c r="D95">
        <f t="shared" si="1"/>
        <v>57</v>
      </c>
    </row>
    <row r="96" spans="1:4" ht="15" customHeight="1">
      <c r="A96">
        <v>1</v>
      </c>
      <c r="B96">
        <f>IF($A96=0,0,MAX($B$1:$B95)+1)</f>
        <v>95</v>
      </c>
      <c r="C96" s="369" t="s">
        <v>631</v>
      </c>
      <c r="D96">
        <f t="shared" si="1"/>
        <v>57</v>
      </c>
    </row>
    <row r="97" spans="1:4" ht="15" customHeight="1">
      <c r="A97">
        <v>1</v>
      </c>
      <c r="B97">
        <f>IF($A97=0,0,MAX($B$1:$B96)+1)</f>
        <v>96</v>
      </c>
      <c r="C97" s="369" t="s">
        <v>632</v>
      </c>
      <c r="D97">
        <f t="shared" si="1"/>
        <v>57</v>
      </c>
    </row>
    <row r="98" spans="1:4" ht="15" customHeight="1">
      <c r="A98">
        <v>1</v>
      </c>
      <c r="B98">
        <f>IF($A98=0,0,MAX($B$1:$B97)+1)</f>
        <v>97</v>
      </c>
      <c r="C98" s="369" t="s">
        <v>633</v>
      </c>
      <c r="D98">
        <f t="shared" ref="D98:D161" si="2">LEN(C98)</f>
        <v>57</v>
      </c>
    </row>
    <row r="99" spans="1:4" ht="15" customHeight="1">
      <c r="A99">
        <v>1</v>
      </c>
      <c r="B99">
        <f>IF($A99=0,0,MAX($B$1:$B98)+1)</f>
        <v>98</v>
      </c>
      <c r="C99" s="369" t="s">
        <v>634</v>
      </c>
      <c r="D99">
        <f t="shared" si="2"/>
        <v>5</v>
      </c>
    </row>
    <row r="100" spans="1:4" ht="15" customHeight="1">
      <c r="A100">
        <v>1</v>
      </c>
      <c r="B100">
        <f>IF($A100=0,0,MAX($B$1:$B99)+1)</f>
        <v>99</v>
      </c>
      <c r="D100">
        <f t="shared" si="2"/>
        <v>0</v>
      </c>
    </row>
    <row r="101" spans="1:4" ht="15" customHeight="1">
      <c r="A101">
        <v>1</v>
      </c>
      <c r="B101">
        <f>IF($A101=0,0,MAX($B$1:$B100)+1)</f>
        <v>100</v>
      </c>
      <c r="C101" s="369" t="s">
        <v>982</v>
      </c>
      <c r="D101">
        <f t="shared" si="2"/>
        <v>6</v>
      </c>
    </row>
    <row r="102" spans="1:4" ht="15" customHeight="1">
      <c r="A102">
        <v>1</v>
      </c>
      <c r="B102">
        <f>IF($A102=0,0,MAX($B$1:$B101)+1)</f>
        <v>101</v>
      </c>
      <c r="C102" s="369" t="s">
        <v>440</v>
      </c>
      <c r="D102">
        <f t="shared" si="2"/>
        <v>58</v>
      </c>
    </row>
    <row r="103" spans="1:4" ht="15" customHeight="1">
      <c r="A103">
        <v>1</v>
      </c>
      <c r="B103">
        <f>IF($A103=0,0,MAX($B$1:$B102)+1)</f>
        <v>102</v>
      </c>
      <c r="C103" s="369" t="s">
        <v>441</v>
      </c>
      <c r="D103">
        <f t="shared" si="2"/>
        <v>57</v>
      </c>
    </row>
    <row r="104" spans="1:4" ht="15" customHeight="1">
      <c r="A104">
        <v>1</v>
      </c>
      <c r="B104">
        <f>IF($A104=0,0,MAX($B$1:$B103)+1)</f>
        <v>103</v>
      </c>
      <c r="C104" s="369" t="s">
        <v>635</v>
      </c>
      <c r="D104">
        <f t="shared" si="2"/>
        <v>42</v>
      </c>
    </row>
    <row r="105" spans="1:4" ht="15" customHeight="1">
      <c r="A105">
        <v>1</v>
      </c>
      <c r="B105">
        <f>IF($A105=0,0,MAX($B$1:$B104)+1)</f>
        <v>104</v>
      </c>
      <c r="C105" s="369" t="s">
        <v>636</v>
      </c>
      <c r="D105">
        <f t="shared" si="2"/>
        <v>42</v>
      </c>
    </row>
    <row r="106" spans="1:4" ht="15" customHeight="1">
      <c r="A106">
        <v>1</v>
      </c>
      <c r="B106">
        <f>IF($A106=0,0,MAX($B$1:$B105)+1)</f>
        <v>105</v>
      </c>
      <c r="C106" s="369" t="s">
        <v>637</v>
      </c>
      <c r="D106">
        <f t="shared" si="2"/>
        <v>48</v>
      </c>
    </row>
    <row r="107" spans="1:4" ht="15" customHeight="1">
      <c r="A107">
        <v>1</v>
      </c>
      <c r="B107">
        <f>IF($A107=0,0,MAX($B$1:$B106)+1)</f>
        <v>106</v>
      </c>
      <c r="C107" s="369" t="s">
        <v>638</v>
      </c>
      <c r="D107">
        <f t="shared" si="2"/>
        <v>54</v>
      </c>
    </row>
    <row r="108" spans="1:4" ht="15" customHeight="1">
      <c r="A108">
        <v>1</v>
      </c>
      <c r="B108">
        <f>IF($A108=0,0,MAX($B$1:$B107)+1)</f>
        <v>107</v>
      </c>
      <c r="C108" s="369" t="s">
        <v>442</v>
      </c>
      <c r="D108">
        <f t="shared" si="2"/>
        <v>57</v>
      </c>
    </row>
    <row r="109" spans="1:4" ht="15" customHeight="1">
      <c r="A109">
        <v>1</v>
      </c>
      <c r="B109">
        <f>IF($A109=0,0,MAX($B$1:$B108)+1)</f>
        <v>108</v>
      </c>
      <c r="C109" s="369" t="s">
        <v>639</v>
      </c>
      <c r="D109">
        <f t="shared" si="2"/>
        <v>57</v>
      </c>
    </row>
    <row r="110" spans="1:4" ht="15" customHeight="1">
      <c r="A110">
        <v>1</v>
      </c>
      <c r="B110">
        <f>IF($A110=0,0,MAX($B$1:$B109)+1)</f>
        <v>109</v>
      </c>
      <c r="C110" s="369" t="s">
        <v>640</v>
      </c>
      <c r="D110">
        <f t="shared" si="2"/>
        <v>6</v>
      </c>
    </row>
    <row r="111" spans="1:4" ht="15" customHeight="1">
      <c r="A111">
        <v>1</v>
      </c>
      <c r="B111">
        <f>IF($A111=0,0,MAX($B$1:$B110)+1)</f>
        <v>110</v>
      </c>
      <c r="C111" s="369" t="s">
        <v>443</v>
      </c>
      <c r="D111">
        <f t="shared" si="2"/>
        <v>46</v>
      </c>
    </row>
    <row r="112" spans="1:4" ht="15" customHeight="1">
      <c r="A112">
        <v>1</v>
      </c>
      <c r="B112">
        <f>IF($A112=0,0,MAX($B$1:$B111)+1)</f>
        <v>111</v>
      </c>
      <c r="C112" s="369" t="s">
        <v>444</v>
      </c>
      <c r="D112">
        <f t="shared" si="2"/>
        <v>57</v>
      </c>
    </row>
    <row r="113" spans="1:10" ht="15" customHeight="1">
      <c r="A113">
        <v>1</v>
      </c>
      <c r="B113">
        <f>IF($A113=0,0,MAX($B$1:$B112)+1)</f>
        <v>112</v>
      </c>
      <c r="C113" s="369" t="s">
        <v>641</v>
      </c>
      <c r="D113">
        <f t="shared" si="2"/>
        <v>57</v>
      </c>
    </row>
    <row r="114" spans="1:10" ht="15" customHeight="1">
      <c r="A114">
        <v>1</v>
      </c>
      <c r="B114">
        <f>IF($A114=0,0,MAX($B$1:$B113)+1)</f>
        <v>113</v>
      </c>
      <c r="C114" s="369" t="s">
        <v>642</v>
      </c>
      <c r="D114">
        <f t="shared" si="2"/>
        <v>8</v>
      </c>
    </row>
    <row r="115" spans="1:10" ht="15" customHeight="1">
      <c r="A115">
        <v>1</v>
      </c>
      <c r="B115">
        <f>IF($A115=0,0,MAX($B$1:$B114)+1)</f>
        <v>114</v>
      </c>
      <c r="C115" s="369" t="s">
        <v>445</v>
      </c>
      <c r="D115">
        <f t="shared" si="2"/>
        <v>43</v>
      </c>
    </row>
    <row r="116" spans="1:10" ht="15" customHeight="1">
      <c r="A116">
        <v>1</v>
      </c>
      <c r="B116">
        <f>IF($A116=0,0,MAX($B$1:$B115)+1)</f>
        <v>115</v>
      </c>
      <c r="D116">
        <f t="shared" si="2"/>
        <v>0</v>
      </c>
    </row>
    <row r="117" spans="1:10" ht="15" customHeight="1">
      <c r="A117">
        <v>1</v>
      </c>
      <c r="B117">
        <f>IF($A117=0,0,MAX($B$1:$B116)+1)</f>
        <v>116</v>
      </c>
      <c r="C117" s="369" t="s">
        <v>983</v>
      </c>
      <c r="D117">
        <f t="shared" si="2"/>
        <v>16</v>
      </c>
    </row>
    <row r="118" spans="1:10" ht="15" customHeight="1">
      <c r="A118">
        <v>1</v>
      </c>
      <c r="B118">
        <f>IF($A118=0,0,MAX($B$1:$B117)+1)</f>
        <v>117</v>
      </c>
      <c r="C118" s="369" t="s">
        <v>446</v>
      </c>
      <c r="D118">
        <f t="shared" si="2"/>
        <v>58</v>
      </c>
      <c r="E118" s="439" t="str">
        <f>契約日ほか!AB24</f>
        <v>主任技術者</v>
      </c>
      <c r="F118" s="439"/>
      <c r="G118" s="439"/>
      <c r="H118" s="439"/>
      <c r="I118" s="439"/>
      <c r="J118" s="439"/>
    </row>
    <row r="119" spans="1:10" ht="15" customHeight="1">
      <c r="A119">
        <v>1</v>
      </c>
      <c r="B119">
        <f>IF($A119=0,0,MAX($B$1:$B118)+1)</f>
        <v>118</v>
      </c>
      <c r="C119" s="369" t="s">
        <v>643</v>
      </c>
      <c r="D119">
        <f t="shared" si="2"/>
        <v>38</v>
      </c>
    </row>
    <row r="120" spans="1:10" ht="15" customHeight="1">
      <c r="A120">
        <v>1</v>
      </c>
      <c r="B120">
        <f>IF($A120=0,0,MAX($B$1:$B119)+1)</f>
        <v>119</v>
      </c>
      <c r="C120" s="369" t="s">
        <v>644</v>
      </c>
      <c r="D120">
        <f t="shared" si="2"/>
        <v>8</v>
      </c>
    </row>
    <row r="121" spans="1:10" ht="15" customHeight="1">
      <c r="A121">
        <v>1</v>
      </c>
      <c r="B121">
        <f>IF($A121=0,0,MAX($B$1:$B120)+1)</f>
        <v>120</v>
      </c>
      <c r="C121" s="369" t="str">
        <f>"　二 "&amp;IFERROR(E121,"［"&amp;REPT("　",20)&amp;"］主任技術者")</f>
        <v>　二 ［　　　　　　　　　　　　　　　　　　　　］主任技術者</v>
      </c>
      <c r="D121">
        <f t="shared" si="2"/>
        <v>30</v>
      </c>
      <c r="E121" t="str">
        <f>VLOOKUP(E$118,【随時メンテ】配置技術者!$P$3:$S$6,2,FALSE)</f>
        <v>［　　　　　　　　　　　　　　　　　　　　］主任技術者</v>
      </c>
    </row>
    <row r="122" spans="1:10" ht="15" customHeight="1">
      <c r="A122">
        <v>1</v>
      </c>
      <c r="B122">
        <f>IF($A122=0,0,MAX($B$1:$B121)+1)</f>
        <v>121</v>
      </c>
      <c r="C122" s="385" t="str">
        <f>" 　　"&amp;IFERROR(E122,"［"&amp;REPT("　",20)&amp;"］監理技術者")</f>
        <v xml:space="preserve"> 　　 削除</v>
      </c>
      <c r="D122">
        <f t="shared" si="2"/>
        <v>6</v>
      </c>
      <c r="E122" t="str">
        <f>VLOOKUP(E$118,【随時メンテ】配置技術者!$P$3:$S$6,3,FALSE)</f>
        <v xml:space="preserve"> 削除</v>
      </c>
    </row>
    <row r="123" spans="1:10" ht="15" customHeight="1">
      <c r="A123">
        <v>1</v>
      </c>
      <c r="B123">
        <f>IF($A123=0,0,MAX($B$1:$B122)+1)</f>
        <v>122</v>
      </c>
      <c r="C123" s="385" t="str">
        <f>" 　　"&amp;IFERROR(E123,"監理技術者補佐（建設業法第26条第３項第２号に規定する者をいう。以下同じ。")</f>
        <v xml:space="preserve"> 　　 削除</v>
      </c>
      <c r="D123">
        <f t="shared" si="2"/>
        <v>6</v>
      </c>
      <c r="E123" t="str">
        <f>VLOOKUP(E$118,【随時メンテ】配置技術者!$P$3:$S$6,4,FALSE)</f>
        <v xml:space="preserve"> 削除</v>
      </c>
    </row>
    <row r="124" spans="1:10" ht="15" customHeight="1">
      <c r="A124">
        <v>1</v>
      </c>
      <c r="B124">
        <f>IF($A124=0,0,MAX($B$1:$B123)+1)</f>
        <v>123</v>
      </c>
      <c r="C124" s="369" t="s">
        <v>7182</v>
      </c>
      <c r="D124">
        <f t="shared" si="2"/>
        <v>51</v>
      </c>
    </row>
    <row r="125" spans="1:10" ht="15" customHeight="1">
      <c r="A125">
        <v>1</v>
      </c>
      <c r="B125">
        <f>IF($A125=0,0,MAX($B$1:$B124)+1)</f>
        <v>124</v>
      </c>
      <c r="C125" s="369" t="s">
        <v>447</v>
      </c>
      <c r="D125">
        <f t="shared" si="2"/>
        <v>57</v>
      </c>
    </row>
    <row r="126" spans="1:10" ht="15" customHeight="1">
      <c r="A126">
        <v>1</v>
      </c>
      <c r="B126">
        <f>IF($A126=0,0,MAX($B$1:$B125)+1)</f>
        <v>125</v>
      </c>
      <c r="C126" s="369" t="s">
        <v>645</v>
      </c>
      <c r="D126">
        <f t="shared" si="2"/>
        <v>58</v>
      </c>
    </row>
    <row r="127" spans="1:10" ht="15" customHeight="1">
      <c r="A127">
        <v>1</v>
      </c>
      <c r="B127">
        <f>IF($A127=0,0,MAX($B$1:$B126)+1)</f>
        <v>126</v>
      </c>
      <c r="C127" s="369" t="s">
        <v>646</v>
      </c>
      <c r="D127">
        <f t="shared" si="2"/>
        <v>25</v>
      </c>
    </row>
    <row r="128" spans="1:10" ht="15" customHeight="1">
      <c r="A128">
        <v>1</v>
      </c>
      <c r="B128">
        <f>IF($A128=0,0,MAX($B$1:$B127)+1)</f>
        <v>127</v>
      </c>
      <c r="C128" s="369" t="s">
        <v>448</v>
      </c>
      <c r="D128">
        <f t="shared" si="2"/>
        <v>57</v>
      </c>
    </row>
    <row r="129" spans="1:4" ht="15" customHeight="1">
      <c r="A129">
        <v>1</v>
      </c>
      <c r="B129">
        <f>IF($A129=0,0,MAX($B$1:$B128)+1)</f>
        <v>128</v>
      </c>
      <c r="C129" s="369" t="s">
        <v>647</v>
      </c>
      <c r="D129">
        <f t="shared" si="2"/>
        <v>57</v>
      </c>
    </row>
    <row r="130" spans="1:4" ht="15" customHeight="1">
      <c r="A130">
        <v>1</v>
      </c>
      <c r="B130">
        <f>IF($A130=0,0,MAX($B$1:$B129)+1)</f>
        <v>129</v>
      </c>
      <c r="C130" s="369" t="s">
        <v>648</v>
      </c>
      <c r="D130">
        <f t="shared" si="2"/>
        <v>4</v>
      </c>
    </row>
    <row r="131" spans="1:4" ht="15" customHeight="1">
      <c r="A131">
        <v>1</v>
      </c>
      <c r="B131">
        <f>IF($A131=0,0,MAX($B$1:$B130)+1)</f>
        <v>130</v>
      </c>
      <c r="C131" s="369" t="s">
        <v>449</v>
      </c>
      <c r="D131">
        <f t="shared" si="2"/>
        <v>57</v>
      </c>
    </row>
    <row r="132" spans="1:4" ht="15" customHeight="1">
      <c r="A132">
        <v>1</v>
      </c>
      <c r="B132">
        <f>IF($A132=0,0,MAX($B$1:$B131)+1)</f>
        <v>131</v>
      </c>
      <c r="C132" s="369" t="s">
        <v>649</v>
      </c>
      <c r="D132">
        <f t="shared" si="2"/>
        <v>34</v>
      </c>
    </row>
    <row r="133" spans="1:4" ht="15" customHeight="1">
      <c r="A133">
        <v>1</v>
      </c>
      <c r="B133">
        <f>IF($A133=0,0,MAX($B$1:$B132)+1)</f>
        <v>132</v>
      </c>
      <c r="C133" s="369" t="s">
        <v>450</v>
      </c>
      <c r="D133">
        <f t="shared" si="2"/>
        <v>57</v>
      </c>
    </row>
    <row r="134" spans="1:4" ht="15" customHeight="1">
      <c r="A134">
        <v>1</v>
      </c>
      <c r="B134">
        <f>IF($A134=0,0,MAX($B$1:$B133)+1)</f>
        <v>133</v>
      </c>
      <c r="C134" s="369" t="s">
        <v>650</v>
      </c>
      <c r="D134">
        <f t="shared" si="2"/>
        <v>11</v>
      </c>
    </row>
    <row r="135" spans="1:4" ht="15" customHeight="1">
      <c r="A135">
        <v>1</v>
      </c>
      <c r="B135">
        <f>IF($A135=0,0,MAX($B$1:$B134)+1)</f>
        <v>134</v>
      </c>
      <c r="D135">
        <f t="shared" si="2"/>
        <v>0</v>
      </c>
    </row>
    <row r="136" spans="1:4" ht="15" customHeight="1">
      <c r="A136">
        <v>1</v>
      </c>
      <c r="B136">
        <f>IF($A136=0,0,MAX($B$1:$B135)+1)</f>
        <v>135</v>
      </c>
      <c r="C136" s="369" t="s">
        <v>984</v>
      </c>
      <c r="D136">
        <f t="shared" si="2"/>
        <v>7</v>
      </c>
    </row>
    <row r="137" spans="1:4" ht="15" customHeight="1">
      <c r="A137">
        <v>1</v>
      </c>
      <c r="B137">
        <f>IF($A137=0,0,MAX($B$1:$B136)+1)</f>
        <v>136</v>
      </c>
      <c r="C137" s="369" t="s">
        <v>451</v>
      </c>
      <c r="D137">
        <f t="shared" si="2"/>
        <v>52</v>
      </c>
    </row>
    <row r="138" spans="1:4" ht="15" customHeight="1">
      <c r="A138">
        <v>1</v>
      </c>
      <c r="B138">
        <f>IF($A138=0,0,MAX($B$1:$B137)+1)</f>
        <v>137</v>
      </c>
      <c r="D138">
        <f t="shared" si="2"/>
        <v>0</v>
      </c>
    </row>
    <row r="139" spans="1:4" ht="15" customHeight="1">
      <c r="A139">
        <v>1</v>
      </c>
      <c r="B139">
        <f>IF($A139=0,0,MAX($B$1:$B138)+1)</f>
        <v>138</v>
      </c>
      <c r="C139" s="369" t="s">
        <v>985</v>
      </c>
      <c r="D139">
        <f t="shared" si="2"/>
        <v>16</v>
      </c>
    </row>
    <row r="140" spans="1:4" ht="15" customHeight="1">
      <c r="A140">
        <v>1</v>
      </c>
      <c r="B140">
        <f>IF($A140=0,0,MAX($B$1:$B139)+1)</f>
        <v>139</v>
      </c>
      <c r="C140" s="369" t="s">
        <v>7156</v>
      </c>
      <c r="D140">
        <f t="shared" si="2"/>
        <v>58</v>
      </c>
    </row>
    <row r="141" spans="1:4" ht="15" customHeight="1">
      <c r="A141">
        <v>1</v>
      </c>
      <c r="B141">
        <f>IF($A141=0,0,MAX($B$1:$B140)+1)</f>
        <v>140</v>
      </c>
      <c r="C141" s="369" t="s">
        <v>7158</v>
      </c>
      <c r="D141">
        <f t="shared" si="2"/>
        <v>58</v>
      </c>
    </row>
    <row r="142" spans="1:4" ht="15" customHeight="1">
      <c r="A142">
        <v>1</v>
      </c>
      <c r="B142">
        <f>IF($A142=0,0,MAX($B$1:$B141)+1)</f>
        <v>141</v>
      </c>
      <c r="C142" s="369" t="s">
        <v>7157</v>
      </c>
      <c r="D142">
        <f t="shared" si="2"/>
        <v>18</v>
      </c>
    </row>
    <row r="143" spans="1:4" ht="15" customHeight="1">
      <c r="A143">
        <v>1</v>
      </c>
      <c r="B143">
        <f>IF($A143=0,0,MAX($B$1:$B142)+1)</f>
        <v>142</v>
      </c>
      <c r="C143" s="369" t="s">
        <v>7159</v>
      </c>
      <c r="D143">
        <f t="shared" si="2"/>
        <v>58</v>
      </c>
    </row>
    <row r="144" spans="1:4" ht="15" customHeight="1">
      <c r="A144">
        <v>1</v>
      </c>
      <c r="B144">
        <f>IF($A144=0,0,MAX($B$1:$B143)+1)</f>
        <v>143</v>
      </c>
      <c r="C144" s="369" t="s">
        <v>7161</v>
      </c>
      <c r="D144">
        <f t="shared" si="2"/>
        <v>57</v>
      </c>
    </row>
    <row r="145" spans="1:4" ht="15" customHeight="1">
      <c r="A145">
        <v>1</v>
      </c>
      <c r="B145">
        <f>IF($A145=0,0,MAX($B$1:$B144)+1)</f>
        <v>144</v>
      </c>
      <c r="C145" s="369" t="s">
        <v>7160</v>
      </c>
      <c r="D145">
        <f t="shared" si="2"/>
        <v>48</v>
      </c>
    </row>
    <row r="146" spans="1:4" ht="15" customHeight="1">
      <c r="A146">
        <v>1</v>
      </c>
      <c r="B146">
        <f>IF($A146=0,0,MAX($B$1:$B145)+1)</f>
        <v>145</v>
      </c>
      <c r="C146" s="369" t="s">
        <v>452</v>
      </c>
      <c r="D146">
        <f t="shared" si="2"/>
        <v>57</v>
      </c>
    </row>
    <row r="147" spans="1:4" ht="15" customHeight="1">
      <c r="A147">
        <v>1</v>
      </c>
      <c r="B147">
        <f>IF($A147=0,0,MAX($B$1:$B146)+1)</f>
        <v>146</v>
      </c>
      <c r="C147" s="369" t="s">
        <v>651</v>
      </c>
      <c r="D147">
        <f t="shared" si="2"/>
        <v>23</v>
      </c>
    </row>
    <row r="148" spans="1:4" ht="15" customHeight="1">
      <c r="A148">
        <v>1</v>
      </c>
      <c r="B148">
        <f>IF($A148=0,0,MAX($B$1:$B147)+1)</f>
        <v>147</v>
      </c>
      <c r="C148" s="369" t="s">
        <v>453</v>
      </c>
      <c r="D148">
        <f t="shared" si="2"/>
        <v>57</v>
      </c>
    </row>
    <row r="149" spans="1:4" ht="15" customHeight="1">
      <c r="A149">
        <v>1</v>
      </c>
      <c r="B149">
        <f>IF($A149=0,0,MAX($B$1:$B148)+1)</f>
        <v>148</v>
      </c>
      <c r="C149" s="369" t="s">
        <v>652</v>
      </c>
      <c r="D149">
        <f t="shared" si="2"/>
        <v>28</v>
      </c>
    </row>
    <row r="150" spans="1:4" ht="15" customHeight="1">
      <c r="A150">
        <v>1</v>
      </c>
      <c r="B150">
        <f>IF($A150=0,0,MAX($B$1:$B149)+1)</f>
        <v>149</v>
      </c>
      <c r="C150" s="369" t="s">
        <v>454</v>
      </c>
      <c r="D150">
        <f t="shared" si="2"/>
        <v>58</v>
      </c>
    </row>
    <row r="151" spans="1:4" ht="15" customHeight="1">
      <c r="A151">
        <v>1</v>
      </c>
      <c r="B151">
        <f>IF($A151=0,0,MAX($B$1:$B150)+1)</f>
        <v>150</v>
      </c>
      <c r="C151" s="369" t="s">
        <v>653</v>
      </c>
      <c r="D151">
        <f t="shared" si="2"/>
        <v>21</v>
      </c>
    </row>
    <row r="152" spans="1:4" ht="15" customHeight="1">
      <c r="A152">
        <v>1</v>
      </c>
      <c r="B152">
        <f>IF($A152=0,0,MAX($B$1:$B151)+1)</f>
        <v>151</v>
      </c>
      <c r="D152">
        <f t="shared" si="2"/>
        <v>0</v>
      </c>
    </row>
    <row r="153" spans="1:4" ht="15" customHeight="1">
      <c r="A153">
        <v>1</v>
      </c>
      <c r="B153">
        <f>IF($A153=0,0,MAX($B$1:$B152)+1)</f>
        <v>152</v>
      </c>
      <c r="C153" s="369" t="s">
        <v>986</v>
      </c>
      <c r="D153">
        <f t="shared" si="2"/>
        <v>15</v>
      </c>
    </row>
    <row r="154" spans="1:4" ht="15" customHeight="1">
      <c r="A154">
        <v>1</v>
      </c>
      <c r="B154">
        <f>IF($A154=0,0,MAX($B$1:$B153)+1)</f>
        <v>153</v>
      </c>
      <c r="C154" s="369" t="s">
        <v>455</v>
      </c>
      <c r="D154">
        <f t="shared" si="2"/>
        <v>59</v>
      </c>
    </row>
    <row r="155" spans="1:4" ht="15" customHeight="1">
      <c r="A155">
        <v>1</v>
      </c>
      <c r="B155">
        <f>IF($A155=0,0,MAX($B$1:$B154)+1)</f>
        <v>154</v>
      </c>
      <c r="C155" s="369" t="s">
        <v>654</v>
      </c>
      <c r="D155">
        <f t="shared" si="2"/>
        <v>16</v>
      </c>
    </row>
    <row r="156" spans="1:4" ht="15" customHeight="1">
      <c r="A156">
        <v>1</v>
      </c>
      <c r="B156">
        <f>IF($A156=0,0,MAX($B$1:$B155)+1)</f>
        <v>155</v>
      </c>
      <c r="C156" s="369" t="s">
        <v>456</v>
      </c>
      <c r="D156">
        <f t="shared" si="2"/>
        <v>57</v>
      </c>
    </row>
    <row r="157" spans="1:4" ht="15" customHeight="1">
      <c r="A157">
        <v>1</v>
      </c>
      <c r="B157">
        <f>IF($A157=0,0,MAX($B$1:$B156)+1)</f>
        <v>156</v>
      </c>
      <c r="C157" s="369" t="s">
        <v>655</v>
      </c>
      <c r="D157">
        <f t="shared" si="2"/>
        <v>57</v>
      </c>
    </row>
    <row r="158" spans="1:4" ht="15" customHeight="1">
      <c r="A158">
        <v>1</v>
      </c>
      <c r="B158">
        <f>IF($A158=0,0,MAX($B$1:$B157)+1)</f>
        <v>157</v>
      </c>
      <c r="C158" s="369" t="s">
        <v>656</v>
      </c>
      <c r="D158">
        <f t="shared" si="2"/>
        <v>13</v>
      </c>
    </row>
    <row r="159" spans="1:4" ht="15" customHeight="1">
      <c r="A159">
        <v>1</v>
      </c>
      <c r="B159">
        <f>IF($A159=0,0,MAX($B$1:$B158)+1)</f>
        <v>158</v>
      </c>
      <c r="C159" s="369" t="s">
        <v>457</v>
      </c>
      <c r="D159">
        <f t="shared" si="2"/>
        <v>52</v>
      </c>
    </row>
    <row r="160" spans="1:4" ht="15" customHeight="1">
      <c r="A160">
        <v>1</v>
      </c>
      <c r="B160">
        <f>IF($A160=0,0,MAX($B$1:$B159)+1)</f>
        <v>159</v>
      </c>
      <c r="C160" s="369" t="s">
        <v>458</v>
      </c>
      <c r="D160">
        <f t="shared" si="2"/>
        <v>50</v>
      </c>
    </row>
    <row r="161" spans="1:4" ht="15" customHeight="1">
      <c r="A161">
        <v>1</v>
      </c>
      <c r="B161">
        <f>IF($A161=0,0,MAX($B$1:$B160)+1)</f>
        <v>160</v>
      </c>
      <c r="C161" s="369" t="s">
        <v>459</v>
      </c>
      <c r="D161">
        <f t="shared" si="2"/>
        <v>57</v>
      </c>
    </row>
    <row r="162" spans="1:4" ht="15" customHeight="1">
      <c r="A162">
        <v>1</v>
      </c>
      <c r="B162">
        <f>IF($A162=0,0,MAX($B$1:$B161)+1)</f>
        <v>161</v>
      </c>
      <c r="C162" s="369" t="s">
        <v>657</v>
      </c>
      <c r="D162">
        <f t="shared" ref="D162:D225" si="3">LEN(C162)</f>
        <v>25</v>
      </c>
    </row>
    <row r="163" spans="1:4" ht="15" customHeight="1">
      <c r="A163">
        <v>1</v>
      </c>
      <c r="B163">
        <f>IF($A163=0,0,MAX($B$1:$B162)+1)</f>
        <v>162</v>
      </c>
      <c r="D163">
        <f t="shared" si="3"/>
        <v>0</v>
      </c>
    </row>
    <row r="164" spans="1:4" ht="15" customHeight="1">
      <c r="A164">
        <v>1</v>
      </c>
      <c r="B164">
        <f>IF($A164=0,0,MAX($B$1:$B163)+1)</f>
        <v>163</v>
      </c>
      <c r="C164" s="369" t="s">
        <v>987</v>
      </c>
      <c r="D164">
        <f t="shared" si="3"/>
        <v>20</v>
      </c>
    </row>
    <row r="165" spans="1:4" ht="15" customHeight="1">
      <c r="A165">
        <v>1</v>
      </c>
      <c r="B165">
        <f>IF($A165=0,0,MAX($B$1:$B164)+1)</f>
        <v>164</v>
      </c>
      <c r="C165" s="369" t="s">
        <v>460</v>
      </c>
      <c r="D165">
        <f t="shared" si="3"/>
        <v>58</v>
      </c>
    </row>
    <row r="166" spans="1:4" ht="15" customHeight="1">
      <c r="A166">
        <v>1</v>
      </c>
      <c r="B166">
        <f>IF($A166=0,0,MAX($B$1:$B165)+1)</f>
        <v>165</v>
      </c>
      <c r="C166" s="369" t="s">
        <v>658</v>
      </c>
      <c r="D166">
        <f t="shared" si="3"/>
        <v>49</v>
      </c>
    </row>
    <row r="167" spans="1:4" ht="15" customHeight="1">
      <c r="A167">
        <v>1</v>
      </c>
      <c r="B167">
        <f>IF($A167=0,0,MAX($B$1:$B166)+1)</f>
        <v>166</v>
      </c>
      <c r="C167" s="369" t="s">
        <v>461</v>
      </c>
      <c r="D167">
        <f t="shared" si="3"/>
        <v>57</v>
      </c>
    </row>
    <row r="168" spans="1:4" ht="15" customHeight="1">
      <c r="A168">
        <v>1</v>
      </c>
      <c r="B168">
        <f>IF($A168=0,0,MAX($B$1:$B167)+1)</f>
        <v>167</v>
      </c>
      <c r="C168" s="369" t="s">
        <v>659</v>
      </c>
      <c r="D168">
        <f t="shared" si="3"/>
        <v>9</v>
      </c>
    </row>
    <row r="169" spans="1:4" ht="15" customHeight="1">
      <c r="A169">
        <v>1</v>
      </c>
      <c r="B169">
        <f>IF($A169=0,0,MAX($B$1:$B168)+1)</f>
        <v>168</v>
      </c>
      <c r="C169" s="369" t="s">
        <v>462</v>
      </c>
      <c r="D169">
        <f t="shared" si="3"/>
        <v>57</v>
      </c>
    </row>
    <row r="170" spans="1:4" ht="15" customHeight="1">
      <c r="A170">
        <v>1</v>
      </c>
      <c r="B170">
        <f>IF($A170=0,0,MAX($B$1:$B169)+1)</f>
        <v>169</v>
      </c>
      <c r="C170" s="369" t="s">
        <v>660</v>
      </c>
      <c r="D170">
        <f t="shared" si="3"/>
        <v>57</v>
      </c>
    </row>
    <row r="171" spans="1:4" ht="15" customHeight="1">
      <c r="A171">
        <v>1</v>
      </c>
      <c r="B171">
        <f>IF($A171=0,0,MAX($B$1:$B170)+1)</f>
        <v>170</v>
      </c>
      <c r="C171" s="369" t="s">
        <v>661</v>
      </c>
      <c r="D171">
        <f t="shared" si="3"/>
        <v>51</v>
      </c>
    </row>
    <row r="172" spans="1:4" ht="15" customHeight="1">
      <c r="A172">
        <v>1</v>
      </c>
      <c r="B172">
        <f>IF($A172=0,0,MAX($B$1:$B171)+1)</f>
        <v>171</v>
      </c>
      <c r="C172" s="369" t="s">
        <v>463</v>
      </c>
      <c r="D172">
        <f t="shared" si="3"/>
        <v>57</v>
      </c>
    </row>
    <row r="173" spans="1:4" ht="15" customHeight="1">
      <c r="A173">
        <v>1</v>
      </c>
      <c r="B173">
        <f>IF($A173=0,0,MAX($B$1:$B172)+1)</f>
        <v>172</v>
      </c>
      <c r="C173" s="369" t="s">
        <v>662</v>
      </c>
      <c r="D173">
        <f t="shared" si="3"/>
        <v>11</v>
      </c>
    </row>
    <row r="174" spans="1:4" ht="15" customHeight="1">
      <c r="A174">
        <v>1</v>
      </c>
      <c r="B174">
        <f>IF($A174=0,0,MAX($B$1:$B173)+1)</f>
        <v>173</v>
      </c>
      <c r="C174" s="369" t="s">
        <v>464</v>
      </c>
      <c r="D174">
        <f t="shared" si="3"/>
        <v>57</v>
      </c>
    </row>
    <row r="175" spans="1:4" ht="15" customHeight="1">
      <c r="A175">
        <v>1</v>
      </c>
      <c r="B175">
        <f>IF($A175=0,0,MAX($B$1:$B174)+1)</f>
        <v>174</v>
      </c>
      <c r="C175" s="369" t="s">
        <v>663</v>
      </c>
      <c r="D175">
        <f t="shared" si="3"/>
        <v>57</v>
      </c>
    </row>
    <row r="176" spans="1:4" ht="15" customHeight="1">
      <c r="A176">
        <v>1</v>
      </c>
      <c r="B176">
        <f>IF($A176=0,0,MAX($B$1:$B175)+1)</f>
        <v>175</v>
      </c>
      <c r="C176" s="369" t="s">
        <v>664</v>
      </c>
      <c r="D176">
        <f t="shared" si="3"/>
        <v>57</v>
      </c>
    </row>
    <row r="177" spans="1:4" ht="15" customHeight="1">
      <c r="A177">
        <v>1</v>
      </c>
      <c r="B177">
        <f>IF($A177=0,0,MAX($B$1:$B176)+1)</f>
        <v>176</v>
      </c>
      <c r="C177" s="369" t="s">
        <v>665</v>
      </c>
      <c r="D177">
        <f t="shared" si="3"/>
        <v>57</v>
      </c>
    </row>
    <row r="178" spans="1:4" ht="15" customHeight="1">
      <c r="A178">
        <v>1</v>
      </c>
      <c r="B178">
        <f>IF($A178=0,0,MAX($B$1:$B177)+1)</f>
        <v>177</v>
      </c>
      <c r="C178" s="369" t="s">
        <v>666</v>
      </c>
      <c r="D178">
        <f t="shared" si="3"/>
        <v>3</v>
      </c>
    </row>
    <row r="179" spans="1:4" ht="15" customHeight="1">
      <c r="A179">
        <v>1</v>
      </c>
      <c r="B179">
        <f>IF($A179=0,0,MAX($B$1:$B178)+1)</f>
        <v>178</v>
      </c>
      <c r="C179" s="369" t="s">
        <v>465</v>
      </c>
      <c r="D179">
        <f t="shared" si="3"/>
        <v>57</v>
      </c>
    </row>
    <row r="180" spans="1:4" ht="15" customHeight="1">
      <c r="A180">
        <v>1</v>
      </c>
      <c r="B180">
        <f>IF($A180=0,0,MAX($B$1:$B179)+1)</f>
        <v>179</v>
      </c>
      <c r="C180" s="369" t="s">
        <v>667</v>
      </c>
      <c r="D180">
        <f t="shared" si="3"/>
        <v>8</v>
      </c>
    </row>
    <row r="181" spans="1:4" ht="15" customHeight="1">
      <c r="A181">
        <v>1</v>
      </c>
      <c r="B181">
        <f>IF($A181=0,0,MAX($B$1:$B180)+1)</f>
        <v>180</v>
      </c>
      <c r="D181">
        <f t="shared" si="3"/>
        <v>0</v>
      </c>
    </row>
    <row r="182" spans="1:4" ht="15" customHeight="1">
      <c r="A182">
        <v>1</v>
      </c>
      <c r="B182">
        <f>IF($A182=0,0,MAX($B$1:$B181)+1)</f>
        <v>181</v>
      </c>
      <c r="C182" s="369" t="s">
        <v>988</v>
      </c>
      <c r="D182">
        <f t="shared" si="3"/>
        <v>12</v>
      </c>
    </row>
    <row r="183" spans="1:4" ht="15" customHeight="1">
      <c r="A183">
        <v>1</v>
      </c>
      <c r="B183">
        <f>IF($A183=0,0,MAX($B$1:$B182)+1)</f>
        <v>182</v>
      </c>
      <c r="C183" s="369" t="s">
        <v>466</v>
      </c>
      <c r="D183">
        <f t="shared" si="3"/>
        <v>57</v>
      </c>
    </row>
    <row r="184" spans="1:4" ht="15" customHeight="1">
      <c r="A184">
        <v>1</v>
      </c>
      <c r="B184">
        <f>IF($A184=0,0,MAX($B$1:$B183)+1)</f>
        <v>183</v>
      </c>
      <c r="C184" s="369" t="s">
        <v>668</v>
      </c>
      <c r="D184">
        <f t="shared" si="3"/>
        <v>48</v>
      </c>
    </row>
    <row r="185" spans="1:4" ht="15" customHeight="1">
      <c r="A185">
        <v>1</v>
      </c>
      <c r="B185">
        <f>IF($A185=0,0,MAX($B$1:$B184)+1)</f>
        <v>184</v>
      </c>
      <c r="C185" s="369" t="s">
        <v>467</v>
      </c>
      <c r="D185">
        <f t="shared" si="3"/>
        <v>57</v>
      </c>
    </row>
    <row r="186" spans="1:4" ht="15" customHeight="1">
      <c r="A186">
        <v>1</v>
      </c>
      <c r="B186">
        <f>IF($A186=0,0,MAX($B$1:$B185)+1)</f>
        <v>185</v>
      </c>
      <c r="C186" s="369" t="s">
        <v>669</v>
      </c>
      <c r="D186">
        <f t="shared" si="3"/>
        <v>57</v>
      </c>
    </row>
    <row r="187" spans="1:4" ht="15" customHeight="1">
      <c r="A187">
        <v>1</v>
      </c>
      <c r="B187">
        <f>IF($A187=0,0,MAX($B$1:$B186)+1)</f>
        <v>186</v>
      </c>
      <c r="C187" s="369" t="s">
        <v>670</v>
      </c>
      <c r="D187">
        <f t="shared" si="3"/>
        <v>56</v>
      </c>
    </row>
    <row r="188" spans="1:4" ht="15" customHeight="1">
      <c r="A188">
        <v>1</v>
      </c>
      <c r="B188">
        <f>IF($A188=0,0,MAX($B$1:$B187)+1)</f>
        <v>187</v>
      </c>
      <c r="C188" s="369" t="s">
        <v>468</v>
      </c>
      <c r="D188">
        <f t="shared" si="3"/>
        <v>57</v>
      </c>
    </row>
    <row r="189" spans="1:4" ht="15" customHeight="1">
      <c r="A189">
        <v>1</v>
      </c>
      <c r="B189">
        <f>IF($A189=0,0,MAX($B$1:$B188)+1)</f>
        <v>188</v>
      </c>
      <c r="C189" s="369" t="s">
        <v>671</v>
      </c>
      <c r="D189">
        <f t="shared" si="3"/>
        <v>10</v>
      </c>
    </row>
    <row r="190" spans="1:4" ht="15" customHeight="1">
      <c r="A190">
        <v>1</v>
      </c>
      <c r="B190">
        <f>IF($A190=0,0,MAX($B$1:$B189)+1)</f>
        <v>189</v>
      </c>
      <c r="C190" s="369" t="s">
        <v>469</v>
      </c>
      <c r="D190">
        <f t="shared" si="3"/>
        <v>57</v>
      </c>
    </row>
    <row r="191" spans="1:4" ht="15" customHeight="1">
      <c r="A191">
        <v>1</v>
      </c>
      <c r="B191">
        <f>IF($A191=0,0,MAX($B$1:$B190)+1)</f>
        <v>190</v>
      </c>
      <c r="C191" s="369" t="s">
        <v>672</v>
      </c>
      <c r="D191">
        <f t="shared" si="3"/>
        <v>57</v>
      </c>
    </row>
    <row r="192" spans="1:4" ht="15" customHeight="1">
      <c r="A192">
        <v>1</v>
      </c>
      <c r="B192">
        <f>IF($A192=0,0,MAX($B$1:$B191)+1)</f>
        <v>191</v>
      </c>
      <c r="C192" s="369" t="s">
        <v>673</v>
      </c>
      <c r="D192">
        <f t="shared" si="3"/>
        <v>27</v>
      </c>
    </row>
    <row r="193" spans="1:4" ht="15" customHeight="1">
      <c r="A193">
        <v>1</v>
      </c>
      <c r="B193">
        <f>IF($A193=0,0,MAX($B$1:$B192)+1)</f>
        <v>192</v>
      </c>
      <c r="C193" s="369" t="s">
        <v>470</v>
      </c>
      <c r="D193">
        <f t="shared" si="3"/>
        <v>57</v>
      </c>
    </row>
    <row r="194" spans="1:4" ht="15" customHeight="1">
      <c r="A194">
        <v>1</v>
      </c>
      <c r="B194">
        <f>IF($A194=0,0,MAX($B$1:$B193)+1)</f>
        <v>193</v>
      </c>
      <c r="C194" s="369" t="s">
        <v>674</v>
      </c>
      <c r="D194">
        <f t="shared" si="3"/>
        <v>57</v>
      </c>
    </row>
    <row r="195" spans="1:4" ht="15" customHeight="1">
      <c r="A195">
        <v>1</v>
      </c>
      <c r="B195">
        <f>IF($A195=0,0,MAX($B$1:$B194)+1)</f>
        <v>194</v>
      </c>
      <c r="C195" s="369" t="s">
        <v>675</v>
      </c>
      <c r="D195">
        <f t="shared" si="3"/>
        <v>57</v>
      </c>
    </row>
    <row r="196" spans="1:4" ht="15" customHeight="1">
      <c r="A196">
        <v>1</v>
      </c>
      <c r="B196">
        <f>IF($A196=0,0,MAX($B$1:$B195)+1)</f>
        <v>195</v>
      </c>
      <c r="C196" s="369" t="s">
        <v>418</v>
      </c>
      <c r="D196">
        <f t="shared" si="3"/>
        <v>8</v>
      </c>
    </row>
    <row r="197" spans="1:4" ht="15" customHeight="1">
      <c r="A197">
        <v>1</v>
      </c>
      <c r="B197">
        <f>IF($A197=0,0,MAX($B$1:$B196)+1)</f>
        <v>196</v>
      </c>
      <c r="C197" s="369" t="s">
        <v>471</v>
      </c>
      <c r="D197">
        <f t="shared" si="3"/>
        <v>58</v>
      </c>
    </row>
    <row r="198" spans="1:4" ht="15" customHeight="1">
      <c r="A198">
        <v>1</v>
      </c>
      <c r="B198">
        <f>IF($A198=0,0,MAX($B$1:$B197)+1)</f>
        <v>197</v>
      </c>
      <c r="C198" s="369" t="s">
        <v>676</v>
      </c>
      <c r="D198">
        <f t="shared" si="3"/>
        <v>23</v>
      </c>
    </row>
    <row r="199" spans="1:4" ht="15" customHeight="1">
      <c r="A199">
        <v>1</v>
      </c>
      <c r="B199">
        <f>IF($A199=0,0,MAX($B$1:$B198)+1)</f>
        <v>198</v>
      </c>
      <c r="C199" s="369" t="s">
        <v>472</v>
      </c>
      <c r="D199">
        <f t="shared" si="3"/>
        <v>57</v>
      </c>
    </row>
    <row r="200" spans="1:4" ht="15" customHeight="1">
      <c r="A200">
        <v>1</v>
      </c>
      <c r="B200">
        <f>IF($A200=0,0,MAX($B$1:$B199)+1)</f>
        <v>199</v>
      </c>
      <c r="C200" s="369" t="s">
        <v>677</v>
      </c>
      <c r="D200">
        <f t="shared" si="3"/>
        <v>26</v>
      </c>
    </row>
    <row r="201" spans="1:4" ht="15" customHeight="1">
      <c r="A201">
        <v>1</v>
      </c>
      <c r="B201">
        <f>IF($A201=0,0,MAX($B$1:$B200)+1)</f>
        <v>200</v>
      </c>
      <c r="C201" s="369" t="s">
        <v>473</v>
      </c>
      <c r="D201">
        <f t="shared" si="3"/>
        <v>42</v>
      </c>
    </row>
    <row r="202" spans="1:4" ht="15" customHeight="1">
      <c r="A202">
        <v>1</v>
      </c>
      <c r="B202">
        <f>IF($A202=0,0,MAX($B$1:$B201)+1)</f>
        <v>201</v>
      </c>
      <c r="C202" s="369" t="s">
        <v>474</v>
      </c>
      <c r="D202">
        <f t="shared" si="3"/>
        <v>57</v>
      </c>
    </row>
    <row r="203" spans="1:4" ht="15" customHeight="1">
      <c r="A203">
        <v>1</v>
      </c>
      <c r="B203">
        <f>IF($A203=0,0,MAX($B$1:$B202)+1)</f>
        <v>202</v>
      </c>
      <c r="C203" s="369" t="s">
        <v>678</v>
      </c>
      <c r="D203">
        <f t="shared" si="3"/>
        <v>16</v>
      </c>
    </row>
    <row r="204" spans="1:4" ht="15" customHeight="1">
      <c r="A204">
        <v>1</v>
      </c>
      <c r="B204">
        <f>IF($A204=0,0,MAX($B$1:$B203)+1)</f>
        <v>203</v>
      </c>
      <c r="C204" s="369" t="s">
        <v>475</v>
      </c>
      <c r="D204">
        <f t="shared" si="3"/>
        <v>58</v>
      </c>
    </row>
    <row r="205" spans="1:4" ht="15" customHeight="1">
      <c r="A205">
        <v>1</v>
      </c>
      <c r="B205">
        <f>IF($A205=0,0,MAX($B$1:$B204)+1)</f>
        <v>204</v>
      </c>
      <c r="C205" s="369" t="s">
        <v>679</v>
      </c>
      <c r="D205">
        <f t="shared" si="3"/>
        <v>53</v>
      </c>
    </row>
    <row r="206" spans="1:4" ht="15" customHeight="1">
      <c r="A206">
        <v>1</v>
      </c>
      <c r="B206">
        <f>IF($A206=0,0,MAX($B$1:$B205)+1)</f>
        <v>205</v>
      </c>
      <c r="C206" s="369" t="s">
        <v>476</v>
      </c>
      <c r="D206">
        <f t="shared" si="3"/>
        <v>58</v>
      </c>
    </row>
    <row r="207" spans="1:4" ht="15" customHeight="1">
      <c r="A207">
        <v>1</v>
      </c>
      <c r="B207">
        <f>IF($A207=0,0,MAX($B$1:$B206)+1)</f>
        <v>206</v>
      </c>
      <c r="D207">
        <f t="shared" si="3"/>
        <v>0</v>
      </c>
    </row>
    <row r="208" spans="1:4" ht="15" customHeight="1">
      <c r="A208">
        <v>1</v>
      </c>
      <c r="B208">
        <f>IF($A208=0,0,MAX($B$1:$B207)+1)</f>
        <v>207</v>
      </c>
      <c r="C208" s="369" t="s">
        <v>989</v>
      </c>
      <c r="D208">
        <f t="shared" si="3"/>
        <v>11</v>
      </c>
    </row>
    <row r="209" spans="1:4" ht="15" customHeight="1">
      <c r="A209">
        <v>1</v>
      </c>
      <c r="B209">
        <f>IF($A209=0,0,MAX($B$1:$B208)+1)</f>
        <v>208</v>
      </c>
      <c r="C209" s="369" t="s">
        <v>477</v>
      </c>
      <c r="D209">
        <f t="shared" si="3"/>
        <v>58</v>
      </c>
    </row>
    <row r="210" spans="1:4" ht="15" customHeight="1">
      <c r="A210">
        <v>1</v>
      </c>
      <c r="B210">
        <f>IF($A210=0,0,MAX($B$1:$B209)+1)</f>
        <v>209</v>
      </c>
      <c r="C210" s="369" t="s">
        <v>680</v>
      </c>
      <c r="D210">
        <f t="shared" si="3"/>
        <v>58</v>
      </c>
    </row>
    <row r="211" spans="1:4" ht="15" customHeight="1">
      <c r="A211">
        <v>1</v>
      </c>
      <c r="B211">
        <f>IF($A211=0,0,MAX($B$1:$B210)+1)</f>
        <v>210</v>
      </c>
      <c r="C211" s="369" t="s">
        <v>478</v>
      </c>
      <c r="D211">
        <f t="shared" si="3"/>
        <v>43</v>
      </c>
    </row>
    <row r="212" spans="1:4" ht="15" customHeight="1">
      <c r="A212">
        <v>1</v>
      </c>
      <c r="B212">
        <f>IF($A212=0,0,MAX($B$1:$B211)+1)</f>
        <v>211</v>
      </c>
      <c r="C212" s="369" t="s">
        <v>479</v>
      </c>
      <c r="D212">
        <f t="shared" si="3"/>
        <v>57</v>
      </c>
    </row>
    <row r="213" spans="1:4" ht="15" customHeight="1">
      <c r="A213">
        <v>1</v>
      </c>
      <c r="B213">
        <f>IF($A213=0,0,MAX($B$1:$B212)+1)</f>
        <v>212</v>
      </c>
      <c r="C213" s="369" t="s">
        <v>681</v>
      </c>
      <c r="D213">
        <f t="shared" si="3"/>
        <v>57</v>
      </c>
    </row>
    <row r="214" spans="1:4" ht="15" customHeight="1">
      <c r="A214">
        <v>1</v>
      </c>
      <c r="B214">
        <f>IF($A214=0,0,MAX($B$1:$B213)+1)</f>
        <v>213</v>
      </c>
      <c r="C214" s="369" t="s">
        <v>682</v>
      </c>
      <c r="D214">
        <f t="shared" si="3"/>
        <v>55</v>
      </c>
    </row>
    <row r="215" spans="1:4" ht="15" customHeight="1">
      <c r="A215">
        <v>1</v>
      </c>
      <c r="B215">
        <f>IF($A215=0,0,MAX($B$1:$B214)+1)</f>
        <v>214</v>
      </c>
      <c r="C215" s="369" t="s">
        <v>480</v>
      </c>
      <c r="D215">
        <f t="shared" si="3"/>
        <v>57</v>
      </c>
    </row>
    <row r="216" spans="1:4" ht="15" customHeight="1">
      <c r="A216">
        <v>1</v>
      </c>
      <c r="B216">
        <f>IF($A216=0,0,MAX($B$1:$B215)+1)</f>
        <v>215</v>
      </c>
      <c r="C216" s="369" t="s">
        <v>683</v>
      </c>
      <c r="D216">
        <f t="shared" si="3"/>
        <v>57</v>
      </c>
    </row>
    <row r="217" spans="1:4" ht="15" customHeight="1">
      <c r="A217">
        <v>1</v>
      </c>
      <c r="B217">
        <f>IF($A217=0,0,MAX($B$1:$B216)+1)</f>
        <v>216</v>
      </c>
      <c r="C217" s="369" t="s">
        <v>684</v>
      </c>
      <c r="D217">
        <f t="shared" si="3"/>
        <v>58</v>
      </c>
    </row>
    <row r="218" spans="1:4" ht="15" customHeight="1">
      <c r="A218">
        <v>1</v>
      </c>
      <c r="B218">
        <f>IF($A218=0,0,MAX($B$1:$B217)+1)</f>
        <v>217</v>
      </c>
      <c r="C218" s="369" t="s">
        <v>685</v>
      </c>
      <c r="D218">
        <f t="shared" si="3"/>
        <v>38</v>
      </c>
    </row>
    <row r="219" spans="1:4" ht="15" customHeight="1">
      <c r="A219">
        <v>1</v>
      </c>
      <c r="B219">
        <f>IF($A219=0,0,MAX($B$1:$B218)+1)</f>
        <v>218</v>
      </c>
      <c r="C219" s="369" t="s">
        <v>481</v>
      </c>
      <c r="D219">
        <f t="shared" si="3"/>
        <v>51</v>
      </c>
    </row>
    <row r="220" spans="1:4" ht="15" customHeight="1">
      <c r="A220">
        <v>1</v>
      </c>
      <c r="B220">
        <f>IF($A220=0,0,MAX($B$1:$B219)+1)</f>
        <v>219</v>
      </c>
      <c r="D220">
        <f t="shared" si="3"/>
        <v>0</v>
      </c>
    </row>
    <row r="221" spans="1:4" ht="15" customHeight="1">
      <c r="A221">
        <v>1</v>
      </c>
      <c r="B221">
        <f>IF($A221=0,0,MAX($B$1:$B220)+1)</f>
        <v>220</v>
      </c>
      <c r="C221" s="369" t="s">
        <v>990</v>
      </c>
      <c r="D221">
        <f t="shared" si="3"/>
        <v>25</v>
      </c>
    </row>
    <row r="222" spans="1:4" ht="15" customHeight="1">
      <c r="A222">
        <v>1</v>
      </c>
      <c r="B222">
        <f>IF($A222=0,0,MAX($B$1:$B221)+1)</f>
        <v>221</v>
      </c>
      <c r="C222" s="369" t="s">
        <v>482</v>
      </c>
      <c r="D222">
        <f t="shared" si="3"/>
        <v>58</v>
      </c>
    </row>
    <row r="223" spans="1:4" ht="15" customHeight="1">
      <c r="A223">
        <v>1</v>
      </c>
      <c r="B223">
        <f>IF($A223=0,0,MAX($B$1:$B222)+1)</f>
        <v>222</v>
      </c>
      <c r="C223" s="369" t="s">
        <v>686</v>
      </c>
      <c r="D223">
        <f t="shared" si="3"/>
        <v>57</v>
      </c>
    </row>
    <row r="224" spans="1:4" ht="15" customHeight="1">
      <c r="A224">
        <v>1</v>
      </c>
      <c r="B224">
        <f>IF($A224=0,0,MAX($B$1:$B223)+1)</f>
        <v>223</v>
      </c>
      <c r="C224" s="369" t="s">
        <v>687</v>
      </c>
      <c r="D224">
        <f t="shared" si="3"/>
        <v>57</v>
      </c>
    </row>
    <row r="225" spans="1:4" ht="15" customHeight="1">
      <c r="A225">
        <v>1</v>
      </c>
      <c r="B225">
        <f>IF($A225=0,0,MAX($B$1:$B224)+1)</f>
        <v>224</v>
      </c>
      <c r="C225" s="369" t="s">
        <v>688</v>
      </c>
      <c r="D225">
        <f t="shared" si="3"/>
        <v>17</v>
      </c>
    </row>
    <row r="226" spans="1:4" ht="15" customHeight="1">
      <c r="A226">
        <v>1</v>
      </c>
      <c r="B226">
        <f>IF($A226=0,0,MAX($B$1:$B225)+1)</f>
        <v>225</v>
      </c>
      <c r="C226" s="369" t="s">
        <v>483</v>
      </c>
      <c r="D226">
        <f t="shared" ref="D226:D289" si="4">LEN(C226)</f>
        <v>59</v>
      </c>
    </row>
    <row r="227" spans="1:4" ht="15" customHeight="1">
      <c r="A227">
        <v>1</v>
      </c>
      <c r="B227">
        <f>IF($A227=0,0,MAX($B$1:$B226)+1)</f>
        <v>226</v>
      </c>
      <c r="C227" s="369" t="s">
        <v>689</v>
      </c>
      <c r="D227">
        <f t="shared" si="4"/>
        <v>29</v>
      </c>
    </row>
    <row r="228" spans="1:4" ht="15" customHeight="1">
      <c r="A228">
        <v>1</v>
      </c>
      <c r="B228">
        <f>IF($A228=0,0,MAX($B$1:$B227)+1)</f>
        <v>227</v>
      </c>
      <c r="C228" s="369" t="s">
        <v>484</v>
      </c>
      <c r="D228">
        <f t="shared" si="4"/>
        <v>57</v>
      </c>
    </row>
    <row r="229" spans="1:4" ht="15" customHeight="1">
      <c r="A229">
        <v>1</v>
      </c>
      <c r="B229">
        <f>IF($A229=0,0,MAX($B$1:$B228)+1)</f>
        <v>228</v>
      </c>
      <c r="C229" s="369" t="s">
        <v>690</v>
      </c>
      <c r="D229">
        <f t="shared" si="4"/>
        <v>57</v>
      </c>
    </row>
    <row r="230" spans="1:4" ht="15" customHeight="1">
      <c r="A230">
        <v>1</v>
      </c>
      <c r="B230">
        <f>IF($A230=0,0,MAX($B$1:$B229)+1)</f>
        <v>229</v>
      </c>
      <c r="C230" s="369" t="s">
        <v>691</v>
      </c>
      <c r="D230">
        <f t="shared" si="4"/>
        <v>3</v>
      </c>
    </row>
    <row r="231" spans="1:4" ht="15" customHeight="1">
      <c r="A231">
        <v>1</v>
      </c>
      <c r="B231">
        <f>IF($A231=0,0,MAX($B$1:$B230)+1)</f>
        <v>230</v>
      </c>
      <c r="C231" s="369" t="s">
        <v>485</v>
      </c>
      <c r="D231">
        <f t="shared" si="4"/>
        <v>38</v>
      </c>
    </row>
    <row r="232" spans="1:4" ht="15" customHeight="1">
      <c r="A232">
        <v>1</v>
      </c>
      <c r="B232">
        <f>IF($A232=0,0,MAX($B$1:$B231)+1)</f>
        <v>231</v>
      </c>
      <c r="D232">
        <f t="shared" si="4"/>
        <v>0</v>
      </c>
    </row>
    <row r="233" spans="1:4" ht="15" customHeight="1">
      <c r="A233">
        <v>1</v>
      </c>
      <c r="B233">
        <f>IF($A233=0,0,MAX($B$1:$B232)+1)</f>
        <v>232</v>
      </c>
      <c r="C233" s="369" t="s">
        <v>991</v>
      </c>
      <c r="D233">
        <f t="shared" si="4"/>
        <v>8</v>
      </c>
    </row>
    <row r="234" spans="1:4" ht="15" customHeight="1">
      <c r="A234">
        <v>1</v>
      </c>
      <c r="B234">
        <f>IF($A234=0,0,MAX($B$1:$B233)+1)</f>
        <v>233</v>
      </c>
      <c r="C234" s="369" t="s">
        <v>486</v>
      </c>
      <c r="D234">
        <f t="shared" si="4"/>
        <v>58</v>
      </c>
    </row>
    <row r="235" spans="1:4" ht="15" customHeight="1">
      <c r="A235">
        <v>1</v>
      </c>
      <c r="B235">
        <f>IF($A235=0,0,MAX($B$1:$B234)+1)</f>
        <v>234</v>
      </c>
      <c r="C235" s="369" t="s">
        <v>692</v>
      </c>
      <c r="D235">
        <f t="shared" si="4"/>
        <v>20</v>
      </c>
    </row>
    <row r="236" spans="1:4" ht="15" customHeight="1">
      <c r="A236">
        <v>1</v>
      </c>
      <c r="B236">
        <f>IF($A236=0,0,MAX($B$1:$B235)+1)</f>
        <v>235</v>
      </c>
      <c r="C236" s="369" t="s">
        <v>693</v>
      </c>
      <c r="D236">
        <f t="shared" si="4"/>
        <v>57</v>
      </c>
    </row>
    <row r="237" spans="1:4" ht="15" customHeight="1">
      <c r="A237">
        <v>1</v>
      </c>
      <c r="B237">
        <f>IF($A237=0,0,MAX($B$1:$B236)+1)</f>
        <v>236</v>
      </c>
      <c r="C237" s="369" t="s">
        <v>694</v>
      </c>
      <c r="D237">
        <f t="shared" si="4"/>
        <v>8</v>
      </c>
    </row>
    <row r="238" spans="1:4" ht="15" customHeight="1">
      <c r="A238">
        <v>1</v>
      </c>
      <c r="B238">
        <f>IF($A238=0,0,MAX($B$1:$B237)+1)</f>
        <v>237</v>
      </c>
      <c r="C238" s="369" t="s">
        <v>695</v>
      </c>
      <c r="D238">
        <f t="shared" si="4"/>
        <v>20</v>
      </c>
    </row>
    <row r="239" spans="1:4" ht="15" customHeight="1">
      <c r="A239">
        <v>1</v>
      </c>
      <c r="B239">
        <f>IF($A239=0,0,MAX($B$1:$B238)+1)</f>
        <v>238</v>
      </c>
      <c r="C239" s="369" t="s">
        <v>696</v>
      </c>
      <c r="D239">
        <f t="shared" si="4"/>
        <v>19</v>
      </c>
    </row>
    <row r="240" spans="1:4" ht="15" customHeight="1">
      <c r="A240">
        <v>1</v>
      </c>
      <c r="B240">
        <f>IF($A240=0,0,MAX($B$1:$B239)+1)</f>
        <v>239</v>
      </c>
      <c r="C240" s="369" t="s">
        <v>697</v>
      </c>
      <c r="D240">
        <f t="shared" si="4"/>
        <v>57</v>
      </c>
    </row>
    <row r="241" spans="1:4" ht="15" customHeight="1">
      <c r="A241">
        <v>1</v>
      </c>
      <c r="B241">
        <f>IF($A241=0,0,MAX($B$1:$B240)+1)</f>
        <v>240</v>
      </c>
      <c r="C241" s="369" t="s">
        <v>698</v>
      </c>
      <c r="D241">
        <f t="shared" si="4"/>
        <v>12</v>
      </c>
    </row>
    <row r="242" spans="1:4" ht="15" customHeight="1">
      <c r="A242">
        <v>1</v>
      </c>
      <c r="B242">
        <f>IF($A242=0,0,MAX($B$1:$B241)+1)</f>
        <v>241</v>
      </c>
      <c r="C242" s="369" t="s">
        <v>699</v>
      </c>
      <c r="D242">
        <f t="shared" si="4"/>
        <v>47</v>
      </c>
    </row>
    <row r="243" spans="1:4" ht="15" customHeight="1">
      <c r="A243">
        <v>1</v>
      </c>
      <c r="B243">
        <f>IF($A243=0,0,MAX($B$1:$B242)+1)</f>
        <v>242</v>
      </c>
      <c r="C243" s="369" t="s">
        <v>487</v>
      </c>
      <c r="D243">
        <f t="shared" si="4"/>
        <v>58</v>
      </c>
    </row>
    <row r="244" spans="1:4" ht="15" customHeight="1">
      <c r="A244">
        <v>1</v>
      </c>
      <c r="B244">
        <f>IF($A244=0,0,MAX($B$1:$B243)+1)</f>
        <v>243</v>
      </c>
      <c r="C244" s="369" t="s">
        <v>700</v>
      </c>
      <c r="D244">
        <f t="shared" si="4"/>
        <v>57</v>
      </c>
    </row>
    <row r="245" spans="1:4" ht="15" customHeight="1">
      <c r="A245">
        <v>1</v>
      </c>
      <c r="B245">
        <f>IF($A245=0,0,MAX($B$1:$B244)+1)</f>
        <v>244</v>
      </c>
      <c r="C245" s="369" t="s">
        <v>691</v>
      </c>
      <c r="D245">
        <f t="shared" si="4"/>
        <v>3</v>
      </c>
    </row>
    <row r="246" spans="1:4" ht="15" customHeight="1">
      <c r="A246">
        <v>1</v>
      </c>
      <c r="B246">
        <f>IF($A246=0,0,MAX($B$1:$B245)+1)</f>
        <v>245</v>
      </c>
      <c r="C246" s="369" t="s">
        <v>488</v>
      </c>
      <c r="D246">
        <f t="shared" si="4"/>
        <v>56</v>
      </c>
    </row>
    <row r="247" spans="1:4" ht="15" customHeight="1">
      <c r="A247">
        <v>1</v>
      </c>
      <c r="B247">
        <f>IF($A247=0,0,MAX($B$1:$B246)+1)</f>
        <v>246</v>
      </c>
      <c r="C247" s="369" t="s">
        <v>701</v>
      </c>
      <c r="D247">
        <f t="shared" si="4"/>
        <v>58</v>
      </c>
    </row>
    <row r="248" spans="1:4" ht="15" customHeight="1">
      <c r="A248">
        <v>1</v>
      </c>
      <c r="B248">
        <f>IF($A248=0,0,MAX($B$1:$B247)+1)</f>
        <v>247</v>
      </c>
      <c r="C248" s="369" t="s">
        <v>702</v>
      </c>
      <c r="D248">
        <f t="shared" si="4"/>
        <v>52</v>
      </c>
    </row>
    <row r="249" spans="1:4" ht="15" customHeight="1">
      <c r="A249">
        <v>1</v>
      </c>
      <c r="B249">
        <f>IF($A249=0,0,MAX($B$1:$B248)+1)</f>
        <v>248</v>
      </c>
      <c r="C249" s="369" t="s">
        <v>489</v>
      </c>
      <c r="D249">
        <f t="shared" si="4"/>
        <v>57</v>
      </c>
    </row>
    <row r="250" spans="1:4" ht="15" customHeight="1">
      <c r="A250">
        <v>1</v>
      </c>
      <c r="B250">
        <f>IF($A250=0,0,MAX($B$1:$B249)+1)</f>
        <v>249</v>
      </c>
      <c r="C250" s="369" t="s">
        <v>703</v>
      </c>
      <c r="D250">
        <f t="shared" si="4"/>
        <v>27</v>
      </c>
    </row>
    <row r="251" spans="1:4" ht="15" customHeight="1">
      <c r="A251">
        <v>1</v>
      </c>
      <c r="B251">
        <f>IF($A251=0,0,MAX($B$1:$B250)+1)</f>
        <v>250</v>
      </c>
      <c r="C251" s="369" t="s">
        <v>704</v>
      </c>
      <c r="D251">
        <f t="shared" si="4"/>
        <v>49</v>
      </c>
    </row>
    <row r="252" spans="1:4" ht="15" customHeight="1">
      <c r="A252">
        <v>1</v>
      </c>
      <c r="B252">
        <f>IF($A252=0,0,MAX($B$1:$B251)+1)</f>
        <v>251</v>
      </c>
      <c r="C252" s="369" t="s">
        <v>705</v>
      </c>
      <c r="D252">
        <f t="shared" si="4"/>
        <v>51</v>
      </c>
    </row>
    <row r="253" spans="1:4" ht="15" customHeight="1">
      <c r="A253">
        <v>1</v>
      </c>
      <c r="B253">
        <f>IF($A253=0,0,MAX($B$1:$B252)+1)</f>
        <v>252</v>
      </c>
      <c r="C253" s="369" t="s">
        <v>706</v>
      </c>
      <c r="D253">
        <f t="shared" si="4"/>
        <v>57</v>
      </c>
    </row>
    <row r="254" spans="1:4" ht="15" customHeight="1">
      <c r="A254">
        <v>1</v>
      </c>
      <c r="B254">
        <f>IF($A254=0,0,MAX($B$1:$B253)+1)</f>
        <v>253</v>
      </c>
      <c r="C254" s="369" t="s">
        <v>707</v>
      </c>
      <c r="D254">
        <f t="shared" si="4"/>
        <v>11</v>
      </c>
    </row>
    <row r="255" spans="1:4" ht="15" customHeight="1">
      <c r="A255">
        <v>1</v>
      </c>
      <c r="B255">
        <f>IF($A255=0,0,MAX($B$1:$B254)+1)</f>
        <v>254</v>
      </c>
      <c r="C255" s="369" t="s">
        <v>490</v>
      </c>
      <c r="D255">
        <f t="shared" si="4"/>
        <v>57</v>
      </c>
    </row>
    <row r="256" spans="1:4" ht="15" customHeight="1">
      <c r="A256">
        <v>1</v>
      </c>
      <c r="B256">
        <f>IF($A256=0,0,MAX($B$1:$B255)+1)</f>
        <v>255</v>
      </c>
      <c r="C256" s="369" t="s">
        <v>708</v>
      </c>
      <c r="D256">
        <f t="shared" si="4"/>
        <v>46</v>
      </c>
    </row>
    <row r="257" spans="1:4" ht="15" customHeight="1">
      <c r="A257">
        <v>1</v>
      </c>
      <c r="B257">
        <f>IF($A257=0,0,MAX($B$1:$B256)+1)</f>
        <v>256</v>
      </c>
      <c r="D257">
        <f t="shared" si="4"/>
        <v>0</v>
      </c>
    </row>
    <row r="258" spans="1:4" ht="15" customHeight="1">
      <c r="A258">
        <v>1</v>
      </c>
      <c r="B258">
        <f>IF($A258=0,0,MAX($B$1:$B257)+1)</f>
        <v>257</v>
      </c>
      <c r="C258" s="369" t="s">
        <v>992</v>
      </c>
      <c r="D258">
        <f t="shared" si="4"/>
        <v>10</v>
      </c>
    </row>
    <row r="259" spans="1:4" ht="15" customHeight="1">
      <c r="A259">
        <v>1</v>
      </c>
      <c r="B259">
        <f>IF($A259=0,0,MAX($B$1:$B258)+1)</f>
        <v>258</v>
      </c>
      <c r="C259" s="369" t="s">
        <v>491</v>
      </c>
      <c r="D259">
        <f t="shared" si="4"/>
        <v>58</v>
      </c>
    </row>
    <row r="260" spans="1:4" ht="15" customHeight="1">
      <c r="A260">
        <v>1</v>
      </c>
      <c r="B260">
        <f>IF($A260=0,0,MAX($B$1:$B259)+1)</f>
        <v>259</v>
      </c>
      <c r="C260" s="369" t="s">
        <v>709</v>
      </c>
      <c r="D260">
        <f t="shared" si="4"/>
        <v>57</v>
      </c>
    </row>
    <row r="261" spans="1:4" ht="15" customHeight="1">
      <c r="A261">
        <v>1</v>
      </c>
      <c r="B261">
        <f>IF($A261=0,0,MAX($B$1:$B260)+1)</f>
        <v>260</v>
      </c>
      <c r="C261" s="369" t="s">
        <v>710</v>
      </c>
      <c r="D261">
        <f t="shared" si="4"/>
        <v>23</v>
      </c>
    </row>
    <row r="262" spans="1:4" ht="15" customHeight="1">
      <c r="A262">
        <v>1</v>
      </c>
      <c r="B262">
        <f>IF($A262=0,0,MAX($B$1:$B261)+1)</f>
        <v>261</v>
      </c>
      <c r="D262">
        <f t="shared" si="4"/>
        <v>0</v>
      </c>
    </row>
    <row r="263" spans="1:4" ht="15" customHeight="1">
      <c r="A263">
        <v>1</v>
      </c>
      <c r="B263">
        <f>IF($A263=0,0,MAX($B$1:$B262)+1)</f>
        <v>262</v>
      </c>
      <c r="C263" s="369" t="s">
        <v>993</v>
      </c>
      <c r="D263">
        <f t="shared" si="4"/>
        <v>8</v>
      </c>
    </row>
    <row r="264" spans="1:4" ht="15" customHeight="1">
      <c r="A264">
        <v>1</v>
      </c>
      <c r="B264">
        <f>IF($A264=0,0,MAX($B$1:$B263)+1)</f>
        <v>263</v>
      </c>
      <c r="C264" s="369" t="s">
        <v>492</v>
      </c>
      <c r="D264">
        <f t="shared" si="4"/>
        <v>58</v>
      </c>
    </row>
    <row r="265" spans="1:4" ht="15" customHeight="1">
      <c r="A265">
        <v>1</v>
      </c>
      <c r="B265">
        <f>IF($A265=0,0,MAX($B$1:$B264)+1)</f>
        <v>264</v>
      </c>
      <c r="C265" s="369" t="s">
        <v>711</v>
      </c>
      <c r="D265">
        <f t="shared" si="4"/>
        <v>57</v>
      </c>
    </row>
    <row r="266" spans="1:4" ht="15" customHeight="1">
      <c r="A266">
        <v>1</v>
      </c>
      <c r="B266">
        <f>IF($A266=0,0,MAX($B$1:$B265)+1)</f>
        <v>265</v>
      </c>
      <c r="C266" s="369" t="s">
        <v>712</v>
      </c>
      <c r="D266">
        <f t="shared" si="4"/>
        <v>57</v>
      </c>
    </row>
    <row r="267" spans="1:4" ht="15" customHeight="1">
      <c r="A267">
        <v>1</v>
      </c>
      <c r="B267">
        <f>IF($A267=0,0,MAX($B$1:$B266)+1)</f>
        <v>266</v>
      </c>
      <c r="C267" s="369" t="s">
        <v>713</v>
      </c>
      <c r="D267">
        <f t="shared" si="4"/>
        <v>48</v>
      </c>
    </row>
    <row r="268" spans="1:4" ht="15" customHeight="1">
      <c r="A268">
        <v>1</v>
      </c>
      <c r="B268">
        <f>IF($A268=0,0,MAX($B$1:$B267)+1)</f>
        <v>267</v>
      </c>
      <c r="C268" s="369" t="s">
        <v>493</v>
      </c>
      <c r="D268">
        <f t="shared" si="4"/>
        <v>57</v>
      </c>
    </row>
    <row r="269" spans="1:4" ht="15" customHeight="1">
      <c r="A269">
        <v>1</v>
      </c>
      <c r="B269">
        <f>IF($A269=0,0,MAX($B$1:$B268)+1)</f>
        <v>268</v>
      </c>
      <c r="C269" s="369" t="s">
        <v>714</v>
      </c>
      <c r="D269">
        <f t="shared" si="4"/>
        <v>19</v>
      </c>
    </row>
    <row r="270" spans="1:4" ht="15" customHeight="1">
      <c r="A270">
        <v>1</v>
      </c>
      <c r="B270">
        <f>IF($A270=0,0,MAX($B$1:$B269)+1)</f>
        <v>269</v>
      </c>
      <c r="C270" s="369" t="s">
        <v>494</v>
      </c>
      <c r="D270">
        <f t="shared" si="4"/>
        <v>57</v>
      </c>
    </row>
    <row r="271" spans="1:4" ht="15" customHeight="1">
      <c r="A271">
        <v>1</v>
      </c>
      <c r="B271">
        <f>IF($A271=0,0,MAX($B$1:$B270)+1)</f>
        <v>270</v>
      </c>
      <c r="C271" s="369" t="s">
        <v>715</v>
      </c>
      <c r="D271">
        <f t="shared" si="4"/>
        <v>57</v>
      </c>
    </row>
    <row r="272" spans="1:4" ht="15" customHeight="1">
      <c r="A272">
        <v>1</v>
      </c>
      <c r="B272">
        <f>IF($A272=0,0,MAX($B$1:$B271)+1)</f>
        <v>271</v>
      </c>
      <c r="C272" s="369" t="s">
        <v>716</v>
      </c>
      <c r="D272">
        <f t="shared" si="4"/>
        <v>57</v>
      </c>
    </row>
    <row r="273" spans="1:4" ht="15" customHeight="1">
      <c r="A273">
        <v>1</v>
      </c>
      <c r="B273">
        <f>IF($A273=0,0,MAX($B$1:$B272)+1)</f>
        <v>272</v>
      </c>
      <c r="C273" s="369" t="s">
        <v>717</v>
      </c>
      <c r="D273">
        <f t="shared" si="4"/>
        <v>7</v>
      </c>
    </row>
    <row r="274" spans="1:4" ht="15" customHeight="1">
      <c r="A274">
        <v>1</v>
      </c>
      <c r="B274">
        <f>IF($A274=0,0,MAX($B$1:$B273)+1)</f>
        <v>273</v>
      </c>
      <c r="D274">
        <f t="shared" si="4"/>
        <v>0</v>
      </c>
    </row>
    <row r="275" spans="1:4" ht="15" customHeight="1">
      <c r="A275">
        <v>1</v>
      </c>
      <c r="B275">
        <f>IF($A275=0,0,MAX($B$1:$B274)+1)</f>
        <v>274</v>
      </c>
      <c r="C275" s="369" t="s">
        <v>994</v>
      </c>
      <c r="D275">
        <f t="shared" si="4"/>
        <v>13</v>
      </c>
    </row>
    <row r="276" spans="1:4" ht="15" customHeight="1">
      <c r="A276">
        <v>1</v>
      </c>
      <c r="B276">
        <f>IF($A276=0,0,MAX($B$1:$B275)+1)</f>
        <v>275</v>
      </c>
      <c r="C276" s="369" t="s">
        <v>7163</v>
      </c>
      <c r="D276">
        <f t="shared" si="4"/>
        <v>58</v>
      </c>
    </row>
    <row r="277" spans="1:4" ht="15" customHeight="1">
      <c r="A277">
        <v>1</v>
      </c>
      <c r="B277">
        <f>IF($A277=0,0,MAX($B$1:$B276)+1)</f>
        <v>276</v>
      </c>
      <c r="C277" s="369" t="s">
        <v>7162</v>
      </c>
      <c r="D277">
        <f t="shared" si="4"/>
        <v>51</v>
      </c>
    </row>
    <row r="278" spans="1:4" ht="15" customHeight="1">
      <c r="A278">
        <v>1</v>
      </c>
      <c r="B278">
        <f>IF($A278=0,0,MAX($B$1:$B277)+1)</f>
        <v>277</v>
      </c>
      <c r="D278">
        <f t="shared" si="4"/>
        <v>0</v>
      </c>
    </row>
    <row r="279" spans="1:4" ht="15" customHeight="1">
      <c r="A279">
        <v>1</v>
      </c>
      <c r="B279">
        <f>IF($A279=0,0,MAX($B$1:$B278)+1)</f>
        <v>278</v>
      </c>
      <c r="C279" s="369" t="s">
        <v>995</v>
      </c>
      <c r="D279">
        <f t="shared" si="4"/>
        <v>17</v>
      </c>
    </row>
    <row r="280" spans="1:4" ht="15" customHeight="1">
      <c r="A280">
        <v>1</v>
      </c>
      <c r="B280">
        <f>IF($A280=0,0,MAX($B$1:$B279)+1)</f>
        <v>279</v>
      </c>
      <c r="C280" s="369" t="s">
        <v>495</v>
      </c>
      <c r="D280">
        <f t="shared" si="4"/>
        <v>58</v>
      </c>
    </row>
    <row r="281" spans="1:4" ht="15" customHeight="1">
      <c r="A281">
        <v>1</v>
      </c>
      <c r="B281">
        <f>IF($A281=0,0,MAX($B$1:$B280)+1)</f>
        <v>280</v>
      </c>
      <c r="C281" s="369" t="s">
        <v>718</v>
      </c>
      <c r="D281">
        <f t="shared" si="4"/>
        <v>57</v>
      </c>
    </row>
    <row r="282" spans="1:4" ht="15" customHeight="1">
      <c r="A282">
        <v>1</v>
      </c>
      <c r="B282">
        <f>IF($A282=0,0,MAX($B$1:$B281)+1)</f>
        <v>281</v>
      </c>
      <c r="C282" s="369" t="s">
        <v>719</v>
      </c>
      <c r="D282">
        <f t="shared" si="4"/>
        <v>8</v>
      </c>
    </row>
    <row r="283" spans="1:4" ht="15" customHeight="1">
      <c r="A283">
        <v>1</v>
      </c>
      <c r="B283">
        <f>IF($A283=0,0,MAX($B$1:$B282)+1)</f>
        <v>282</v>
      </c>
      <c r="C283" s="369" t="s">
        <v>496</v>
      </c>
      <c r="D283">
        <f t="shared" si="4"/>
        <v>58</v>
      </c>
    </row>
    <row r="284" spans="1:4" ht="15" customHeight="1">
      <c r="A284">
        <v>1</v>
      </c>
      <c r="B284">
        <f>IF($A284=0,0,MAX($B$1:$B283)+1)</f>
        <v>283</v>
      </c>
      <c r="C284" s="369" t="s">
        <v>720</v>
      </c>
      <c r="D284">
        <f t="shared" si="4"/>
        <v>57</v>
      </c>
    </row>
    <row r="285" spans="1:4" ht="15" customHeight="1">
      <c r="A285">
        <v>1</v>
      </c>
      <c r="B285">
        <f>IF($A285=0,0,MAX($B$1:$B284)+1)</f>
        <v>284</v>
      </c>
      <c r="C285" s="369" t="s">
        <v>721</v>
      </c>
      <c r="D285">
        <f t="shared" si="4"/>
        <v>39</v>
      </c>
    </row>
    <row r="286" spans="1:4" ht="15" customHeight="1">
      <c r="A286">
        <v>1</v>
      </c>
      <c r="B286">
        <f>IF($A286=0,0,MAX($B$1:$B285)+1)</f>
        <v>285</v>
      </c>
      <c r="D286">
        <f t="shared" si="4"/>
        <v>0</v>
      </c>
    </row>
    <row r="287" spans="1:4" ht="15" customHeight="1">
      <c r="A287">
        <v>1</v>
      </c>
      <c r="B287">
        <f>IF($A287=0,0,MAX($B$1:$B286)+1)</f>
        <v>286</v>
      </c>
      <c r="C287" s="369" t="s">
        <v>996</v>
      </c>
      <c r="D287">
        <f t="shared" si="4"/>
        <v>17</v>
      </c>
    </row>
    <row r="288" spans="1:4" ht="15" customHeight="1">
      <c r="A288">
        <v>1</v>
      </c>
      <c r="B288">
        <f>IF($A288=0,0,MAX($B$1:$B287)+1)</f>
        <v>287</v>
      </c>
      <c r="C288" s="369" t="s">
        <v>497</v>
      </c>
      <c r="D288">
        <f t="shared" si="4"/>
        <v>57</v>
      </c>
    </row>
    <row r="289" spans="1:4" ht="15" customHeight="1">
      <c r="A289">
        <v>1</v>
      </c>
      <c r="B289">
        <f>IF($A289=0,0,MAX($B$1:$B288)+1)</f>
        <v>288</v>
      </c>
      <c r="C289" s="369" t="s">
        <v>498</v>
      </c>
      <c r="D289">
        <f t="shared" si="4"/>
        <v>57</v>
      </c>
    </row>
    <row r="290" spans="1:4" ht="15" customHeight="1">
      <c r="A290">
        <v>1</v>
      </c>
      <c r="B290">
        <f>IF($A290=0,0,MAX($B$1:$B289)+1)</f>
        <v>289</v>
      </c>
      <c r="C290" s="369" t="s">
        <v>722</v>
      </c>
      <c r="D290">
        <f t="shared" ref="D290:D362" si="5">LEN(C290)</f>
        <v>19</v>
      </c>
    </row>
    <row r="291" spans="1:4" ht="15" customHeight="1">
      <c r="A291">
        <v>1</v>
      </c>
      <c r="B291">
        <f>IF($A291=0,0,MAX($B$1:$B290)+1)</f>
        <v>290</v>
      </c>
      <c r="D291">
        <f t="shared" si="5"/>
        <v>0</v>
      </c>
    </row>
    <row r="292" spans="1:4" ht="15" customHeight="1">
      <c r="A292">
        <v>1</v>
      </c>
      <c r="B292">
        <f>IF($A292=0,0,MAX($B$1:$B291)+1)</f>
        <v>291</v>
      </c>
      <c r="C292" s="369" t="s">
        <v>997</v>
      </c>
      <c r="D292">
        <f t="shared" si="5"/>
        <v>10</v>
      </c>
    </row>
    <row r="293" spans="1:4" ht="15" customHeight="1">
      <c r="A293">
        <v>1</v>
      </c>
      <c r="B293">
        <f>IF($A293=0,0,MAX($B$1:$B292)+1)</f>
        <v>292</v>
      </c>
      <c r="C293" s="369" t="s">
        <v>499</v>
      </c>
      <c r="D293">
        <f t="shared" si="5"/>
        <v>59</v>
      </c>
    </row>
    <row r="294" spans="1:4" ht="15" customHeight="1">
      <c r="A294">
        <v>1</v>
      </c>
      <c r="B294">
        <f>IF($A294=0,0,MAX($B$1:$B293)+1)</f>
        <v>293</v>
      </c>
      <c r="C294" s="369" t="s">
        <v>723</v>
      </c>
      <c r="D294">
        <f t="shared" si="5"/>
        <v>21</v>
      </c>
    </row>
    <row r="295" spans="1:4" ht="15" customHeight="1">
      <c r="A295">
        <v>1</v>
      </c>
      <c r="B295">
        <f>IF($A295=0,0,MAX($B$1:$B294)+1)</f>
        <v>294</v>
      </c>
      <c r="C295" s="369" t="s">
        <v>500</v>
      </c>
      <c r="D295">
        <f t="shared" si="5"/>
        <v>57</v>
      </c>
    </row>
    <row r="296" spans="1:4" ht="15" customHeight="1">
      <c r="A296">
        <v>1</v>
      </c>
      <c r="B296">
        <f>IF($A296=0,0,MAX($B$1:$B295)+1)</f>
        <v>295</v>
      </c>
      <c r="C296" s="369" t="s">
        <v>724</v>
      </c>
      <c r="D296">
        <f t="shared" si="5"/>
        <v>58</v>
      </c>
    </row>
    <row r="297" spans="1:4" ht="15" customHeight="1">
      <c r="A297">
        <v>1</v>
      </c>
      <c r="B297">
        <f>IF($A297=0,0,MAX($B$1:$B296)+1)</f>
        <v>296</v>
      </c>
      <c r="C297" s="369" t="s">
        <v>725</v>
      </c>
      <c r="D297">
        <f t="shared" si="5"/>
        <v>57</v>
      </c>
    </row>
    <row r="298" spans="1:4" ht="15" customHeight="1">
      <c r="A298">
        <v>1</v>
      </c>
      <c r="B298">
        <f>IF($A298=0,0,MAX($B$1:$B297)+1)</f>
        <v>297</v>
      </c>
      <c r="C298" s="369" t="s">
        <v>726</v>
      </c>
      <c r="D298">
        <f t="shared" si="5"/>
        <v>10</v>
      </c>
    </row>
    <row r="299" spans="1:4" ht="15" customHeight="1">
      <c r="A299">
        <v>1</v>
      </c>
      <c r="B299">
        <f>IF($A299=0,"",MAX($B$1:$B298)+1)</f>
        <v>298</v>
      </c>
      <c r="C299" s="369" t="s">
        <v>18533</v>
      </c>
      <c r="D299">
        <f t="shared" si="5"/>
        <v>56</v>
      </c>
    </row>
    <row r="300" spans="1:4" ht="15" customHeight="1">
      <c r="A300">
        <v>1</v>
      </c>
      <c r="B300">
        <f>IF($A300=0,"",MAX($B$1:$B299)+1)</f>
        <v>299</v>
      </c>
      <c r="C300" s="369" t="s">
        <v>23027</v>
      </c>
      <c r="D300">
        <f t="shared" si="5"/>
        <v>56</v>
      </c>
    </row>
    <row r="301" spans="1:4" ht="15" customHeight="1">
      <c r="A301">
        <v>1</v>
      </c>
      <c r="B301">
        <f>IF($A301=0,"",MAX($B$1:$B300)+1)</f>
        <v>300</v>
      </c>
      <c r="C301" s="369" t="s">
        <v>23030</v>
      </c>
      <c r="D301">
        <f t="shared" si="5"/>
        <v>51</v>
      </c>
    </row>
    <row r="302" spans="1:4" ht="15" customHeight="1">
      <c r="A302">
        <v>1</v>
      </c>
      <c r="B302">
        <f>IF($A302=0,0,MAX($B$1:$B301)+1)</f>
        <v>301</v>
      </c>
      <c r="D302">
        <f t="shared" si="5"/>
        <v>0</v>
      </c>
    </row>
    <row r="303" spans="1:4" ht="15" customHeight="1">
      <c r="A303">
        <v>1</v>
      </c>
      <c r="B303">
        <f>IF($A303=0,0,MAX($B$1:$B302)+1)</f>
        <v>302</v>
      </c>
      <c r="C303" s="369" t="s">
        <v>998</v>
      </c>
      <c r="D303">
        <f t="shared" si="5"/>
        <v>14</v>
      </c>
    </row>
    <row r="304" spans="1:4" ht="15" customHeight="1">
      <c r="A304">
        <v>1</v>
      </c>
      <c r="B304">
        <f>IF($A304=0,0,MAX($B$1:$B303)+1)</f>
        <v>303</v>
      </c>
      <c r="C304" s="369" t="s">
        <v>501</v>
      </c>
      <c r="D304">
        <f t="shared" si="5"/>
        <v>59</v>
      </c>
    </row>
    <row r="305" spans="1:4" ht="15" customHeight="1">
      <c r="A305">
        <v>1</v>
      </c>
      <c r="B305">
        <f>IF($A305=0,0,MAX($B$1:$B304)+1)</f>
        <v>304</v>
      </c>
      <c r="C305" s="369" t="s">
        <v>727</v>
      </c>
      <c r="D305">
        <f t="shared" si="5"/>
        <v>24</v>
      </c>
    </row>
    <row r="306" spans="1:4" ht="15" customHeight="1">
      <c r="A306">
        <v>1</v>
      </c>
      <c r="B306">
        <f>IF($A306=0,0,MAX($B$1:$B305)+1)</f>
        <v>305</v>
      </c>
      <c r="C306" s="369" t="s">
        <v>502</v>
      </c>
      <c r="D306">
        <f t="shared" si="5"/>
        <v>57</v>
      </c>
    </row>
    <row r="307" spans="1:4" ht="15" customHeight="1">
      <c r="A307">
        <v>1</v>
      </c>
      <c r="B307">
        <f>IF($A307=0,0,MAX($B$1:$B306)+1)</f>
        <v>306</v>
      </c>
      <c r="C307" s="369" t="s">
        <v>728</v>
      </c>
      <c r="D307">
        <f t="shared" si="5"/>
        <v>57</v>
      </c>
    </row>
    <row r="308" spans="1:4" ht="15" customHeight="1">
      <c r="A308">
        <v>1</v>
      </c>
      <c r="B308">
        <f>IF($A308=0,0,MAX($B$1:$B307)+1)</f>
        <v>307</v>
      </c>
      <c r="C308" s="369" t="s">
        <v>729</v>
      </c>
      <c r="D308">
        <f t="shared" si="5"/>
        <v>9</v>
      </c>
    </row>
    <row r="309" spans="1:4" ht="15" customHeight="1">
      <c r="A309">
        <v>1</v>
      </c>
      <c r="B309">
        <f>IF($A309=0,"",MAX($B$1:$B308)+1)</f>
        <v>308</v>
      </c>
      <c r="C309" s="369" t="s">
        <v>18534</v>
      </c>
      <c r="D309">
        <f t="shared" si="5"/>
        <v>57</v>
      </c>
    </row>
    <row r="310" spans="1:4" ht="15" customHeight="1">
      <c r="A310">
        <v>1</v>
      </c>
      <c r="B310">
        <f>IF($A310=0,"",MAX($B$1:$B309)+1)</f>
        <v>309</v>
      </c>
      <c r="C310" s="369" t="s">
        <v>23028</v>
      </c>
      <c r="D310">
        <f t="shared" si="5"/>
        <v>55</v>
      </c>
    </row>
    <row r="311" spans="1:4" ht="15" customHeight="1">
      <c r="A311">
        <v>1</v>
      </c>
      <c r="B311">
        <f>IF($A311=0,"",MAX($B$1:$B310)+1)</f>
        <v>310</v>
      </c>
      <c r="C311" s="369" t="s">
        <v>23029</v>
      </c>
      <c r="D311">
        <f t="shared" si="5"/>
        <v>50</v>
      </c>
    </row>
    <row r="312" spans="1:4" ht="15" customHeight="1">
      <c r="A312">
        <v>1</v>
      </c>
      <c r="B312">
        <f>IF($A312=0,0,MAX($B$1:$B311)+1)</f>
        <v>311</v>
      </c>
      <c r="C312" s="369" t="s">
        <v>18535</v>
      </c>
      <c r="D312">
        <f t="shared" si="5"/>
        <v>57</v>
      </c>
    </row>
    <row r="313" spans="1:4" ht="15" customHeight="1">
      <c r="A313">
        <v>1</v>
      </c>
      <c r="B313">
        <f>IF($A313=0,0,MAX($B$1:$B312)+1)</f>
        <v>312</v>
      </c>
      <c r="C313" s="369" t="s">
        <v>730</v>
      </c>
      <c r="D313">
        <f t="shared" si="5"/>
        <v>22</v>
      </c>
    </row>
    <row r="314" spans="1:4" ht="15" customHeight="1">
      <c r="A314">
        <v>1</v>
      </c>
      <c r="B314">
        <f>IF($A314=0,0,MAX($B$1:$B313)+1)</f>
        <v>313</v>
      </c>
      <c r="D314">
        <f t="shared" si="5"/>
        <v>0</v>
      </c>
    </row>
    <row r="315" spans="1:4" ht="15" customHeight="1">
      <c r="A315">
        <v>1</v>
      </c>
      <c r="B315">
        <f>IF($A315=0,0,MAX($B$1:$B314)+1)</f>
        <v>314</v>
      </c>
      <c r="C315" s="369" t="s">
        <v>999</v>
      </c>
      <c r="D315">
        <f t="shared" si="5"/>
        <v>24</v>
      </c>
    </row>
    <row r="316" spans="1:4" ht="15" customHeight="1">
      <c r="A316">
        <v>1</v>
      </c>
      <c r="B316">
        <f>IF($A316=0,0,MAX($B$1:$B315)+1)</f>
        <v>315</v>
      </c>
      <c r="C316" s="369" t="s">
        <v>503</v>
      </c>
      <c r="D316">
        <f t="shared" si="5"/>
        <v>59</v>
      </c>
    </row>
    <row r="317" spans="1:4" ht="15" customHeight="1">
      <c r="A317">
        <v>1</v>
      </c>
      <c r="B317">
        <f>IF($A317=0,0,MAX($B$1:$B316)+1)</f>
        <v>316</v>
      </c>
      <c r="C317" s="369" t="s">
        <v>731</v>
      </c>
      <c r="D317">
        <f t="shared" si="5"/>
        <v>53</v>
      </c>
    </row>
    <row r="318" spans="1:4" ht="15" customHeight="1">
      <c r="A318">
        <v>1</v>
      </c>
      <c r="B318">
        <f>IF($A318=0,0,MAX($B$1:$B317)+1)</f>
        <v>317</v>
      </c>
      <c r="C318" s="369" t="s">
        <v>504</v>
      </c>
      <c r="D318">
        <f t="shared" si="5"/>
        <v>57</v>
      </c>
    </row>
    <row r="319" spans="1:4" ht="15" customHeight="1">
      <c r="A319">
        <v>1</v>
      </c>
      <c r="B319">
        <f>IF($A319=0,0,MAX($B$1:$B318)+1)</f>
        <v>318</v>
      </c>
      <c r="C319" s="369" t="s">
        <v>732</v>
      </c>
      <c r="D319">
        <f t="shared" si="5"/>
        <v>57</v>
      </c>
    </row>
    <row r="320" spans="1:4" ht="15" customHeight="1">
      <c r="A320">
        <v>1</v>
      </c>
      <c r="B320">
        <f>IF($A320=0,0,MAX($B$1:$B319)+1)</f>
        <v>319</v>
      </c>
      <c r="C320" s="369" t="s">
        <v>733</v>
      </c>
      <c r="D320">
        <f t="shared" si="5"/>
        <v>60</v>
      </c>
    </row>
    <row r="321" spans="1:4" ht="15" customHeight="1">
      <c r="A321">
        <v>1</v>
      </c>
      <c r="B321">
        <f>IF($A321=0,0,MAX($B$1:$B320)+1)</f>
        <v>320</v>
      </c>
      <c r="C321" s="369" t="s">
        <v>734</v>
      </c>
      <c r="D321">
        <f t="shared" si="5"/>
        <v>23</v>
      </c>
    </row>
    <row r="322" spans="1:4" ht="15" customHeight="1">
      <c r="A322">
        <v>1</v>
      </c>
      <c r="B322">
        <f>IF($A322=0,0,MAX($B$1:$B321)+1)</f>
        <v>321</v>
      </c>
      <c r="C322" s="369" t="s">
        <v>505</v>
      </c>
      <c r="D322">
        <f t="shared" si="5"/>
        <v>57</v>
      </c>
    </row>
    <row r="323" spans="1:4" ht="15" customHeight="1">
      <c r="A323">
        <v>1</v>
      </c>
      <c r="B323">
        <f>IF($A323=0,0,MAX($B$1:$B322)+1)</f>
        <v>322</v>
      </c>
      <c r="C323" s="369" t="s">
        <v>735</v>
      </c>
      <c r="D323">
        <f t="shared" si="5"/>
        <v>56</v>
      </c>
    </row>
    <row r="324" spans="1:4" ht="15" customHeight="1">
      <c r="A324">
        <v>1</v>
      </c>
      <c r="B324">
        <f>IF($A324=0,0,MAX($B$1:$B323)+1)</f>
        <v>323</v>
      </c>
      <c r="C324" s="369" t="s">
        <v>506</v>
      </c>
      <c r="D324">
        <f t="shared" si="5"/>
        <v>58</v>
      </c>
    </row>
    <row r="325" spans="1:4" ht="15" customHeight="1">
      <c r="A325">
        <v>1</v>
      </c>
      <c r="B325">
        <f>IF($A325=0,0,MAX($B$1:$B324)+1)</f>
        <v>324</v>
      </c>
      <c r="C325" s="369" t="s">
        <v>736</v>
      </c>
      <c r="D325">
        <f t="shared" si="5"/>
        <v>55</v>
      </c>
    </row>
    <row r="326" spans="1:4" ht="15" customHeight="1">
      <c r="A326">
        <v>1</v>
      </c>
      <c r="B326">
        <f>IF($A326=0,0,MAX($B$1:$B325)+1)</f>
        <v>325</v>
      </c>
      <c r="C326" s="369" t="s">
        <v>507</v>
      </c>
      <c r="D326">
        <f t="shared" si="5"/>
        <v>57</v>
      </c>
    </row>
    <row r="327" spans="1:4" ht="15" customHeight="1">
      <c r="A327">
        <v>1</v>
      </c>
      <c r="B327">
        <f>IF($A327=0,0,MAX($B$1:$B326)+1)</f>
        <v>326</v>
      </c>
      <c r="C327" s="369" t="s">
        <v>737</v>
      </c>
      <c r="D327">
        <f t="shared" si="5"/>
        <v>45</v>
      </c>
    </row>
    <row r="328" spans="1:4" ht="15" customHeight="1">
      <c r="A328">
        <v>1</v>
      </c>
      <c r="B328">
        <f>IF($A328=0,0,MAX($B$1:$B327)+1)</f>
        <v>327</v>
      </c>
      <c r="C328" s="369" t="s">
        <v>508</v>
      </c>
      <c r="D328">
        <f t="shared" si="5"/>
        <v>58</v>
      </c>
    </row>
    <row r="329" spans="1:4" ht="15" customHeight="1">
      <c r="A329">
        <v>1</v>
      </c>
      <c r="B329">
        <f>IF($A329=0,0,MAX($B$1:$B328)+1)</f>
        <v>328</v>
      </c>
      <c r="C329" s="369" t="s">
        <v>738</v>
      </c>
      <c r="D329">
        <f t="shared" si="5"/>
        <v>57</v>
      </c>
    </row>
    <row r="330" spans="1:4" ht="15" customHeight="1">
      <c r="A330">
        <v>1</v>
      </c>
      <c r="B330">
        <f>IF($A330=0,0,MAX($B$1:$B329)+1)</f>
        <v>329</v>
      </c>
      <c r="C330" s="369" t="s">
        <v>719</v>
      </c>
      <c r="D330">
        <f t="shared" si="5"/>
        <v>8</v>
      </c>
    </row>
    <row r="331" spans="1:4" ht="15" customHeight="1">
      <c r="A331">
        <v>1</v>
      </c>
      <c r="B331">
        <f>IF($A331=0,0,MAX($B$1:$B330)+1)</f>
        <v>330</v>
      </c>
      <c r="C331" s="369" t="s">
        <v>509</v>
      </c>
      <c r="D331">
        <f t="shared" si="5"/>
        <v>57</v>
      </c>
    </row>
    <row r="332" spans="1:4" ht="15" customHeight="1">
      <c r="A332">
        <v>1</v>
      </c>
      <c r="B332">
        <f>IF($A332=0,0,MAX($B$1:$B331)+1)</f>
        <v>331</v>
      </c>
      <c r="C332" s="369" t="s">
        <v>739</v>
      </c>
      <c r="D332">
        <f t="shared" si="5"/>
        <v>38</v>
      </c>
    </row>
    <row r="333" spans="1:4" ht="15" customHeight="1">
      <c r="A333">
        <v>1</v>
      </c>
      <c r="B333">
        <f>IF($A333=0,0,MAX($B$1:$B332)+1)</f>
        <v>332</v>
      </c>
      <c r="C333" s="369" t="s">
        <v>510</v>
      </c>
      <c r="D333">
        <f t="shared" si="5"/>
        <v>57</v>
      </c>
    </row>
    <row r="334" spans="1:4" ht="15" customHeight="1">
      <c r="A334">
        <v>1</v>
      </c>
      <c r="B334">
        <f>IF($A334=0,0,MAX($B$1:$B333)+1)</f>
        <v>333</v>
      </c>
      <c r="C334" s="369" t="s">
        <v>740</v>
      </c>
      <c r="D334">
        <f t="shared" si="5"/>
        <v>57</v>
      </c>
    </row>
    <row r="335" spans="1:4" ht="15" customHeight="1">
      <c r="A335">
        <v>1</v>
      </c>
      <c r="B335">
        <f>IF($A335=0,0,MAX($B$1:$B334)+1)</f>
        <v>334</v>
      </c>
      <c r="C335" s="369" t="s">
        <v>741</v>
      </c>
      <c r="D335">
        <f t="shared" si="5"/>
        <v>31</v>
      </c>
    </row>
    <row r="336" spans="1:4" ht="15" customHeight="1">
      <c r="A336">
        <v>1</v>
      </c>
      <c r="B336">
        <f>IF($A336=0,"",MAX($B$1:$B335)+1)</f>
        <v>335</v>
      </c>
      <c r="C336" s="369" t="s">
        <v>18536</v>
      </c>
      <c r="D336">
        <f t="shared" si="5"/>
        <v>56</v>
      </c>
    </row>
    <row r="337" spans="1:4" ht="15" customHeight="1">
      <c r="A337">
        <v>1</v>
      </c>
      <c r="B337">
        <f>IF($A337=0,"",MAX($B$1:$B336)+1)</f>
        <v>336</v>
      </c>
      <c r="C337" s="369" t="s">
        <v>23031</v>
      </c>
      <c r="D337">
        <f t="shared" si="5"/>
        <v>54</v>
      </c>
    </row>
    <row r="338" spans="1:4" ht="15" customHeight="1">
      <c r="A338">
        <v>1</v>
      </c>
      <c r="B338">
        <f>IF($A338=0,"",MAX($B$1:$B337)+1)</f>
        <v>337</v>
      </c>
      <c r="C338" s="369" t="s">
        <v>23032</v>
      </c>
      <c r="D338">
        <f t="shared" si="5"/>
        <v>58</v>
      </c>
    </row>
    <row r="339" spans="1:4" ht="15" customHeight="1">
      <c r="A339">
        <v>1</v>
      </c>
      <c r="B339">
        <f>IF($A339=0,0,MAX($B$1:$B338)+1)</f>
        <v>338</v>
      </c>
      <c r="D339">
        <f t="shared" si="5"/>
        <v>0</v>
      </c>
    </row>
    <row r="340" spans="1:4" ht="15" customHeight="1">
      <c r="A340">
        <v>1</v>
      </c>
      <c r="B340">
        <f>IF($A340=0,0,MAX($B$1:$B339)+1)</f>
        <v>339</v>
      </c>
      <c r="C340" s="369" t="s">
        <v>1000</v>
      </c>
      <c r="D340">
        <f t="shared" si="5"/>
        <v>8</v>
      </c>
    </row>
    <row r="341" spans="1:4" ht="15" customHeight="1">
      <c r="A341">
        <v>1</v>
      </c>
      <c r="B341">
        <f>IF($A341=0,0,MAX($B$1:$B340)+1)</f>
        <v>340</v>
      </c>
      <c r="C341" s="369" t="s">
        <v>511</v>
      </c>
      <c r="D341">
        <f t="shared" si="5"/>
        <v>58</v>
      </c>
    </row>
    <row r="342" spans="1:4" ht="15" customHeight="1">
      <c r="A342">
        <v>1</v>
      </c>
      <c r="B342">
        <f>IF($A342=0,0,MAX($B$1:$B341)+1)</f>
        <v>341</v>
      </c>
      <c r="C342" s="369" t="s">
        <v>742</v>
      </c>
      <c r="D342">
        <f t="shared" si="5"/>
        <v>57</v>
      </c>
    </row>
    <row r="343" spans="1:4" ht="15" customHeight="1">
      <c r="A343">
        <v>1</v>
      </c>
      <c r="B343">
        <f>IF($A343=0,0,MAX($B$1:$B342)+1)</f>
        <v>342</v>
      </c>
      <c r="C343" s="369" t="s">
        <v>743</v>
      </c>
      <c r="D343">
        <f t="shared" si="5"/>
        <v>14</v>
      </c>
    </row>
    <row r="344" spans="1:4" ht="15" customHeight="1">
      <c r="A344">
        <v>1</v>
      </c>
      <c r="B344">
        <f>IF($A344=0,0,MAX($B$1:$B343)+1)</f>
        <v>343</v>
      </c>
      <c r="C344" s="369" t="s">
        <v>512</v>
      </c>
      <c r="D344">
        <f t="shared" si="5"/>
        <v>48</v>
      </c>
    </row>
    <row r="345" spans="1:4" ht="15" customHeight="1">
      <c r="A345">
        <v>1</v>
      </c>
      <c r="B345">
        <f>IF($A345=0,0,MAX($B$1:$B344)+1)</f>
        <v>344</v>
      </c>
      <c r="C345" s="369" t="s">
        <v>513</v>
      </c>
      <c r="D345">
        <f t="shared" si="5"/>
        <v>57</v>
      </c>
    </row>
    <row r="346" spans="1:4" ht="15" customHeight="1">
      <c r="A346">
        <v>1</v>
      </c>
      <c r="B346">
        <f>IF($A346=0,0,MAX($B$1:$B345)+1)</f>
        <v>345</v>
      </c>
      <c r="C346" s="369" t="s">
        <v>719</v>
      </c>
      <c r="D346">
        <f t="shared" si="5"/>
        <v>8</v>
      </c>
    </row>
    <row r="347" spans="1:4" ht="15" customHeight="1">
      <c r="A347">
        <v>1</v>
      </c>
      <c r="B347">
        <f>IF($A347=0,0,MAX($B$1:$B346)+1)</f>
        <v>346</v>
      </c>
      <c r="C347" s="369" t="s">
        <v>514</v>
      </c>
      <c r="D347">
        <f t="shared" si="5"/>
        <v>57</v>
      </c>
    </row>
    <row r="348" spans="1:4" ht="15" customHeight="1">
      <c r="A348">
        <v>1</v>
      </c>
      <c r="B348">
        <f>IF($A348=0,0,MAX($B$1:$B347)+1)</f>
        <v>347</v>
      </c>
      <c r="C348" s="369" t="s">
        <v>744</v>
      </c>
      <c r="D348">
        <f t="shared" si="5"/>
        <v>44</v>
      </c>
    </row>
    <row r="349" spans="1:4" ht="15" customHeight="1">
      <c r="A349">
        <v>1</v>
      </c>
      <c r="B349">
        <f>IF($A349=0,0,MAX($B$1:$B348)+1)</f>
        <v>348</v>
      </c>
      <c r="D349">
        <f t="shared" si="5"/>
        <v>0</v>
      </c>
    </row>
    <row r="350" spans="1:4" ht="15" customHeight="1">
      <c r="A350">
        <v>1</v>
      </c>
      <c r="B350">
        <f>IF($A350=0,0,MAX($B$1:$B349)+1)</f>
        <v>349</v>
      </c>
      <c r="C350" s="369" t="s">
        <v>1001</v>
      </c>
      <c r="D350">
        <f t="shared" si="5"/>
        <v>8</v>
      </c>
    </row>
    <row r="351" spans="1:4" ht="15" customHeight="1">
      <c r="A351">
        <v>1</v>
      </c>
      <c r="B351">
        <f>IF($A351=0,0,MAX($B$1:$B350)+1)</f>
        <v>350</v>
      </c>
      <c r="C351" s="369" t="s">
        <v>515</v>
      </c>
      <c r="D351">
        <f t="shared" si="5"/>
        <v>58</v>
      </c>
    </row>
    <row r="352" spans="1:4" ht="15" customHeight="1">
      <c r="A352">
        <v>1</v>
      </c>
      <c r="B352">
        <f>IF($A352=0,0,MAX($B$1:$B351)+1)</f>
        <v>351</v>
      </c>
      <c r="C352" s="369" t="s">
        <v>745</v>
      </c>
      <c r="D352">
        <f t="shared" si="5"/>
        <v>58</v>
      </c>
    </row>
    <row r="353" spans="1:4" ht="15" customHeight="1">
      <c r="A353">
        <v>1</v>
      </c>
      <c r="B353">
        <f>IF($A353=0,0,MAX($B$1:$B352)+1)</f>
        <v>352</v>
      </c>
      <c r="C353" s="369" t="s">
        <v>1076</v>
      </c>
      <c r="D353">
        <f t="shared" si="5"/>
        <v>58</v>
      </c>
    </row>
    <row r="354" spans="1:4" ht="15" customHeight="1">
      <c r="A354">
        <v>1</v>
      </c>
      <c r="B354">
        <f>IF($A354=0,0,MAX($B$1:$B353)+1)</f>
        <v>353</v>
      </c>
      <c r="C354" s="369" t="s">
        <v>746</v>
      </c>
      <c r="D354">
        <f t="shared" si="5"/>
        <v>20</v>
      </c>
    </row>
    <row r="355" spans="1:4" ht="15" customHeight="1">
      <c r="A355">
        <v>1</v>
      </c>
      <c r="B355">
        <f>IF($A355=0,0,MAX($B$1:$B354)+1)</f>
        <v>354</v>
      </c>
      <c r="D355">
        <f t="shared" si="5"/>
        <v>0</v>
      </c>
    </row>
    <row r="356" spans="1:4" ht="15" customHeight="1">
      <c r="A356">
        <v>1</v>
      </c>
      <c r="B356">
        <f>IF($A356=0,0,MAX($B$1:$B355)+1)</f>
        <v>355</v>
      </c>
      <c r="C356" s="369" t="s">
        <v>1002</v>
      </c>
      <c r="D356">
        <f t="shared" si="5"/>
        <v>13</v>
      </c>
    </row>
    <row r="357" spans="1:4" ht="15" customHeight="1">
      <c r="A357">
        <v>1</v>
      </c>
      <c r="B357">
        <f>IF($A357=0,0,MAX($B$1:$B356)+1)</f>
        <v>356</v>
      </c>
      <c r="C357" s="369" t="s">
        <v>516</v>
      </c>
      <c r="D357">
        <f t="shared" si="5"/>
        <v>58</v>
      </c>
    </row>
    <row r="358" spans="1:4" ht="15" customHeight="1">
      <c r="A358">
        <v>1</v>
      </c>
      <c r="B358">
        <f>IF($A358=0,0,MAX($B$1:$B357)+1)</f>
        <v>357</v>
      </c>
      <c r="C358" s="369" t="s">
        <v>1071</v>
      </c>
      <c r="D358">
        <f t="shared" si="5"/>
        <v>58</v>
      </c>
    </row>
    <row r="359" spans="1:4" ht="15" customHeight="1">
      <c r="A359">
        <v>1</v>
      </c>
      <c r="B359">
        <f>IF($A359=0,0,MAX($B$1:$B358)+1)</f>
        <v>358</v>
      </c>
      <c r="C359" s="369" t="s">
        <v>747</v>
      </c>
      <c r="D359">
        <f t="shared" si="5"/>
        <v>31</v>
      </c>
    </row>
    <row r="360" spans="1:4" ht="15" customHeight="1">
      <c r="A360">
        <v>1</v>
      </c>
      <c r="B360">
        <f>IF($A360=0,0,MAX($B$1:$B359)+1)</f>
        <v>359</v>
      </c>
      <c r="C360" s="369" t="s">
        <v>517</v>
      </c>
      <c r="D360">
        <f t="shared" si="5"/>
        <v>57</v>
      </c>
    </row>
    <row r="361" spans="1:4" ht="15" customHeight="1">
      <c r="A361">
        <v>1</v>
      </c>
      <c r="B361">
        <f>IF($A361=0,0,MAX($B$1:$B360)+1)</f>
        <v>360</v>
      </c>
      <c r="C361" s="369" t="s">
        <v>748</v>
      </c>
      <c r="D361">
        <f t="shared" si="5"/>
        <v>57</v>
      </c>
    </row>
    <row r="362" spans="1:4" ht="15" customHeight="1">
      <c r="A362">
        <v>1</v>
      </c>
      <c r="B362">
        <f>IF($A362=0,0,MAX($B$1:$B361)+1)</f>
        <v>361</v>
      </c>
      <c r="C362" s="369" t="s">
        <v>749</v>
      </c>
      <c r="D362">
        <f t="shared" si="5"/>
        <v>45</v>
      </c>
    </row>
    <row r="363" spans="1:4" ht="15" customHeight="1">
      <c r="A363">
        <v>1</v>
      </c>
      <c r="B363">
        <f>IF($A363=0,0,MAX($B$1:$B362)+1)</f>
        <v>362</v>
      </c>
      <c r="C363" s="369" t="s">
        <v>518</v>
      </c>
      <c r="D363">
        <f t="shared" ref="D363:D426" si="6">LEN(C363)</f>
        <v>57</v>
      </c>
    </row>
    <row r="364" spans="1:4" ht="15" customHeight="1">
      <c r="A364">
        <v>1</v>
      </c>
      <c r="B364">
        <f>IF($A364=0,0,MAX($B$1:$B363)+1)</f>
        <v>363</v>
      </c>
      <c r="C364" s="369" t="s">
        <v>750</v>
      </c>
      <c r="D364">
        <f t="shared" si="6"/>
        <v>14</v>
      </c>
    </row>
    <row r="365" spans="1:4" ht="15" customHeight="1">
      <c r="A365">
        <v>1</v>
      </c>
      <c r="B365">
        <f>IF($A365=0,0,MAX($B$1:$B364)+1)</f>
        <v>364</v>
      </c>
      <c r="D365">
        <f t="shared" si="6"/>
        <v>0</v>
      </c>
    </row>
    <row r="366" spans="1:4" ht="15" customHeight="1">
      <c r="A366">
        <v>1</v>
      </c>
      <c r="B366">
        <f>IF($A366=0,0,MAX($B$1:$B365)+1)</f>
        <v>365</v>
      </c>
      <c r="C366" s="369" t="s">
        <v>1003</v>
      </c>
      <c r="D366">
        <f t="shared" si="6"/>
        <v>12</v>
      </c>
    </row>
    <row r="367" spans="1:4" ht="15" customHeight="1">
      <c r="A367">
        <v>1</v>
      </c>
      <c r="B367">
        <f>IF($A367=0,0,MAX($B$1:$B366)+1)</f>
        <v>366</v>
      </c>
      <c r="C367" s="369" t="s">
        <v>519</v>
      </c>
      <c r="D367">
        <f t="shared" si="6"/>
        <v>58</v>
      </c>
    </row>
    <row r="368" spans="1:4" ht="15" customHeight="1">
      <c r="A368">
        <v>1</v>
      </c>
      <c r="B368">
        <f>IF($A368=0,0,MAX($B$1:$B367)+1)</f>
        <v>367</v>
      </c>
      <c r="C368" s="369" t="s">
        <v>751</v>
      </c>
      <c r="D368">
        <f t="shared" si="6"/>
        <v>57</v>
      </c>
    </row>
    <row r="369" spans="1:4" ht="15" customHeight="1">
      <c r="A369">
        <v>1</v>
      </c>
      <c r="B369">
        <f>IF($A369=0,0,MAX($B$1:$B368)+1)</f>
        <v>368</v>
      </c>
      <c r="C369" s="369" t="s">
        <v>752</v>
      </c>
      <c r="D369">
        <f t="shared" si="6"/>
        <v>57</v>
      </c>
    </row>
    <row r="370" spans="1:4" ht="15" customHeight="1">
      <c r="A370">
        <v>1</v>
      </c>
      <c r="B370">
        <f>IF($A370=0,0,MAX($B$1:$B369)+1)</f>
        <v>369</v>
      </c>
      <c r="C370" s="369" t="s">
        <v>753</v>
      </c>
      <c r="D370">
        <f t="shared" si="6"/>
        <v>45</v>
      </c>
    </row>
    <row r="371" spans="1:4" ht="15" customHeight="1">
      <c r="A371">
        <v>1</v>
      </c>
      <c r="B371">
        <f>IF($A371=0,0,MAX($B$1:$B370)+1)</f>
        <v>370</v>
      </c>
      <c r="C371" s="369" t="s">
        <v>520</v>
      </c>
      <c r="D371">
        <f t="shared" si="6"/>
        <v>57</v>
      </c>
    </row>
    <row r="372" spans="1:4" ht="15" customHeight="1">
      <c r="A372">
        <v>1</v>
      </c>
      <c r="B372">
        <f>IF($A372=0,0,MAX($B$1:$B371)+1)</f>
        <v>371</v>
      </c>
      <c r="C372" s="369" t="s">
        <v>1072</v>
      </c>
      <c r="D372">
        <f t="shared" si="6"/>
        <v>58</v>
      </c>
    </row>
    <row r="373" spans="1:4" ht="15" customHeight="1">
      <c r="A373">
        <v>1</v>
      </c>
      <c r="B373">
        <f>IF($A373=0,0,MAX($B$1:$B372)+1)</f>
        <v>372</v>
      </c>
      <c r="C373" s="369" t="s">
        <v>754</v>
      </c>
      <c r="D373">
        <f t="shared" si="6"/>
        <v>37</v>
      </c>
    </row>
    <row r="374" spans="1:4" ht="15" customHeight="1">
      <c r="A374">
        <v>1</v>
      </c>
      <c r="B374">
        <f>IF($A374=0,0,MAX($B$1:$B373)+1)</f>
        <v>373</v>
      </c>
      <c r="C374" s="369" t="s">
        <v>521</v>
      </c>
      <c r="D374">
        <f t="shared" si="6"/>
        <v>56</v>
      </c>
    </row>
    <row r="375" spans="1:4" ht="15" customHeight="1">
      <c r="A375">
        <v>1</v>
      </c>
      <c r="B375">
        <f>IF($A375=0,0,MAX($B$1:$B374)+1)</f>
        <v>374</v>
      </c>
      <c r="C375" s="369" t="s">
        <v>522</v>
      </c>
      <c r="D375">
        <f t="shared" si="6"/>
        <v>57</v>
      </c>
    </row>
    <row r="376" spans="1:4" ht="15" customHeight="1">
      <c r="A376">
        <v>1</v>
      </c>
      <c r="B376">
        <f>IF($A376=0,0,MAX($B$1:$B375)+1)</f>
        <v>375</v>
      </c>
      <c r="C376" s="369" t="s">
        <v>755</v>
      </c>
      <c r="D376">
        <f t="shared" si="6"/>
        <v>60</v>
      </c>
    </row>
    <row r="377" spans="1:4" ht="15" customHeight="1">
      <c r="A377">
        <v>1</v>
      </c>
      <c r="B377">
        <f>IF($A377=0,0,MAX($B$1:$B376)+1)</f>
        <v>376</v>
      </c>
      <c r="C377" s="369" t="s">
        <v>756</v>
      </c>
      <c r="D377">
        <f t="shared" si="6"/>
        <v>57</v>
      </c>
    </row>
    <row r="378" spans="1:4" ht="15" customHeight="1">
      <c r="A378">
        <v>1</v>
      </c>
      <c r="B378">
        <f>IF($A378=0,0,MAX($B$1:$B377)+1)</f>
        <v>377</v>
      </c>
      <c r="C378" s="369" t="s">
        <v>1073</v>
      </c>
      <c r="D378">
        <f t="shared" si="6"/>
        <v>59</v>
      </c>
    </row>
    <row r="379" spans="1:4" ht="15" customHeight="1">
      <c r="A379">
        <v>1</v>
      </c>
      <c r="B379">
        <f>IF($A379=0,0,MAX($B$1:$B378)+1)</f>
        <v>378</v>
      </c>
      <c r="C379" s="369" t="s">
        <v>757</v>
      </c>
      <c r="D379">
        <f t="shared" si="6"/>
        <v>47</v>
      </c>
    </row>
    <row r="380" spans="1:4" ht="15" customHeight="1">
      <c r="A380">
        <v>1</v>
      </c>
      <c r="B380">
        <f>IF($A380=0,0,MAX($B$1:$B379)+1)</f>
        <v>379</v>
      </c>
      <c r="C380" s="369" t="s">
        <v>523</v>
      </c>
      <c r="D380">
        <f t="shared" si="6"/>
        <v>46</v>
      </c>
    </row>
    <row r="381" spans="1:4" ht="15" customHeight="1">
      <c r="A381">
        <v>1</v>
      </c>
      <c r="B381">
        <f>IF($A381=0,0,MAX($B$1:$B380)+1)</f>
        <v>380</v>
      </c>
      <c r="C381" s="369" t="s">
        <v>758</v>
      </c>
      <c r="D381">
        <f t="shared" si="6"/>
        <v>57</v>
      </c>
    </row>
    <row r="382" spans="1:4" ht="15" customHeight="1">
      <c r="A382">
        <v>1</v>
      </c>
      <c r="B382">
        <f>IF($A382=0,0,MAX($B$1:$B381)+1)</f>
        <v>381</v>
      </c>
      <c r="C382" s="369" t="s">
        <v>759</v>
      </c>
      <c r="D382">
        <f t="shared" si="6"/>
        <v>11</v>
      </c>
    </row>
    <row r="383" spans="1:4" ht="15" customHeight="1">
      <c r="A383">
        <v>1</v>
      </c>
      <c r="B383">
        <f>IF($A383=0,0,MAX($B$1:$B382)+1)</f>
        <v>382</v>
      </c>
      <c r="C383" s="369" t="s">
        <v>760</v>
      </c>
      <c r="D383">
        <f t="shared" si="6"/>
        <v>57</v>
      </c>
    </row>
    <row r="384" spans="1:4" ht="15" customHeight="1">
      <c r="A384">
        <v>1</v>
      </c>
      <c r="B384">
        <f>IF($A384=0,0,MAX($B$1:$B383)+1)</f>
        <v>383</v>
      </c>
      <c r="C384" s="369" t="s">
        <v>761</v>
      </c>
      <c r="D384">
        <f t="shared" si="6"/>
        <v>22</v>
      </c>
    </row>
    <row r="385" spans="1:4" ht="15" customHeight="1">
      <c r="A385">
        <v>1</v>
      </c>
      <c r="B385">
        <f>IF($A385=0,0,MAX($B$1:$B384)+1)</f>
        <v>384</v>
      </c>
      <c r="C385" s="369" t="s">
        <v>762</v>
      </c>
      <c r="D385">
        <f t="shared" si="6"/>
        <v>57</v>
      </c>
    </row>
    <row r="386" spans="1:4" ht="15" customHeight="1">
      <c r="A386">
        <v>1</v>
      </c>
      <c r="B386">
        <f>IF($A386=0,0,MAX($B$1:$B385)+1)</f>
        <v>385</v>
      </c>
      <c r="C386" s="369" t="s">
        <v>763</v>
      </c>
      <c r="D386">
        <f t="shared" si="6"/>
        <v>57</v>
      </c>
    </row>
    <row r="387" spans="1:4" ht="15" customHeight="1">
      <c r="A387">
        <v>1</v>
      </c>
      <c r="B387">
        <f>IF($A387=0,0,MAX($B$1:$B386)+1)</f>
        <v>386</v>
      </c>
      <c r="C387" s="369" t="s">
        <v>764</v>
      </c>
      <c r="D387">
        <f t="shared" si="6"/>
        <v>57</v>
      </c>
    </row>
    <row r="388" spans="1:4" ht="15" customHeight="1">
      <c r="A388">
        <v>1</v>
      </c>
      <c r="B388">
        <f>IF($A388=0,0,MAX($B$1:$B387)+1)</f>
        <v>387</v>
      </c>
      <c r="C388" s="369" t="s">
        <v>765</v>
      </c>
      <c r="D388">
        <f t="shared" si="6"/>
        <v>15</v>
      </c>
    </row>
    <row r="389" spans="1:4" ht="15" customHeight="1">
      <c r="A389">
        <v>1</v>
      </c>
      <c r="B389">
        <f>IF($A389=0,0,MAX($B$1:$B388)+1)</f>
        <v>388</v>
      </c>
      <c r="C389" s="369" t="s">
        <v>524</v>
      </c>
      <c r="D389">
        <f t="shared" si="6"/>
        <v>58</v>
      </c>
    </row>
    <row r="390" spans="1:4" ht="15" customHeight="1">
      <c r="A390">
        <v>1</v>
      </c>
      <c r="B390">
        <f>IF($A390=0,0,MAX($B$1:$B389)+1)</f>
        <v>389</v>
      </c>
      <c r="C390" s="369" t="s">
        <v>766</v>
      </c>
      <c r="D390">
        <f t="shared" si="6"/>
        <v>57</v>
      </c>
    </row>
    <row r="391" spans="1:4" ht="15" customHeight="1">
      <c r="A391">
        <v>1</v>
      </c>
      <c r="B391">
        <f>IF($A391=0,0,MAX($B$1:$B390)+1)</f>
        <v>390</v>
      </c>
      <c r="C391" s="369" t="s">
        <v>767</v>
      </c>
      <c r="D391">
        <f t="shared" si="6"/>
        <v>60</v>
      </c>
    </row>
    <row r="392" spans="1:4" ht="15" customHeight="1">
      <c r="A392">
        <v>1</v>
      </c>
      <c r="B392">
        <f>IF($A392=0,0,MAX($B$1:$B391)+1)</f>
        <v>391</v>
      </c>
      <c r="C392" s="369" t="s">
        <v>768</v>
      </c>
      <c r="D392">
        <f t="shared" si="6"/>
        <v>56</v>
      </c>
    </row>
    <row r="393" spans="1:4" ht="15" customHeight="1">
      <c r="A393">
        <v>1</v>
      </c>
      <c r="B393">
        <f>IF($A393=0,0,MAX($B$1:$B392)+1)</f>
        <v>392</v>
      </c>
      <c r="C393" s="369" t="s">
        <v>769</v>
      </c>
      <c r="D393">
        <f t="shared" si="6"/>
        <v>14</v>
      </c>
    </row>
    <row r="394" spans="1:4" ht="15" customHeight="1">
      <c r="A394">
        <v>1</v>
      </c>
      <c r="B394">
        <f>IF($A394=0,0,MAX($B$1:$B393)+1)</f>
        <v>393</v>
      </c>
      <c r="D394">
        <f t="shared" si="6"/>
        <v>0</v>
      </c>
    </row>
    <row r="395" spans="1:4" ht="15" customHeight="1">
      <c r="A395">
        <v>1</v>
      </c>
      <c r="B395">
        <f>IF($A395=0,0,MAX($B$1:$B394)+1)</f>
        <v>394</v>
      </c>
      <c r="C395" s="369" t="s">
        <v>1004</v>
      </c>
      <c r="D395">
        <f t="shared" si="6"/>
        <v>22</v>
      </c>
    </row>
    <row r="396" spans="1:4" ht="15" customHeight="1">
      <c r="A396">
        <v>1</v>
      </c>
      <c r="B396">
        <f>IF($A396=0,0,MAX($B$1:$B395)+1)</f>
        <v>395</v>
      </c>
      <c r="C396" s="369" t="s">
        <v>525</v>
      </c>
      <c r="D396">
        <f t="shared" si="6"/>
        <v>64</v>
      </c>
    </row>
    <row r="397" spans="1:4" ht="15" customHeight="1">
      <c r="A397">
        <v>1</v>
      </c>
      <c r="B397">
        <f>IF($A397=0,0,MAX($B$1:$B396)+1)</f>
        <v>396</v>
      </c>
      <c r="C397" s="369" t="s">
        <v>770</v>
      </c>
      <c r="D397">
        <f t="shared" si="6"/>
        <v>57</v>
      </c>
    </row>
    <row r="398" spans="1:4" ht="15" customHeight="1">
      <c r="A398">
        <v>1</v>
      </c>
      <c r="B398">
        <f>IF($A398=0,0,MAX($B$1:$B397)+1)</f>
        <v>397</v>
      </c>
      <c r="C398" s="369" t="s">
        <v>771</v>
      </c>
      <c r="D398">
        <f t="shared" si="6"/>
        <v>57</v>
      </c>
    </row>
    <row r="399" spans="1:4" ht="15" customHeight="1">
      <c r="A399">
        <v>1</v>
      </c>
      <c r="B399">
        <f>IF($A399=0,0,MAX($B$1:$B398)+1)</f>
        <v>398</v>
      </c>
      <c r="C399" s="369" t="s">
        <v>772</v>
      </c>
      <c r="D399">
        <f t="shared" si="6"/>
        <v>51</v>
      </c>
    </row>
    <row r="400" spans="1:4" ht="15" customHeight="1">
      <c r="A400">
        <v>1</v>
      </c>
      <c r="B400">
        <f>IF($A400=0,0,MAX($B$1:$B399)+1)</f>
        <v>399</v>
      </c>
      <c r="C400" s="369" t="s">
        <v>526</v>
      </c>
      <c r="D400">
        <f t="shared" si="6"/>
        <v>57</v>
      </c>
    </row>
    <row r="401" spans="1:4" ht="15" customHeight="1">
      <c r="A401">
        <v>1</v>
      </c>
      <c r="B401">
        <f>IF($A401=0,0,MAX($B$1:$B400)+1)</f>
        <v>400</v>
      </c>
      <c r="C401" s="369" t="s">
        <v>773</v>
      </c>
      <c r="D401">
        <f t="shared" si="6"/>
        <v>57</v>
      </c>
    </row>
    <row r="402" spans="1:4" ht="15" customHeight="1">
      <c r="A402">
        <v>1</v>
      </c>
      <c r="B402">
        <f>IF($A402=0,0,MAX($B$1:$B401)+1)</f>
        <v>401</v>
      </c>
      <c r="C402" s="369" t="s">
        <v>774</v>
      </c>
      <c r="D402">
        <f t="shared" si="6"/>
        <v>30</v>
      </c>
    </row>
    <row r="403" spans="1:4" ht="15" customHeight="1">
      <c r="A403">
        <v>1</v>
      </c>
      <c r="B403">
        <f>IF($A403=0,0,MAX($B$1:$B402)+1)</f>
        <v>402</v>
      </c>
      <c r="D403">
        <f t="shared" si="6"/>
        <v>0</v>
      </c>
    </row>
    <row r="404" spans="1:4" ht="15" customHeight="1">
      <c r="A404">
        <v>1</v>
      </c>
      <c r="B404">
        <f>IF($A404=0,0,MAX($B$1:$B403)+1)</f>
        <v>403</v>
      </c>
      <c r="C404" s="369" t="s">
        <v>1005</v>
      </c>
      <c r="D404">
        <f t="shared" si="6"/>
        <v>10</v>
      </c>
    </row>
    <row r="405" spans="1:4" ht="15" customHeight="1">
      <c r="A405">
        <v>1</v>
      </c>
      <c r="B405">
        <f>IF($A405=0,0,MAX($B$1:$B404)+1)</f>
        <v>404</v>
      </c>
      <c r="C405" s="369" t="s">
        <v>527</v>
      </c>
      <c r="D405">
        <f t="shared" si="6"/>
        <v>41</v>
      </c>
    </row>
    <row r="406" spans="1:4" ht="15" customHeight="1">
      <c r="A406">
        <v>1</v>
      </c>
      <c r="B406">
        <f>IF($A406=0,0,MAX($B$1:$B405)+1)</f>
        <v>405</v>
      </c>
      <c r="C406" s="369" t="s">
        <v>528</v>
      </c>
      <c r="D406">
        <f t="shared" si="6"/>
        <v>58</v>
      </c>
    </row>
    <row r="407" spans="1:4" ht="15" customHeight="1">
      <c r="A407">
        <v>1</v>
      </c>
      <c r="B407">
        <f>IF($A407=0,0,MAX($B$1:$B406)+1)</f>
        <v>406</v>
      </c>
      <c r="C407" s="369" t="s">
        <v>775</v>
      </c>
      <c r="D407">
        <f t="shared" si="6"/>
        <v>57</v>
      </c>
    </row>
    <row r="408" spans="1:4" ht="15" customHeight="1">
      <c r="A408">
        <v>1</v>
      </c>
      <c r="B408">
        <f>IF($A408=0,0,MAX($B$1:$B407)+1)</f>
        <v>407</v>
      </c>
      <c r="C408" s="369" t="s">
        <v>776</v>
      </c>
      <c r="D408">
        <f t="shared" si="6"/>
        <v>57</v>
      </c>
    </row>
    <row r="409" spans="1:4" ht="15" customHeight="1">
      <c r="A409">
        <v>1</v>
      </c>
      <c r="B409">
        <f>IF($A409=0,0,MAX($B$1:$B408)+1)</f>
        <v>408</v>
      </c>
      <c r="C409" s="369" t="s">
        <v>719</v>
      </c>
      <c r="D409">
        <f t="shared" si="6"/>
        <v>8</v>
      </c>
    </row>
    <row r="410" spans="1:4" ht="15" customHeight="1">
      <c r="A410">
        <v>1</v>
      </c>
      <c r="B410">
        <f>IF($A410=0,0,MAX($B$1:$B409)+1)</f>
        <v>409</v>
      </c>
      <c r="C410" s="369" t="s">
        <v>529</v>
      </c>
      <c r="D410">
        <f t="shared" si="6"/>
        <v>38</v>
      </c>
    </row>
    <row r="411" spans="1:4" ht="15" customHeight="1">
      <c r="A411">
        <v>1</v>
      </c>
      <c r="B411">
        <f>IF($A411=0,0,MAX($B$1:$B410)+1)</f>
        <v>410</v>
      </c>
      <c r="C411" s="369" t="s">
        <v>530</v>
      </c>
      <c r="D411">
        <f t="shared" si="6"/>
        <v>57</v>
      </c>
    </row>
    <row r="412" spans="1:4" ht="15" customHeight="1">
      <c r="A412">
        <v>1</v>
      </c>
      <c r="B412">
        <f>IF($A412=0,0,MAX($B$1:$B411)+1)</f>
        <v>411</v>
      </c>
      <c r="C412" s="369" t="s">
        <v>777</v>
      </c>
      <c r="D412">
        <f t="shared" si="6"/>
        <v>21</v>
      </c>
    </row>
    <row r="413" spans="1:4" ht="15" customHeight="1">
      <c r="A413">
        <v>1</v>
      </c>
      <c r="B413">
        <f>IF($A413=0,0,MAX($B$1:$B412)+1)</f>
        <v>412</v>
      </c>
      <c r="C413" s="369" t="s">
        <v>531</v>
      </c>
      <c r="D413">
        <f t="shared" si="6"/>
        <v>57</v>
      </c>
    </row>
    <row r="414" spans="1:4" ht="15" customHeight="1">
      <c r="A414">
        <v>1</v>
      </c>
      <c r="B414">
        <f>IF($A414=0,0,MAX($B$1:$B413)+1)</f>
        <v>413</v>
      </c>
      <c r="C414" s="369" t="s">
        <v>778</v>
      </c>
      <c r="D414">
        <f t="shared" si="6"/>
        <v>45</v>
      </c>
    </row>
    <row r="415" spans="1:4" ht="15" customHeight="1">
      <c r="A415">
        <v>1</v>
      </c>
      <c r="B415">
        <f>IF($A415=0,0,MAX($B$1:$B414)+1)</f>
        <v>414</v>
      </c>
      <c r="C415" s="369" t="s">
        <v>532</v>
      </c>
      <c r="D415">
        <f t="shared" si="6"/>
        <v>57</v>
      </c>
    </row>
    <row r="416" spans="1:4" ht="15" customHeight="1">
      <c r="A416">
        <v>1</v>
      </c>
      <c r="B416">
        <f>IF($A416=0,0,MAX($B$1:$B415)+1)</f>
        <v>415</v>
      </c>
      <c r="C416" s="369" t="s">
        <v>779</v>
      </c>
      <c r="D416">
        <f t="shared" si="6"/>
        <v>33</v>
      </c>
    </row>
    <row r="417" spans="1:4" ht="15" customHeight="1">
      <c r="A417">
        <v>1</v>
      </c>
      <c r="B417">
        <f>IF($A417=0,0,MAX($B$1:$B416)+1)</f>
        <v>416</v>
      </c>
      <c r="D417">
        <f t="shared" si="6"/>
        <v>0</v>
      </c>
    </row>
    <row r="418" spans="1:4" ht="15" customHeight="1">
      <c r="A418">
        <v>1</v>
      </c>
      <c r="B418">
        <f>IF($A418=0,0,MAX($B$1:$B417)+1)</f>
        <v>417</v>
      </c>
      <c r="C418" s="369" t="s">
        <v>1006</v>
      </c>
      <c r="D418">
        <f t="shared" si="6"/>
        <v>10</v>
      </c>
    </row>
    <row r="419" spans="1:4" ht="15" customHeight="1">
      <c r="A419">
        <v>1</v>
      </c>
      <c r="B419">
        <f>IF($A419=0,0,MAX($B$1:$B418)+1)</f>
        <v>418</v>
      </c>
      <c r="C419" s="369" t="s">
        <v>533</v>
      </c>
      <c r="D419">
        <f t="shared" si="6"/>
        <v>46</v>
      </c>
    </row>
    <row r="420" spans="1:4" ht="15" customHeight="1">
      <c r="A420">
        <v>1</v>
      </c>
      <c r="B420">
        <f>IF($A420=0,0,MAX($B$1:$B419)+1)</f>
        <v>419</v>
      </c>
      <c r="C420" s="369" t="s">
        <v>534</v>
      </c>
      <c r="D420">
        <f t="shared" si="6"/>
        <v>57</v>
      </c>
    </row>
    <row r="421" spans="1:4" ht="15" customHeight="1">
      <c r="A421">
        <v>1</v>
      </c>
      <c r="B421">
        <f>IF($A421=0,0,MAX($B$1:$B420)+1)</f>
        <v>420</v>
      </c>
      <c r="C421" s="369" t="s">
        <v>535</v>
      </c>
      <c r="D421">
        <f t="shared" si="6"/>
        <v>57</v>
      </c>
    </row>
    <row r="422" spans="1:4" ht="15" customHeight="1">
      <c r="A422">
        <v>1</v>
      </c>
      <c r="B422">
        <f>IF($A422=0,0,MAX($B$1:$B421)+1)</f>
        <v>421</v>
      </c>
      <c r="C422" s="369" t="s">
        <v>780</v>
      </c>
      <c r="D422">
        <f t="shared" si="6"/>
        <v>57</v>
      </c>
    </row>
    <row r="423" spans="1:4" ht="15" customHeight="1">
      <c r="A423">
        <v>1</v>
      </c>
      <c r="B423">
        <f>IF($A423=0,0,MAX($B$1:$B422)+1)</f>
        <v>422</v>
      </c>
      <c r="C423" s="369" t="s">
        <v>781</v>
      </c>
      <c r="D423">
        <f t="shared" si="6"/>
        <v>57</v>
      </c>
    </row>
    <row r="424" spans="1:4" ht="15" customHeight="1">
      <c r="A424">
        <v>1</v>
      </c>
      <c r="B424">
        <f>IF($A424=0,0,MAX($B$1:$B423)+1)</f>
        <v>423</v>
      </c>
      <c r="C424" s="369" t="s">
        <v>782</v>
      </c>
      <c r="D424">
        <f t="shared" si="6"/>
        <v>10</v>
      </c>
    </row>
    <row r="425" spans="1:4" ht="15" customHeight="1">
      <c r="A425">
        <v>1</v>
      </c>
      <c r="B425">
        <f>IF($A425=0,0,MAX($B$1:$B424)+1)</f>
        <v>424</v>
      </c>
      <c r="D425">
        <f t="shared" si="6"/>
        <v>0</v>
      </c>
    </row>
    <row r="426" spans="1:4" ht="15" customHeight="1">
      <c r="A426">
        <v>1</v>
      </c>
      <c r="B426">
        <f>IF($A426=0,0,MAX($B$1:$B425)+1)</f>
        <v>425</v>
      </c>
      <c r="C426" s="369" t="s">
        <v>1007</v>
      </c>
      <c r="D426">
        <f t="shared" si="6"/>
        <v>7</v>
      </c>
    </row>
    <row r="427" spans="1:4" ht="15" customHeight="1">
      <c r="A427">
        <v>1</v>
      </c>
      <c r="B427">
        <f>IF($A427=0,0,MAX($B$1:$B426)+1)</f>
        <v>426</v>
      </c>
      <c r="C427" s="369" t="s">
        <v>536</v>
      </c>
      <c r="D427">
        <f t="shared" ref="D427:D496" si="7">LEN(C427)</f>
        <v>59</v>
      </c>
    </row>
    <row r="428" spans="1:4" ht="15" customHeight="1">
      <c r="A428">
        <v>1</v>
      </c>
      <c r="B428">
        <f>IF($A428=0,0,MAX($B$1:$B427)+1)</f>
        <v>427</v>
      </c>
      <c r="C428" s="369" t="s">
        <v>783</v>
      </c>
      <c r="D428">
        <f t="shared" si="7"/>
        <v>13</v>
      </c>
    </row>
    <row r="429" spans="1:4" ht="15" customHeight="1">
      <c r="A429">
        <v>1</v>
      </c>
      <c r="B429">
        <f>IF($A429=0,0,MAX($B$1:$B428)+1)</f>
        <v>428</v>
      </c>
      <c r="C429" s="369" t="s">
        <v>537</v>
      </c>
      <c r="D429">
        <f t="shared" si="7"/>
        <v>50</v>
      </c>
    </row>
    <row r="430" spans="1:4" ht="15" customHeight="1">
      <c r="A430">
        <v>1</v>
      </c>
      <c r="B430">
        <f>IF($A430=0,0,MAX($B$1:$B429)+1)</f>
        <v>429</v>
      </c>
      <c r="C430" s="369" t="s">
        <v>538</v>
      </c>
      <c r="D430">
        <f t="shared" si="7"/>
        <v>57</v>
      </c>
    </row>
    <row r="431" spans="1:4" ht="15" customHeight="1">
      <c r="A431">
        <v>1</v>
      </c>
      <c r="B431">
        <f>IF($A431=0,0,MAX($B$1:$B430)+1)</f>
        <v>430</v>
      </c>
      <c r="C431" s="369" t="s">
        <v>784</v>
      </c>
      <c r="D431">
        <f t="shared" si="7"/>
        <v>16</v>
      </c>
    </row>
    <row r="432" spans="1:4" ht="15" customHeight="1">
      <c r="A432">
        <v>1</v>
      </c>
      <c r="B432">
        <f>IF($A432=0,0,MAX($B$1:$B431)+1)</f>
        <v>431</v>
      </c>
      <c r="D432">
        <f t="shared" si="7"/>
        <v>0</v>
      </c>
    </row>
    <row r="433" spans="1:4" ht="15" customHeight="1">
      <c r="A433">
        <v>1</v>
      </c>
      <c r="B433">
        <f>IF($A433=0,0,MAX($B$1:$B432)+1)</f>
        <v>432</v>
      </c>
      <c r="C433" s="369" t="s">
        <v>1008</v>
      </c>
      <c r="D433">
        <f t="shared" si="7"/>
        <v>6</v>
      </c>
    </row>
    <row r="434" spans="1:4" ht="15" customHeight="1">
      <c r="A434">
        <v>1</v>
      </c>
      <c r="B434">
        <f>IF($A434=0,0,MAX($B$1:$B433)+1)</f>
        <v>433</v>
      </c>
      <c r="C434" s="369" t="s">
        <v>539</v>
      </c>
      <c r="D434">
        <f t="shared" si="7"/>
        <v>58</v>
      </c>
    </row>
    <row r="435" spans="1:4" ht="15" customHeight="1">
      <c r="A435">
        <v>1</v>
      </c>
      <c r="B435">
        <f>IF($A435=0,0,MAX($B$1:$B434)+1)</f>
        <v>434</v>
      </c>
      <c r="C435" s="369" t="s">
        <v>785</v>
      </c>
      <c r="D435">
        <f t="shared" si="7"/>
        <v>58</v>
      </c>
    </row>
    <row r="436" spans="1:4" ht="15" customHeight="1">
      <c r="A436">
        <v>1</v>
      </c>
      <c r="B436">
        <f>IF($A436=0,0,MAX($B$1:$B435)+1)</f>
        <v>435</v>
      </c>
      <c r="C436" s="369" t="s">
        <v>786</v>
      </c>
      <c r="D436">
        <f t="shared" si="7"/>
        <v>45</v>
      </c>
    </row>
    <row r="437" spans="1:4" ht="15" customHeight="1">
      <c r="A437">
        <v>1</v>
      </c>
      <c r="B437">
        <f>IF($A437=0,0,MAX($B$1:$B436)+1)</f>
        <v>436</v>
      </c>
      <c r="C437" s="369" t="s">
        <v>7164</v>
      </c>
      <c r="D437">
        <f t="shared" si="7"/>
        <v>57</v>
      </c>
    </row>
    <row r="438" spans="1:4" ht="15" customHeight="1">
      <c r="A438">
        <v>1</v>
      </c>
      <c r="B438">
        <f>IF($A438=0,0,MAX($B$1:$B437)+1)</f>
        <v>437</v>
      </c>
      <c r="C438" s="369" t="s">
        <v>7165</v>
      </c>
      <c r="D438">
        <f t="shared" si="7"/>
        <v>55</v>
      </c>
    </row>
    <row r="439" spans="1:4" ht="15" customHeight="1">
      <c r="A439">
        <v>1</v>
      </c>
      <c r="B439">
        <f>IF($A439=0,0,MAX($B$1:$B438)+1)</f>
        <v>438</v>
      </c>
      <c r="C439" s="369" t="s">
        <v>7221</v>
      </c>
      <c r="D439">
        <f t="shared" si="7"/>
        <v>57</v>
      </c>
    </row>
    <row r="440" spans="1:4" ht="15" customHeight="1">
      <c r="A440">
        <v>1</v>
      </c>
      <c r="B440">
        <f>IF($A440=0,0,MAX($B$1:$B439)+1)</f>
        <v>439</v>
      </c>
      <c r="C440" s="369" t="s">
        <v>7222</v>
      </c>
      <c r="D440">
        <f t="shared" si="7"/>
        <v>58</v>
      </c>
    </row>
    <row r="441" spans="1:4" ht="15" customHeight="1">
      <c r="A441">
        <v>1</v>
      </c>
      <c r="B441">
        <f>IF($A441=0,0,MAX($B$1:$B440)+1)</f>
        <v>440</v>
      </c>
      <c r="C441" s="369" t="s">
        <v>787</v>
      </c>
      <c r="D441">
        <f t="shared" si="7"/>
        <v>57</v>
      </c>
    </row>
    <row r="442" spans="1:4" ht="15" customHeight="1">
      <c r="A442">
        <v>1</v>
      </c>
      <c r="B442">
        <f>IF($A442=0,0,MAX($B$1:$B441)+1)</f>
        <v>441</v>
      </c>
      <c r="C442" s="369" t="s">
        <v>7223</v>
      </c>
      <c r="D442">
        <f t="shared" si="7"/>
        <v>58</v>
      </c>
    </row>
    <row r="443" spans="1:4" ht="15" customHeight="1">
      <c r="A443">
        <v>1</v>
      </c>
      <c r="B443">
        <f>IF($A443=0,0,MAX($B$1:$B442)+1)</f>
        <v>442</v>
      </c>
      <c r="C443" s="369" t="s">
        <v>788</v>
      </c>
      <c r="D443">
        <f t="shared" si="7"/>
        <v>42</v>
      </c>
    </row>
    <row r="444" spans="1:4" ht="15" customHeight="1">
      <c r="A444">
        <v>1</v>
      </c>
      <c r="B444">
        <f>IF($A444=0,0,MAX($B$1:$B443)+1)</f>
        <v>443</v>
      </c>
      <c r="C444" s="369" t="s">
        <v>7224</v>
      </c>
      <c r="D444">
        <f t="shared" si="7"/>
        <v>57</v>
      </c>
    </row>
    <row r="445" spans="1:4" ht="15" customHeight="1">
      <c r="A445">
        <v>1</v>
      </c>
      <c r="B445">
        <f>IF($A445=0,0,MAX($B$1:$B444)+1)</f>
        <v>444</v>
      </c>
      <c r="C445" s="369" t="s">
        <v>789</v>
      </c>
      <c r="D445">
        <f t="shared" si="7"/>
        <v>58</v>
      </c>
    </row>
    <row r="446" spans="1:4" ht="15" customHeight="1">
      <c r="A446">
        <v>1</v>
      </c>
      <c r="B446">
        <f>IF($A446=0,0,MAX($B$1:$B445)+1)</f>
        <v>445</v>
      </c>
      <c r="C446" s="369" t="s">
        <v>790</v>
      </c>
      <c r="D446">
        <f t="shared" si="7"/>
        <v>20</v>
      </c>
    </row>
    <row r="447" spans="1:4" ht="15" customHeight="1">
      <c r="A447">
        <v>1</v>
      </c>
      <c r="B447">
        <f>IF($A447=0,0,MAX($B$1:$B446)+1)</f>
        <v>446</v>
      </c>
      <c r="C447" s="369" t="s">
        <v>7225</v>
      </c>
      <c r="D447">
        <f t="shared" si="7"/>
        <v>57</v>
      </c>
    </row>
    <row r="448" spans="1:4" ht="15" customHeight="1">
      <c r="A448">
        <v>1</v>
      </c>
      <c r="B448">
        <f>IF($A448=0,0,MAX($B$1:$B447)+1)</f>
        <v>447</v>
      </c>
      <c r="C448" s="369" t="s">
        <v>7183</v>
      </c>
      <c r="D448">
        <f t="shared" si="7"/>
        <v>60</v>
      </c>
    </row>
    <row r="449" spans="1:4" ht="15" customHeight="1">
      <c r="A449">
        <v>1</v>
      </c>
      <c r="B449">
        <f>IF($A449=0,0,MAX($B$1:$B448)+1)</f>
        <v>448</v>
      </c>
      <c r="C449" s="369" t="s">
        <v>7185</v>
      </c>
      <c r="D449">
        <f t="shared" si="7"/>
        <v>57</v>
      </c>
    </row>
    <row r="450" spans="1:4" ht="15" customHeight="1">
      <c r="A450">
        <v>1</v>
      </c>
      <c r="B450">
        <f>IF($A450=0,0,MAX($B$1:$B449)+1)</f>
        <v>449</v>
      </c>
      <c r="C450" s="369" t="s">
        <v>7184</v>
      </c>
      <c r="D450">
        <f t="shared" si="7"/>
        <v>13</v>
      </c>
    </row>
    <row r="451" spans="1:4" ht="15" customHeight="1">
      <c r="A451">
        <v>1</v>
      </c>
      <c r="B451">
        <f>IF($A451=0,0,MAX($B$1:$B450)+1)</f>
        <v>450</v>
      </c>
      <c r="D451">
        <f t="shared" si="7"/>
        <v>0</v>
      </c>
    </row>
    <row r="452" spans="1:4" ht="15" customHeight="1">
      <c r="A452">
        <v>1</v>
      </c>
      <c r="B452">
        <f>IF($A452=0,0,MAX($B$1:$B451)+1)</f>
        <v>451</v>
      </c>
      <c r="C452" s="369" t="s">
        <v>1009</v>
      </c>
      <c r="D452">
        <f t="shared" si="7"/>
        <v>8</v>
      </c>
    </row>
    <row r="453" spans="1:4" ht="15" customHeight="1">
      <c r="A453">
        <v>1</v>
      </c>
      <c r="B453">
        <f>IF($A453=0,0,MAX($B$1:$B452)+1)</f>
        <v>452</v>
      </c>
      <c r="C453" s="369" t="s">
        <v>7166</v>
      </c>
      <c r="D453">
        <f t="shared" si="7"/>
        <v>58</v>
      </c>
    </row>
    <row r="454" spans="1:4" ht="15" customHeight="1">
      <c r="A454">
        <v>1</v>
      </c>
      <c r="B454">
        <f>IF($A454=0,0,MAX($B$1:$B453)+1)</f>
        <v>453</v>
      </c>
      <c r="C454" s="369" t="s">
        <v>7167</v>
      </c>
      <c r="D454">
        <f t="shared" si="7"/>
        <v>58</v>
      </c>
    </row>
    <row r="455" spans="1:4" ht="15" customHeight="1">
      <c r="A455">
        <v>1</v>
      </c>
      <c r="B455">
        <f>IF($A455=0,0,MAX($B$1:$B454)+1)</f>
        <v>454</v>
      </c>
      <c r="C455" s="369" t="s">
        <v>7226</v>
      </c>
      <c r="D455">
        <f t="shared" si="7"/>
        <v>43</v>
      </c>
    </row>
    <row r="456" spans="1:4" ht="15" customHeight="1">
      <c r="A456">
        <v>1</v>
      </c>
      <c r="B456">
        <f>IF($A456=0,0,MAX($B$1:$B455)+1)</f>
        <v>455</v>
      </c>
      <c r="C456" s="369" t="s">
        <v>7164</v>
      </c>
      <c r="D456">
        <f t="shared" si="7"/>
        <v>57</v>
      </c>
    </row>
    <row r="457" spans="1:4" ht="15" customHeight="1">
      <c r="A457">
        <v>1</v>
      </c>
      <c r="B457">
        <f>IF($A457=0,0,MAX($B$1:$B456)+1)</f>
        <v>456</v>
      </c>
      <c r="C457" s="369" t="s">
        <v>7165</v>
      </c>
      <c r="D457">
        <f t="shared" si="7"/>
        <v>55</v>
      </c>
    </row>
    <row r="458" spans="1:4" ht="15" customHeight="1">
      <c r="A458">
        <v>1</v>
      </c>
      <c r="B458">
        <f>IF($A458=0,0,MAX($B$1:$B457)+1)</f>
        <v>457</v>
      </c>
      <c r="C458" s="369" t="s">
        <v>7227</v>
      </c>
      <c r="D458">
        <f t="shared" si="7"/>
        <v>57</v>
      </c>
    </row>
    <row r="459" spans="1:4" ht="15" customHeight="1">
      <c r="A459">
        <v>1</v>
      </c>
      <c r="B459">
        <f>IF($A459=0,0,MAX($B$1:$B458)+1)</f>
        <v>458</v>
      </c>
      <c r="C459" s="369" t="s">
        <v>7168</v>
      </c>
      <c r="D459">
        <f t="shared" si="7"/>
        <v>58</v>
      </c>
    </row>
    <row r="460" spans="1:4" ht="15" customHeight="1">
      <c r="A460">
        <v>1</v>
      </c>
      <c r="B460">
        <f>IF($A460=0,0,MAX($B$1:$B459)+1)</f>
        <v>459</v>
      </c>
      <c r="C460" s="369" t="s">
        <v>791</v>
      </c>
      <c r="D460">
        <f t="shared" si="7"/>
        <v>34</v>
      </c>
    </row>
    <row r="461" spans="1:4" ht="15" customHeight="1">
      <c r="A461">
        <v>1</v>
      </c>
      <c r="B461">
        <f>IF($A461=0,0,MAX($B$1:$B460)+1)</f>
        <v>460</v>
      </c>
      <c r="C461" s="369" t="s">
        <v>7228</v>
      </c>
      <c r="D461">
        <f t="shared" si="7"/>
        <v>57</v>
      </c>
    </row>
    <row r="462" spans="1:4" ht="15" customHeight="1">
      <c r="A462">
        <v>1</v>
      </c>
      <c r="B462">
        <f>IF($A462=0,0,MAX($B$1:$B461)+1)</f>
        <v>461</v>
      </c>
      <c r="C462" s="369" t="s">
        <v>7229</v>
      </c>
      <c r="D462">
        <f t="shared" si="7"/>
        <v>60</v>
      </c>
    </row>
    <row r="463" spans="1:4" ht="15" customHeight="1">
      <c r="A463">
        <v>1</v>
      </c>
      <c r="B463">
        <f>IF($A463=0,0,MAX($B$1:$B462)+1)</f>
        <v>462</v>
      </c>
      <c r="C463" s="369" t="s">
        <v>7230</v>
      </c>
      <c r="D463">
        <f t="shared" si="7"/>
        <v>57</v>
      </c>
    </row>
    <row r="464" spans="1:4" ht="15" customHeight="1">
      <c r="A464">
        <v>1</v>
      </c>
      <c r="B464">
        <f>IF($A464=0,0,MAX($B$1:$B463)+1)</f>
        <v>463</v>
      </c>
      <c r="C464" s="369" t="s">
        <v>7231</v>
      </c>
      <c r="D464">
        <f t="shared" si="7"/>
        <v>60</v>
      </c>
    </row>
    <row r="465" spans="1:4" ht="15" customHeight="1">
      <c r="A465">
        <v>1</v>
      </c>
      <c r="B465">
        <f>IF($A465=0,0,MAX($B$1:$B464)+1)</f>
        <v>464</v>
      </c>
      <c r="C465" s="369" t="s">
        <v>792</v>
      </c>
      <c r="D465">
        <f t="shared" si="7"/>
        <v>13</v>
      </c>
    </row>
    <row r="466" spans="1:4" ht="15" customHeight="1">
      <c r="A466">
        <v>1</v>
      </c>
      <c r="B466">
        <f>IF($A466=0,0,MAX($B$1:$B465)+1)</f>
        <v>465</v>
      </c>
      <c r="D466">
        <f t="shared" si="7"/>
        <v>0</v>
      </c>
    </row>
    <row r="467" spans="1:4" ht="15" customHeight="1">
      <c r="A467">
        <v>1</v>
      </c>
      <c r="B467">
        <f>IF($A467=0,0,MAX($B$1:$B466)+1)</f>
        <v>466</v>
      </c>
      <c r="C467" s="369" t="s">
        <v>1010</v>
      </c>
      <c r="D467">
        <f t="shared" si="7"/>
        <v>10</v>
      </c>
    </row>
    <row r="468" spans="1:4" ht="15" customHeight="1">
      <c r="A468">
        <v>1</v>
      </c>
      <c r="B468">
        <f>IF($A468=0,0,MAX($B$1:$B467)+1)</f>
        <v>467</v>
      </c>
      <c r="C468" s="369" t="s">
        <v>7232</v>
      </c>
      <c r="D468">
        <f t="shared" si="7"/>
        <v>59</v>
      </c>
    </row>
    <row r="469" spans="1:4" ht="15" customHeight="1">
      <c r="A469">
        <v>1</v>
      </c>
      <c r="B469">
        <f>IF($A469=0,0,MAX($B$1:$B468)+1)</f>
        <v>468</v>
      </c>
      <c r="C469" s="369" t="s">
        <v>793</v>
      </c>
      <c r="D469">
        <f t="shared" si="7"/>
        <v>57</v>
      </c>
    </row>
    <row r="470" spans="1:4" ht="15" customHeight="1">
      <c r="A470">
        <v>1</v>
      </c>
      <c r="B470">
        <f>IF($A470=0,0,MAX($B$1:$B469)+1)</f>
        <v>469</v>
      </c>
      <c r="C470" s="369" t="s">
        <v>794</v>
      </c>
      <c r="D470">
        <f t="shared" si="7"/>
        <v>20</v>
      </c>
    </row>
    <row r="471" spans="1:4" ht="15" customHeight="1">
      <c r="A471">
        <v>1</v>
      </c>
      <c r="B471">
        <f>IF($A471=0,0,MAX($B$1:$B470)+1)</f>
        <v>470</v>
      </c>
      <c r="C471" s="369" t="s">
        <v>540</v>
      </c>
      <c r="D471">
        <f t="shared" si="7"/>
        <v>57</v>
      </c>
    </row>
    <row r="472" spans="1:4" ht="15" customHeight="1">
      <c r="A472">
        <v>1</v>
      </c>
      <c r="B472">
        <f>IF($A472=0,0,MAX($B$1:$B471)+1)</f>
        <v>471</v>
      </c>
      <c r="C472" s="369" t="s">
        <v>795</v>
      </c>
      <c r="D472">
        <f t="shared" si="7"/>
        <v>22</v>
      </c>
    </row>
    <row r="473" spans="1:4" ht="15" customHeight="1">
      <c r="A473">
        <v>1</v>
      </c>
      <c r="B473">
        <f>IF($A473=0,0,MAX($B$1:$B472)+1)</f>
        <v>472</v>
      </c>
      <c r="C473" s="369" t="s">
        <v>7186</v>
      </c>
      <c r="D473">
        <f t="shared" si="7"/>
        <v>57</v>
      </c>
    </row>
    <row r="474" spans="1:4" ht="15" customHeight="1">
      <c r="A474">
        <v>1</v>
      </c>
      <c r="B474">
        <f>IF($A474=0,0,MAX($B$1:$B473)+1)</f>
        <v>473</v>
      </c>
      <c r="C474" s="369" t="s">
        <v>7187</v>
      </c>
      <c r="D474">
        <f t="shared" si="7"/>
        <v>56</v>
      </c>
    </row>
    <row r="475" spans="1:4" ht="15" customHeight="1">
      <c r="A475">
        <v>1</v>
      </c>
      <c r="B475">
        <f>IF($A475=0,0,MAX($B$1:$B474)+1)</f>
        <v>474</v>
      </c>
      <c r="C475" s="369" t="s">
        <v>7233</v>
      </c>
      <c r="D475">
        <f t="shared" si="7"/>
        <v>57</v>
      </c>
    </row>
    <row r="476" spans="1:4" ht="15" customHeight="1">
      <c r="A476">
        <v>1</v>
      </c>
      <c r="B476">
        <f>IF($A476=0,0,MAX($B$1:$B475)+1)</f>
        <v>475</v>
      </c>
      <c r="C476" s="369" t="s">
        <v>796</v>
      </c>
      <c r="D476">
        <f t="shared" si="7"/>
        <v>26</v>
      </c>
    </row>
    <row r="477" spans="1:4" ht="15" customHeight="1">
      <c r="A477">
        <v>1</v>
      </c>
      <c r="B477">
        <f>IF($A477=0,0,MAX($B$1:$B476)+1)</f>
        <v>476</v>
      </c>
      <c r="D477">
        <f t="shared" si="7"/>
        <v>0</v>
      </c>
    </row>
    <row r="478" spans="1:4" ht="15" customHeight="1">
      <c r="A478">
        <v>1</v>
      </c>
      <c r="B478">
        <f>IF($A478=0,0,MAX($B$1:$B477)+1)</f>
        <v>477</v>
      </c>
      <c r="C478" s="369" t="s">
        <v>1011</v>
      </c>
      <c r="D478">
        <f t="shared" si="7"/>
        <v>10</v>
      </c>
    </row>
    <row r="479" spans="1:4" ht="15" customHeight="1">
      <c r="A479">
        <v>1</v>
      </c>
      <c r="B479">
        <f>IF($A479=0,0,MAX($B$1:$B478)+1)</f>
        <v>478</v>
      </c>
      <c r="C479" s="369" t="s">
        <v>7169</v>
      </c>
      <c r="D479">
        <f t="shared" si="7"/>
        <v>58</v>
      </c>
    </row>
    <row r="480" spans="1:4" ht="15" customHeight="1">
      <c r="A480">
        <v>1</v>
      </c>
      <c r="B480">
        <f>IF($A480=0,0,MAX($B$1:$B479)+1)</f>
        <v>479</v>
      </c>
      <c r="C480" s="369" t="s">
        <v>7170</v>
      </c>
      <c r="D480">
        <f t="shared" si="7"/>
        <v>58</v>
      </c>
    </row>
    <row r="481" spans="1:6" ht="15" customHeight="1">
      <c r="A481">
        <v>1</v>
      </c>
      <c r="B481">
        <f>IF($A481=0,0,MAX($B$1:$B480)+1)</f>
        <v>480</v>
      </c>
      <c r="C481" s="369" t="s">
        <v>7179</v>
      </c>
      <c r="D481">
        <f t="shared" si="7"/>
        <v>59</v>
      </c>
      <c r="E481" s="1">
        <v>6</v>
      </c>
    </row>
    <row r="482" spans="1:6" ht="15" customHeight="1">
      <c r="A482">
        <v>1</v>
      </c>
      <c r="B482">
        <f>IF($A482=0,0,MAX($B$1:$B481)+1)</f>
        <v>481</v>
      </c>
      <c r="C482" s="369" t="s">
        <v>7180</v>
      </c>
      <c r="D482">
        <f t="shared" si="7"/>
        <v>41</v>
      </c>
    </row>
    <row r="483" spans="1:6" ht="15" customHeight="1">
      <c r="A483">
        <v>1</v>
      </c>
      <c r="B483">
        <f>IF($A483=0,0,MAX($B$1:$B482)+1)</f>
        <v>482</v>
      </c>
      <c r="D483">
        <f t="shared" si="7"/>
        <v>0</v>
      </c>
    </row>
    <row r="484" spans="1:6" ht="15" customHeight="1">
      <c r="A484">
        <v>1</v>
      </c>
      <c r="B484">
        <f>IF($A484=0,0,MAX($B$1:$B483)+1)</f>
        <v>483</v>
      </c>
      <c r="C484" s="369" t="s">
        <v>1012</v>
      </c>
      <c r="D484">
        <f t="shared" si="7"/>
        <v>6</v>
      </c>
    </row>
    <row r="485" spans="1:6" ht="15" customHeight="1">
      <c r="A485">
        <v>1</v>
      </c>
      <c r="B485">
        <f>IF($A485=0,0,MAX($B$1:$B484)+1)</f>
        <v>484</v>
      </c>
      <c r="C485" s="369" t="s">
        <v>5177</v>
      </c>
      <c r="D485">
        <f t="shared" si="7"/>
        <v>58</v>
      </c>
    </row>
    <row r="486" spans="1:6" ht="15" customHeight="1">
      <c r="A486">
        <v>1</v>
      </c>
      <c r="B486">
        <f>IF($A486=0,0,MAX($B$1:$B485)+1)</f>
        <v>485</v>
      </c>
      <c r="C486" s="369" t="s">
        <v>5178</v>
      </c>
      <c r="D486">
        <f t="shared" si="7"/>
        <v>57</v>
      </c>
    </row>
    <row r="487" spans="1:6" ht="15" customHeight="1">
      <c r="A487">
        <v>1</v>
      </c>
      <c r="B487">
        <f>IF($A487=0,0,MAX($B$1:$B486)+1)</f>
        <v>486</v>
      </c>
      <c r="C487" s="369" t="s">
        <v>5179</v>
      </c>
      <c r="D487">
        <f t="shared" si="7"/>
        <v>56</v>
      </c>
    </row>
    <row r="488" spans="1:6" ht="15" customHeight="1">
      <c r="A488">
        <v>1</v>
      </c>
      <c r="B488">
        <f>IF($A488=0,0,MAX($B$1:$B487)+1)</f>
        <v>487</v>
      </c>
      <c r="C488" s="369" t="s">
        <v>5180</v>
      </c>
      <c r="D488">
        <f t="shared" si="7"/>
        <v>58</v>
      </c>
    </row>
    <row r="489" spans="1:6" ht="15" customHeight="1">
      <c r="A489">
        <v>1</v>
      </c>
      <c r="B489">
        <f>IF($A489=0,0,MAX($B$1:$B488)+1)</f>
        <v>488</v>
      </c>
      <c r="C489" s="369" t="str">
        <f>"　ただし、この請求は、工期中　"&amp;IFERROR(REPT("　",6-LEN($E$489))&amp;$E$489,REPT("　",6))&amp;"　回を超えることができない。"</f>
        <v>　ただし、この請求は、工期中　　　　　　　　回を超えることができない。</v>
      </c>
      <c r="D489">
        <f t="shared" si="7"/>
        <v>35</v>
      </c>
      <c r="E489" s="437" t="str">
        <f>'&lt;使わない&gt;当初書類'!E43</f>
        <v/>
      </c>
      <c r="F489" s="437"/>
    </row>
    <row r="490" spans="1:6" ht="15" customHeight="1">
      <c r="A490">
        <v>1</v>
      </c>
      <c r="B490">
        <f>IF($A490=0,0,MAX($B$1:$B489)+1)</f>
        <v>489</v>
      </c>
      <c r="C490" s="369" t="s">
        <v>541</v>
      </c>
      <c r="D490">
        <f t="shared" si="7"/>
        <v>57</v>
      </c>
    </row>
    <row r="491" spans="1:6" ht="15" customHeight="1">
      <c r="A491">
        <v>1</v>
      </c>
      <c r="B491">
        <f>IF($A491=0,0,MAX($B$1:$B490)+1)</f>
        <v>490</v>
      </c>
      <c r="C491" s="369" t="s">
        <v>797</v>
      </c>
      <c r="D491">
        <f t="shared" si="7"/>
        <v>37</v>
      </c>
    </row>
    <row r="492" spans="1:6" ht="15" customHeight="1">
      <c r="A492">
        <v>1</v>
      </c>
      <c r="B492">
        <f>IF($A492=0,0,MAX($B$1:$B491)+1)</f>
        <v>491</v>
      </c>
      <c r="C492" s="369" t="s">
        <v>542</v>
      </c>
      <c r="D492">
        <f t="shared" si="7"/>
        <v>58</v>
      </c>
    </row>
    <row r="493" spans="1:6" ht="15" customHeight="1">
      <c r="A493">
        <v>1</v>
      </c>
      <c r="B493">
        <f>IF($A493=0,0,MAX($B$1:$B492)+1)</f>
        <v>492</v>
      </c>
      <c r="C493" s="369" t="s">
        <v>798</v>
      </c>
      <c r="D493">
        <f t="shared" si="7"/>
        <v>58</v>
      </c>
    </row>
    <row r="494" spans="1:6" ht="15" customHeight="1">
      <c r="A494">
        <v>1</v>
      </c>
      <c r="B494">
        <f>IF($A494=0,0,MAX($B$1:$B493)+1)</f>
        <v>493</v>
      </c>
      <c r="C494" s="369" t="s">
        <v>799</v>
      </c>
      <c r="D494">
        <f t="shared" si="7"/>
        <v>55</v>
      </c>
    </row>
    <row r="495" spans="1:6" ht="15" customHeight="1">
      <c r="A495">
        <v>1</v>
      </c>
      <c r="B495">
        <f>IF($A495=0,0,MAX($B$1:$B494)+1)</f>
        <v>494</v>
      </c>
      <c r="C495" s="369" t="s">
        <v>543</v>
      </c>
      <c r="D495">
        <f t="shared" si="7"/>
        <v>38</v>
      </c>
    </row>
    <row r="496" spans="1:6" ht="15" customHeight="1">
      <c r="A496">
        <v>1</v>
      </c>
      <c r="B496">
        <f>IF($A496=0,0,MAX($B$1:$B495)+1)</f>
        <v>495</v>
      </c>
      <c r="C496" s="369" t="s">
        <v>544</v>
      </c>
      <c r="D496">
        <f t="shared" si="7"/>
        <v>57</v>
      </c>
    </row>
    <row r="497" spans="1:4" ht="15" customHeight="1">
      <c r="A497">
        <v>1</v>
      </c>
      <c r="B497">
        <f>IF($A497=0,0,MAX($B$1:$B496)+1)</f>
        <v>496</v>
      </c>
      <c r="C497" s="369" t="s">
        <v>800</v>
      </c>
      <c r="D497">
        <f t="shared" ref="D497:D557" si="8">LEN(C497)</f>
        <v>34</v>
      </c>
    </row>
    <row r="498" spans="1:4" ht="15" customHeight="1">
      <c r="A498">
        <v>1</v>
      </c>
      <c r="B498">
        <f>IF($A498=0,0,MAX($B$1:$B497)+1)</f>
        <v>497</v>
      </c>
      <c r="C498" s="369" t="s">
        <v>545</v>
      </c>
      <c r="D498">
        <f t="shared" si="8"/>
        <v>57</v>
      </c>
    </row>
    <row r="499" spans="1:4" ht="15" customHeight="1">
      <c r="A499">
        <v>1</v>
      </c>
      <c r="B499">
        <f>IF($A499=0,0,MAX($B$1:$B498)+1)</f>
        <v>498</v>
      </c>
      <c r="C499" s="369" t="s">
        <v>801</v>
      </c>
      <c r="D499">
        <f t="shared" si="8"/>
        <v>59</v>
      </c>
    </row>
    <row r="500" spans="1:4" ht="15" customHeight="1">
      <c r="A500">
        <v>1</v>
      </c>
      <c r="B500">
        <f>IF($A500=0,0,MAX($B$1:$B499)+1)</f>
        <v>499</v>
      </c>
      <c r="C500" s="369" t="s">
        <v>7188</v>
      </c>
      <c r="D500">
        <f t="shared" si="8"/>
        <v>42</v>
      </c>
    </row>
    <row r="501" spans="1:4" ht="15" customHeight="1">
      <c r="A501">
        <v>1</v>
      </c>
      <c r="B501">
        <f>IF($A501=0,0,MAX($B$1:$B500)+1)</f>
        <v>500</v>
      </c>
      <c r="C501" s="369" t="s">
        <v>546</v>
      </c>
      <c r="D501">
        <f t="shared" si="8"/>
        <v>57</v>
      </c>
    </row>
    <row r="502" spans="1:4" ht="15" customHeight="1">
      <c r="A502">
        <v>1</v>
      </c>
      <c r="B502">
        <f>IF($A502=0,0,MAX($B$1:$B501)+1)</f>
        <v>501</v>
      </c>
      <c r="C502" s="369" t="s">
        <v>802</v>
      </c>
      <c r="D502">
        <f t="shared" si="8"/>
        <v>54</v>
      </c>
    </row>
    <row r="503" spans="1:4" ht="15" customHeight="1">
      <c r="A503">
        <v>1</v>
      </c>
      <c r="B503">
        <f>IF($A503=0,0,MAX($B$1:$B502)+1)</f>
        <v>502</v>
      </c>
      <c r="D503">
        <f t="shared" si="8"/>
        <v>0</v>
      </c>
    </row>
    <row r="504" spans="1:4" ht="15" customHeight="1">
      <c r="A504">
        <v>1</v>
      </c>
      <c r="B504">
        <f>IF($A504=0,0,MAX($B$1:$B503)+1)</f>
        <v>503</v>
      </c>
      <c r="C504" s="369" t="s">
        <v>1013</v>
      </c>
      <c r="D504">
        <f t="shared" si="8"/>
        <v>8</v>
      </c>
    </row>
    <row r="505" spans="1:4" ht="15" customHeight="1">
      <c r="A505">
        <v>1</v>
      </c>
      <c r="B505">
        <f>IF($A505=0,0,MAX($B$1:$B504)+1)</f>
        <v>504</v>
      </c>
      <c r="C505" s="369" t="s">
        <v>547</v>
      </c>
      <c r="D505">
        <f t="shared" si="8"/>
        <v>58</v>
      </c>
    </row>
    <row r="506" spans="1:4" ht="15" customHeight="1">
      <c r="A506">
        <v>1</v>
      </c>
      <c r="B506">
        <f>IF($A506=0,0,MAX($B$1:$B505)+1)</f>
        <v>505</v>
      </c>
      <c r="C506" s="369" t="s">
        <v>803</v>
      </c>
      <c r="D506">
        <f t="shared" si="8"/>
        <v>58</v>
      </c>
    </row>
    <row r="507" spans="1:4" ht="15" customHeight="1">
      <c r="A507">
        <v>1</v>
      </c>
      <c r="B507">
        <f>IF($A507=0,0,MAX($B$1:$B506)+1)</f>
        <v>506</v>
      </c>
      <c r="C507" s="369" t="s">
        <v>804</v>
      </c>
      <c r="D507">
        <f t="shared" si="8"/>
        <v>58</v>
      </c>
    </row>
    <row r="508" spans="1:4" ht="15" customHeight="1">
      <c r="A508">
        <v>1</v>
      </c>
      <c r="B508">
        <f>IF($A508=0,0,MAX($B$1:$B507)+1)</f>
        <v>507</v>
      </c>
      <c r="C508" s="369" t="s">
        <v>805</v>
      </c>
      <c r="D508">
        <f t="shared" si="8"/>
        <v>41</v>
      </c>
    </row>
    <row r="509" spans="1:4" ht="15" customHeight="1">
      <c r="A509">
        <v>1</v>
      </c>
      <c r="B509">
        <f>IF($A509=0,0,MAX($B$1:$B508)+1)</f>
        <v>508</v>
      </c>
      <c r="C509" s="369" t="s">
        <v>548</v>
      </c>
      <c r="D509">
        <f t="shared" si="8"/>
        <v>58</v>
      </c>
    </row>
    <row r="510" spans="1:4" ht="15" customHeight="1">
      <c r="A510">
        <v>1</v>
      </c>
      <c r="B510">
        <f>IF($A510=0,0,MAX($B$1:$B509)+1)</f>
        <v>509</v>
      </c>
      <c r="C510" s="369" t="s">
        <v>806</v>
      </c>
      <c r="D510">
        <f t="shared" si="8"/>
        <v>57</v>
      </c>
    </row>
    <row r="511" spans="1:4" ht="15" customHeight="1">
      <c r="A511">
        <v>1</v>
      </c>
      <c r="B511">
        <f>IF($A511=0,0,MAX($B$1:$B510)+1)</f>
        <v>510</v>
      </c>
      <c r="C511" s="369" t="s">
        <v>807</v>
      </c>
      <c r="D511">
        <f t="shared" si="8"/>
        <v>59</v>
      </c>
    </row>
    <row r="512" spans="1:4" ht="15" customHeight="1">
      <c r="A512">
        <v>1</v>
      </c>
      <c r="B512">
        <f>IF($A512=0,0,MAX($B$1:$B511)+1)</f>
        <v>511</v>
      </c>
      <c r="C512" s="369" t="s">
        <v>808</v>
      </c>
      <c r="D512">
        <f t="shared" si="8"/>
        <v>10</v>
      </c>
    </row>
    <row r="513" spans="1:6" ht="15" customHeight="1">
      <c r="A513">
        <v>1</v>
      </c>
      <c r="B513">
        <f>IF($A513=0,0,MAX($B$1:$B512)+1)</f>
        <v>512</v>
      </c>
      <c r="C513" s="369" t="s">
        <v>7189</v>
      </c>
      <c r="D513">
        <f t="shared" si="8"/>
        <v>49</v>
      </c>
    </row>
    <row r="514" spans="1:6" ht="15" customHeight="1">
      <c r="A514">
        <v>1</v>
      </c>
      <c r="B514">
        <f>IF($A514=0,0,MAX($B$1:$B513)+1)</f>
        <v>513</v>
      </c>
      <c r="D514">
        <f t="shared" si="8"/>
        <v>0</v>
      </c>
      <c r="E514" t="s">
        <v>968</v>
      </c>
      <c r="F514" t="s">
        <v>972</v>
      </c>
    </row>
    <row r="515" spans="1:6" ht="15" customHeight="1">
      <c r="A515">
        <v>1</v>
      </c>
      <c r="B515">
        <f>IF($A515=0,0,MAX($B$1:$B514)+1)</f>
        <v>514</v>
      </c>
      <c r="C515" s="369" t="s">
        <v>1014</v>
      </c>
      <c r="D515">
        <f t="shared" si="8"/>
        <v>17</v>
      </c>
      <c r="E515" t="s">
        <v>969</v>
      </c>
      <c r="F515" s="1">
        <v>4</v>
      </c>
    </row>
    <row r="516" spans="1:6" ht="15" customHeight="1">
      <c r="A516">
        <f>IF($F$1=【随時メンテ】部分払い回数等!$A$13,1,0)</f>
        <v>0</v>
      </c>
      <c r="B516">
        <f>IF($A516=0,0,MAX($B$1:$B515)+1)</f>
        <v>0</v>
      </c>
      <c r="C516" s="369" t="s">
        <v>961</v>
      </c>
      <c r="D516">
        <f t="shared" si="8"/>
        <v>7</v>
      </c>
      <c r="E516" t="s">
        <v>970</v>
      </c>
      <c r="F516" s="1">
        <v>3</v>
      </c>
    </row>
    <row r="517" spans="1:6" ht="15" customHeight="1">
      <c r="A517">
        <f>IF($F$1=【随時メンテ】部分払い回数等!$A$13,1,0)</f>
        <v>0</v>
      </c>
      <c r="B517">
        <f>IF($A517=0,0,MAX($B$1:$B516)+1)</f>
        <v>0</v>
      </c>
      <c r="D517">
        <f t="shared" si="8"/>
        <v>0</v>
      </c>
      <c r="E517" t="s">
        <v>971</v>
      </c>
      <c r="F517" s="1">
        <v>13</v>
      </c>
    </row>
    <row r="518" spans="1:6" ht="15" customHeight="1">
      <c r="A518">
        <f t="shared" ref="A518:A528" si="9">IF($A$516=0,1,0)</f>
        <v>1</v>
      </c>
      <c r="B518">
        <f>IF($A518=0,0,MAX($B$1:$B517)+1)</f>
        <v>515</v>
      </c>
      <c r="C518" s="369" t="s">
        <v>960</v>
      </c>
      <c r="D518">
        <f t="shared" si="8"/>
        <v>58</v>
      </c>
    </row>
    <row r="519" spans="1:6" ht="15" customHeight="1">
      <c r="A519">
        <f t="shared" si="9"/>
        <v>1</v>
      </c>
      <c r="B519">
        <f>IF($A519=0,0,MAX($B$1:$B518)+1)</f>
        <v>516</v>
      </c>
      <c r="C519" s="369" t="s">
        <v>809</v>
      </c>
      <c r="D519">
        <f t="shared" si="8"/>
        <v>10</v>
      </c>
      <c r="E519" t="s">
        <v>965</v>
      </c>
    </row>
    <row r="520" spans="1:6" ht="15" customHeight="1">
      <c r="A520">
        <f t="shared" si="9"/>
        <v>1</v>
      </c>
      <c r="B520">
        <f>IF($A520=0,0,MAX($B$1:$B519)+1)</f>
        <v>517</v>
      </c>
      <c r="C520" s="369" t="str">
        <f>REPT($F$514,$F$515)&amp;IF($E520="",REPT($F$514,LEN($E$519)),$E$519)&amp;REPT($F$514,$F$516-LEN($E520))&amp;$E520&amp;"　年度"&amp;REPT($F$514,$F$517-LEN($F520))&amp;$F520&amp;"　円"</f>
        <v>　　　　　　　　　　年度　　　　　　　　　　　　　　円</v>
      </c>
      <c r="D520">
        <f t="shared" si="8"/>
        <v>27</v>
      </c>
      <c r="E520" t="str">
        <f>DBCS(支払限度額!$D4)</f>
        <v/>
      </c>
      <c r="F520" s="105" t="str">
        <f>IF($E520="","",DBCS(TEXT(支払限度額!$F4,"#,##0")))</f>
        <v/>
      </c>
    </row>
    <row r="521" spans="1:6" ht="15" customHeight="1">
      <c r="A521">
        <f t="shared" si="9"/>
        <v>1</v>
      </c>
      <c r="B521">
        <f>IF($A521=0,0,MAX($B$1:$B520)+1)</f>
        <v>518</v>
      </c>
      <c r="C521" s="369" t="str">
        <f>REPT($F$514,$F$515)&amp;IF($E521="",REPT($F$514,LEN($E$519)),$E$519)&amp;REPT($F$514,$F$516-LEN($E521))&amp;$E521&amp;"　年度"&amp;REPT($F$514,$F$517-LEN($F521))&amp;$F521&amp;"　円"</f>
        <v>　　　　　　　　　　年度　　　　　　　　　　　　　　円</v>
      </c>
      <c r="D521">
        <f t="shared" si="8"/>
        <v>27</v>
      </c>
      <c r="E521" t="str">
        <f>DBCS(支払限度額!$D5)</f>
        <v/>
      </c>
      <c r="F521" s="105" t="str">
        <f>IF($E521="","",DBCS(TEXT(支払限度額!$F5,"#,##0")))</f>
        <v/>
      </c>
    </row>
    <row r="522" spans="1:6" ht="15" customHeight="1">
      <c r="A522">
        <f t="shared" si="9"/>
        <v>1</v>
      </c>
      <c r="B522">
        <f>IF($A522=0,0,MAX($B$1:$B521)+1)</f>
        <v>519</v>
      </c>
      <c r="C522" s="369" t="str">
        <f>REPT($F$514,$F$515)&amp;IF($E522="",REPT($F$514,LEN($E$519)),$E$519)&amp;REPT($F$514,$F$516-LEN($E522))&amp;$E522&amp;"　年度"&amp;REPT($F$514,$F$517-LEN($F522))&amp;$F522&amp;"　円"</f>
        <v>　　　　　　　　　　年度　　　　　　　　　　　　　　円</v>
      </c>
      <c r="D522">
        <f t="shared" si="8"/>
        <v>27</v>
      </c>
      <c r="E522" t="str">
        <f>DBCS(支払限度額!$D6)</f>
        <v/>
      </c>
      <c r="F522" s="105" t="str">
        <f>IF($E522="","",DBCS(TEXT(支払限度額!$F6,"#,##0")))</f>
        <v/>
      </c>
    </row>
    <row r="523" spans="1:6" ht="15" customHeight="1">
      <c r="A523">
        <f t="shared" si="9"/>
        <v>1</v>
      </c>
      <c r="B523">
        <f>IF($A523=0,0,MAX($B$1:$B522)+1)</f>
        <v>520</v>
      </c>
      <c r="C523" s="369" t="s">
        <v>549</v>
      </c>
      <c r="D523">
        <f t="shared" si="8"/>
        <v>35</v>
      </c>
    </row>
    <row r="524" spans="1:6" ht="15" customHeight="1">
      <c r="A524">
        <f t="shared" si="9"/>
        <v>1</v>
      </c>
      <c r="B524">
        <f>IF($A524=0,0,MAX($B$1:$B523)+1)</f>
        <v>521</v>
      </c>
      <c r="C524" s="369" t="str">
        <f>REPT($F$514,$F$515)&amp;IF($E524="",REPT($F$514,LEN($E$519)),$E$519)&amp;REPT($F$514,$F$516-LEN($E524))&amp;$E524&amp;"　年度"&amp;REPT($F$514,$F$517-LEN($F524))&amp;$F524&amp;"　円"</f>
        <v>　　　　　　　　　　年度　　　　　　　　　　　　　　円</v>
      </c>
      <c r="D524">
        <f t="shared" si="8"/>
        <v>27</v>
      </c>
      <c r="E524" t="str">
        <f>$E520</f>
        <v/>
      </c>
      <c r="F524" s="105" t="str">
        <f>IF($E524="","",DBCS(TEXT(支払限度額!$F9,"#,##0")))</f>
        <v/>
      </c>
    </row>
    <row r="525" spans="1:6" ht="15" customHeight="1">
      <c r="A525">
        <f t="shared" si="9"/>
        <v>1</v>
      </c>
      <c r="B525">
        <f>IF($A525=0,0,MAX($B$1:$B524)+1)</f>
        <v>522</v>
      </c>
      <c r="C525" s="369" t="str">
        <f>REPT($F$514,$F$515)&amp;IF($E525="",REPT($F$514,LEN($E$519)),$E$519)&amp;REPT($F$514,$F$516-LEN($E525))&amp;$E525&amp;"　年度"&amp;REPT($F$514,$F$517-LEN($F525))&amp;$F525&amp;"　円"</f>
        <v>　　　　　　　　　　年度　　　　　　　　　　　　　　円</v>
      </c>
      <c r="D525">
        <f t="shared" si="8"/>
        <v>27</v>
      </c>
      <c r="E525" t="str">
        <f>$E521</f>
        <v/>
      </c>
      <c r="F525" s="105" t="str">
        <f>IF($E525="","",DBCS(TEXT(支払限度額!$F10,"#,##0")))</f>
        <v/>
      </c>
    </row>
    <row r="526" spans="1:6" ht="15" customHeight="1">
      <c r="A526">
        <f t="shared" si="9"/>
        <v>1</v>
      </c>
      <c r="B526">
        <f>IF($A526=0,0,MAX($B$1:$B525)+1)</f>
        <v>523</v>
      </c>
      <c r="C526" s="369" t="str">
        <f>REPT($F$514,$F$515)&amp;IF($E526="",REPT($F$514,LEN($E$519)),$E$519)&amp;REPT($F$514,$F$516-LEN($E526))&amp;$E526&amp;"　年度"&amp;REPT($F$514,$F$517-LEN($F526))&amp;$F526&amp;"　円"</f>
        <v>　　　　　　　　　　年度　　　　　　　　　　　　　　円</v>
      </c>
      <c r="D526">
        <f t="shared" si="8"/>
        <v>27</v>
      </c>
      <c r="E526" t="str">
        <f>$E522</f>
        <v/>
      </c>
      <c r="F526" s="105" t="str">
        <f>IF($E526="","",DBCS(TEXT(支払限度額!$F11,"#,##0")))</f>
        <v/>
      </c>
    </row>
    <row r="527" spans="1:6" ht="15" customHeight="1">
      <c r="A527">
        <f t="shared" si="9"/>
        <v>1</v>
      </c>
      <c r="B527">
        <f>IF($A527=0,0,MAX($B$1:$B526)+1)</f>
        <v>524</v>
      </c>
      <c r="C527" s="369" t="s">
        <v>550</v>
      </c>
      <c r="D527">
        <f t="shared" si="8"/>
        <v>58</v>
      </c>
    </row>
    <row r="528" spans="1:6" ht="15" customHeight="1">
      <c r="A528">
        <f t="shared" si="9"/>
        <v>1</v>
      </c>
      <c r="B528">
        <f>IF($A528=0,0,MAX($B$1:$B527)+1)</f>
        <v>525</v>
      </c>
      <c r="D528">
        <f t="shared" si="8"/>
        <v>0</v>
      </c>
    </row>
    <row r="529" spans="1:12" ht="15" customHeight="1">
      <c r="A529">
        <v>1</v>
      </c>
      <c r="B529">
        <f>IF($A529=0,0,MAX($B$1:$B528)+1)</f>
        <v>526</v>
      </c>
      <c r="C529" s="369" t="s">
        <v>1015</v>
      </c>
      <c r="D529">
        <f t="shared" si="8"/>
        <v>21</v>
      </c>
    </row>
    <row r="530" spans="1:12" ht="15" customHeight="1">
      <c r="A530">
        <f>IF($F$1=【随時メンテ】部分払い回数等!$A$13,1,0)</f>
        <v>0</v>
      </c>
      <c r="B530">
        <f>IF($A530=0,0,MAX($B$1:$B529)+1)</f>
        <v>0</v>
      </c>
      <c r="C530" s="369" t="s">
        <v>962</v>
      </c>
      <c r="D530">
        <f t="shared" si="8"/>
        <v>7</v>
      </c>
    </row>
    <row r="531" spans="1:12" ht="15" customHeight="1">
      <c r="A531">
        <f>IF($F$1=【随時メンテ】部分払い回数等!$A$13,1,0)</f>
        <v>0</v>
      </c>
      <c r="B531">
        <f>IF($A531=0,0,MAX($B$1:$B530)+1)</f>
        <v>0</v>
      </c>
      <c r="D531">
        <f t="shared" si="8"/>
        <v>0</v>
      </c>
    </row>
    <row r="532" spans="1:12" ht="15" customHeight="1">
      <c r="A532">
        <f t="shared" ref="A532:A551" si="10">IF($A$530=0,1,0)</f>
        <v>1</v>
      </c>
      <c r="B532">
        <f>IF($A532=0,0,MAX($B$1:$B531)+1)</f>
        <v>527</v>
      </c>
      <c r="C532" s="369" t="s">
        <v>551</v>
      </c>
      <c r="D532">
        <f t="shared" si="8"/>
        <v>60</v>
      </c>
    </row>
    <row r="533" spans="1:12" ht="15" customHeight="1">
      <c r="A533">
        <f t="shared" si="10"/>
        <v>1</v>
      </c>
      <c r="B533">
        <f>IF($A533=0,0,MAX($B$1:$B532)+1)</f>
        <v>528</v>
      </c>
      <c r="C533" s="369" t="s">
        <v>1052</v>
      </c>
      <c r="D533">
        <f t="shared" si="8"/>
        <v>58</v>
      </c>
    </row>
    <row r="534" spans="1:12" ht="15" customHeight="1">
      <c r="A534">
        <f t="shared" si="10"/>
        <v>1</v>
      </c>
      <c r="B534">
        <f>IF($A534=0,0,MAX($B$1:$B533)+1)</f>
        <v>529</v>
      </c>
      <c r="C534" s="369" t="s">
        <v>810</v>
      </c>
      <c r="D534">
        <f t="shared" si="8"/>
        <v>57</v>
      </c>
    </row>
    <row r="535" spans="1:12" ht="15" customHeight="1">
      <c r="A535">
        <f t="shared" si="10"/>
        <v>1</v>
      </c>
      <c r="B535">
        <f>IF($A535=0,0,MAX($B$1:$B534)+1)</f>
        <v>530</v>
      </c>
      <c r="C535" s="369" t="s">
        <v>811</v>
      </c>
      <c r="D535">
        <f t="shared" si="8"/>
        <v>60</v>
      </c>
    </row>
    <row r="536" spans="1:12" ht="15" customHeight="1">
      <c r="A536">
        <f t="shared" si="10"/>
        <v>1</v>
      </c>
      <c r="B536">
        <f>IF($A536=0,0,MAX($B$1:$B535)+1)</f>
        <v>531</v>
      </c>
      <c r="C536" s="369" t="s">
        <v>812</v>
      </c>
      <c r="D536">
        <f t="shared" si="8"/>
        <v>58</v>
      </c>
    </row>
    <row r="537" spans="1:12" ht="15" customHeight="1">
      <c r="A537">
        <f t="shared" si="10"/>
        <v>1</v>
      </c>
      <c r="B537">
        <f>IF($A537=0,0,MAX($B$1:$B536)+1)</f>
        <v>532</v>
      </c>
      <c r="C537" s="369" t="s">
        <v>813</v>
      </c>
      <c r="D537">
        <f t="shared" si="8"/>
        <v>57</v>
      </c>
    </row>
    <row r="538" spans="1:12" ht="15" customHeight="1">
      <c r="A538">
        <f t="shared" si="10"/>
        <v>1</v>
      </c>
      <c r="B538">
        <f>IF($A538=0,0,MAX($B$1:$B537)+1)</f>
        <v>533</v>
      </c>
      <c r="C538" s="369" t="s">
        <v>814</v>
      </c>
      <c r="D538">
        <f t="shared" si="8"/>
        <v>15</v>
      </c>
    </row>
    <row r="539" spans="1:12" ht="15" customHeight="1">
      <c r="A539">
        <f t="shared" si="10"/>
        <v>1</v>
      </c>
      <c r="B539">
        <f>IF($A539=0,0,MAX($B$1:$B538)+1)</f>
        <v>534</v>
      </c>
      <c r="C539" s="369" t="s">
        <v>552</v>
      </c>
      <c r="D539">
        <f t="shared" si="8"/>
        <v>57</v>
      </c>
    </row>
    <row r="540" spans="1:12" ht="15" customHeight="1">
      <c r="A540">
        <f t="shared" si="10"/>
        <v>1</v>
      </c>
      <c r="B540">
        <f>IF($A540=0,0,MAX($B$1:$B539)+1)</f>
        <v>535</v>
      </c>
      <c r="C540" s="369" t="s">
        <v>815</v>
      </c>
      <c r="D540">
        <f t="shared" si="8"/>
        <v>59</v>
      </c>
    </row>
    <row r="541" spans="1:12" ht="15" customHeight="1">
      <c r="A541">
        <f t="shared" si="10"/>
        <v>1</v>
      </c>
      <c r="B541">
        <f>IF($A541=0,0,MAX($B$1:$B540)+1)</f>
        <v>536</v>
      </c>
      <c r="C541" s="369" t="s">
        <v>816</v>
      </c>
      <c r="D541">
        <f t="shared" si="8"/>
        <v>9</v>
      </c>
    </row>
    <row r="542" spans="1:12" ht="15" customHeight="1">
      <c r="A542">
        <f t="shared" si="10"/>
        <v>1</v>
      </c>
      <c r="B542">
        <f>IF($A542=0,0,MAX($B$1:$B541)+1)</f>
        <v>537</v>
      </c>
      <c r="C542" s="369" t="s">
        <v>553</v>
      </c>
      <c r="D542">
        <f t="shared" si="8"/>
        <v>57</v>
      </c>
    </row>
    <row r="543" spans="1:12" ht="15" customHeight="1">
      <c r="A543">
        <f t="shared" si="10"/>
        <v>1</v>
      </c>
      <c r="B543">
        <f>IF($A543=0,0,MAX($B$1:$B542)+1)</f>
        <v>538</v>
      </c>
      <c r="C543" s="369" t="s">
        <v>817</v>
      </c>
      <c r="D543">
        <f t="shared" si="8"/>
        <v>59</v>
      </c>
    </row>
    <row r="544" spans="1:12" ht="15" customHeight="1">
      <c r="A544">
        <f t="shared" si="10"/>
        <v>1</v>
      </c>
      <c r="B544">
        <f>IF($A544=0,0,MAX($B$1:$B543)+1)</f>
        <v>539</v>
      </c>
      <c r="C544" s="369" t="str">
        <f>"　うべき前払金相当分（"&amp;L544&amp;"円以内）を含めて前払金の支払を請求することができる。"</f>
        <v>　うべき前払金相当分（－円以内）を含めて前払金の支払を請求することができる。</v>
      </c>
      <c r="D544">
        <f t="shared" si="8"/>
        <v>38</v>
      </c>
      <c r="L544" s="17" t="str">
        <f>IF(閲覧図書!C7="翌年度も含める",DBCS(TEXT(IF(SUM(支払限度額!F9*0.4,支払限度額!F10*0.4)&gt;支払限度額!F4,支払限度額!F4-支払限度額!F9*0.4,支払限度額!F10*0.4),"0,0")),"－")</f>
        <v>－</v>
      </c>
    </row>
    <row r="545" spans="1:4" ht="15" customHeight="1">
      <c r="A545">
        <f t="shared" si="10"/>
        <v>1</v>
      </c>
      <c r="B545">
        <f>IF($A545=0,0,MAX($B$1:$B544)+1)</f>
        <v>540</v>
      </c>
      <c r="C545" s="369" t="s">
        <v>554</v>
      </c>
      <c r="D545">
        <f t="shared" si="8"/>
        <v>57</v>
      </c>
    </row>
    <row r="546" spans="1:4" ht="15" customHeight="1">
      <c r="A546">
        <f t="shared" si="10"/>
        <v>1</v>
      </c>
      <c r="B546">
        <f>IF($A546=0,0,MAX($B$1:$B545)+1)</f>
        <v>541</v>
      </c>
      <c r="C546" s="369" t="s">
        <v>818</v>
      </c>
      <c r="D546">
        <f t="shared" si="8"/>
        <v>59</v>
      </c>
    </row>
    <row r="547" spans="1:4" ht="15" customHeight="1">
      <c r="A547">
        <f t="shared" si="10"/>
        <v>1</v>
      </c>
      <c r="B547">
        <f>IF($A547=0,0,MAX($B$1:$B546)+1)</f>
        <v>542</v>
      </c>
      <c r="C547" s="369" t="s">
        <v>819</v>
      </c>
      <c r="D547">
        <f t="shared" si="8"/>
        <v>39</v>
      </c>
    </row>
    <row r="548" spans="1:4" ht="15" customHeight="1">
      <c r="A548">
        <f t="shared" si="10"/>
        <v>1</v>
      </c>
      <c r="B548">
        <f>IF($A548=0,0,MAX($B$1:$B547)+1)</f>
        <v>543</v>
      </c>
      <c r="C548" s="369" t="s">
        <v>555</v>
      </c>
      <c r="D548">
        <f t="shared" si="8"/>
        <v>57</v>
      </c>
    </row>
    <row r="549" spans="1:4" ht="15" customHeight="1">
      <c r="A549">
        <f t="shared" si="10"/>
        <v>1</v>
      </c>
      <c r="B549">
        <f>IF($A549=0,0,MAX($B$1:$B548)+1)</f>
        <v>544</v>
      </c>
      <c r="C549" s="369" t="s">
        <v>7234</v>
      </c>
      <c r="D549">
        <f t="shared" si="8"/>
        <v>58</v>
      </c>
    </row>
    <row r="550" spans="1:4" ht="15" customHeight="1">
      <c r="A550">
        <f t="shared" si="10"/>
        <v>1</v>
      </c>
      <c r="B550">
        <f>IF($A550=0,0,MAX($B$1:$B549)+1)</f>
        <v>545</v>
      </c>
      <c r="C550" s="369" t="s">
        <v>820</v>
      </c>
      <c r="D550">
        <f t="shared" si="8"/>
        <v>5</v>
      </c>
    </row>
    <row r="551" spans="1:4" ht="15" customHeight="1">
      <c r="A551">
        <f t="shared" si="10"/>
        <v>1</v>
      </c>
      <c r="B551">
        <f>IF($A551=0,0,MAX($B$1:$B550)+1)</f>
        <v>546</v>
      </c>
      <c r="D551">
        <f t="shared" si="8"/>
        <v>0</v>
      </c>
    </row>
    <row r="552" spans="1:4" ht="15" customHeight="1">
      <c r="A552">
        <v>1</v>
      </c>
      <c r="B552">
        <f>IF($A552=0,0,MAX($B$1:$B551)+1)</f>
        <v>547</v>
      </c>
      <c r="C552" s="369" t="s">
        <v>1016</v>
      </c>
      <c r="D552">
        <f t="shared" si="8"/>
        <v>21</v>
      </c>
    </row>
    <row r="553" spans="1:4" ht="15" customHeight="1">
      <c r="A553">
        <f>IF($F$1=【随時メンテ】部分払い回数等!$A$13,1,0)</f>
        <v>0</v>
      </c>
      <c r="B553">
        <f>IF($A553=0,0,MAX($B$1:$B552)+1)</f>
        <v>0</v>
      </c>
      <c r="C553" s="369" t="s">
        <v>963</v>
      </c>
      <c r="D553">
        <f t="shared" si="8"/>
        <v>7</v>
      </c>
    </row>
    <row r="554" spans="1:4" ht="15" customHeight="1">
      <c r="A554">
        <f>IF($F$1=【随時メンテ】部分払い回数等!$A$13,1,0)</f>
        <v>0</v>
      </c>
      <c r="B554">
        <f>IF($A554=0,0,MAX($B$1:$B553)+1)</f>
        <v>0</v>
      </c>
      <c r="D554">
        <f t="shared" si="8"/>
        <v>0</v>
      </c>
    </row>
    <row r="555" spans="1:4" ht="15" customHeight="1">
      <c r="A555">
        <f>IF($A$553=0,1,0)</f>
        <v>1</v>
      </c>
      <c r="B555">
        <f>IF($A555=0,0,MAX($B$1:$B554)+1)</f>
        <v>548</v>
      </c>
      <c r="C555" s="369" t="s">
        <v>556</v>
      </c>
      <c r="D555">
        <f t="shared" si="8"/>
        <v>58</v>
      </c>
    </row>
    <row r="556" spans="1:4" ht="15" customHeight="1">
      <c r="A556">
        <f t="shared" ref="A556:A567" si="11">IF($A$553=0,1,0)</f>
        <v>1</v>
      </c>
      <c r="B556">
        <f>IF($A556=0,0,MAX($B$1:$B555)+1)</f>
        <v>549</v>
      </c>
      <c r="C556" s="369" t="s">
        <v>821</v>
      </c>
      <c r="D556">
        <f t="shared" si="8"/>
        <v>57</v>
      </c>
    </row>
    <row r="557" spans="1:4" ht="15" customHeight="1">
      <c r="A557">
        <f t="shared" si="11"/>
        <v>1</v>
      </c>
      <c r="B557">
        <f>IF($A557=0,0,MAX($B$1:$B556)+1)</f>
        <v>550</v>
      </c>
      <c r="C557" s="369" t="s">
        <v>822</v>
      </c>
      <c r="D557">
        <f t="shared" si="8"/>
        <v>57</v>
      </c>
    </row>
    <row r="558" spans="1:4" ht="15" customHeight="1">
      <c r="A558">
        <f t="shared" si="11"/>
        <v>1</v>
      </c>
      <c r="B558">
        <f>IF($A558=0,0,MAX($B$1:$B557)+1)</f>
        <v>551</v>
      </c>
      <c r="C558" s="369" t="s">
        <v>823</v>
      </c>
      <c r="D558">
        <f t="shared" ref="D558:D621" si="12">LEN(C558)</f>
        <v>47</v>
      </c>
    </row>
    <row r="559" spans="1:4" ht="15" customHeight="1">
      <c r="A559">
        <f t="shared" si="11"/>
        <v>1</v>
      </c>
      <c r="B559">
        <f>IF($A559=0,0,MAX($B$1:$B558)+1)</f>
        <v>552</v>
      </c>
      <c r="C559" s="369" t="s">
        <v>557</v>
      </c>
      <c r="D559">
        <f t="shared" si="12"/>
        <v>58</v>
      </c>
    </row>
    <row r="560" spans="1:4" ht="15" customHeight="1">
      <c r="A560">
        <f t="shared" si="11"/>
        <v>1</v>
      </c>
      <c r="B560">
        <f>IF($A560=0,0,MAX($B$1:$B559)+1)</f>
        <v>553</v>
      </c>
      <c r="C560" s="369" t="s">
        <v>824</v>
      </c>
      <c r="D560">
        <f t="shared" si="12"/>
        <v>14</v>
      </c>
    </row>
    <row r="561" spans="1:5" ht="15" customHeight="1">
      <c r="A561">
        <f t="shared" si="11"/>
        <v>1</v>
      </c>
      <c r="B561">
        <f>IF($A561=0,0,MAX($B$1:$B560)+1)</f>
        <v>554</v>
      </c>
      <c r="C561" s="369" t="s">
        <v>7190</v>
      </c>
      <c r="D561">
        <f t="shared" si="12"/>
        <v>59</v>
      </c>
    </row>
    <row r="562" spans="1:5" ht="15" customHeight="1">
      <c r="A562">
        <f t="shared" si="11"/>
        <v>1</v>
      </c>
      <c r="B562">
        <f>IF($A562=0,0,MAX($B$1:$B561)+1)</f>
        <v>555</v>
      </c>
      <c r="C562" s="369" t="s">
        <v>7191</v>
      </c>
      <c r="D562">
        <f t="shared" si="12"/>
        <v>55</v>
      </c>
    </row>
    <row r="563" spans="1:5" ht="15" customHeight="1">
      <c r="A563">
        <f t="shared" si="11"/>
        <v>1</v>
      </c>
      <c r="B563">
        <f>IF($A563=0,0,MAX($B$1:$B562)+1)</f>
        <v>556</v>
      </c>
      <c r="C563" s="369" t="s">
        <v>558</v>
      </c>
      <c r="D563">
        <f t="shared" si="12"/>
        <v>34</v>
      </c>
    </row>
    <row r="564" spans="1:5" ht="15" customHeight="1">
      <c r="A564">
        <f t="shared" si="11"/>
        <v>1</v>
      </c>
      <c r="B564">
        <f>IF($A564=0,0,MAX($B$1:$B563)+1)</f>
        <v>557</v>
      </c>
      <c r="C564" s="369" t="str">
        <f>REPT($F$514,$F$515)&amp;IF($E564="",REPT($F$514,LEN($E$519)),$E$519)&amp;REPT($F$514,$F$516-LEN($E564))&amp;$E564&amp;"　年度"&amp;REPT($F$514,$F$517-LEN($F564))&amp;$F564&amp;"　回"</f>
        <v>　　　　　　　　　　年度　　　　　　　　　　　　　　回</v>
      </c>
      <c r="D564">
        <f t="shared" si="12"/>
        <v>27</v>
      </c>
      <c r="E564" t="str">
        <f>E520</f>
        <v/>
      </c>
    </row>
    <row r="565" spans="1:5" ht="15" customHeight="1">
      <c r="A565">
        <f t="shared" si="11"/>
        <v>1</v>
      </c>
      <c r="B565">
        <f>IF($A565=0,0,MAX($B$1:$B564)+1)</f>
        <v>558</v>
      </c>
      <c r="C565" s="369" t="str">
        <f>REPT($F$514,$F$515)&amp;IF($E565="",REPT($F$514,LEN($E$519)),$E$519)&amp;REPT($F$514,$F$516-LEN($E565))&amp;$E565&amp;"　年度"&amp;REPT($F$514,$F$517-LEN($F565))&amp;$F565&amp;"　回"</f>
        <v>　　　　　　　　　　年度　　　　　　　　　　　　　　回</v>
      </c>
      <c r="D565">
        <f t="shared" si="12"/>
        <v>27</v>
      </c>
      <c r="E565" t="str">
        <f>E521</f>
        <v/>
      </c>
    </row>
    <row r="566" spans="1:5" ht="15" customHeight="1">
      <c r="A566">
        <f t="shared" si="11"/>
        <v>1</v>
      </c>
      <c r="B566">
        <f>IF($A566=0,0,MAX($B$1:$B565)+1)</f>
        <v>559</v>
      </c>
      <c r="C566" s="369" t="str">
        <f>REPT($F$514,$F$515)&amp;IF($E566="",REPT($F$514,LEN($E$519)),$E$519)&amp;REPT($F$514,$F$516-LEN($E566))&amp;$E566&amp;"　年度"&amp;REPT($F$514,$F$517-LEN($F566))&amp;$F566&amp;"　回"</f>
        <v>　　　　　　　　　　年度　　　　　　　　　　　　　　回</v>
      </c>
      <c r="D566">
        <f t="shared" si="12"/>
        <v>27</v>
      </c>
      <c r="E566" t="str">
        <f>E522</f>
        <v/>
      </c>
    </row>
    <row r="567" spans="1:5" ht="15" customHeight="1">
      <c r="A567">
        <f t="shared" si="11"/>
        <v>1</v>
      </c>
      <c r="B567">
        <f>IF($A567=0,0,MAX($B$1:$B566)+1)</f>
        <v>560</v>
      </c>
      <c r="D567">
        <f t="shared" si="12"/>
        <v>0</v>
      </c>
    </row>
    <row r="568" spans="1:5" ht="15" customHeight="1">
      <c r="A568">
        <v>1</v>
      </c>
      <c r="B568">
        <f>IF($A568=0,0,MAX($B$1:$B567)+1)</f>
        <v>561</v>
      </c>
      <c r="C568" s="369" t="s">
        <v>1017</v>
      </c>
      <c r="D568">
        <f t="shared" si="12"/>
        <v>13</v>
      </c>
    </row>
    <row r="569" spans="1:5" ht="15" customHeight="1">
      <c r="A569">
        <v>1</v>
      </c>
      <c r="B569">
        <f>IF($A569=0,0,MAX($B$1:$B568)+1)</f>
        <v>562</v>
      </c>
      <c r="C569" s="369" t="s">
        <v>559</v>
      </c>
      <c r="D569">
        <f t="shared" si="12"/>
        <v>54</v>
      </c>
    </row>
    <row r="570" spans="1:5" ht="15" customHeight="1">
      <c r="A570">
        <v>1</v>
      </c>
      <c r="B570">
        <f>IF($A570=0,0,MAX($B$1:$B569)+1)</f>
        <v>563</v>
      </c>
      <c r="C570" s="369" t="s">
        <v>825</v>
      </c>
      <c r="D570">
        <f t="shared" si="12"/>
        <v>57</v>
      </c>
    </row>
    <row r="571" spans="1:5" ht="15" customHeight="1">
      <c r="A571">
        <v>1</v>
      </c>
      <c r="B571">
        <f>IF($A571=0,0,MAX($B$1:$B570)+1)</f>
        <v>564</v>
      </c>
      <c r="C571" s="369" t="s">
        <v>826</v>
      </c>
      <c r="D571">
        <f t="shared" si="12"/>
        <v>59</v>
      </c>
    </row>
    <row r="572" spans="1:5" ht="15" customHeight="1">
      <c r="A572">
        <v>1</v>
      </c>
      <c r="B572">
        <f>IF($A572=0,0,MAX($B$1:$B571)+1)</f>
        <v>565</v>
      </c>
      <c r="C572" s="369" t="s">
        <v>827</v>
      </c>
      <c r="D572">
        <f t="shared" si="12"/>
        <v>26</v>
      </c>
    </row>
    <row r="573" spans="1:5" ht="15" customHeight="1">
      <c r="A573">
        <v>1</v>
      </c>
      <c r="B573">
        <f>IF($A573=0,0,MAX($B$1:$B572)+1)</f>
        <v>566</v>
      </c>
      <c r="D573">
        <f t="shared" si="12"/>
        <v>0</v>
      </c>
    </row>
    <row r="574" spans="1:5" ht="15" customHeight="1">
      <c r="A574">
        <v>1</v>
      </c>
      <c r="B574">
        <f>IF($A574=0,0,MAX($B$1:$B573)+1)</f>
        <v>567</v>
      </c>
      <c r="C574" s="369" t="s">
        <v>1018</v>
      </c>
      <c r="D574">
        <f t="shared" si="12"/>
        <v>19</v>
      </c>
    </row>
    <row r="575" spans="1:5" ht="15" customHeight="1">
      <c r="A575">
        <v>1</v>
      </c>
      <c r="B575">
        <f>IF($A575=0,0,MAX($B$1:$B574)+1)</f>
        <v>568</v>
      </c>
      <c r="C575" s="369" t="s">
        <v>560</v>
      </c>
      <c r="D575">
        <f t="shared" si="12"/>
        <v>63</v>
      </c>
    </row>
    <row r="576" spans="1:5" ht="15" customHeight="1">
      <c r="A576">
        <v>1</v>
      </c>
      <c r="B576">
        <f>IF($A576=0,0,MAX($B$1:$B575)+1)</f>
        <v>569</v>
      </c>
      <c r="C576" s="369" t="s">
        <v>828</v>
      </c>
      <c r="D576">
        <f t="shared" si="12"/>
        <v>57</v>
      </c>
    </row>
    <row r="577" spans="1:4" ht="15" customHeight="1">
      <c r="A577">
        <v>1</v>
      </c>
      <c r="B577">
        <f>IF($A577=0,0,MAX($B$1:$B576)+1)</f>
        <v>570</v>
      </c>
      <c r="C577" s="369" t="s">
        <v>829</v>
      </c>
      <c r="D577">
        <f t="shared" si="12"/>
        <v>57</v>
      </c>
    </row>
    <row r="578" spans="1:4" ht="15" customHeight="1">
      <c r="A578">
        <v>1</v>
      </c>
      <c r="B578">
        <f>IF($A578=0,0,MAX($B$1:$B577)+1)</f>
        <v>571</v>
      </c>
      <c r="C578" s="369" t="s">
        <v>561</v>
      </c>
      <c r="D578">
        <f t="shared" si="12"/>
        <v>57</v>
      </c>
    </row>
    <row r="579" spans="1:4" ht="15" customHeight="1">
      <c r="A579">
        <v>1</v>
      </c>
      <c r="B579">
        <f>IF($A579=0,0,MAX($B$1:$B578)+1)</f>
        <v>572</v>
      </c>
      <c r="C579" s="369" t="s">
        <v>715</v>
      </c>
      <c r="D579">
        <f t="shared" si="12"/>
        <v>57</v>
      </c>
    </row>
    <row r="580" spans="1:4" ht="15" customHeight="1">
      <c r="A580">
        <v>1</v>
      </c>
      <c r="B580">
        <f>IF($A580=0,0,MAX($B$1:$B579)+1)</f>
        <v>573</v>
      </c>
      <c r="C580" s="369" t="s">
        <v>716</v>
      </c>
      <c r="D580">
        <f t="shared" si="12"/>
        <v>57</v>
      </c>
    </row>
    <row r="581" spans="1:4" ht="15" customHeight="1">
      <c r="A581">
        <v>1</v>
      </c>
      <c r="B581">
        <f>IF($A581=0,0,MAX($B$1:$B580)+1)</f>
        <v>574</v>
      </c>
      <c r="C581" s="369" t="s">
        <v>717</v>
      </c>
      <c r="D581">
        <f t="shared" si="12"/>
        <v>7</v>
      </c>
    </row>
    <row r="582" spans="1:4" ht="15" customHeight="1">
      <c r="A582">
        <v>1</v>
      </c>
      <c r="B582">
        <f>IF($A582=0,0,MAX($B$1:$B581)+1)</f>
        <v>575</v>
      </c>
      <c r="D582">
        <f t="shared" si="12"/>
        <v>0</v>
      </c>
    </row>
    <row r="583" spans="1:4" ht="15" customHeight="1">
      <c r="A583">
        <v>1</v>
      </c>
      <c r="B583">
        <f>IF($A583=0,0,MAX($B$1:$B582)+1)</f>
        <v>576</v>
      </c>
      <c r="C583" s="369" t="s">
        <v>1019</v>
      </c>
      <c r="D583">
        <f t="shared" si="12"/>
        <v>10</v>
      </c>
    </row>
    <row r="584" spans="1:4" ht="15" customHeight="1">
      <c r="A584">
        <v>1</v>
      </c>
      <c r="B584">
        <f>IF($A584=0,0,MAX($B$1:$B583)+1)</f>
        <v>577</v>
      </c>
      <c r="C584" s="369" t="s">
        <v>562</v>
      </c>
      <c r="D584">
        <f t="shared" si="12"/>
        <v>58</v>
      </c>
    </row>
    <row r="585" spans="1:4" ht="15" customHeight="1">
      <c r="A585">
        <v>1</v>
      </c>
      <c r="B585">
        <f>IF($A585=0,0,MAX($B$1:$B584)+1)</f>
        <v>578</v>
      </c>
      <c r="C585" s="369" t="s">
        <v>830</v>
      </c>
      <c r="D585">
        <f t="shared" si="12"/>
        <v>57</v>
      </c>
    </row>
    <row r="586" spans="1:4" ht="15" customHeight="1">
      <c r="A586">
        <v>1</v>
      </c>
      <c r="B586">
        <f>IF($A586=0,0,MAX($B$1:$B585)+1)</f>
        <v>579</v>
      </c>
      <c r="C586" s="369" t="s">
        <v>831</v>
      </c>
      <c r="D586">
        <f t="shared" si="12"/>
        <v>46</v>
      </c>
    </row>
    <row r="587" spans="1:4" ht="15" customHeight="1">
      <c r="A587">
        <v>1</v>
      </c>
      <c r="B587">
        <f>IF($A587=0,0,MAX($B$1:$B586)+1)</f>
        <v>580</v>
      </c>
      <c r="C587" s="369" t="s">
        <v>563</v>
      </c>
      <c r="D587">
        <f t="shared" si="12"/>
        <v>57</v>
      </c>
    </row>
    <row r="588" spans="1:4" ht="15" customHeight="1">
      <c r="A588">
        <v>1</v>
      </c>
      <c r="B588">
        <f>IF($A588=0,0,MAX($B$1:$B587)+1)</f>
        <v>581</v>
      </c>
      <c r="C588" s="369" t="s">
        <v>832</v>
      </c>
      <c r="D588">
        <f t="shared" si="12"/>
        <v>18</v>
      </c>
    </row>
    <row r="589" spans="1:4" ht="15" customHeight="1">
      <c r="A589">
        <v>1</v>
      </c>
      <c r="B589">
        <f>IF($A589=0,0,MAX($B$1:$B588)+1)</f>
        <v>582</v>
      </c>
      <c r="C589" s="369" t="s">
        <v>564</v>
      </c>
      <c r="D589">
        <f t="shared" si="12"/>
        <v>57</v>
      </c>
    </row>
    <row r="590" spans="1:4" ht="15" customHeight="1">
      <c r="A590">
        <v>1</v>
      </c>
      <c r="B590">
        <f>IF($A590=0,0,MAX($B$1:$B589)+1)</f>
        <v>583</v>
      </c>
      <c r="C590" s="369" t="s">
        <v>833</v>
      </c>
      <c r="D590">
        <f t="shared" si="12"/>
        <v>57</v>
      </c>
    </row>
    <row r="591" spans="1:4" ht="15" customHeight="1">
      <c r="A591">
        <v>1</v>
      </c>
      <c r="B591">
        <f>IF($A591=0,0,MAX($B$1:$B590)+1)</f>
        <v>584</v>
      </c>
      <c r="C591" s="369" t="s">
        <v>834</v>
      </c>
      <c r="D591">
        <f t="shared" si="12"/>
        <v>29</v>
      </c>
    </row>
    <row r="592" spans="1:4" ht="15" customHeight="1">
      <c r="A592">
        <v>1</v>
      </c>
      <c r="B592">
        <f>IF($A592=0,0,MAX($B$1:$B591)+1)</f>
        <v>585</v>
      </c>
      <c r="C592" s="369" t="s">
        <v>835</v>
      </c>
      <c r="D592">
        <f t="shared" si="12"/>
        <v>17</v>
      </c>
    </row>
    <row r="593" spans="1:4" ht="15" customHeight="1">
      <c r="A593">
        <v>1</v>
      </c>
      <c r="B593">
        <f>IF($A593=0,0,MAX($B$1:$B592)+1)</f>
        <v>586</v>
      </c>
      <c r="C593" s="369" t="s">
        <v>836</v>
      </c>
      <c r="D593">
        <f t="shared" si="12"/>
        <v>30</v>
      </c>
    </row>
    <row r="594" spans="1:4" ht="15" customHeight="1">
      <c r="A594">
        <v>1</v>
      </c>
      <c r="B594">
        <f>IF($A594=0,0,MAX($B$1:$B593)+1)</f>
        <v>587</v>
      </c>
      <c r="C594" s="369" t="s">
        <v>837</v>
      </c>
      <c r="D594">
        <f t="shared" si="12"/>
        <v>57</v>
      </c>
    </row>
    <row r="595" spans="1:4" ht="15" customHeight="1">
      <c r="A595">
        <v>1</v>
      </c>
      <c r="B595">
        <f>IF($A595=0,0,MAX($B$1:$B594)+1)</f>
        <v>588</v>
      </c>
      <c r="C595" s="369" t="s">
        <v>838</v>
      </c>
      <c r="D595">
        <f t="shared" si="12"/>
        <v>42</v>
      </c>
    </row>
    <row r="596" spans="1:4" ht="15" customHeight="1">
      <c r="A596">
        <v>1</v>
      </c>
      <c r="B596">
        <f>IF($A596=0,0,MAX($B$1:$B595)+1)</f>
        <v>589</v>
      </c>
      <c r="C596" s="369" t="s">
        <v>839</v>
      </c>
      <c r="D596">
        <f t="shared" si="12"/>
        <v>57</v>
      </c>
    </row>
    <row r="597" spans="1:4" ht="15" customHeight="1">
      <c r="A597">
        <v>1</v>
      </c>
      <c r="B597">
        <f>IF($A597=0,0,MAX($B$1:$B596)+1)</f>
        <v>590</v>
      </c>
      <c r="D597">
        <f t="shared" si="12"/>
        <v>0</v>
      </c>
    </row>
    <row r="598" spans="1:4" ht="15" customHeight="1">
      <c r="A598">
        <v>1</v>
      </c>
      <c r="B598">
        <f>IF($A598=0,0,MAX($B$1:$B597)+1)</f>
        <v>591</v>
      </c>
      <c r="C598" s="369" t="s">
        <v>1020</v>
      </c>
      <c r="D598">
        <f t="shared" si="12"/>
        <v>12</v>
      </c>
    </row>
    <row r="599" spans="1:4" ht="15" customHeight="1">
      <c r="A599">
        <v>1</v>
      </c>
      <c r="B599">
        <f>IF($A599=0,0,MAX($B$1:$B598)+1)</f>
        <v>592</v>
      </c>
      <c r="C599" s="369" t="s">
        <v>565</v>
      </c>
      <c r="D599">
        <f t="shared" si="12"/>
        <v>60</v>
      </c>
    </row>
    <row r="600" spans="1:4" ht="15" customHeight="1">
      <c r="A600">
        <v>1</v>
      </c>
      <c r="B600">
        <f>IF($A600=0,0,MAX($B$1:$B599)+1)</f>
        <v>593</v>
      </c>
      <c r="C600" s="369" t="s">
        <v>840</v>
      </c>
      <c r="D600">
        <f t="shared" si="12"/>
        <v>14</v>
      </c>
    </row>
    <row r="601" spans="1:4" ht="15" customHeight="1">
      <c r="A601">
        <v>1</v>
      </c>
      <c r="B601">
        <f>IF($A601=0,0,MAX($B$1:$B600)+1)</f>
        <v>594</v>
      </c>
      <c r="C601" s="369" t="s">
        <v>566</v>
      </c>
      <c r="D601">
        <f t="shared" si="12"/>
        <v>57</v>
      </c>
    </row>
    <row r="602" spans="1:4" ht="15" customHeight="1">
      <c r="A602">
        <v>1</v>
      </c>
      <c r="B602">
        <f>IF($A602=0,0,MAX($B$1:$B601)+1)</f>
        <v>595</v>
      </c>
      <c r="C602" s="369" t="s">
        <v>717</v>
      </c>
      <c r="D602">
        <f t="shared" si="12"/>
        <v>7</v>
      </c>
    </row>
    <row r="603" spans="1:4" ht="15" customHeight="1">
      <c r="A603">
        <v>1</v>
      </c>
      <c r="B603">
        <f>IF($A603=0,0,MAX($B$1:$B602)+1)</f>
        <v>596</v>
      </c>
      <c r="D603">
        <f t="shared" si="12"/>
        <v>0</v>
      </c>
    </row>
    <row r="604" spans="1:4" ht="15" customHeight="1">
      <c r="A604">
        <v>1</v>
      </c>
      <c r="B604">
        <f>IF($A604=0,0,MAX($B$1:$B603)+1)</f>
        <v>597</v>
      </c>
      <c r="C604" s="369" t="s">
        <v>1021</v>
      </c>
      <c r="D604">
        <f t="shared" si="12"/>
        <v>15</v>
      </c>
    </row>
    <row r="605" spans="1:4" ht="15" customHeight="1">
      <c r="A605">
        <v>1</v>
      </c>
      <c r="B605">
        <f>IF($A605=0,0,MAX($B$1:$B604)+1)</f>
        <v>598</v>
      </c>
      <c r="C605" s="369" t="s">
        <v>567</v>
      </c>
      <c r="D605">
        <f t="shared" si="12"/>
        <v>58</v>
      </c>
    </row>
    <row r="606" spans="1:4" ht="15" customHeight="1">
      <c r="A606">
        <v>1</v>
      </c>
      <c r="B606">
        <f>IF($A606=0,0,MAX($B$1:$B605)+1)</f>
        <v>599</v>
      </c>
      <c r="C606" s="369" t="s">
        <v>841</v>
      </c>
      <c r="D606">
        <f t="shared" si="12"/>
        <v>57</v>
      </c>
    </row>
    <row r="607" spans="1:4" ht="15" customHeight="1">
      <c r="A607">
        <v>1</v>
      </c>
      <c r="B607">
        <f>IF($A607=0,0,MAX($B$1:$B606)+1)</f>
        <v>600</v>
      </c>
      <c r="C607" s="369" t="s">
        <v>842</v>
      </c>
      <c r="D607">
        <f t="shared" si="12"/>
        <v>28</v>
      </c>
    </row>
    <row r="608" spans="1:4" ht="15" customHeight="1">
      <c r="A608">
        <v>1</v>
      </c>
      <c r="B608">
        <f>IF($A608=0,0,MAX($B$1:$B607)+1)</f>
        <v>601</v>
      </c>
      <c r="C608" s="369" t="s">
        <v>843</v>
      </c>
      <c r="D608">
        <f t="shared" si="12"/>
        <v>42</v>
      </c>
    </row>
    <row r="609" spans="1:4" ht="15" customHeight="1">
      <c r="A609">
        <v>1</v>
      </c>
      <c r="B609">
        <f>IF($A609=0,0,MAX($B$1:$B608)+1)</f>
        <v>602</v>
      </c>
      <c r="C609" s="369" t="s">
        <v>844</v>
      </c>
      <c r="D609">
        <f t="shared" si="12"/>
        <v>37</v>
      </c>
    </row>
    <row r="610" spans="1:4" ht="15" customHeight="1">
      <c r="A610">
        <v>1</v>
      </c>
      <c r="B610">
        <f>IF($A610=0,0,MAX($B$1:$B609)+1)</f>
        <v>603</v>
      </c>
      <c r="C610" s="369" t="s">
        <v>845</v>
      </c>
      <c r="D610">
        <f t="shared" si="12"/>
        <v>50</v>
      </c>
    </row>
    <row r="611" spans="1:4" ht="15" customHeight="1">
      <c r="A611">
        <v>1</v>
      </c>
      <c r="B611">
        <f>IF($A611=0,0,MAX($B$1:$B610)+1)</f>
        <v>604</v>
      </c>
      <c r="C611" s="369" t="s">
        <v>846</v>
      </c>
      <c r="D611">
        <f t="shared" si="12"/>
        <v>29</v>
      </c>
    </row>
    <row r="612" spans="1:4" ht="15" customHeight="1">
      <c r="A612">
        <v>1</v>
      </c>
      <c r="B612">
        <f>IF($A612=0,0,MAX($B$1:$B611)+1)</f>
        <v>605</v>
      </c>
      <c r="C612" s="369" t="s">
        <v>847</v>
      </c>
      <c r="D612">
        <f t="shared" si="12"/>
        <v>33</v>
      </c>
    </row>
    <row r="613" spans="1:4" ht="15" customHeight="1">
      <c r="A613">
        <v>1</v>
      </c>
      <c r="B613">
        <f>IF($A613=0,0,MAX($B$1:$B612)+1)</f>
        <v>606</v>
      </c>
      <c r="C613" s="369" t="s">
        <v>848</v>
      </c>
      <c r="D613">
        <f t="shared" si="12"/>
        <v>28</v>
      </c>
    </row>
    <row r="614" spans="1:4" ht="15" customHeight="1">
      <c r="A614">
        <v>1</v>
      </c>
      <c r="B614">
        <f>IF($A614=0,0,MAX($B$1:$B613)+1)</f>
        <v>607</v>
      </c>
      <c r="D614">
        <f t="shared" si="12"/>
        <v>0</v>
      </c>
    </row>
    <row r="615" spans="1:4" ht="15" customHeight="1">
      <c r="A615">
        <v>1</v>
      </c>
      <c r="B615">
        <f>IF($A615=0,0,MAX($B$1:$B614)+1)</f>
        <v>608</v>
      </c>
      <c r="C615" s="369" t="s">
        <v>1022</v>
      </c>
      <c r="D615">
        <f t="shared" si="12"/>
        <v>17</v>
      </c>
    </row>
    <row r="616" spans="1:4" ht="15" customHeight="1">
      <c r="A616">
        <v>1</v>
      </c>
      <c r="B616">
        <f>IF($A616=0,0,MAX($B$1:$B615)+1)</f>
        <v>609</v>
      </c>
      <c r="C616" s="369" t="s">
        <v>568</v>
      </c>
      <c r="D616">
        <f t="shared" si="12"/>
        <v>51</v>
      </c>
    </row>
    <row r="617" spans="1:4" ht="15" customHeight="1">
      <c r="A617">
        <v>1</v>
      </c>
      <c r="B617">
        <f>IF($A617=0,0,MAX($B$1:$B616)+1)</f>
        <v>610</v>
      </c>
      <c r="C617" s="369" t="s">
        <v>849</v>
      </c>
      <c r="D617">
        <f t="shared" si="12"/>
        <v>31</v>
      </c>
    </row>
    <row r="618" spans="1:4" ht="15" customHeight="1">
      <c r="A618">
        <v>1</v>
      </c>
      <c r="B618">
        <f>IF($A618=0,0,MAX($B$1:$B617)+1)</f>
        <v>611</v>
      </c>
      <c r="C618" s="369" t="s">
        <v>850</v>
      </c>
      <c r="D618">
        <f t="shared" si="12"/>
        <v>44</v>
      </c>
    </row>
    <row r="619" spans="1:4" ht="15" customHeight="1">
      <c r="A619">
        <v>1</v>
      </c>
      <c r="B619">
        <f>IF($A619=0,0,MAX($B$1:$B618)+1)</f>
        <v>612</v>
      </c>
      <c r="C619" s="369" t="s">
        <v>851</v>
      </c>
      <c r="D619">
        <f t="shared" si="12"/>
        <v>36</v>
      </c>
    </row>
    <row r="620" spans="1:4" ht="15" customHeight="1">
      <c r="A620">
        <v>1</v>
      </c>
      <c r="B620">
        <f>IF($A620=0,0,MAX($B$1:$B619)+1)</f>
        <v>613</v>
      </c>
      <c r="C620" s="369" t="s">
        <v>852</v>
      </c>
      <c r="D620">
        <f t="shared" si="12"/>
        <v>57</v>
      </c>
    </row>
    <row r="621" spans="1:4" ht="15" customHeight="1">
      <c r="A621">
        <v>1</v>
      </c>
      <c r="B621">
        <f>IF($A621=0,0,MAX($B$1:$B620)+1)</f>
        <v>614</v>
      </c>
      <c r="C621" s="369" t="s">
        <v>853</v>
      </c>
      <c r="D621">
        <f t="shared" si="12"/>
        <v>26</v>
      </c>
    </row>
    <row r="622" spans="1:4" ht="15" customHeight="1">
      <c r="A622">
        <v>1</v>
      </c>
      <c r="B622">
        <f>IF($A622=0,0,MAX($B$1:$B621)+1)</f>
        <v>615</v>
      </c>
      <c r="C622" s="369" t="s">
        <v>854</v>
      </c>
      <c r="D622">
        <f t="shared" ref="D622:D685" si="13">LEN(C622)</f>
        <v>42</v>
      </c>
    </row>
    <row r="623" spans="1:4" ht="15" customHeight="1">
      <c r="A623">
        <v>1</v>
      </c>
      <c r="B623">
        <f>IF($A623=0,0,MAX($B$1:$B622)+1)</f>
        <v>616</v>
      </c>
      <c r="C623" s="369" t="s">
        <v>855</v>
      </c>
      <c r="D623">
        <f t="shared" si="13"/>
        <v>57</v>
      </c>
    </row>
    <row r="624" spans="1:4" ht="15" customHeight="1">
      <c r="A624">
        <v>1</v>
      </c>
      <c r="B624">
        <f>IF($A624=0,0,MAX($B$1:$B623)+1)</f>
        <v>617</v>
      </c>
      <c r="C624" s="369" t="s">
        <v>856</v>
      </c>
      <c r="D624">
        <f t="shared" si="13"/>
        <v>37</v>
      </c>
    </row>
    <row r="625" spans="1:4" ht="15" customHeight="1">
      <c r="A625">
        <v>1</v>
      </c>
      <c r="B625">
        <f>IF($A625=0,0,MAX($B$1:$B624)+1)</f>
        <v>618</v>
      </c>
      <c r="C625" s="369" t="s">
        <v>857</v>
      </c>
      <c r="D625">
        <f t="shared" si="13"/>
        <v>57</v>
      </c>
    </row>
    <row r="626" spans="1:4" ht="15" customHeight="1">
      <c r="A626">
        <v>1</v>
      </c>
      <c r="B626">
        <f>IF($A626=0,0,MAX($B$1:$B625)+1)</f>
        <v>619</v>
      </c>
      <c r="C626" s="369" t="s">
        <v>858</v>
      </c>
      <c r="D626">
        <f t="shared" si="13"/>
        <v>39</v>
      </c>
    </row>
    <row r="627" spans="1:4" ht="15" customHeight="1">
      <c r="A627">
        <v>1</v>
      </c>
      <c r="B627">
        <f>IF($A627=0,0,MAX($B$1:$B626)+1)</f>
        <v>620</v>
      </c>
      <c r="C627" s="369" t="s">
        <v>859</v>
      </c>
      <c r="D627">
        <f t="shared" si="13"/>
        <v>57</v>
      </c>
    </row>
    <row r="628" spans="1:4" ht="15" customHeight="1">
      <c r="A628">
        <v>1</v>
      </c>
      <c r="B628">
        <f>IF($A628=0,0,MAX($B$1:$B627)+1)</f>
        <v>621</v>
      </c>
      <c r="C628" s="369" t="s">
        <v>860</v>
      </c>
      <c r="D628">
        <f t="shared" si="13"/>
        <v>29</v>
      </c>
    </row>
    <row r="629" spans="1:4" ht="15" customHeight="1">
      <c r="A629">
        <v>1</v>
      </c>
      <c r="B629">
        <f>IF($A629=0,0,MAX($B$1:$B628)+1)</f>
        <v>622</v>
      </c>
      <c r="C629" s="369" t="s">
        <v>861</v>
      </c>
      <c r="D629">
        <f t="shared" si="13"/>
        <v>59</v>
      </c>
    </row>
    <row r="630" spans="1:4" ht="15" customHeight="1">
      <c r="A630">
        <v>1</v>
      </c>
      <c r="B630">
        <f>IF($A630=0,0,MAX($B$1:$B629)+1)</f>
        <v>623</v>
      </c>
      <c r="C630" s="369" t="s">
        <v>862</v>
      </c>
      <c r="D630">
        <f t="shared" si="13"/>
        <v>57</v>
      </c>
    </row>
    <row r="631" spans="1:4" ht="15" customHeight="1">
      <c r="A631">
        <v>1</v>
      </c>
      <c r="B631">
        <f>IF($A631=0,0,MAX($B$1:$B630)+1)</f>
        <v>624</v>
      </c>
      <c r="C631" s="369" t="s">
        <v>863</v>
      </c>
      <c r="D631">
        <f t="shared" si="13"/>
        <v>57</v>
      </c>
    </row>
    <row r="632" spans="1:4" ht="15" customHeight="1">
      <c r="A632">
        <v>1</v>
      </c>
      <c r="B632">
        <f>IF($A632=0,0,MAX($B$1:$B631)+1)</f>
        <v>625</v>
      </c>
      <c r="C632" s="369" t="s">
        <v>864</v>
      </c>
      <c r="D632">
        <f t="shared" si="13"/>
        <v>37</v>
      </c>
    </row>
    <row r="633" spans="1:4" ht="15" customHeight="1">
      <c r="A633">
        <v>1</v>
      </c>
      <c r="B633">
        <f>IF($A633=0,0,MAX($B$1:$B632)+1)</f>
        <v>626</v>
      </c>
      <c r="C633" s="369" t="s">
        <v>865</v>
      </c>
      <c r="D633">
        <f t="shared" si="13"/>
        <v>57</v>
      </c>
    </row>
    <row r="634" spans="1:4" ht="15" customHeight="1">
      <c r="A634">
        <v>1</v>
      </c>
      <c r="B634">
        <f>IF($A634=0,0,MAX($B$1:$B633)+1)</f>
        <v>627</v>
      </c>
      <c r="C634" s="369" t="s">
        <v>866</v>
      </c>
      <c r="D634">
        <f t="shared" si="13"/>
        <v>10</v>
      </c>
    </row>
    <row r="635" spans="1:4" ht="15" customHeight="1">
      <c r="A635">
        <v>1</v>
      </c>
      <c r="B635">
        <f>IF($A635=0,0,MAX($B$1:$B634)+1)</f>
        <v>628</v>
      </c>
      <c r="C635" s="369" t="s">
        <v>7194</v>
      </c>
      <c r="D635">
        <f t="shared" si="13"/>
        <v>57</v>
      </c>
    </row>
    <row r="636" spans="1:4" ht="15" customHeight="1">
      <c r="A636">
        <v>1</v>
      </c>
      <c r="B636">
        <f>IF($A636=0,0,MAX($B$1:$B635)+1)</f>
        <v>629</v>
      </c>
      <c r="C636" s="369" t="s">
        <v>7196</v>
      </c>
      <c r="D636">
        <f t="shared" si="13"/>
        <v>57</v>
      </c>
    </row>
    <row r="637" spans="1:4" ht="15" customHeight="1">
      <c r="A637">
        <v>1</v>
      </c>
      <c r="B637">
        <f>IF($A637=0,0,MAX($B$1:$B636)+1)</f>
        <v>630</v>
      </c>
      <c r="C637" s="369" t="s">
        <v>7195</v>
      </c>
      <c r="D637">
        <f t="shared" si="13"/>
        <v>39</v>
      </c>
    </row>
    <row r="638" spans="1:4" ht="15" customHeight="1">
      <c r="A638">
        <v>1</v>
      </c>
      <c r="B638">
        <f>IF($A638=0,0,MAX($B$1:$B637)+1)</f>
        <v>631</v>
      </c>
      <c r="C638" s="369" t="s">
        <v>7198</v>
      </c>
      <c r="D638">
        <f t="shared" si="13"/>
        <v>57</v>
      </c>
    </row>
    <row r="639" spans="1:4" ht="15" customHeight="1">
      <c r="A639">
        <v>1</v>
      </c>
      <c r="B639">
        <f>IF($A639=0,0,MAX($B$1:$B638)+1)</f>
        <v>632</v>
      </c>
      <c r="C639" s="369" t="s">
        <v>7197</v>
      </c>
      <c r="D639">
        <f t="shared" si="13"/>
        <v>26</v>
      </c>
    </row>
    <row r="640" spans="1:4" ht="15" customHeight="1">
      <c r="A640">
        <v>1</v>
      </c>
      <c r="B640">
        <f>IF($A640=0,0,MAX($B$1:$B639)+1)</f>
        <v>633</v>
      </c>
      <c r="C640" s="369" t="s">
        <v>7199</v>
      </c>
      <c r="D640">
        <f t="shared" si="13"/>
        <v>57</v>
      </c>
    </row>
    <row r="641" spans="1:4" ht="15" customHeight="1">
      <c r="A641">
        <v>1</v>
      </c>
      <c r="B641">
        <f>IF($A641=0,0,MAX($B$1:$B640)+1)</f>
        <v>634</v>
      </c>
      <c r="C641" s="369" t="s">
        <v>7200</v>
      </c>
      <c r="D641">
        <f t="shared" si="13"/>
        <v>31</v>
      </c>
    </row>
    <row r="642" spans="1:4" ht="15" customHeight="1">
      <c r="A642">
        <v>1</v>
      </c>
      <c r="B642">
        <f>IF($A642=0,0,MAX($B$1:$B641)+1)</f>
        <v>635</v>
      </c>
      <c r="C642" s="369" t="s">
        <v>7192</v>
      </c>
      <c r="D642">
        <f t="shared" si="13"/>
        <v>54</v>
      </c>
    </row>
    <row r="643" spans="1:4" ht="15" customHeight="1">
      <c r="A643">
        <v>1</v>
      </c>
      <c r="B643">
        <f>IF($A643=0,0,MAX($B$1:$B642)+1)</f>
        <v>636</v>
      </c>
      <c r="C643" s="369" t="s">
        <v>7193</v>
      </c>
      <c r="D643">
        <f t="shared" si="13"/>
        <v>47</v>
      </c>
    </row>
    <row r="644" spans="1:4" ht="15" customHeight="1">
      <c r="A644">
        <v>1</v>
      </c>
      <c r="B644">
        <f>IF($A644=0,0,MAX($B$1:$B643)+1)</f>
        <v>637</v>
      </c>
      <c r="C644" s="369" t="s">
        <v>7202</v>
      </c>
      <c r="D644">
        <f t="shared" si="13"/>
        <v>57</v>
      </c>
    </row>
    <row r="645" spans="1:4" ht="15" customHeight="1">
      <c r="A645">
        <v>1</v>
      </c>
      <c r="B645">
        <f>IF($A645=0,0,MAX($B$1:$B644)+1)</f>
        <v>638</v>
      </c>
      <c r="C645" s="369" t="s">
        <v>7201</v>
      </c>
      <c r="D645">
        <f t="shared" si="13"/>
        <v>29</v>
      </c>
    </row>
    <row r="646" spans="1:4" ht="15" customHeight="1">
      <c r="A646">
        <v>1</v>
      </c>
      <c r="B646">
        <f>IF($A646=0,0,MAX($B$1:$B645)+1)</f>
        <v>639</v>
      </c>
      <c r="C646" s="369" t="s">
        <v>7203</v>
      </c>
      <c r="D646">
        <f t="shared" si="13"/>
        <v>57</v>
      </c>
    </row>
    <row r="647" spans="1:4" ht="15" customHeight="1">
      <c r="A647">
        <v>1</v>
      </c>
      <c r="B647">
        <f>IF($A647=0,0,MAX($B$1:$B646)+1)</f>
        <v>640</v>
      </c>
      <c r="C647" s="369" t="s">
        <v>7205</v>
      </c>
      <c r="D647">
        <f t="shared" si="13"/>
        <v>58</v>
      </c>
    </row>
    <row r="648" spans="1:4" ht="15" customHeight="1">
      <c r="A648">
        <v>1</v>
      </c>
      <c r="B648">
        <f>IF($A648=0,0,MAX($B$1:$B647)+1)</f>
        <v>641</v>
      </c>
      <c r="C648" s="369" t="s">
        <v>7204</v>
      </c>
      <c r="D648">
        <f t="shared" si="13"/>
        <v>6</v>
      </c>
    </row>
    <row r="649" spans="1:4" ht="15" customHeight="1">
      <c r="A649">
        <v>1</v>
      </c>
      <c r="B649">
        <f>IF($A649=0,0,MAX($B$1:$B648)+1)</f>
        <v>642</v>
      </c>
      <c r="D649">
        <f t="shared" si="13"/>
        <v>0</v>
      </c>
    </row>
    <row r="650" spans="1:4" ht="15" customHeight="1">
      <c r="A650">
        <v>1</v>
      </c>
      <c r="B650">
        <f>IF($A650=0,0,MAX($B$1:$B649)+1)</f>
        <v>643</v>
      </c>
      <c r="C650" s="369" t="s">
        <v>1023</v>
      </c>
      <c r="D650">
        <f t="shared" si="13"/>
        <v>16</v>
      </c>
    </row>
    <row r="651" spans="1:4" ht="15" customHeight="1">
      <c r="A651">
        <v>1</v>
      </c>
      <c r="B651">
        <f>IF($A651=0,0,MAX($B$1:$B650)+1)</f>
        <v>644</v>
      </c>
      <c r="C651" s="369" t="s">
        <v>569</v>
      </c>
      <c r="D651">
        <f t="shared" si="13"/>
        <v>48</v>
      </c>
    </row>
    <row r="652" spans="1:4" ht="15" customHeight="1">
      <c r="A652">
        <v>1</v>
      </c>
      <c r="B652">
        <f>IF($A652=0,0,MAX($B$1:$B651)+1)</f>
        <v>645</v>
      </c>
      <c r="C652" s="369" t="s">
        <v>867</v>
      </c>
      <c r="D652">
        <f t="shared" si="13"/>
        <v>59</v>
      </c>
    </row>
    <row r="653" spans="1:4" ht="15" customHeight="1">
      <c r="A653">
        <v>1</v>
      </c>
      <c r="B653">
        <f>IF($A653=0,0,MAX($B$1:$B652)+1)</f>
        <v>646</v>
      </c>
      <c r="C653" s="369" t="s">
        <v>868</v>
      </c>
      <c r="D653">
        <f t="shared" si="13"/>
        <v>58</v>
      </c>
    </row>
    <row r="654" spans="1:4" ht="15" customHeight="1">
      <c r="A654">
        <v>1</v>
      </c>
      <c r="B654">
        <f>IF($A654=0,0,MAX($B$1:$B653)+1)</f>
        <v>647</v>
      </c>
      <c r="C654" s="369" t="s">
        <v>869</v>
      </c>
      <c r="D654">
        <f t="shared" si="13"/>
        <v>57</v>
      </c>
    </row>
    <row r="655" spans="1:4" ht="15" customHeight="1">
      <c r="A655">
        <v>1</v>
      </c>
      <c r="B655">
        <f>IF($A655=0,0,MAX($B$1:$B654)+1)</f>
        <v>648</v>
      </c>
      <c r="C655" s="369" t="s">
        <v>1053</v>
      </c>
      <c r="D655">
        <f t="shared" si="13"/>
        <v>60</v>
      </c>
    </row>
    <row r="656" spans="1:4" ht="15" customHeight="1">
      <c r="A656">
        <v>1</v>
      </c>
      <c r="B656">
        <f>IF($A656=0,0,MAX($B$1:$B655)+1)</f>
        <v>649</v>
      </c>
      <c r="C656" s="369" t="s">
        <v>870</v>
      </c>
      <c r="D656">
        <f t="shared" si="13"/>
        <v>58</v>
      </c>
    </row>
    <row r="657" spans="1:4" ht="15" customHeight="1">
      <c r="A657">
        <v>1</v>
      </c>
      <c r="B657">
        <f>IF($A657=0,0,MAX($B$1:$B656)+1)</f>
        <v>650</v>
      </c>
      <c r="C657" s="369" t="s">
        <v>871</v>
      </c>
      <c r="D657">
        <f t="shared" si="13"/>
        <v>6</v>
      </c>
    </row>
    <row r="658" spans="1:4" ht="15" customHeight="1">
      <c r="A658">
        <v>1</v>
      </c>
      <c r="B658">
        <f>IF($A658=0,0,MAX($B$1:$B657)+1)</f>
        <v>651</v>
      </c>
      <c r="C658" s="369" t="s">
        <v>872</v>
      </c>
      <c r="D658">
        <f t="shared" si="13"/>
        <v>58</v>
      </c>
    </row>
    <row r="659" spans="1:4" ht="15" customHeight="1">
      <c r="A659">
        <v>1</v>
      </c>
      <c r="B659">
        <f>IF($A659=0,0,MAX($B$1:$B658)+1)</f>
        <v>652</v>
      </c>
      <c r="C659" s="369" t="s">
        <v>873</v>
      </c>
      <c r="D659">
        <f t="shared" si="13"/>
        <v>57</v>
      </c>
    </row>
    <row r="660" spans="1:4" ht="15" customHeight="1">
      <c r="A660">
        <v>1</v>
      </c>
      <c r="B660">
        <f>IF($A660=0,0,MAX($B$1:$B659)+1)</f>
        <v>653</v>
      </c>
      <c r="C660" s="369" t="s">
        <v>874</v>
      </c>
      <c r="D660">
        <f t="shared" si="13"/>
        <v>58</v>
      </c>
    </row>
    <row r="661" spans="1:4" ht="15" customHeight="1">
      <c r="A661">
        <v>1</v>
      </c>
      <c r="B661">
        <f>IF($A661=0,0,MAX($B$1:$B660)+1)</f>
        <v>654</v>
      </c>
      <c r="C661" s="369" t="s">
        <v>875</v>
      </c>
      <c r="D661">
        <f t="shared" si="13"/>
        <v>57</v>
      </c>
    </row>
    <row r="662" spans="1:4" ht="15" customHeight="1">
      <c r="A662">
        <v>1</v>
      </c>
      <c r="B662">
        <f>IF($A662=0,0,MAX($B$1:$B661)+1)</f>
        <v>655</v>
      </c>
      <c r="C662" s="369" t="s">
        <v>876</v>
      </c>
      <c r="D662">
        <f t="shared" si="13"/>
        <v>45</v>
      </c>
    </row>
    <row r="663" spans="1:4" ht="15" customHeight="1">
      <c r="A663">
        <v>1</v>
      </c>
      <c r="B663">
        <f>IF($A663=0,0,MAX($B$1:$B662)+1)</f>
        <v>656</v>
      </c>
      <c r="C663" s="369" t="s">
        <v>877</v>
      </c>
      <c r="D663">
        <f t="shared" si="13"/>
        <v>57</v>
      </c>
    </row>
    <row r="664" spans="1:4" ht="15" customHeight="1">
      <c r="A664">
        <v>1</v>
      </c>
      <c r="B664">
        <f>IF($A664=0,0,MAX($B$1:$B663)+1)</f>
        <v>657</v>
      </c>
      <c r="C664" s="369" t="s">
        <v>878</v>
      </c>
      <c r="D664">
        <f t="shared" si="13"/>
        <v>57</v>
      </c>
    </row>
    <row r="665" spans="1:4" ht="15" customHeight="1">
      <c r="A665">
        <v>1</v>
      </c>
      <c r="B665">
        <f>IF($A665=0,0,MAX($B$1:$B664)+1)</f>
        <v>658</v>
      </c>
      <c r="C665" s="369" t="s">
        <v>879</v>
      </c>
      <c r="D665">
        <f t="shared" si="13"/>
        <v>57</v>
      </c>
    </row>
    <row r="666" spans="1:4" ht="15" customHeight="1">
      <c r="A666">
        <v>1</v>
      </c>
      <c r="B666">
        <f>IF($A666=0,0,MAX($B$1:$B665)+1)</f>
        <v>659</v>
      </c>
      <c r="C666" s="369" t="s">
        <v>7172</v>
      </c>
      <c r="D666">
        <f t="shared" si="13"/>
        <v>59</v>
      </c>
    </row>
    <row r="667" spans="1:4" ht="15" customHeight="1">
      <c r="A667">
        <v>1</v>
      </c>
      <c r="B667">
        <f>IF($A667=0,0,MAX($B$1:$B666)+1)</f>
        <v>660</v>
      </c>
      <c r="C667" s="369" t="s">
        <v>7171</v>
      </c>
      <c r="D667">
        <f t="shared" si="13"/>
        <v>19</v>
      </c>
    </row>
    <row r="668" spans="1:4" ht="15" customHeight="1">
      <c r="A668">
        <v>1</v>
      </c>
      <c r="B668">
        <f>IF($A668=0,0,MAX($B$1:$B667)+1)</f>
        <v>661</v>
      </c>
      <c r="C668" s="369" t="s">
        <v>880</v>
      </c>
      <c r="D668">
        <f t="shared" si="13"/>
        <v>60</v>
      </c>
    </row>
    <row r="669" spans="1:4" ht="15" customHeight="1">
      <c r="A669">
        <v>1</v>
      </c>
      <c r="B669">
        <f>IF($A669=0,0,MAX($B$1:$B668)+1)</f>
        <v>662</v>
      </c>
      <c r="C669" s="369" t="s">
        <v>881</v>
      </c>
      <c r="D669">
        <f t="shared" si="13"/>
        <v>55</v>
      </c>
    </row>
    <row r="670" spans="1:4" ht="15" customHeight="1">
      <c r="A670">
        <v>1</v>
      </c>
      <c r="B670">
        <f>IF($A670=0,0,MAX($B$1:$B669)+1)</f>
        <v>663</v>
      </c>
      <c r="C670" s="369" t="s">
        <v>570</v>
      </c>
      <c r="D670">
        <f t="shared" si="13"/>
        <v>57</v>
      </c>
    </row>
    <row r="671" spans="1:4" ht="15" customHeight="1">
      <c r="A671">
        <v>1</v>
      </c>
      <c r="B671">
        <f>IF($A671=0,0,MAX($B$1:$B670)+1)</f>
        <v>664</v>
      </c>
      <c r="C671" s="369" t="s">
        <v>882</v>
      </c>
      <c r="D671">
        <f t="shared" si="13"/>
        <v>58</v>
      </c>
    </row>
    <row r="672" spans="1:4" ht="15" customHeight="1">
      <c r="A672">
        <v>1</v>
      </c>
      <c r="B672">
        <f>IF($A672=0,0,MAX($B$1:$B671)+1)</f>
        <v>665</v>
      </c>
      <c r="D672">
        <f t="shared" si="13"/>
        <v>0</v>
      </c>
    </row>
    <row r="673" spans="1:4" ht="15" customHeight="1">
      <c r="A673">
        <v>1</v>
      </c>
      <c r="B673">
        <f>IF($A673=0,0,MAX($B$1:$B672)+1)</f>
        <v>666</v>
      </c>
      <c r="C673" s="369" t="s">
        <v>1024</v>
      </c>
      <c r="D673">
        <f t="shared" si="13"/>
        <v>27</v>
      </c>
    </row>
    <row r="674" spans="1:4" ht="15" customHeight="1">
      <c r="A674">
        <v>1</v>
      </c>
      <c r="B674">
        <f>IF($A674=0,0,MAX($B$1:$B673)+1)</f>
        <v>667</v>
      </c>
      <c r="C674" s="369" t="s">
        <v>571</v>
      </c>
      <c r="D674">
        <f t="shared" si="13"/>
        <v>60</v>
      </c>
    </row>
    <row r="675" spans="1:4" ht="15" customHeight="1">
      <c r="A675">
        <v>1</v>
      </c>
      <c r="B675">
        <f>IF($A675=0,0,MAX($B$1:$B674)+1)</f>
        <v>668</v>
      </c>
      <c r="C675" s="369" t="s">
        <v>883</v>
      </c>
      <c r="D675">
        <f t="shared" si="13"/>
        <v>30</v>
      </c>
    </row>
    <row r="676" spans="1:4" ht="15" customHeight="1">
      <c r="A676">
        <v>1</v>
      </c>
      <c r="B676">
        <f>IF($A676=0,0,MAX($B$1:$B675)+1)</f>
        <v>669</v>
      </c>
      <c r="D676">
        <f t="shared" si="13"/>
        <v>0</v>
      </c>
    </row>
    <row r="677" spans="1:4" ht="15" customHeight="1">
      <c r="A677">
        <v>1</v>
      </c>
      <c r="B677">
        <f>IF($A677=0,0,MAX($B$1:$B676)+1)</f>
        <v>670</v>
      </c>
      <c r="C677" s="369" t="s">
        <v>1025</v>
      </c>
      <c r="D677">
        <f t="shared" si="13"/>
        <v>21</v>
      </c>
    </row>
    <row r="678" spans="1:4" ht="15" customHeight="1">
      <c r="A678">
        <v>1</v>
      </c>
      <c r="B678">
        <f>IF($A678=0,0,MAX($B$1:$B677)+1)</f>
        <v>671</v>
      </c>
      <c r="C678" s="369" t="s">
        <v>572</v>
      </c>
      <c r="D678">
        <f t="shared" si="13"/>
        <v>7</v>
      </c>
    </row>
    <row r="679" spans="1:4" ht="15" customHeight="1">
      <c r="A679">
        <v>1</v>
      </c>
      <c r="B679">
        <f>IF($A679=0,0,MAX($B$1:$B678)+1)</f>
        <v>672</v>
      </c>
      <c r="D679">
        <f t="shared" si="13"/>
        <v>0</v>
      </c>
    </row>
    <row r="680" spans="1:4" ht="15" customHeight="1">
      <c r="A680">
        <v>1</v>
      </c>
      <c r="B680">
        <f>IF($A680=0,0,MAX($B$1:$B679)+1)</f>
        <v>673</v>
      </c>
      <c r="C680" s="369" t="s">
        <v>1026</v>
      </c>
      <c r="D680">
        <f t="shared" si="13"/>
        <v>15</v>
      </c>
    </row>
    <row r="681" spans="1:4" ht="15" customHeight="1">
      <c r="A681">
        <v>1</v>
      </c>
      <c r="B681">
        <f>IF($A681=0,0,MAX($B$1:$B680)+1)</f>
        <v>674</v>
      </c>
      <c r="C681" s="369" t="s">
        <v>573</v>
      </c>
      <c r="D681">
        <f t="shared" si="13"/>
        <v>58</v>
      </c>
    </row>
    <row r="682" spans="1:4" ht="15" customHeight="1">
      <c r="A682">
        <v>1</v>
      </c>
      <c r="B682">
        <f>IF($A682=0,0,MAX($B$1:$B681)+1)</f>
        <v>675</v>
      </c>
      <c r="C682" s="369" t="s">
        <v>884</v>
      </c>
      <c r="D682">
        <f t="shared" si="13"/>
        <v>57</v>
      </c>
    </row>
    <row r="683" spans="1:4" ht="15" customHeight="1">
      <c r="A683">
        <v>1</v>
      </c>
      <c r="B683">
        <f>IF($A683=0,0,MAX($B$1:$B682)+1)</f>
        <v>676</v>
      </c>
      <c r="C683" s="369" t="s">
        <v>885</v>
      </c>
      <c r="D683">
        <f t="shared" si="13"/>
        <v>25</v>
      </c>
    </row>
    <row r="684" spans="1:4" ht="15" customHeight="1">
      <c r="A684">
        <v>1</v>
      </c>
      <c r="B684">
        <f>IF($A684=0,0,MAX($B$1:$B683)+1)</f>
        <v>677</v>
      </c>
      <c r="D684">
        <f t="shared" si="13"/>
        <v>0</v>
      </c>
    </row>
    <row r="685" spans="1:4" ht="15" customHeight="1">
      <c r="A685">
        <v>1</v>
      </c>
      <c r="B685">
        <f>IF($A685=0,0,MAX($B$1:$B684)+1)</f>
        <v>678</v>
      </c>
      <c r="C685" s="369" t="s">
        <v>1027</v>
      </c>
      <c r="D685">
        <f t="shared" si="13"/>
        <v>17</v>
      </c>
    </row>
    <row r="686" spans="1:4" ht="15" customHeight="1">
      <c r="A686">
        <v>1</v>
      </c>
      <c r="B686">
        <f>IF($A686=0,0,MAX($B$1:$B685)+1)</f>
        <v>679</v>
      </c>
      <c r="C686" s="369" t="s">
        <v>574</v>
      </c>
      <c r="D686">
        <f t="shared" ref="D686:D749" si="14">LEN(C686)</f>
        <v>47</v>
      </c>
    </row>
    <row r="687" spans="1:4" ht="15" customHeight="1">
      <c r="A687">
        <v>1</v>
      </c>
      <c r="B687">
        <f>IF($A687=0,0,MAX($B$1:$B686)+1)</f>
        <v>680</v>
      </c>
      <c r="C687" s="369" t="s">
        <v>886</v>
      </c>
      <c r="D687">
        <f t="shared" si="14"/>
        <v>43</v>
      </c>
    </row>
    <row r="688" spans="1:4" ht="15" customHeight="1">
      <c r="A688">
        <v>1</v>
      </c>
      <c r="B688">
        <f>IF($A688=0,0,MAX($B$1:$B687)+1)</f>
        <v>681</v>
      </c>
      <c r="C688" s="369" t="s">
        <v>887</v>
      </c>
      <c r="D688">
        <f t="shared" si="14"/>
        <v>60</v>
      </c>
    </row>
    <row r="689" spans="1:4" ht="15" customHeight="1">
      <c r="A689">
        <v>1</v>
      </c>
      <c r="B689">
        <f>IF($A689=0,0,MAX($B$1:$B688)+1)</f>
        <v>682</v>
      </c>
      <c r="C689" s="369" t="s">
        <v>888</v>
      </c>
      <c r="D689">
        <f t="shared" si="14"/>
        <v>57</v>
      </c>
    </row>
    <row r="690" spans="1:4" ht="15" customHeight="1">
      <c r="A690">
        <v>1</v>
      </c>
      <c r="B690">
        <f>IF($A690=0,0,MAX($B$1:$B689)+1)</f>
        <v>683</v>
      </c>
      <c r="C690" s="369" t="s">
        <v>889</v>
      </c>
      <c r="D690">
        <f t="shared" si="14"/>
        <v>14</v>
      </c>
    </row>
    <row r="691" spans="1:4" ht="15" customHeight="1">
      <c r="A691">
        <v>1</v>
      </c>
      <c r="B691">
        <f>IF($A691=0,0,MAX($B$1:$B690)+1)</f>
        <v>684</v>
      </c>
      <c r="D691">
        <f t="shared" si="14"/>
        <v>0</v>
      </c>
    </row>
    <row r="692" spans="1:4" ht="15" customHeight="1">
      <c r="A692">
        <v>1</v>
      </c>
      <c r="B692">
        <f>IF($A692=0,0,MAX($B$1:$B691)+1)</f>
        <v>685</v>
      </c>
      <c r="C692" s="369" t="s">
        <v>1028</v>
      </c>
      <c r="D692">
        <f t="shared" si="14"/>
        <v>27</v>
      </c>
    </row>
    <row r="693" spans="1:4" ht="15" customHeight="1">
      <c r="A693">
        <v>1</v>
      </c>
      <c r="B693">
        <f>IF($A693=0,0,MAX($B$1:$B692)+1)</f>
        <v>686</v>
      </c>
      <c r="C693" s="369" t="s">
        <v>575</v>
      </c>
      <c r="D693">
        <f t="shared" si="14"/>
        <v>59</v>
      </c>
    </row>
    <row r="694" spans="1:4" ht="15" customHeight="1">
      <c r="A694">
        <v>1</v>
      </c>
      <c r="B694">
        <f>IF($A694=0,0,MAX($B$1:$B693)+1)</f>
        <v>687</v>
      </c>
      <c r="C694" s="369" t="s">
        <v>890</v>
      </c>
      <c r="D694">
        <f t="shared" si="14"/>
        <v>19</v>
      </c>
    </row>
    <row r="695" spans="1:4" ht="15" customHeight="1">
      <c r="A695">
        <v>1</v>
      </c>
      <c r="B695">
        <f>IF($A695=0,0,MAX($B$1:$B694)+1)</f>
        <v>688</v>
      </c>
      <c r="D695">
        <f t="shared" si="14"/>
        <v>0</v>
      </c>
    </row>
    <row r="696" spans="1:4" ht="15" customHeight="1">
      <c r="A696">
        <v>1</v>
      </c>
      <c r="B696">
        <f>IF($A696=0,0,MAX($B$1:$B695)+1)</f>
        <v>689</v>
      </c>
      <c r="C696" s="369" t="s">
        <v>1029</v>
      </c>
      <c r="D696">
        <f t="shared" si="14"/>
        <v>10</v>
      </c>
    </row>
    <row r="697" spans="1:4" ht="15" customHeight="1">
      <c r="A697">
        <v>1</v>
      </c>
      <c r="B697">
        <f>IF($A697=0,0,MAX($B$1:$B696)+1)</f>
        <v>690</v>
      </c>
      <c r="C697" s="369" t="s">
        <v>576</v>
      </c>
      <c r="D697">
        <f t="shared" si="14"/>
        <v>58</v>
      </c>
    </row>
    <row r="698" spans="1:4" ht="15" customHeight="1">
      <c r="A698">
        <v>1</v>
      </c>
      <c r="B698">
        <f>IF($A698=0,0,MAX($B$1:$B697)+1)</f>
        <v>691</v>
      </c>
      <c r="C698" s="369" t="s">
        <v>891</v>
      </c>
      <c r="D698">
        <f t="shared" si="14"/>
        <v>57</v>
      </c>
    </row>
    <row r="699" spans="1:4" ht="15" customHeight="1">
      <c r="A699">
        <v>1</v>
      </c>
      <c r="B699">
        <f>IF($A699=0,0,MAX($B$1:$B698)+1)</f>
        <v>692</v>
      </c>
      <c r="C699" s="369" t="s">
        <v>892</v>
      </c>
      <c r="D699">
        <f t="shared" si="14"/>
        <v>57</v>
      </c>
    </row>
    <row r="700" spans="1:4" ht="15" customHeight="1">
      <c r="A700">
        <v>1</v>
      </c>
      <c r="B700">
        <f>IF($A700=0,0,MAX($B$1:$B699)+1)</f>
        <v>693</v>
      </c>
      <c r="C700" s="369" t="s">
        <v>893</v>
      </c>
      <c r="D700">
        <f t="shared" si="14"/>
        <v>38</v>
      </c>
    </row>
    <row r="701" spans="1:4" ht="15" customHeight="1">
      <c r="A701">
        <v>1</v>
      </c>
      <c r="B701">
        <f>IF($A701=0,0,MAX($B$1:$B700)+1)</f>
        <v>694</v>
      </c>
      <c r="C701" s="369" t="s">
        <v>577</v>
      </c>
      <c r="D701">
        <f t="shared" si="14"/>
        <v>38</v>
      </c>
    </row>
    <row r="702" spans="1:4" ht="15" customHeight="1">
      <c r="A702">
        <v>1</v>
      </c>
      <c r="B702">
        <f>IF($A702=0,0,MAX($B$1:$B701)+1)</f>
        <v>695</v>
      </c>
      <c r="C702" s="369" t="s">
        <v>1078</v>
      </c>
      <c r="D702">
        <f t="shared" si="14"/>
        <v>60</v>
      </c>
    </row>
    <row r="703" spans="1:4" ht="15" customHeight="1">
      <c r="A703">
        <v>1</v>
      </c>
      <c r="B703">
        <f>IF($A703=0,0,MAX($B$1:$B702)+1)</f>
        <v>696</v>
      </c>
      <c r="C703" s="369" t="s">
        <v>894</v>
      </c>
      <c r="D703">
        <f t="shared" si="14"/>
        <v>59</v>
      </c>
    </row>
    <row r="704" spans="1:4" ht="15" customHeight="1">
      <c r="A704">
        <v>1</v>
      </c>
      <c r="B704">
        <f>IF($A704=0,0,MAX($B$1:$B703)+1)</f>
        <v>697</v>
      </c>
      <c r="C704" s="369" t="s">
        <v>895</v>
      </c>
      <c r="D704">
        <f t="shared" si="14"/>
        <v>57</v>
      </c>
    </row>
    <row r="705" spans="1:4" ht="15" customHeight="1">
      <c r="A705">
        <v>1</v>
      </c>
      <c r="B705">
        <f>IF($A705=0,0,MAX($B$1:$B704)+1)</f>
        <v>698</v>
      </c>
      <c r="C705" s="369" t="s">
        <v>896</v>
      </c>
      <c r="D705">
        <f t="shared" si="14"/>
        <v>60</v>
      </c>
    </row>
    <row r="706" spans="1:4" ht="15" customHeight="1">
      <c r="A706">
        <v>1</v>
      </c>
      <c r="B706">
        <f>IF($A706=0,0,MAX($B$1:$B705)+1)</f>
        <v>699</v>
      </c>
      <c r="C706" s="369" t="s">
        <v>5172</v>
      </c>
      <c r="D706">
        <f t="shared" si="14"/>
        <v>58</v>
      </c>
    </row>
    <row r="707" spans="1:4" ht="15" customHeight="1">
      <c r="A707">
        <v>1</v>
      </c>
      <c r="B707">
        <f>IF($A707=0,0,MAX($B$1:$B706)+1)</f>
        <v>700</v>
      </c>
      <c r="C707" s="369" t="s">
        <v>5173</v>
      </c>
      <c r="D707">
        <f t="shared" si="14"/>
        <v>47</v>
      </c>
    </row>
    <row r="708" spans="1:4" ht="15" customHeight="1">
      <c r="A708">
        <v>1</v>
      </c>
      <c r="B708">
        <f>IF($A708=0,0,MAX($B$1:$B707)+1)</f>
        <v>701</v>
      </c>
      <c r="C708" s="369" t="s">
        <v>578</v>
      </c>
      <c r="D708">
        <f t="shared" si="14"/>
        <v>57</v>
      </c>
    </row>
    <row r="709" spans="1:4" ht="15" customHeight="1">
      <c r="A709">
        <v>1</v>
      </c>
      <c r="B709">
        <f>IF($A709=0,0,MAX($B$1:$B708)+1)</f>
        <v>702</v>
      </c>
      <c r="C709" s="369" t="s">
        <v>897</v>
      </c>
      <c r="D709">
        <f t="shared" si="14"/>
        <v>57</v>
      </c>
    </row>
    <row r="710" spans="1:4" ht="15" customHeight="1">
      <c r="A710">
        <v>1</v>
      </c>
      <c r="B710">
        <f>IF($A710=0,0,MAX($B$1:$B709)+1)</f>
        <v>703</v>
      </c>
      <c r="C710" s="369" t="s">
        <v>898</v>
      </c>
      <c r="D710">
        <f t="shared" si="14"/>
        <v>57</v>
      </c>
    </row>
    <row r="711" spans="1:4" ht="15" customHeight="1">
      <c r="A711">
        <v>1</v>
      </c>
      <c r="B711">
        <f>IF($A711=0,0,MAX($B$1:$B710)+1)</f>
        <v>704</v>
      </c>
      <c r="C711" s="369" t="s">
        <v>899</v>
      </c>
      <c r="D711">
        <f t="shared" si="14"/>
        <v>44</v>
      </c>
    </row>
    <row r="712" spans="1:4" ht="15" customHeight="1">
      <c r="A712">
        <v>1</v>
      </c>
      <c r="B712">
        <f>IF($A712=0,0,MAX($B$1:$B711)+1)</f>
        <v>705</v>
      </c>
      <c r="C712" s="369" t="s">
        <v>900</v>
      </c>
      <c r="D712">
        <f t="shared" si="14"/>
        <v>57</v>
      </c>
    </row>
    <row r="713" spans="1:4" ht="15" customHeight="1">
      <c r="A713">
        <v>1</v>
      </c>
      <c r="B713">
        <f>IF($A713=0,0,MAX($B$1:$B712)+1)</f>
        <v>706</v>
      </c>
      <c r="C713" s="369" t="s">
        <v>901</v>
      </c>
      <c r="D713">
        <f t="shared" si="14"/>
        <v>57</v>
      </c>
    </row>
    <row r="714" spans="1:4" ht="15" customHeight="1">
      <c r="A714">
        <v>1</v>
      </c>
      <c r="B714">
        <f>IF($A714=0,0,MAX($B$1:$B713)+1)</f>
        <v>707</v>
      </c>
      <c r="C714" s="369" t="s">
        <v>902</v>
      </c>
      <c r="D714">
        <f t="shared" si="14"/>
        <v>36</v>
      </c>
    </row>
    <row r="715" spans="1:4" ht="15" customHeight="1">
      <c r="A715">
        <v>1</v>
      </c>
      <c r="B715">
        <f>IF($A715=0,0,MAX($B$1:$B714)+1)</f>
        <v>708</v>
      </c>
      <c r="C715" s="369" t="s">
        <v>579</v>
      </c>
      <c r="D715">
        <f t="shared" si="14"/>
        <v>57</v>
      </c>
    </row>
    <row r="716" spans="1:4" ht="15" customHeight="1">
      <c r="A716">
        <v>1</v>
      </c>
      <c r="B716">
        <f>IF($A716=0,0,MAX($B$1:$B715)+1)</f>
        <v>709</v>
      </c>
      <c r="C716" s="369" t="s">
        <v>903</v>
      </c>
      <c r="D716">
        <f t="shared" si="14"/>
        <v>57</v>
      </c>
    </row>
    <row r="717" spans="1:4" ht="15" customHeight="1">
      <c r="A717">
        <v>1</v>
      </c>
      <c r="B717">
        <f>IF($A717=0,0,MAX($B$1:$B716)+1)</f>
        <v>710</v>
      </c>
      <c r="C717" s="369" t="s">
        <v>904</v>
      </c>
      <c r="D717">
        <f t="shared" si="14"/>
        <v>42</v>
      </c>
    </row>
    <row r="718" spans="1:4" ht="15" customHeight="1">
      <c r="A718">
        <v>1</v>
      </c>
      <c r="B718">
        <f>IF($A718=0,0,MAX($B$1:$B717)+1)</f>
        <v>711</v>
      </c>
      <c r="C718" s="369" t="s">
        <v>580</v>
      </c>
      <c r="D718">
        <f t="shared" si="14"/>
        <v>57</v>
      </c>
    </row>
    <row r="719" spans="1:4" ht="15" customHeight="1">
      <c r="A719">
        <v>1</v>
      </c>
      <c r="B719">
        <f>IF($A719=0,0,MAX($B$1:$B718)+1)</f>
        <v>712</v>
      </c>
      <c r="C719" s="369" t="s">
        <v>905</v>
      </c>
      <c r="D719">
        <f t="shared" si="14"/>
        <v>57</v>
      </c>
    </row>
    <row r="720" spans="1:4" ht="15" customHeight="1">
      <c r="A720">
        <v>1</v>
      </c>
      <c r="B720">
        <f>IF($A720=0,0,MAX($B$1:$B719)+1)</f>
        <v>713</v>
      </c>
      <c r="C720" s="369" t="s">
        <v>684</v>
      </c>
      <c r="D720">
        <f t="shared" si="14"/>
        <v>58</v>
      </c>
    </row>
    <row r="721" spans="1:4" ht="15" customHeight="1">
      <c r="A721">
        <v>1</v>
      </c>
      <c r="B721">
        <f>IF($A721=0,0,MAX($B$1:$B720)+1)</f>
        <v>714</v>
      </c>
      <c r="C721" s="369" t="s">
        <v>685</v>
      </c>
      <c r="D721">
        <f t="shared" si="14"/>
        <v>38</v>
      </c>
    </row>
    <row r="722" spans="1:4" ht="15" customHeight="1">
      <c r="A722">
        <v>1</v>
      </c>
      <c r="B722">
        <f>IF($A722=0,0,MAX($B$1:$B721)+1)</f>
        <v>715</v>
      </c>
      <c r="C722" s="369" t="s">
        <v>581</v>
      </c>
      <c r="D722">
        <f t="shared" si="14"/>
        <v>60</v>
      </c>
    </row>
    <row r="723" spans="1:4" ht="15" customHeight="1">
      <c r="A723">
        <v>1</v>
      </c>
      <c r="B723">
        <f>IF($A723=0,0,MAX($B$1:$B722)+1)</f>
        <v>716</v>
      </c>
      <c r="C723" s="369" t="s">
        <v>906</v>
      </c>
      <c r="D723">
        <f t="shared" si="14"/>
        <v>61</v>
      </c>
    </row>
    <row r="724" spans="1:4" ht="15" customHeight="1">
      <c r="A724">
        <v>1</v>
      </c>
      <c r="B724">
        <f>IF($A724=0,0,MAX($B$1:$B723)+1)</f>
        <v>717</v>
      </c>
      <c r="C724" s="369" t="s">
        <v>907</v>
      </c>
      <c r="D724">
        <f t="shared" si="14"/>
        <v>57</v>
      </c>
    </row>
    <row r="725" spans="1:4" ht="15" customHeight="1">
      <c r="A725">
        <v>1</v>
      </c>
      <c r="B725">
        <f>IF($A725=0,0,MAX($B$1:$B724)+1)</f>
        <v>718</v>
      </c>
      <c r="C725" s="369" t="s">
        <v>908</v>
      </c>
      <c r="D725">
        <f t="shared" si="14"/>
        <v>28</v>
      </c>
    </row>
    <row r="726" spans="1:4" ht="15" customHeight="1">
      <c r="A726">
        <v>1</v>
      </c>
      <c r="B726">
        <f>IF($A726=0,0,MAX($B$1:$B725)+1)</f>
        <v>719</v>
      </c>
      <c r="C726" s="369" t="s">
        <v>582</v>
      </c>
      <c r="D726">
        <f t="shared" si="14"/>
        <v>57</v>
      </c>
    </row>
    <row r="727" spans="1:4" ht="15" customHeight="1">
      <c r="A727">
        <v>1</v>
      </c>
      <c r="B727">
        <f>IF($A727=0,0,MAX($B$1:$B726)+1)</f>
        <v>720</v>
      </c>
      <c r="C727" s="369" t="s">
        <v>909</v>
      </c>
      <c r="D727">
        <f t="shared" si="14"/>
        <v>11</v>
      </c>
    </row>
    <row r="728" spans="1:4" ht="15" customHeight="1">
      <c r="A728">
        <v>1</v>
      </c>
      <c r="B728">
        <f>IF($A728=0,0,MAX($B$1:$B727)+1)</f>
        <v>721</v>
      </c>
      <c r="D728">
        <f t="shared" si="14"/>
        <v>0</v>
      </c>
    </row>
    <row r="729" spans="1:4" ht="15" customHeight="1">
      <c r="A729">
        <v>1</v>
      </c>
      <c r="B729">
        <f>IF($A729=0,0,MAX($B$1:$B728)+1)</f>
        <v>722</v>
      </c>
      <c r="C729" s="369" t="s">
        <v>1030</v>
      </c>
      <c r="D729">
        <f t="shared" si="14"/>
        <v>14</v>
      </c>
    </row>
    <row r="730" spans="1:4" ht="15" customHeight="1">
      <c r="A730">
        <v>1</v>
      </c>
      <c r="B730">
        <f>IF($A730=0,0,MAX($B$1:$B729)+1)</f>
        <v>723</v>
      </c>
      <c r="C730" s="369" t="s">
        <v>583</v>
      </c>
      <c r="D730">
        <f t="shared" si="14"/>
        <v>58</v>
      </c>
    </row>
    <row r="731" spans="1:4" ht="15" customHeight="1">
      <c r="A731">
        <v>1</v>
      </c>
      <c r="B731">
        <f>IF($A731=0,0,MAX($B$1:$B730)+1)</f>
        <v>724</v>
      </c>
      <c r="C731" s="369" t="s">
        <v>910</v>
      </c>
      <c r="D731">
        <f t="shared" si="14"/>
        <v>24</v>
      </c>
    </row>
    <row r="732" spans="1:4" ht="15" customHeight="1">
      <c r="A732">
        <v>1</v>
      </c>
      <c r="B732">
        <f>IF($A732=0,0,MAX($B$1:$B731)+1)</f>
        <v>725</v>
      </c>
      <c r="C732" s="369" t="s">
        <v>911</v>
      </c>
      <c r="D732">
        <f t="shared" si="14"/>
        <v>22</v>
      </c>
    </row>
    <row r="733" spans="1:4" ht="15" customHeight="1">
      <c r="A733">
        <v>1</v>
      </c>
      <c r="B733">
        <f>IF($A733=0,0,MAX($B$1:$B732)+1)</f>
        <v>726</v>
      </c>
      <c r="C733" s="369" t="s">
        <v>912</v>
      </c>
      <c r="D733">
        <f t="shared" si="14"/>
        <v>51</v>
      </c>
    </row>
    <row r="734" spans="1:4" ht="15" customHeight="1">
      <c r="A734">
        <v>1</v>
      </c>
      <c r="B734">
        <f>IF($A734=0,0,MAX($B$1:$B733)+1)</f>
        <v>727</v>
      </c>
      <c r="C734" s="369" t="s">
        <v>913</v>
      </c>
      <c r="D734">
        <f t="shared" si="14"/>
        <v>49</v>
      </c>
    </row>
    <row r="735" spans="1:4" ht="15" customHeight="1">
      <c r="A735">
        <v>1</v>
      </c>
      <c r="B735">
        <f>IF($A735=0,0,MAX($B$1:$B734)+1)</f>
        <v>728</v>
      </c>
      <c r="C735" s="369" t="s">
        <v>584</v>
      </c>
      <c r="D735">
        <f t="shared" si="14"/>
        <v>58</v>
      </c>
    </row>
    <row r="736" spans="1:4" ht="15" customHeight="1">
      <c r="A736">
        <v>1</v>
      </c>
      <c r="B736">
        <f>IF($A736=0,0,MAX($B$1:$B735)+1)</f>
        <v>729</v>
      </c>
      <c r="C736" s="369" t="s">
        <v>914</v>
      </c>
      <c r="D736">
        <f t="shared" si="14"/>
        <v>28</v>
      </c>
    </row>
    <row r="737" spans="1:4" ht="15" customHeight="1">
      <c r="A737">
        <v>1</v>
      </c>
      <c r="B737">
        <f>IF($A737=0,0,MAX($B$1:$B736)+1)</f>
        <v>730</v>
      </c>
      <c r="C737" s="369" t="s">
        <v>915</v>
      </c>
      <c r="D737">
        <f t="shared" si="14"/>
        <v>50</v>
      </c>
    </row>
    <row r="738" spans="1:4" ht="15" customHeight="1">
      <c r="A738">
        <v>1</v>
      </c>
      <c r="B738">
        <f>IF($A738=0,0,MAX($B$1:$B737)+1)</f>
        <v>731</v>
      </c>
      <c r="C738" s="369" t="s">
        <v>916</v>
      </c>
      <c r="D738">
        <f t="shared" si="14"/>
        <v>57</v>
      </c>
    </row>
    <row r="739" spans="1:4" ht="15" customHeight="1">
      <c r="A739">
        <v>1</v>
      </c>
      <c r="B739">
        <f>IF($A739=0,0,MAX($B$1:$B738)+1)</f>
        <v>732</v>
      </c>
      <c r="C739" s="369" t="s">
        <v>917</v>
      </c>
      <c r="D739">
        <f t="shared" si="14"/>
        <v>15</v>
      </c>
    </row>
    <row r="740" spans="1:4" ht="15" customHeight="1">
      <c r="A740">
        <v>1</v>
      </c>
      <c r="B740">
        <f>IF($A740=0,0,MAX($B$1:$B739)+1)</f>
        <v>733</v>
      </c>
      <c r="C740" s="369" t="s">
        <v>585</v>
      </c>
      <c r="D740">
        <f t="shared" si="14"/>
        <v>39</v>
      </c>
    </row>
    <row r="741" spans="1:4" ht="15" customHeight="1">
      <c r="A741">
        <v>1</v>
      </c>
      <c r="B741">
        <f>IF($A741=0,0,MAX($B$1:$B740)+1)</f>
        <v>734</v>
      </c>
      <c r="C741" s="369" t="s">
        <v>918</v>
      </c>
      <c r="D741">
        <f t="shared" si="14"/>
        <v>60</v>
      </c>
    </row>
    <row r="742" spans="1:4" ht="15" customHeight="1">
      <c r="A742">
        <v>1</v>
      </c>
      <c r="B742">
        <f>IF($A742=0,0,MAX($B$1:$B741)+1)</f>
        <v>735</v>
      </c>
      <c r="C742" s="369" t="s">
        <v>919</v>
      </c>
      <c r="D742">
        <f t="shared" si="14"/>
        <v>4</v>
      </c>
    </row>
    <row r="743" spans="1:4" ht="15" customHeight="1">
      <c r="A743">
        <v>1</v>
      </c>
      <c r="B743">
        <f>IF($A743=0,0,MAX($B$1:$B742)+1)</f>
        <v>736</v>
      </c>
      <c r="C743" s="369" t="s">
        <v>920</v>
      </c>
      <c r="D743">
        <f t="shared" si="14"/>
        <v>59</v>
      </c>
    </row>
    <row r="744" spans="1:4" ht="15" customHeight="1">
      <c r="A744">
        <v>1</v>
      </c>
      <c r="B744">
        <f>IF($A744=0,0,MAX($B$1:$B743)+1)</f>
        <v>737</v>
      </c>
      <c r="C744" s="369" t="s">
        <v>921</v>
      </c>
      <c r="D744">
        <f t="shared" si="14"/>
        <v>6</v>
      </c>
    </row>
    <row r="745" spans="1:4" ht="15" customHeight="1">
      <c r="A745">
        <v>1</v>
      </c>
      <c r="B745">
        <f>IF($A745=0,0,MAX($B$1:$B744)+1)</f>
        <v>738</v>
      </c>
      <c r="C745" s="369" t="s">
        <v>922</v>
      </c>
      <c r="D745">
        <f t="shared" si="14"/>
        <v>59</v>
      </c>
    </row>
    <row r="746" spans="1:4" ht="15" customHeight="1">
      <c r="A746">
        <v>1</v>
      </c>
      <c r="B746">
        <f>IF($A746=0,0,MAX($B$1:$B745)+1)</f>
        <v>739</v>
      </c>
      <c r="C746" s="369" t="s">
        <v>923</v>
      </c>
      <c r="D746">
        <f t="shared" si="14"/>
        <v>9</v>
      </c>
    </row>
    <row r="747" spans="1:4" ht="15" customHeight="1">
      <c r="A747">
        <v>1</v>
      </c>
      <c r="B747">
        <f>IF($A747=0,0,MAX($B$1:$B746)+1)</f>
        <v>740</v>
      </c>
      <c r="C747" s="369" t="s">
        <v>586</v>
      </c>
      <c r="D747">
        <f t="shared" si="14"/>
        <v>57</v>
      </c>
    </row>
    <row r="748" spans="1:4" ht="15" customHeight="1">
      <c r="A748">
        <v>1</v>
      </c>
      <c r="B748">
        <f>IF($A748=0,0,MAX($B$1:$B747)+1)</f>
        <v>741</v>
      </c>
      <c r="C748" s="369" t="s">
        <v>924</v>
      </c>
      <c r="D748">
        <f t="shared" si="14"/>
        <v>57</v>
      </c>
    </row>
    <row r="749" spans="1:4" ht="15" customHeight="1">
      <c r="A749">
        <v>1</v>
      </c>
      <c r="B749">
        <f>IF($A749=0,0,MAX($B$1:$B748)+1)</f>
        <v>742</v>
      </c>
      <c r="C749" s="369" t="s">
        <v>925</v>
      </c>
      <c r="D749">
        <f t="shared" si="14"/>
        <v>12</v>
      </c>
    </row>
    <row r="750" spans="1:4" ht="15" customHeight="1">
      <c r="A750">
        <v>1</v>
      </c>
      <c r="B750">
        <f>IF($A750=0,0,MAX($B$1:$B749)+1)</f>
        <v>743</v>
      </c>
      <c r="C750" s="369" t="s">
        <v>587</v>
      </c>
      <c r="D750">
        <f t="shared" ref="D750:D813" si="15">LEN(C750)</f>
        <v>57</v>
      </c>
    </row>
    <row r="751" spans="1:4" ht="15" customHeight="1">
      <c r="A751">
        <v>1</v>
      </c>
      <c r="B751">
        <f>IF($A751=0,0,MAX($B$1:$B750)+1)</f>
        <v>744</v>
      </c>
      <c r="C751" s="369" t="s">
        <v>5174</v>
      </c>
      <c r="D751">
        <f t="shared" si="15"/>
        <v>48</v>
      </c>
    </row>
    <row r="752" spans="1:4" ht="15" customHeight="1">
      <c r="A752">
        <v>1</v>
      </c>
      <c r="B752">
        <f>IF($A752=0,0,MAX($B$1:$B751)+1)</f>
        <v>745</v>
      </c>
      <c r="C752" s="369" t="s">
        <v>1074</v>
      </c>
      <c r="D752">
        <f t="shared" si="15"/>
        <v>59</v>
      </c>
    </row>
    <row r="753" spans="1:4" ht="15" customHeight="1">
      <c r="A753">
        <v>1</v>
      </c>
      <c r="B753">
        <f>IF($A753=0,0,MAX($B$1:$B752)+1)</f>
        <v>746</v>
      </c>
      <c r="C753" s="369" t="s">
        <v>926</v>
      </c>
      <c r="D753">
        <f t="shared" si="15"/>
        <v>57</v>
      </c>
    </row>
    <row r="754" spans="1:4" ht="15" customHeight="1">
      <c r="A754">
        <v>1</v>
      </c>
      <c r="B754">
        <f>IF($A754=0,0,MAX($B$1:$B753)+1)</f>
        <v>747</v>
      </c>
      <c r="C754" s="369" t="s">
        <v>927</v>
      </c>
      <c r="D754">
        <f t="shared" si="15"/>
        <v>16</v>
      </c>
    </row>
    <row r="755" spans="1:4" ht="15" customHeight="1">
      <c r="A755">
        <v>1</v>
      </c>
      <c r="B755">
        <f>IF($A755=0,0,MAX($B$1:$B754)+1)</f>
        <v>748</v>
      </c>
      <c r="D755">
        <f t="shared" si="15"/>
        <v>0</v>
      </c>
    </row>
    <row r="756" spans="1:4" ht="15" customHeight="1">
      <c r="A756">
        <v>1</v>
      </c>
      <c r="B756">
        <f>IF($A756=0,0,MAX($B$1:$B755)+1)</f>
        <v>749</v>
      </c>
      <c r="C756" s="369" t="s">
        <v>1031</v>
      </c>
      <c r="D756">
        <f t="shared" si="15"/>
        <v>8</v>
      </c>
    </row>
    <row r="757" spans="1:4" ht="15" customHeight="1">
      <c r="A757">
        <v>1</v>
      </c>
      <c r="B757">
        <f>IF($A757=0,0,MAX($B$1:$B756)+1)</f>
        <v>750</v>
      </c>
      <c r="C757" s="369" t="s">
        <v>1054</v>
      </c>
      <c r="D757">
        <f t="shared" si="15"/>
        <v>61</v>
      </c>
    </row>
    <row r="758" spans="1:4" ht="15" customHeight="1">
      <c r="A758">
        <v>1</v>
      </c>
      <c r="B758">
        <f>IF($A758=0,0,MAX($B$1:$B757)+1)</f>
        <v>751</v>
      </c>
      <c r="C758" s="369" t="s">
        <v>928</v>
      </c>
      <c r="D758">
        <f t="shared" si="15"/>
        <v>58</v>
      </c>
    </row>
    <row r="759" spans="1:4" ht="15" customHeight="1">
      <c r="A759">
        <v>1</v>
      </c>
      <c r="B759">
        <f>IF($A759=0,0,MAX($B$1:$B758)+1)</f>
        <v>752</v>
      </c>
      <c r="C759" s="369" t="s">
        <v>929</v>
      </c>
      <c r="D759">
        <f t="shared" si="15"/>
        <v>50</v>
      </c>
    </row>
    <row r="760" spans="1:4" ht="15" customHeight="1">
      <c r="A760">
        <v>1</v>
      </c>
      <c r="B760">
        <f>IF($A760=0,0,MAX($B$1:$B759)+1)</f>
        <v>753</v>
      </c>
      <c r="C760" s="369" t="s">
        <v>588</v>
      </c>
      <c r="D760">
        <f t="shared" si="15"/>
        <v>57</v>
      </c>
    </row>
    <row r="761" spans="1:4" ht="15" customHeight="1">
      <c r="A761">
        <v>1</v>
      </c>
      <c r="B761">
        <f>IF($A761=0,0,MAX($B$1:$B760)+1)</f>
        <v>754</v>
      </c>
      <c r="C761" s="369" t="s">
        <v>930</v>
      </c>
      <c r="D761">
        <f t="shared" si="15"/>
        <v>57</v>
      </c>
    </row>
    <row r="762" spans="1:4" ht="15" customHeight="1">
      <c r="A762">
        <v>1</v>
      </c>
      <c r="B762">
        <f>IF($A762=0,0,MAX($B$1:$B761)+1)</f>
        <v>755</v>
      </c>
      <c r="C762" s="369" t="s">
        <v>931</v>
      </c>
      <c r="D762">
        <f t="shared" si="15"/>
        <v>17</v>
      </c>
    </row>
    <row r="763" spans="1:4" ht="15" customHeight="1">
      <c r="A763">
        <v>1</v>
      </c>
      <c r="B763">
        <f>IF($A763=0,0,MAX($B$1:$B762)+1)</f>
        <v>756</v>
      </c>
      <c r="C763" s="369" t="s">
        <v>589</v>
      </c>
      <c r="D763">
        <f t="shared" si="15"/>
        <v>57</v>
      </c>
    </row>
    <row r="764" spans="1:4" ht="15" customHeight="1">
      <c r="A764">
        <v>1</v>
      </c>
      <c r="B764">
        <f>IF($A764=0,0,MAX($B$1:$B763)+1)</f>
        <v>757</v>
      </c>
      <c r="C764" s="369" t="s">
        <v>932</v>
      </c>
      <c r="D764">
        <f t="shared" si="15"/>
        <v>17</v>
      </c>
    </row>
    <row r="765" spans="1:4" ht="15" customHeight="1">
      <c r="A765">
        <v>1</v>
      </c>
      <c r="B765">
        <f>IF($A765=0,0,MAX($B$1:$B764)+1)</f>
        <v>758</v>
      </c>
      <c r="D765">
        <f t="shared" si="15"/>
        <v>0</v>
      </c>
    </row>
    <row r="766" spans="1:4" ht="15" customHeight="1">
      <c r="A766">
        <v>1</v>
      </c>
      <c r="B766">
        <f>IF($A766=0,0,MAX($B$1:$B765)+1)</f>
        <v>759</v>
      </c>
      <c r="C766" s="369" t="s">
        <v>1032</v>
      </c>
      <c r="D766">
        <f t="shared" si="15"/>
        <v>5</v>
      </c>
    </row>
    <row r="767" spans="1:4" ht="15" customHeight="1">
      <c r="A767">
        <v>1</v>
      </c>
      <c r="B767">
        <f>IF($A767=0,0,MAX($B$1:$B766)+1)</f>
        <v>760</v>
      </c>
      <c r="C767" s="369" t="s">
        <v>7174</v>
      </c>
      <c r="D767">
        <f t="shared" si="15"/>
        <v>58</v>
      </c>
    </row>
    <row r="768" spans="1:4" ht="15" customHeight="1">
      <c r="A768">
        <v>1</v>
      </c>
      <c r="B768">
        <f>IF($A768=0,0,MAX($B$1:$B767)+1)</f>
        <v>761</v>
      </c>
      <c r="C768" s="369" t="s">
        <v>7173</v>
      </c>
      <c r="D768">
        <f t="shared" si="15"/>
        <v>22</v>
      </c>
    </row>
    <row r="769" spans="1:4" ht="15" customHeight="1">
      <c r="A769">
        <v>1</v>
      </c>
      <c r="B769">
        <f>IF($A769=0,0,MAX($B$1:$B768)+1)</f>
        <v>762</v>
      </c>
      <c r="C769" s="369" t="s">
        <v>7175</v>
      </c>
      <c r="D769">
        <f t="shared" si="15"/>
        <v>57</v>
      </c>
    </row>
    <row r="770" spans="1:4" ht="15" customHeight="1">
      <c r="A770">
        <v>1</v>
      </c>
      <c r="B770">
        <f>IF($A770=0,0,MAX($B$1:$B769)+1)</f>
        <v>763</v>
      </c>
      <c r="C770" s="369" t="s">
        <v>717</v>
      </c>
      <c r="D770">
        <f t="shared" si="15"/>
        <v>7</v>
      </c>
    </row>
    <row r="771" spans="1:4" ht="15" customHeight="1">
      <c r="A771">
        <v>1</v>
      </c>
      <c r="B771">
        <f>IF($A771=0,0,MAX($B$1:$B770)+1)</f>
        <v>764</v>
      </c>
      <c r="C771" s="369" t="s">
        <v>590</v>
      </c>
      <c r="D771">
        <f t="shared" si="15"/>
        <v>34</v>
      </c>
    </row>
    <row r="772" spans="1:4" ht="15" customHeight="1">
      <c r="A772">
        <v>1</v>
      </c>
      <c r="B772">
        <f>IF($A772=0,0,MAX($B$1:$B771)+1)</f>
        <v>765</v>
      </c>
      <c r="D772">
        <f t="shared" si="15"/>
        <v>0</v>
      </c>
    </row>
    <row r="773" spans="1:4" ht="15" customHeight="1">
      <c r="A773">
        <v>1</v>
      </c>
      <c r="B773">
        <f>IF($A773=0,0,MAX($B$1:$B772)+1)</f>
        <v>766</v>
      </c>
      <c r="C773" s="369" t="s">
        <v>1033</v>
      </c>
      <c r="D773">
        <f t="shared" si="15"/>
        <v>14</v>
      </c>
    </row>
    <row r="774" spans="1:4" ht="15" customHeight="1">
      <c r="A774">
        <v>1</v>
      </c>
      <c r="B774">
        <f>IF($A774=0,0,MAX($B$1:$B773)+1)</f>
        <v>767</v>
      </c>
      <c r="C774" s="369" t="s">
        <v>591</v>
      </c>
      <c r="D774">
        <f t="shared" si="15"/>
        <v>58</v>
      </c>
    </row>
    <row r="775" spans="1:4" ht="15" customHeight="1">
      <c r="A775">
        <v>1</v>
      </c>
      <c r="B775">
        <f>IF($A775=0,0,MAX($B$1:$B774)+1)</f>
        <v>768</v>
      </c>
      <c r="C775" s="369" t="s">
        <v>933</v>
      </c>
      <c r="D775">
        <f t="shared" si="15"/>
        <v>57</v>
      </c>
    </row>
    <row r="776" spans="1:4" ht="15" customHeight="1">
      <c r="A776">
        <v>1</v>
      </c>
      <c r="B776">
        <f>IF($A776=0,0,MAX($B$1:$B775)+1)</f>
        <v>769</v>
      </c>
      <c r="C776" s="369" t="s">
        <v>934</v>
      </c>
      <c r="D776">
        <f t="shared" si="15"/>
        <v>17</v>
      </c>
    </row>
    <row r="777" spans="1:4" ht="15" customHeight="1">
      <c r="A777">
        <v>1</v>
      </c>
      <c r="B777">
        <f>IF($A777=0,0,MAX($B$1:$B776)+1)</f>
        <v>770</v>
      </c>
      <c r="C777" s="369" t="s">
        <v>935</v>
      </c>
      <c r="D777">
        <f t="shared" si="15"/>
        <v>32</v>
      </c>
    </row>
    <row r="778" spans="1:4" ht="15" customHeight="1">
      <c r="A778">
        <v>1</v>
      </c>
      <c r="B778">
        <f>IF($A778=0,0,MAX($B$1:$B777)+1)</f>
        <v>771</v>
      </c>
      <c r="C778" s="369" t="s">
        <v>936</v>
      </c>
      <c r="D778">
        <f t="shared" si="15"/>
        <v>48</v>
      </c>
    </row>
    <row r="779" spans="1:4" ht="15" customHeight="1">
      <c r="A779">
        <v>1</v>
      </c>
      <c r="B779">
        <f>IF($A779=0,0,MAX($B$1:$B778)+1)</f>
        <v>772</v>
      </c>
      <c r="C779" s="369" t="s">
        <v>1077</v>
      </c>
      <c r="D779">
        <f t="shared" si="15"/>
        <v>59</v>
      </c>
    </row>
    <row r="780" spans="1:4" ht="15" customHeight="1">
      <c r="A780">
        <v>1</v>
      </c>
      <c r="B780">
        <f>IF($A780=0,0,MAX($B$1:$B779)+1)</f>
        <v>773</v>
      </c>
      <c r="C780" s="369" t="s">
        <v>5175</v>
      </c>
      <c r="D780">
        <f t="shared" si="15"/>
        <v>57</v>
      </c>
    </row>
    <row r="781" spans="1:4" ht="15" customHeight="1">
      <c r="A781">
        <v>1</v>
      </c>
      <c r="B781">
        <f>IF($A781=0,0,MAX($B$1:$B780)+1)</f>
        <v>774</v>
      </c>
      <c r="C781" s="369" t="s">
        <v>5176</v>
      </c>
      <c r="D781">
        <f t="shared" si="15"/>
        <v>5</v>
      </c>
    </row>
    <row r="782" spans="1:4" ht="15" customHeight="1">
      <c r="A782">
        <v>1</v>
      </c>
      <c r="B782">
        <f>IF($A782=0,0,MAX($B$1:$B781)+1)</f>
        <v>775</v>
      </c>
      <c r="D782">
        <f t="shared" si="15"/>
        <v>0</v>
      </c>
    </row>
    <row r="783" spans="1:4" ht="15" customHeight="1">
      <c r="A783">
        <v>1</v>
      </c>
      <c r="B783">
        <f>IF($A783=0,0,MAX($B$1:$B782)+1)</f>
        <v>776</v>
      </c>
      <c r="C783" s="369" t="s">
        <v>1034</v>
      </c>
      <c r="D783">
        <f t="shared" si="15"/>
        <v>13</v>
      </c>
    </row>
    <row r="784" spans="1:4" ht="15" customHeight="1">
      <c r="A784">
        <v>1</v>
      </c>
      <c r="B784">
        <f>IF($A784=0,0,MAX($B$1:$B783)+1)</f>
        <v>777</v>
      </c>
      <c r="C784" s="369" t="s">
        <v>592</v>
      </c>
      <c r="D784">
        <f t="shared" si="15"/>
        <v>60</v>
      </c>
    </row>
    <row r="785" spans="1:4" ht="15" customHeight="1">
      <c r="A785">
        <v>1</v>
      </c>
      <c r="B785">
        <f>IF($A785=0,0,MAX($B$1:$B784)+1)</f>
        <v>778</v>
      </c>
      <c r="C785" s="369" t="s">
        <v>7176</v>
      </c>
      <c r="D785">
        <f t="shared" si="15"/>
        <v>59</v>
      </c>
    </row>
    <row r="786" spans="1:4" ht="15" customHeight="1">
      <c r="A786">
        <v>1</v>
      </c>
      <c r="B786">
        <f>IF($A786=0,0,MAX($B$1:$B785)+1)</f>
        <v>779</v>
      </c>
      <c r="C786" s="369" t="s">
        <v>7178</v>
      </c>
      <c r="D786">
        <f t="shared" si="15"/>
        <v>58</v>
      </c>
    </row>
    <row r="787" spans="1:4" ht="15" customHeight="1">
      <c r="A787">
        <v>1</v>
      </c>
      <c r="B787">
        <f>IF($A787=0,0,MAX($B$1:$B786)+1)</f>
        <v>780</v>
      </c>
      <c r="C787" s="369" t="s">
        <v>7177</v>
      </c>
      <c r="D787">
        <f t="shared" si="15"/>
        <v>12</v>
      </c>
    </row>
    <row r="788" spans="1:4" ht="15" customHeight="1">
      <c r="A788">
        <v>1</v>
      </c>
      <c r="B788">
        <f>IF($A788=0,0,MAX($B$1:$B787)+1)</f>
        <v>781</v>
      </c>
      <c r="C788" s="369" t="s">
        <v>593</v>
      </c>
      <c r="D788">
        <f t="shared" si="15"/>
        <v>57</v>
      </c>
    </row>
    <row r="789" spans="1:4" ht="15" customHeight="1">
      <c r="A789">
        <v>1</v>
      </c>
      <c r="B789">
        <f>IF($A789=0,0,MAX($B$1:$B788)+1)</f>
        <v>782</v>
      </c>
      <c r="C789" s="369" t="s">
        <v>937</v>
      </c>
      <c r="D789">
        <f t="shared" si="15"/>
        <v>57</v>
      </c>
    </row>
    <row r="790" spans="1:4" ht="15" customHeight="1">
      <c r="A790">
        <v>1</v>
      </c>
      <c r="B790">
        <f>IF($A790=0,0,MAX($B$1:$B789)+1)</f>
        <v>783</v>
      </c>
      <c r="C790" s="369" t="s">
        <v>938</v>
      </c>
      <c r="D790">
        <f t="shared" si="15"/>
        <v>42</v>
      </c>
    </row>
    <row r="791" spans="1:4" ht="15" customHeight="1">
      <c r="A791">
        <v>1</v>
      </c>
      <c r="B791">
        <f>IF($A791=0,0,MAX($B$1:$B790)+1)</f>
        <v>784</v>
      </c>
      <c r="C791" s="369" t="s">
        <v>594</v>
      </c>
      <c r="D791">
        <f t="shared" si="15"/>
        <v>57</v>
      </c>
    </row>
    <row r="792" spans="1:4" ht="15" customHeight="1">
      <c r="A792">
        <v>1</v>
      </c>
      <c r="B792">
        <f>IF($A792=0,0,MAX($B$1:$B791)+1)</f>
        <v>785</v>
      </c>
      <c r="C792" s="369" t="s">
        <v>939</v>
      </c>
      <c r="D792">
        <f t="shared" si="15"/>
        <v>20</v>
      </c>
    </row>
    <row r="793" spans="1:4" ht="15" customHeight="1">
      <c r="A793">
        <v>1</v>
      </c>
      <c r="B793">
        <f>IF($A793=0,0,MAX($B$1:$B792)+1)</f>
        <v>786</v>
      </c>
      <c r="C793" s="369" t="s">
        <v>595</v>
      </c>
      <c r="D793">
        <f t="shared" si="15"/>
        <v>57</v>
      </c>
    </row>
    <row r="794" spans="1:4" ht="15" customHeight="1">
      <c r="A794">
        <v>1</v>
      </c>
      <c r="B794">
        <f>IF($A794=0,0,MAX($B$1:$B793)+1)</f>
        <v>787</v>
      </c>
      <c r="C794" s="369" t="s">
        <v>940</v>
      </c>
      <c r="D794">
        <f t="shared" si="15"/>
        <v>57</v>
      </c>
    </row>
    <row r="795" spans="1:4" ht="15" customHeight="1">
      <c r="A795">
        <v>1</v>
      </c>
      <c r="B795">
        <f>IF($A795=0,0,MAX($B$1:$B794)+1)</f>
        <v>788</v>
      </c>
      <c r="C795" s="369" t="s">
        <v>941</v>
      </c>
      <c r="D795">
        <f t="shared" si="15"/>
        <v>52</v>
      </c>
    </row>
    <row r="796" spans="1:4" ht="15" customHeight="1">
      <c r="A796">
        <v>1</v>
      </c>
      <c r="B796">
        <f>IF($A796=0,0,MAX($B$1:$B795)+1)</f>
        <v>789</v>
      </c>
      <c r="C796" s="369" t="s">
        <v>596</v>
      </c>
      <c r="D796">
        <f t="shared" si="15"/>
        <v>57</v>
      </c>
    </row>
    <row r="797" spans="1:4" ht="15" customHeight="1">
      <c r="A797">
        <v>1</v>
      </c>
      <c r="B797">
        <f>IF($A797=0,0,MAX($B$1:$B796)+1)</f>
        <v>790</v>
      </c>
      <c r="C797" s="369" t="s">
        <v>942</v>
      </c>
      <c r="D797">
        <f t="shared" si="15"/>
        <v>23</v>
      </c>
    </row>
    <row r="798" spans="1:4" ht="15" customHeight="1">
      <c r="A798">
        <v>1</v>
      </c>
      <c r="B798">
        <f>IF($A798=0,0,MAX($B$1:$B797)+1)</f>
        <v>791</v>
      </c>
      <c r="C798" s="369" t="s">
        <v>597</v>
      </c>
      <c r="D798">
        <f t="shared" si="15"/>
        <v>57</v>
      </c>
    </row>
    <row r="799" spans="1:4" ht="15" customHeight="1">
      <c r="A799">
        <v>1</v>
      </c>
      <c r="B799">
        <f>IF($A799=0,0,MAX($B$1:$B798)+1)</f>
        <v>792</v>
      </c>
      <c r="C799" s="369" t="s">
        <v>943</v>
      </c>
      <c r="D799">
        <f t="shared" si="15"/>
        <v>25</v>
      </c>
    </row>
    <row r="800" spans="1:4" ht="15" customHeight="1">
      <c r="A800">
        <v>1</v>
      </c>
      <c r="B800">
        <f>IF($A800=0,0,MAX($B$1:$B799)+1)</f>
        <v>793</v>
      </c>
      <c r="C800" s="369" t="s">
        <v>598</v>
      </c>
      <c r="D800">
        <f t="shared" si="15"/>
        <v>37</v>
      </c>
    </row>
    <row r="801" spans="1:4" ht="15" customHeight="1">
      <c r="A801">
        <v>1</v>
      </c>
      <c r="B801">
        <f>IF($A801=0,0,MAX($B$1:$B800)+1)</f>
        <v>794</v>
      </c>
      <c r="C801" s="369" t="s">
        <v>599</v>
      </c>
      <c r="D801">
        <f t="shared" si="15"/>
        <v>57</v>
      </c>
    </row>
    <row r="802" spans="1:4" ht="15" customHeight="1">
      <c r="A802">
        <v>1</v>
      </c>
      <c r="B802">
        <f>IF($A802=0,0,MAX($B$1:$B801)+1)</f>
        <v>795</v>
      </c>
      <c r="C802" s="369" t="s">
        <v>944</v>
      </c>
      <c r="D802">
        <f t="shared" si="15"/>
        <v>57</v>
      </c>
    </row>
    <row r="803" spans="1:4" ht="15" customHeight="1">
      <c r="A803">
        <v>1</v>
      </c>
      <c r="B803">
        <f>IF($A803=0,0,MAX($B$1:$B802)+1)</f>
        <v>796</v>
      </c>
      <c r="C803" s="369" t="s">
        <v>945</v>
      </c>
      <c r="D803">
        <f t="shared" si="15"/>
        <v>20</v>
      </c>
    </row>
    <row r="804" spans="1:4" ht="15" customHeight="1">
      <c r="A804">
        <v>1</v>
      </c>
      <c r="B804">
        <f>IF($A804=0,0,MAX($B$1:$B803)+1)</f>
        <v>797</v>
      </c>
      <c r="C804" s="369" t="s">
        <v>600</v>
      </c>
      <c r="D804">
        <f t="shared" si="15"/>
        <v>60</v>
      </c>
    </row>
    <row r="805" spans="1:4" ht="15" customHeight="1">
      <c r="A805">
        <v>1</v>
      </c>
      <c r="B805">
        <f>IF($A805=0,0,MAX($B$1:$B804)+1)</f>
        <v>798</v>
      </c>
      <c r="C805" s="369" t="s">
        <v>946</v>
      </c>
      <c r="D805">
        <f t="shared" si="15"/>
        <v>59</v>
      </c>
    </row>
    <row r="806" spans="1:4" ht="15" customHeight="1">
      <c r="A806">
        <v>1</v>
      </c>
      <c r="B806">
        <f>IF($A806=0,0,MAX($B$1:$B805)+1)</f>
        <v>799</v>
      </c>
      <c r="C806" s="369" t="s">
        <v>947</v>
      </c>
      <c r="D806">
        <f t="shared" si="15"/>
        <v>58</v>
      </c>
    </row>
    <row r="807" spans="1:4" ht="15" customHeight="1">
      <c r="A807">
        <v>1</v>
      </c>
      <c r="B807">
        <f>IF($A807=0,0,MAX($B$1:$B806)+1)</f>
        <v>800</v>
      </c>
      <c r="C807" s="369" t="s">
        <v>948</v>
      </c>
      <c r="D807">
        <f t="shared" si="15"/>
        <v>19</v>
      </c>
    </row>
    <row r="808" spans="1:4" ht="15" customHeight="1">
      <c r="A808">
        <v>1</v>
      </c>
      <c r="B808">
        <f>IF($A808=0,0,MAX($B$1:$B807)+1)</f>
        <v>801</v>
      </c>
      <c r="C808" s="369" t="s">
        <v>601</v>
      </c>
      <c r="D808">
        <f t="shared" si="15"/>
        <v>58</v>
      </c>
    </row>
    <row r="809" spans="1:4" ht="15" customHeight="1">
      <c r="A809">
        <v>1</v>
      </c>
      <c r="B809">
        <f>IF($A809=0,0,MAX($B$1:$B808)+1)</f>
        <v>802</v>
      </c>
      <c r="C809" s="369" t="s">
        <v>949</v>
      </c>
      <c r="D809">
        <f t="shared" si="15"/>
        <v>57</v>
      </c>
    </row>
    <row r="810" spans="1:4" ht="15" customHeight="1">
      <c r="A810">
        <v>1</v>
      </c>
      <c r="B810">
        <f>IF($A810=0,0,MAX($B$1:$B809)+1)</f>
        <v>803</v>
      </c>
      <c r="C810" s="369" t="s">
        <v>950</v>
      </c>
      <c r="D810">
        <f t="shared" si="15"/>
        <v>30</v>
      </c>
    </row>
    <row r="811" spans="1:4" ht="15" customHeight="1">
      <c r="A811">
        <v>1</v>
      </c>
      <c r="B811">
        <f>IF($A811=0,0,MAX($B$1:$B810)+1)</f>
        <v>804</v>
      </c>
      <c r="D811">
        <f t="shared" si="15"/>
        <v>0</v>
      </c>
    </row>
    <row r="812" spans="1:4" ht="15" customHeight="1">
      <c r="A812">
        <v>1</v>
      </c>
      <c r="B812">
        <f>IF($A812=0,0,MAX($B$1:$B811)+1)</f>
        <v>805</v>
      </c>
      <c r="C812" s="369" t="s">
        <v>1035</v>
      </c>
      <c r="D812">
        <f t="shared" si="15"/>
        <v>8</v>
      </c>
    </row>
    <row r="813" spans="1:4" ht="15" customHeight="1">
      <c r="A813">
        <v>1</v>
      </c>
      <c r="B813">
        <f>IF($A813=0,0,MAX($B$1:$B812)+1)</f>
        <v>806</v>
      </c>
      <c r="C813" s="369" t="s">
        <v>602</v>
      </c>
      <c r="D813">
        <f t="shared" si="15"/>
        <v>58</v>
      </c>
    </row>
    <row r="814" spans="1:4" ht="15" customHeight="1">
      <c r="A814">
        <v>1</v>
      </c>
      <c r="B814">
        <f>IF($A814=0,0,MAX($B$1:$B813)+1)</f>
        <v>807</v>
      </c>
      <c r="C814" s="369" t="s">
        <v>951</v>
      </c>
      <c r="D814">
        <f t="shared" ref="D814:D835" si="16">LEN(C814)</f>
        <v>57</v>
      </c>
    </row>
    <row r="815" spans="1:4" ht="15" customHeight="1">
      <c r="A815">
        <v>1</v>
      </c>
      <c r="B815">
        <f>IF($A815=0,0,MAX($B$1:$B814)+1)</f>
        <v>808</v>
      </c>
      <c r="C815" s="369" t="s">
        <v>603</v>
      </c>
      <c r="D815">
        <f t="shared" si="16"/>
        <v>57</v>
      </c>
    </row>
    <row r="816" spans="1:4" ht="15" customHeight="1">
      <c r="A816">
        <v>1</v>
      </c>
      <c r="B816">
        <f>IF($A816=0,0,MAX($B$1:$B815)+1)</f>
        <v>809</v>
      </c>
      <c r="C816" s="369" t="s">
        <v>640</v>
      </c>
      <c r="D816">
        <f t="shared" si="16"/>
        <v>6</v>
      </c>
    </row>
    <row r="817" spans="1:4" ht="15" customHeight="1">
      <c r="A817">
        <v>1</v>
      </c>
      <c r="B817">
        <f>IF($A817=0,0,MAX($B$1:$B816)+1)</f>
        <v>810</v>
      </c>
      <c r="C817" s="369" t="s">
        <v>604</v>
      </c>
      <c r="D817">
        <f t="shared" si="16"/>
        <v>57</v>
      </c>
    </row>
    <row r="818" spans="1:4" ht="15" customHeight="1">
      <c r="A818">
        <v>1</v>
      </c>
      <c r="B818">
        <f>IF($A818=0,0,MAX($B$1:$B817)+1)</f>
        <v>811</v>
      </c>
      <c r="C818" s="369" t="s">
        <v>952</v>
      </c>
      <c r="D818">
        <f t="shared" si="16"/>
        <v>11</v>
      </c>
    </row>
    <row r="819" spans="1:4" ht="15" customHeight="1">
      <c r="A819">
        <v>1</v>
      </c>
      <c r="B819">
        <f>IF($A819=0,0,MAX($B$1:$B818)+1)</f>
        <v>812</v>
      </c>
      <c r="D819">
        <f t="shared" si="16"/>
        <v>0</v>
      </c>
    </row>
    <row r="820" spans="1:4" ht="15" customHeight="1">
      <c r="A820">
        <v>1</v>
      </c>
      <c r="B820">
        <f>IF($A820=0,0,MAX($B$1:$B819)+1)</f>
        <v>813</v>
      </c>
      <c r="C820" s="369" t="s">
        <v>1036</v>
      </c>
      <c r="D820">
        <f t="shared" si="16"/>
        <v>11</v>
      </c>
    </row>
    <row r="821" spans="1:4" ht="15" customHeight="1">
      <c r="A821">
        <v>1</v>
      </c>
      <c r="B821">
        <f>IF($A821=0,0,MAX($B$1:$B820)+1)</f>
        <v>814</v>
      </c>
      <c r="C821" s="369" t="s">
        <v>605</v>
      </c>
      <c r="D821">
        <f t="shared" si="16"/>
        <v>58</v>
      </c>
    </row>
    <row r="822" spans="1:4" ht="15" customHeight="1">
      <c r="A822">
        <v>1</v>
      </c>
      <c r="B822">
        <f>IF($A822=0,0,MAX($B$1:$B821)+1)</f>
        <v>815</v>
      </c>
      <c r="C822" s="369" t="s">
        <v>953</v>
      </c>
      <c r="D822">
        <f t="shared" si="16"/>
        <v>57</v>
      </c>
    </row>
    <row r="823" spans="1:4" ht="15" customHeight="1">
      <c r="A823">
        <v>1</v>
      </c>
      <c r="B823">
        <f>IF($A823=0,0,MAX($B$1:$B822)+1)</f>
        <v>816</v>
      </c>
      <c r="C823" s="369" t="s">
        <v>954</v>
      </c>
      <c r="D823">
        <f t="shared" si="16"/>
        <v>53</v>
      </c>
    </row>
    <row r="824" spans="1:4" ht="15" customHeight="1">
      <c r="A824">
        <v>1</v>
      </c>
      <c r="B824">
        <f>IF($A824=0,0,MAX($B$1:$B823)+1)</f>
        <v>817</v>
      </c>
      <c r="C824" s="369" t="s">
        <v>606</v>
      </c>
      <c r="D824">
        <f t="shared" si="16"/>
        <v>57</v>
      </c>
    </row>
    <row r="825" spans="1:4" ht="15" customHeight="1">
      <c r="A825">
        <v>1</v>
      </c>
      <c r="B825">
        <f>IF($A825=0,0,MAX($B$1:$B824)+1)</f>
        <v>818</v>
      </c>
      <c r="C825" s="369" t="s">
        <v>955</v>
      </c>
      <c r="D825">
        <f t="shared" si="16"/>
        <v>57</v>
      </c>
    </row>
    <row r="826" spans="1:4" ht="15" customHeight="1">
      <c r="A826">
        <v>1</v>
      </c>
      <c r="B826">
        <f>IF($A826=0,0,MAX($B$1:$B825)+1)</f>
        <v>819</v>
      </c>
      <c r="C826" s="369" t="s">
        <v>956</v>
      </c>
      <c r="D826">
        <f t="shared" si="16"/>
        <v>58</v>
      </c>
    </row>
    <row r="827" spans="1:4" ht="15" customHeight="1">
      <c r="A827">
        <v>1</v>
      </c>
      <c r="B827">
        <f>IF($A827=0,0,MAX($B$1:$B826)+1)</f>
        <v>820</v>
      </c>
      <c r="C827" s="369" t="s">
        <v>957</v>
      </c>
      <c r="D827">
        <f t="shared" si="16"/>
        <v>57</v>
      </c>
    </row>
    <row r="828" spans="1:4" ht="15" customHeight="1">
      <c r="A828">
        <v>1</v>
      </c>
      <c r="B828">
        <f>IF($A828=0,0,MAX($B$1:$B827)+1)</f>
        <v>821</v>
      </c>
      <c r="C828" s="369" t="s">
        <v>958</v>
      </c>
      <c r="D828">
        <f t="shared" si="16"/>
        <v>22</v>
      </c>
    </row>
    <row r="829" spans="1:4" ht="15" customHeight="1">
      <c r="A829">
        <v>1</v>
      </c>
      <c r="B829">
        <f>IF($A829=0,0,MAX($B$1:$B828)+1)</f>
        <v>822</v>
      </c>
      <c r="D829">
        <f t="shared" si="16"/>
        <v>0</v>
      </c>
    </row>
    <row r="830" spans="1:4" ht="15" customHeight="1">
      <c r="A830">
        <v>1</v>
      </c>
      <c r="B830">
        <f>IF($A830=0,0,MAX($B$1:$B829)+1)</f>
        <v>823</v>
      </c>
      <c r="C830" s="369" t="s">
        <v>1037</v>
      </c>
      <c r="D830">
        <f t="shared" si="16"/>
        <v>5</v>
      </c>
    </row>
    <row r="831" spans="1:4" ht="15" customHeight="1">
      <c r="A831">
        <v>1</v>
      </c>
      <c r="B831">
        <f>IF($A831=0,0,MAX($B$1:$B830)+1)</f>
        <v>824</v>
      </c>
      <c r="C831" s="369" t="s">
        <v>607</v>
      </c>
      <c r="D831">
        <f t="shared" si="16"/>
        <v>58</v>
      </c>
    </row>
    <row r="832" spans="1:4" ht="15" customHeight="1">
      <c r="A832">
        <v>1</v>
      </c>
      <c r="B832">
        <f>IF($A832=0,0,MAX($B$1:$B831)+1)</f>
        <v>825</v>
      </c>
      <c r="C832" s="369" t="s">
        <v>959</v>
      </c>
      <c r="D832">
        <f t="shared" si="16"/>
        <v>55</v>
      </c>
    </row>
    <row r="833" spans="1:4" ht="15" customHeight="1">
      <c r="A833">
        <v>1</v>
      </c>
      <c r="B833">
        <f>IF($A833=0,0,MAX($B$1:$B832)+1)</f>
        <v>826</v>
      </c>
      <c r="D833">
        <f t="shared" si="16"/>
        <v>0</v>
      </c>
    </row>
    <row r="834" spans="1:4" ht="15" customHeight="1">
      <c r="A834">
        <v>1</v>
      </c>
      <c r="B834">
        <f>IF($A834=0,0,MAX($B$1:$B833)+1)</f>
        <v>827</v>
      </c>
      <c r="C834" s="369" t="s">
        <v>1038</v>
      </c>
      <c r="D834">
        <f t="shared" si="16"/>
        <v>5</v>
      </c>
    </row>
    <row r="835" spans="1:4" ht="15" customHeight="1">
      <c r="A835">
        <v>1</v>
      </c>
      <c r="B835">
        <f>IF($A835=0,0,MAX($B$1:$B834)+1)</f>
        <v>828</v>
      </c>
      <c r="C835" s="369" t="s">
        <v>608</v>
      </c>
      <c r="D835">
        <f t="shared" si="16"/>
        <v>46</v>
      </c>
    </row>
  </sheetData>
  <autoFilter ref="A1:J835" xr:uid="{00000000-0009-0000-0000-00000A000000}"/>
  <mergeCells count="2">
    <mergeCell ref="E118:J118"/>
    <mergeCell ref="E489:F489"/>
  </mergeCells>
  <phoneticPr fontId="2"/>
  <conditionalFormatting sqref="A1:J31">
    <cfRule type="expression" dxfId="16" priority="115">
      <formula>_xlfn.ISFORMULA(XFC1048089)</formula>
    </cfRule>
  </conditionalFormatting>
  <conditionalFormatting sqref="A32:J301">
    <cfRule type="expression" dxfId="15" priority="116">
      <formula>_xlfn.ISFORMULA(XFC1048117)</formula>
    </cfRule>
  </conditionalFormatting>
  <conditionalFormatting sqref="A302:J311">
    <cfRule type="expression" dxfId="14" priority="117">
      <formula>_xlfn.ISFORMULA(XFC1048384)</formula>
    </cfRule>
  </conditionalFormatting>
  <conditionalFormatting sqref="A312:J338">
    <cfRule type="expression" dxfId="13" priority="118">
      <formula>_xlfn.ISFORMULA(XFC1048391)</formula>
    </cfRule>
  </conditionalFormatting>
  <conditionalFormatting sqref="A339:J835">
    <cfRule type="expression" dxfId="12" priority="1">
      <formula>_xlfn.ISFORMULA(XFC1048415)</formula>
    </cfRule>
  </conditionalFormatting>
  <pageMargins left="0.7" right="0.7" top="0.75" bottom="0.75" header="0.3" footer="0.3"/>
  <pageSetup paperSize="9"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30"/>
  <dimension ref="A1:N59"/>
  <sheetViews>
    <sheetView workbookViewId="0">
      <selection activeCell="G14" sqref="G14"/>
    </sheetView>
  </sheetViews>
  <sheetFormatPr defaultRowHeight="13.5"/>
  <cols>
    <col min="1" max="1" width="11" bestFit="1" customWidth="1"/>
    <col min="2" max="2" width="46.5" bestFit="1" customWidth="1"/>
    <col min="3" max="3" width="60.625" bestFit="1" customWidth="1"/>
    <col min="4" max="4" width="2.5" bestFit="1" customWidth="1"/>
    <col min="6" max="6" width="5.875" bestFit="1" customWidth="1"/>
    <col min="7" max="8" width="5.25" bestFit="1" customWidth="1"/>
    <col min="9" max="9" width="5.875" bestFit="1" customWidth="1"/>
    <col min="10" max="11" width="5.25" bestFit="1" customWidth="1"/>
    <col min="12" max="12" width="14" style="17" bestFit="1" customWidth="1"/>
    <col min="13" max="13" width="3.5" bestFit="1" customWidth="1"/>
    <col min="14" max="14" width="11" bestFit="1" customWidth="1"/>
  </cols>
  <sheetData>
    <row r="1" spans="1:14">
      <c r="L1" s="58" t="s">
        <v>276</v>
      </c>
    </row>
    <row r="2" spans="1:14">
      <c r="A2" t="s">
        <v>138</v>
      </c>
      <c r="F2" s="31" t="s">
        <v>273</v>
      </c>
      <c r="G2" s="31"/>
      <c r="L2" s="17" t="str">
        <f>入札結果!G16</f>
        <v/>
      </c>
    </row>
    <row r="3" spans="1:14">
      <c r="A3" t="s">
        <v>333</v>
      </c>
      <c r="B3" t="s">
        <v>169</v>
      </c>
      <c r="I3">
        <v>100</v>
      </c>
      <c r="J3" t="s">
        <v>271</v>
      </c>
      <c r="K3" t="s">
        <v>274</v>
      </c>
      <c r="M3">
        <v>1</v>
      </c>
    </row>
    <row r="4" spans="1:14">
      <c r="A4" t="s">
        <v>332</v>
      </c>
      <c r="B4" t="s">
        <v>193</v>
      </c>
      <c r="F4">
        <f>I3</f>
        <v>100</v>
      </c>
      <c r="G4" t="s">
        <v>271</v>
      </c>
      <c r="H4" t="s">
        <v>275</v>
      </c>
      <c r="I4">
        <v>500</v>
      </c>
      <c r="J4" t="s">
        <v>271</v>
      </c>
      <c r="K4" t="s">
        <v>274</v>
      </c>
      <c r="L4" s="17">
        <v>1000000</v>
      </c>
      <c r="M4">
        <v>2</v>
      </c>
      <c r="N4">
        <v>1</v>
      </c>
    </row>
    <row r="5" spans="1:14">
      <c r="A5" t="s">
        <v>165</v>
      </c>
      <c r="B5" t="s">
        <v>169</v>
      </c>
      <c r="F5">
        <f>I4</f>
        <v>500</v>
      </c>
      <c r="G5" t="s">
        <v>271</v>
      </c>
      <c r="H5" t="s">
        <v>275</v>
      </c>
      <c r="I5" s="17">
        <v>1000</v>
      </c>
      <c r="J5" t="s">
        <v>271</v>
      </c>
      <c r="K5" t="s">
        <v>274</v>
      </c>
      <c r="L5" s="17">
        <v>5000000</v>
      </c>
      <c r="M5">
        <v>3</v>
      </c>
      <c r="N5">
        <v>2</v>
      </c>
    </row>
    <row r="6" spans="1:14">
      <c r="F6" s="17">
        <f>I5</f>
        <v>1000</v>
      </c>
      <c r="G6" t="s">
        <v>271</v>
      </c>
      <c r="H6" t="s">
        <v>275</v>
      </c>
      <c r="I6" s="17">
        <v>5000</v>
      </c>
      <c r="J6" t="s">
        <v>271</v>
      </c>
      <c r="K6" t="s">
        <v>274</v>
      </c>
      <c r="L6" s="17">
        <v>10000000</v>
      </c>
      <c r="M6">
        <v>4</v>
      </c>
      <c r="N6">
        <v>3</v>
      </c>
    </row>
    <row r="7" spans="1:14">
      <c r="A7" t="s">
        <v>164</v>
      </c>
      <c r="F7" s="17">
        <f>I6</f>
        <v>5000</v>
      </c>
      <c r="G7" t="s">
        <v>271</v>
      </c>
      <c r="H7" t="s">
        <v>275</v>
      </c>
      <c r="I7">
        <v>1</v>
      </c>
      <c r="J7" t="s">
        <v>272</v>
      </c>
      <c r="K7" t="s">
        <v>274</v>
      </c>
      <c r="L7" s="17">
        <v>50000000</v>
      </c>
      <c r="M7">
        <v>5</v>
      </c>
      <c r="N7">
        <v>4</v>
      </c>
    </row>
    <row r="8" spans="1:14">
      <c r="A8" t="s">
        <v>163</v>
      </c>
      <c r="B8" t="s">
        <v>192</v>
      </c>
      <c r="F8">
        <v>1</v>
      </c>
      <c r="G8" t="s">
        <v>272</v>
      </c>
      <c r="H8" t="s">
        <v>275</v>
      </c>
      <c r="L8" s="17">
        <v>100000000</v>
      </c>
      <c r="M8">
        <v>6</v>
      </c>
      <c r="N8" s="167" t="s">
        <v>1241</v>
      </c>
    </row>
    <row r="9" spans="1:14">
      <c r="A9" t="s">
        <v>191</v>
      </c>
      <c r="B9" t="s">
        <v>190</v>
      </c>
    </row>
    <row r="10" spans="1:14">
      <c r="L10" s="17">
        <f>IF(L2="",1,IF(L2&gt;=L8,6,IF(L2&gt;=L7,5,IF(L2&gt;=L6,4,IF(L2&gt;=L5,3,IF(L2&gt;=L4,2,1))))))</f>
        <v>1</v>
      </c>
    </row>
    <row r="11" spans="1:14">
      <c r="A11" t="s">
        <v>159</v>
      </c>
    </row>
    <row r="12" spans="1:14">
      <c r="A12" t="s">
        <v>167</v>
      </c>
      <c r="B12" t="s">
        <v>189</v>
      </c>
      <c r="C12" t="s">
        <v>5155</v>
      </c>
    </row>
    <row r="13" spans="1:14">
      <c r="A13" t="s">
        <v>165</v>
      </c>
      <c r="B13" t="s">
        <v>188</v>
      </c>
      <c r="C13" t="s">
        <v>5156</v>
      </c>
      <c r="L13" s="58" t="s">
        <v>76</v>
      </c>
    </row>
    <row r="14" spans="1:14">
      <c r="F14" s="31" t="s">
        <v>321</v>
      </c>
      <c r="G14" s="31"/>
      <c r="L14" s="17" t="str">
        <f>入札結果!G16</f>
        <v/>
      </c>
    </row>
    <row r="15" spans="1:14">
      <c r="A15" t="s">
        <v>157</v>
      </c>
      <c r="F15">
        <v>10</v>
      </c>
      <c r="G15" t="s">
        <v>197</v>
      </c>
      <c r="H15" t="s">
        <v>322</v>
      </c>
      <c r="I15">
        <v>50</v>
      </c>
      <c r="J15" t="s">
        <v>197</v>
      </c>
      <c r="K15" t="s">
        <v>323</v>
      </c>
      <c r="L15" s="17">
        <v>100000</v>
      </c>
      <c r="M15">
        <v>1</v>
      </c>
      <c r="N15" s="17">
        <v>200</v>
      </c>
    </row>
    <row r="16" spans="1:14">
      <c r="A16">
        <v>1</v>
      </c>
      <c r="B16" t="s">
        <v>187</v>
      </c>
      <c r="C16" t="s">
        <v>186</v>
      </c>
      <c r="F16">
        <f>I15</f>
        <v>50</v>
      </c>
      <c r="G16" t="s">
        <v>197</v>
      </c>
      <c r="H16" t="s">
        <v>322</v>
      </c>
      <c r="I16">
        <v>100</v>
      </c>
      <c r="J16" t="s">
        <v>197</v>
      </c>
      <c r="K16" t="s">
        <v>323</v>
      </c>
      <c r="L16" s="17">
        <v>500000</v>
      </c>
      <c r="M16">
        <v>2</v>
      </c>
      <c r="N16" s="17">
        <v>500</v>
      </c>
    </row>
    <row r="17" spans="1:14">
      <c r="A17">
        <v>2</v>
      </c>
      <c r="B17" t="s">
        <v>185</v>
      </c>
      <c r="C17" t="s">
        <v>184</v>
      </c>
      <c r="F17">
        <f t="shared" ref="F17:F24" si="0">I16</f>
        <v>100</v>
      </c>
      <c r="G17" t="s">
        <v>197</v>
      </c>
      <c r="H17" t="s">
        <v>322</v>
      </c>
      <c r="I17" s="17">
        <v>500</v>
      </c>
      <c r="J17" t="s">
        <v>197</v>
      </c>
      <c r="K17" t="s">
        <v>323</v>
      </c>
      <c r="L17" s="17">
        <v>1000000</v>
      </c>
      <c r="M17">
        <v>3</v>
      </c>
      <c r="N17" s="17">
        <v>1000</v>
      </c>
    </row>
    <row r="18" spans="1:14">
      <c r="A18">
        <v>3</v>
      </c>
      <c r="B18" t="s">
        <v>206</v>
      </c>
      <c r="C18" t="s">
        <v>183</v>
      </c>
      <c r="F18" s="17">
        <f t="shared" si="0"/>
        <v>500</v>
      </c>
      <c r="G18" t="s">
        <v>197</v>
      </c>
      <c r="H18" t="s">
        <v>322</v>
      </c>
      <c r="I18" s="17">
        <v>1000</v>
      </c>
      <c r="J18" t="s">
        <v>197</v>
      </c>
      <c r="K18" t="s">
        <v>323</v>
      </c>
      <c r="L18" s="17">
        <v>5000000</v>
      </c>
      <c r="M18">
        <v>4</v>
      </c>
      <c r="N18" s="17">
        <v>5000</v>
      </c>
    </row>
    <row r="19" spans="1:14">
      <c r="F19" s="17">
        <f t="shared" si="0"/>
        <v>1000</v>
      </c>
      <c r="G19" t="s">
        <v>197</v>
      </c>
      <c r="H19" t="s">
        <v>322</v>
      </c>
      <c r="I19">
        <v>5000</v>
      </c>
      <c r="J19" t="s">
        <v>197</v>
      </c>
      <c r="K19" t="s">
        <v>323</v>
      </c>
      <c r="L19" s="17">
        <v>10000000</v>
      </c>
      <c r="M19">
        <v>5</v>
      </c>
      <c r="N19" s="17">
        <v>10000</v>
      </c>
    </row>
    <row r="20" spans="1:14">
      <c r="A20" t="s">
        <v>85</v>
      </c>
      <c r="F20" s="17">
        <f t="shared" si="0"/>
        <v>5000</v>
      </c>
      <c r="G20" t="s">
        <v>197</v>
      </c>
      <c r="H20" t="s">
        <v>322</v>
      </c>
      <c r="I20">
        <v>1</v>
      </c>
      <c r="J20" t="s">
        <v>272</v>
      </c>
      <c r="K20" t="s">
        <v>323</v>
      </c>
      <c r="L20" s="17">
        <v>50000000</v>
      </c>
      <c r="M20">
        <v>6</v>
      </c>
      <c r="N20" s="17">
        <v>30000</v>
      </c>
    </row>
    <row r="21" spans="1:14">
      <c r="A21" t="s">
        <v>182</v>
      </c>
      <c r="B21" t="s">
        <v>181</v>
      </c>
      <c r="C21" s="17">
        <f>契約日ほか!$S$21</f>
        <v>0</v>
      </c>
      <c r="D21">
        <v>1</v>
      </c>
      <c r="F21" s="17">
        <f t="shared" si="0"/>
        <v>1</v>
      </c>
      <c r="G21" t="s">
        <v>272</v>
      </c>
      <c r="H21" t="s">
        <v>322</v>
      </c>
      <c r="I21">
        <v>5</v>
      </c>
      <c r="J21" t="s">
        <v>272</v>
      </c>
      <c r="K21" t="s">
        <v>323</v>
      </c>
      <c r="L21" s="17">
        <v>100000000</v>
      </c>
      <c r="M21">
        <v>7</v>
      </c>
      <c r="N21" s="17">
        <v>60000</v>
      </c>
    </row>
    <row r="22" spans="1:14">
      <c r="A22" t="s">
        <v>180</v>
      </c>
      <c r="B22" t="s">
        <v>179</v>
      </c>
      <c r="C22" s="17">
        <f>契約日ほか!$S$21</f>
        <v>0</v>
      </c>
      <c r="D22">
        <v>2</v>
      </c>
      <c r="F22" s="17">
        <f t="shared" si="0"/>
        <v>5</v>
      </c>
      <c r="G22" t="s">
        <v>272</v>
      </c>
      <c r="H22" t="s">
        <v>322</v>
      </c>
      <c r="I22">
        <v>10</v>
      </c>
      <c r="J22" t="s">
        <v>272</v>
      </c>
      <c r="K22" t="s">
        <v>323</v>
      </c>
      <c r="L22" s="17">
        <v>500000000</v>
      </c>
      <c r="M22">
        <v>8</v>
      </c>
      <c r="N22" s="17">
        <v>160000</v>
      </c>
    </row>
    <row r="23" spans="1:14">
      <c r="A23" t="s">
        <v>202</v>
      </c>
      <c r="B23" t="s">
        <v>178</v>
      </c>
      <c r="C23" s="17">
        <f>契約日ほか!$S$21</f>
        <v>0</v>
      </c>
      <c r="D23">
        <v>3</v>
      </c>
      <c r="F23" s="17">
        <f t="shared" si="0"/>
        <v>10</v>
      </c>
      <c r="G23" t="s">
        <v>272</v>
      </c>
      <c r="H23" t="s">
        <v>322</v>
      </c>
      <c r="I23">
        <v>50</v>
      </c>
      <c r="J23" t="s">
        <v>272</v>
      </c>
      <c r="K23" t="s">
        <v>323</v>
      </c>
      <c r="L23" s="17">
        <v>1000000000</v>
      </c>
      <c r="M23">
        <v>9</v>
      </c>
      <c r="N23" s="17">
        <v>320000</v>
      </c>
    </row>
    <row r="24" spans="1:14">
      <c r="A24" t="s">
        <v>160</v>
      </c>
      <c r="B24" t="str">
        <f>"免除（"&amp;A24&amp;"）"</f>
        <v>免除（公共工事履行保証証券）</v>
      </c>
      <c r="C24" t="str">
        <f>B24</f>
        <v>免除（公共工事履行保証証券）</v>
      </c>
      <c r="D24">
        <v>4</v>
      </c>
      <c r="F24" s="17">
        <f t="shared" si="0"/>
        <v>50</v>
      </c>
      <c r="G24" t="s">
        <v>272</v>
      </c>
      <c r="H24" t="s">
        <v>322</v>
      </c>
      <c r="L24" s="17">
        <v>5000000000</v>
      </c>
      <c r="M24">
        <v>10</v>
      </c>
      <c r="N24" s="17">
        <v>480000</v>
      </c>
    </row>
    <row r="25" spans="1:14">
      <c r="A25" t="s">
        <v>177</v>
      </c>
      <c r="B25" t="str">
        <f>"免除（"&amp;A25&amp;"）"</f>
        <v>免除（履行保証保険契約）</v>
      </c>
      <c r="C25" t="str">
        <f>B25</f>
        <v>免除（履行保証保険契約）</v>
      </c>
      <c r="D25">
        <v>5</v>
      </c>
    </row>
    <row r="26" spans="1:14">
      <c r="A26" t="s">
        <v>176</v>
      </c>
      <c r="B26" t="s">
        <v>175</v>
      </c>
      <c r="C26" t="str">
        <f>B26</f>
        <v>免除</v>
      </c>
      <c r="D26">
        <v>6</v>
      </c>
      <c r="L26" s="17">
        <f>IF(L$14&gt;L24,10,IF(L$14&gt;L23,9,IF(L$14&gt;L22,8,IF(L$14&gt;L21,7,IF(L$14&gt;L20,6,IF(L$14&gt;L19,5,IF(L$14&gt;L18,4,IF(L$14&gt;L17,3,IF(L$14&gt;L16,2,1)))))))))</f>
        <v>10</v>
      </c>
    </row>
    <row r="28" spans="1:14">
      <c r="A28" t="s">
        <v>158</v>
      </c>
    </row>
    <row r="29" spans="1:14">
      <c r="A29" t="s">
        <v>167</v>
      </c>
      <c r="B29" t="s">
        <v>174</v>
      </c>
    </row>
    <row r="30" spans="1:14">
      <c r="A30" t="s">
        <v>165</v>
      </c>
      <c r="B30" t="s">
        <v>169</v>
      </c>
    </row>
    <row r="32" spans="1:14">
      <c r="A32" t="s">
        <v>1</v>
      </c>
    </row>
    <row r="33" spans="1:2">
      <c r="A33" t="s">
        <v>154</v>
      </c>
      <c r="B33" t="s">
        <v>173</v>
      </c>
    </row>
    <row r="34" spans="1:2">
      <c r="A34" t="s">
        <v>172</v>
      </c>
      <c r="B34" t="s">
        <v>171</v>
      </c>
    </row>
    <row r="36" spans="1:2">
      <c r="A36" t="s">
        <v>153</v>
      </c>
    </row>
    <row r="37" spans="1:2">
      <c r="A37" t="s">
        <v>167</v>
      </c>
      <c r="B37" t="s">
        <v>170</v>
      </c>
    </row>
    <row r="38" spans="1:2">
      <c r="A38" t="s">
        <v>165</v>
      </c>
      <c r="B38" t="s">
        <v>169</v>
      </c>
    </row>
    <row r="40" spans="1:2">
      <c r="A40" t="s">
        <v>168</v>
      </c>
    </row>
    <row r="41" spans="1:2">
      <c r="A41" t="s">
        <v>167</v>
      </c>
      <c r="B41" t="s">
        <v>166</v>
      </c>
    </row>
    <row r="42" spans="1:2">
      <c r="A42" t="s">
        <v>165</v>
      </c>
      <c r="B42" t="s">
        <v>324</v>
      </c>
    </row>
    <row r="44" spans="1:2">
      <c r="A44" t="s">
        <v>397</v>
      </c>
    </row>
    <row r="45" spans="1:2">
      <c r="A45" t="s">
        <v>167</v>
      </c>
      <c r="B45" t="s">
        <v>398</v>
      </c>
    </row>
    <row r="46" spans="1:2">
      <c r="A46" t="s">
        <v>165</v>
      </c>
      <c r="B46" t="s">
        <v>399</v>
      </c>
    </row>
    <row r="48" spans="1:2">
      <c r="A48" t="s">
        <v>279</v>
      </c>
    </row>
    <row r="49" spans="1:2">
      <c r="A49" t="s">
        <v>167</v>
      </c>
      <c r="B49" t="s">
        <v>240</v>
      </c>
    </row>
    <row r="50" spans="1:2">
      <c r="A50" t="s">
        <v>165</v>
      </c>
      <c r="B50" t="s">
        <v>350</v>
      </c>
    </row>
    <row r="52" spans="1:2">
      <c r="A52" t="s">
        <v>348</v>
      </c>
    </row>
    <row r="53" spans="1:2">
      <c r="A53" t="s">
        <v>349</v>
      </c>
    </row>
    <row r="55" spans="1:2">
      <c r="B55" t="s">
        <v>1218</v>
      </c>
    </row>
    <row r="56" spans="1:2">
      <c r="B56" t="s">
        <v>1219</v>
      </c>
    </row>
    <row r="57" spans="1:2">
      <c r="B57" t="s">
        <v>1220</v>
      </c>
    </row>
    <row r="58" spans="1:2">
      <c r="B58" t="s">
        <v>1221</v>
      </c>
    </row>
    <row r="59" spans="1:2">
      <c r="B59" t="s">
        <v>1222</v>
      </c>
    </row>
  </sheetData>
  <phoneticPr fontId="2"/>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15"/>
  <dimension ref="A1:AA24"/>
  <sheetViews>
    <sheetView workbookViewId="0">
      <selection activeCell="G14" sqref="G14"/>
    </sheetView>
  </sheetViews>
  <sheetFormatPr defaultRowHeight="13.5"/>
  <cols>
    <col min="1" max="1" width="58.125" bestFit="1" customWidth="1"/>
    <col min="2" max="2" width="2.5" bestFit="1" customWidth="1"/>
    <col min="3" max="3" width="6.5" bestFit="1" customWidth="1"/>
    <col min="4" max="4" width="30.75" bestFit="1" customWidth="1"/>
    <col min="6" max="6" width="20.375" bestFit="1" customWidth="1"/>
    <col min="7" max="7" width="10.25" bestFit="1" customWidth="1"/>
    <col min="8" max="8" width="13.5" bestFit="1" customWidth="1"/>
    <col min="9" max="9" width="6.5" bestFit="1" customWidth="1"/>
    <col min="10" max="10" width="20" bestFit="1" customWidth="1"/>
    <col min="11" max="11" width="10.25" bestFit="1" customWidth="1"/>
    <col min="12" max="12" width="18.375" bestFit="1" customWidth="1"/>
    <col min="13" max="13" width="9" bestFit="1" customWidth="1"/>
    <col min="14" max="14" width="18.375" bestFit="1" customWidth="1"/>
    <col min="15" max="15" width="14" bestFit="1" customWidth="1"/>
    <col min="16" max="16" width="13.5" bestFit="1" customWidth="1"/>
    <col min="17" max="17" width="6.5" bestFit="1" customWidth="1"/>
    <col min="18" max="18" width="15.5" bestFit="1" customWidth="1"/>
    <col min="19" max="19" width="10.25" bestFit="1" customWidth="1"/>
    <col min="20" max="20" width="16.25" bestFit="1" customWidth="1"/>
    <col min="21" max="21" width="6.5" bestFit="1" customWidth="1"/>
    <col min="22" max="22" width="17.25" bestFit="1" customWidth="1"/>
    <col min="23" max="23" width="13" bestFit="1" customWidth="1"/>
    <col min="24" max="24" width="7" bestFit="1" customWidth="1"/>
    <col min="25" max="25" width="9.75" bestFit="1" customWidth="1"/>
    <col min="26" max="26" width="12.875" bestFit="1" customWidth="1"/>
    <col min="27" max="27" width="10.25" bestFit="1" customWidth="1"/>
  </cols>
  <sheetData>
    <row r="1" spans="1:27">
      <c r="C1">
        <v>2</v>
      </c>
      <c r="D1">
        <v>3</v>
      </c>
      <c r="E1">
        <v>4</v>
      </c>
      <c r="F1">
        <v>5</v>
      </c>
      <c r="G1">
        <v>6</v>
      </c>
      <c r="H1">
        <v>7</v>
      </c>
      <c r="I1">
        <v>8</v>
      </c>
      <c r="J1">
        <v>9</v>
      </c>
      <c r="K1">
        <v>10</v>
      </c>
      <c r="L1">
        <v>11</v>
      </c>
      <c r="M1">
        <v>12</v>
      </c>
      <c r="N1">
        <v>13</v>
      </c>
      <c r="O1">
        <v>14</v>
      </c>
      <c r="P1">
        <v>15</v>
      </c>
      <c r="Q1">
        <v>16</v>
      </c>
      <c r="R1">
        <v>17</v>
      </c>
      <c r="S1">
        <v>18</v>
      </c>
      <c r="T1">
        <v>19</v>
      </c>
      <c r="U1">
        <v>20</v>
      </c>
      <c r="V1">
        <v>21</v>
      </c>
      <c r="W1">
        <v>22</v>
      </c>
      <c r="X1">
        <v>23</v>
      </c>
      <c r="Y1">
        <v>24</v>
      </c>
      <c r="Z1">
        <v>25</v>
      </c>
      <c r="AA1">
        <v>26</v>
      </c>
    </row>
    <row r="2" spans="1:27">
      <c r="A2" t="s">
        <v>1370</v>
      </c>
      <c r="D2" t="s">
        <v>1371</v>
      </c>
    </row>
    <row r="3" spans="1:27">
      <c r="D3" t="s">
        <v>1372</v>
      </c>
    </row>
    <row r="4" spans="1:27">
      <c r="D4" t="s">
        <v>1373</v>
      </c>
      <c r="H4" t="s">
        <v>1374</v>
      </c>
      <c r="L4" t="s">
        <v>1375</v>
      </c>
      <c r="P4" t="s">
        <v>1376</v>
      </c>
      <c r="T4" t="s">
        <v>1377</v>
      </c>
      <c r="X4" t="s">
        <v>1378</v>
      </c>
    </row>
    <row r="5" spans="1:27">
      <c r="D5" t="s">
        <v>1379</v>
      </c>
      <c r="E5" t="s">
        <v>1380</v>
      </c>
      <c r="F5" t="s">
        <v>1381</v>
      </c>
      <c r="G5" t="s">
        <v>1382</v>
      </c>
      <c r="H5" t="s">
        <v>1379</v>
      </c>
      <c r="I5" t="s">
        <v>1380</v>
      </c>
      <c r="J5" t="s">
        <v>1381</v>
      </c>
      <c r="K5" t="s">
        <v>1382</v>
      </c>
      <c r="L5" t="s">
        <v>1379</v>
      </c>
      <c r="M5" t="s">
        <v>1380</v>
      </c>
      <c r="N5" t="s">
        <v>1381</v>
      </c>
      <c r="O5" t="s">
        <v>1382</v>
      </c>
      <c r="P5" t="s">
        <v>1379</v>
      </c>
      <c r="Q5" t="s">
        <v>1380</v>
      </c>
      <c r="R5" t="s">
        <v>1381</v>
      </c>
      <c r="S5" t="s">
        <v>1382</v>
      </c>
      <c r="T5" t="s">
        <v>1379</v>
      </c>
      <c r="U5" t="s">
        <v>1380</v>
      </c>
      <c r="V5" t="s">
        <v>1381</v>
      </c>
      <c r="W5" t="s">
        <v>1382</v>
      </c>
      <c r="X5" t="s">
        <v>1379</v>
      </c>
      <c r="Y5" t="s">
        <v>1380</v>
      </c>
      <c r="Z5" t="s">
        <v>1381</v>
      </c>
      <c r="AA5" t="s">
        <v>1382</v>
      </c>
    </row>
    <row r="6" spans="1:27">
      <c r="A6" t="s">
        <v>1383</v>
      </c>
      <c r="B6">
        <v>1</v>
      </c>
      <c r="C6" t="s">
        <v>1384</v>
      </c>
      <c r="D6" t="s">
        <v>1385</v>
      </c>
      <c r="E6" t="s">
        <v>1386</v>
      </c>
      <c r="F6" t="s">
        <v>5135</v>
      </c>
      <c r="G6" t="s">
        <v>5136</v>
      </c>
      <c r="H6" t="s">
        <v>1387</v>
      </c>
      <c r="J6" t="s">
        <v>5143</v>
      </c>
      <c r="L6" t="s">
        <v>5141</v>
      </c>
      <c r="M6" t="s">
        <v>5140</v>
      </c>
      <c r="N6" t="s">
        <v>5138</v>
      </c>
      <c r="O6" t="s">
        <v>5139</v>
      </c>
      <c r="P6" t="s">
        <v>1388</v>
      </c>
      <c r="R6" t="s">
        <v>1388</v>
      </c>
      <c r="S6" t="s">
        <v>5137</v>
      </c>
      <c r="T6" t="s">
        <v>1389</v>
      </c>
      <c r="V6" t="s">
        <v>1390</v>
      </c>
    </row>
    <row r="7" spans="1:27">
      <c r="A7" t="s">
        <v>1391</v>
      </c>
      <c r="B7">
        <v>2</v>
      </c>
      <c r="C7" t="s">
        <v>1392</v>
      </c>
      <c r="D7" t="s">
        <v>1393</v>
      </c>
      <c r="F7" t="s">
        <v>1394</v>
      </c>
      <c r="H7" t="s">
        <v>1388</v>
      </c>
      <c r="J7" t="s">
        <v>5142</v>
      </c>
      <c r="L7" t="s">
        <v>1395</v>
      </c>
      <c r="N7" t="s">
        <v>5144</v>
      </c>
      <c r="O7" t="s">
        <v>5145</v>
      </c>
      <c r="P7" t="s">
        <v>1396</v>
      </c>
      <c r="R7" t="s">
        <v>1397</v>
      </c>
      <c r="T7" t="s">
        <v>1398</v>
      </c>
      <c r="V7" t="s">
        <v>1385</v>
      </c>
      <c r="W7" t="s">
        <v>5146</v>
      </c>
      <c r="X7" t="s">
        <v>1389</v>
      </c>
      <c r="Z7" t="s">
        <v>1399</v>
      </c>
    </row>
    <row r="8" spans="1:27">
      <c r="A8" t="s">
        <v>1400</v>
      </c>
      <c r="B8">
        <v>3</v>
      </c>
      <c r="C8" t="s">
        <v>1401</v>
      </c>
      <c r="D8" t="s">
        <v>1402</v>
      </c>
      <c r="F8" t="s">
        <v>1403</v>
      </c>
      <c r="H8" t="s">
        <v>1404</v>
      </c>
      <c r="J8" t="s">
        <v>1405</v>
      </c>
      <c r="L8" t="s">
        <v>1406</v>
      </c>
      <c r="N8" t="s">
        <v>1407</v>
      </c>
      <c r="P8" t="s">
        <v>1408</v>
      </c>
      <c r="R8" t="s">
        <v>1409</v>
      </c>
      <c r="T8" t="s">
        <v>1410</v>
      </c>
      <c r="V8" t="s">
        <v>1411</v>
      </c>
      <c r="X8" t="s">
        <v>1389</v>
      </c>
      <c r="Z8" t="s">
        <v>1412</v>
      </c>
    </row>
    <row r="10" spans="1:27">
      <c r="D10" t="s">
        <v>1428</v>
      </c>
      <c r="E10" t="s">
        <v>1426</v>
      </c>
      <c r="F10">
        <v>1</v>
      </c>
    </row>
    <row r="11" spans="1:27">
      <c r="E11" t="s">
        <v>1427</v>
      </c>
      <c r="F11">
        <v>2</v>
      </c>
    </row>
    <row r="13" spans="1:27">
      <c r="D13" t="s">
        <v>1429</v>
      </c>
      <c r="E13" t="s">
        <v>1430</v>
      </c>
      <c r="F13">
        <v>1</v>
      </c>
      <c r="G13" t="s">
        <v>5129</v>
      </c>
    </row>
    <row r="14" spans="1:27">
      <c r="E14" t="s">
        <v>1431</v>
      </c>
      <c r="F14">
        <v>2</v>
      </c>
      <c r="G14" t="s">
        <v>5130</v>
      </c>
    </row>
    <row r="16" spans="1:27">
      <c r="C16">
        <v>10</v>
      </c>
      <c r="F16">
        <f t="shared" ref="F16:G18" si="0">LEN(F6)</f>
        <v>9</v>
      </c>
      <c r="G16">
        <f t="shared" si="0"/>
        <v>5</v>
      </c>
      <c r="J16">
        <f t="shared" ref="J16:K18" si="1">LEN(J6)</f>
        <v>10</v>
      </c>
      <c r="K16">
        <f t="shared" si="1"/>
        <v>0</v>
      </c>
      <c r="N16">
        <f t="shared" ref="N16:O18" si="2">LEN(N6)</f>
        <v>8</v>
      </c>
      <c r="O16">
        <f t="shared" si="2"/>
        <v>7</v>
      </c>
      <c r="R16">
        <f t="shared" ref="R16:S18" si="3">LEN(R6)</f>
        <v>7</v>
      </c>
      <c r="S16">
        <f t="shared" si="3"/>
        <v>5</v>
      </c>
      <c r="V16">
        <f t="shared" ref="V16:W18" si="4">LEN(V6)</f>
        <v>8</v>
      </c>
      <c r="W16">
        <f t="shared" si="4"/>
        <v>0</v>
      </c>
      <c r="Z16">
        <f t="shared" ref="Z16:AA18" si="5">LEN(Z6)</f>
        <v>0</v>
      </c>
      <c r="AA16">
        <f t="shared" si="5"/>
        <v>0</v>
      </c>
    </row>
    <row r="17" spans="3:27">
      <c r="C17">
        <v>11</v>
      </c>
      <c r="F17">
        <f t="shared" si="0"/>
        <v>6</v>
      </c>
      <c r="G17">
        <f t="shared" si="0"/>
        <v>0</v>
      </c>
      <c r="J17">
        <f t="shared" si="1"/>
        <v>10</v>
      </c>
      <c r="K17">
        <f t="shared" si="1"/>
        <v>0</v>
      </c>
      <c r="N17">
        <f t="shared" si="2"/>
        <v>7</v>
      </c>
      <c r="O17">
        <f t="shared" si="2"/>
        <v>5</v>
      </c>
      <c r="R17">
        <f t="shared" si="3"/>
        <v>5</v>
      </c>
      <c r="S17">
        <f t="shared" si="3"/>
        <v>0</v>
      </c>
      <c r="V17">
        <f t="shared" si="4"/>
        <v>5</v>
      </c>
      <c r="W17">
        <f t="shared" si="4"/>
        <v>6</v>
      </c>
      <c r="Z17">
        <f t="shared" si="5"/>
        <v>6</v>
      </c>
      <c r="AA17">
        <f t="shared" si="5"/>
        <v>0</v>
      </c>
    </row>
    <row r="18" spans="3:27">
      <c r="C18">
        <v>12</v>
      </c>
      <c r="D18" t="s">
        <v>1434</v>
      </c>
      <c r="F18">
        <f t="shared" si="0"/>
        <v>4</v>
      </c>
      <c r="G18">
        <f t="shared" si="0"/>
        <v>0</v>
      </c>
      <c r="J18">
        <f t="shared" si="1"/>
        <v>3</v>
      </c>
      <c r="K18">
        <f t="shared" si="1"/>
        <v>0</v>
      </c>
      <c r="N18">
        <f t="shared" si="2"/>
        <v>4</v>
      </c>
      <c r="O18">
        <f t="shared" si="2"/>
        <v>0</v>
      </c>
      <c r="R18">
        <f t="shared" si="3"/>
        <v>7</v>
      </c>
      <c r="S18">
        <f t="shared" si="3"/>
        <v>0</v>
      </c>
      <c r="V18">
        <f t="shared" si="4"/>
        <v>8</v>
      </c>
      <c r="W18">
        <f t="shared" si="4"/>
        <v>0</v>
      </c>
      <c r="Z18">
        <f t="shared" si="5"/>
        <v>5</v>
      </c>
      <c r="AA18">
        <f t="shared" si="5"/>
        <v>0</v>
      </c>
    </row>
    <row r="19" spans="3:27">
      <c r="C19">
        <v>20</v>
      </c>
      <c r="D19" t="s">
        <v>1433</v>
      </c>
    </row>
    <row r="20" spans="3:27">
      <c r="C20">
        <v>21</v>
      </c>
      <c r="D20" t="s">
        <v>1433</v>
      </c>
    </row>
    <row r="21" spans="3:27">
      <c r="C21">
        <v>22</v>
      </c>
      <c r="D21" t="s">
        <v>1433</v>
      </c>
    </row>
    <row r="23" spans="3:27">
      <c r="D23" t="s">
        <v>5132</v>
      </c>
      <c r="E23">
        <v>1</v>
      </c>
    </row>
    <row r="24" spans="3:27">
      <c r="D24" t="s">
        <v>5133</v>
      </c>
      <c r="E24">
        <v>2</v>
      </c>
    </row>
  </sheetData>
  <phoneticPr fontId="2"/>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20"/>
  <dimension ref="A3:Z53"/>
  <sheetViews>
    <sheetView workbookViewId="0">
      <selection activeCell="G14" sqref="G14"/>
    </sheetView>
  </sheetViews>
  <sheetFormatPr defaultRowHeight="13.5"/>
  <cols>
    <col min="1" max="1" width="9" style="23" bestFit="1" customWidth="1"/>
    <col min="2" max="2" width="7.125" style="23" bestFit="1" customWidth="1"/>
    <col min="3" max="3" width="10.25" bestFit="1" customWidth="1"/>
    <col min="4" max="4" width="4.5" bestFit="1" customWidth="1"/>
    <col min="5" max="5" width="7.5" bestFit="1" customWidth="1"/>
    <col min="6" max="6" width="7.875" customWidth="1"/>
    <col min="7" max="7" width="8.375" bestFit="1" customWidth="1"/>
    <col min="8" max="8" width="5.5" bestFit="1" customWidth="1"/>
    <col min="9" max="9" width="7.875" bestFit="1" customWidth="1"/>
    <col min="11" max="11" width="5.25" bestFit="1" customWidth="1"/>
    <col min="12" max="12" width="14.125" bestFit="1" customWidth="1"/>
    <col min="13" max="13" width="2.5" bestFit="1" customWidth="1"/>
    <col min="14" max="14" width="15.25" bestFit="1" customWidth="1"/>
    <col min="15" max="15" width="3.875" style="191" bestFit="1" customWidth="1"/>
    <col min="17" max="17" width="5.25" bestFit="1" customWidth="1"/>
    <col min="18" max="18" width="14.125" bestFit="1" customWidth="1"/>
    <col min="20" max="20" width="2.5" bestFit="1" customWidth="1"/>
    <col min="22" max="23" width="5.25" bestFit="1" customWidth="1"/>
    <col min="24" max="24" width="7.875" bestFit="1" customWidth="1"/>
    <col min="25" max="26" width="5.25" bestFit="1" customWidth="1"/>
  </cols>
  <sheetData>
    <row r="3" spans="1:26">
      <c r="H3" s="192">
        <v>320</v>
      </c>
      <c r="I3" s="193" t="s">
        <v>1274</v>
      </c>
      <c r="Q3" t="s">
        <v>154</v>
      </c>
      <c r="R3" t="s">
        <v>369</v>
      </c>
      <c r="T3">
        <v>1</v>
      </c>
      <c r="U3" s="17">
        <v>1000</v>
      </c>
      <c r="V3" t="s">
        <v>367</v>
      </c>
      <c r="W3" t="s">
        <v>275</v>
      </c>
      <c r="X3" s="105">
        <f>U4</f>
        <v>10000</v>
      </c>
      <c r="Y3" t="s">
        <v>367</v>
      </c>
      <c r="Z3" t="s">
        <v>196</v>
      </c>
    </row>
    <row r="4" spans="1:26">
      <c r="K4" t="s">
        <v>154</v>
      </c>
      <c r="L4" t="s">
        <v>369</v>
      </c>
      <c r="M4">
        <v>1</v>
      </c>
      <c r="N4" t="str">
        <f>L4&amp;M4</f>
        <v>舗装1</v>
      </c>
      <c r="O4" s="191">
        <v>3.5</v>
      </c>
      <c r="Q4" t="s">
        <v>172</v>
      </c>
      <c r="R4" t="s">
        <v>370</v>
      </c>
      <c r="T4">
        <v>2</v>
      </c>
      <c r="U4" s="17">
        <v>10000</v>
      </c>
      <c r="V4" t="s">
        <v>367</v>
      </c>
      <c r="W4" t="s">
        <v>275</v>
      </c>
      <c r="X4" s="105">
        <f>U5</f>
        <v>50000</v>
      </c>
      <c r="Y4" t="s">
        <v>367</v>
      </c>
      <c r="Z4" t="s">
        <v>196</v>
      </c>
    </row>
    <row r="5" spans="1:26">
      <c r="C5" s="23" t="s">
        <v>1164</v>
      </c>
      <c r="D5" s="437" t="s">
        <v>1275</v>
      </c>
      <c r="E5" s="437"/>
      <c r="F5" s="23" t="s">
        <v>1341</v>
      </c>
      <c r="G5" s="23" t="s">
        <v>971</v>
      </c>
      <c r="H5" s="23" t="s">
        <v>1276</v>
      </c>
      <c r="I5" s="23" t="s">
        <v>1277</v>
      </c>
      <c r="K5" t="s">
        <v>154</v>
      </c>
      <c r="L5" t="s">
        <v>369</v>
      </c>
      <c r="M5">
        <v>2</v>
      </c>
      <c r="N5" t="str">
        <f t="shared" ref="N5:N53" si="0">L5&amp;M5</f>
        <v>舗装2</v>
      </c>
      <c r="O5" s="191">
        <v>3.3</v>
      </c>
      <c r="Q5" t="s">
        <v>379</v>
      </c>
      <c r="R5" t="s">
        <v>371</v>
      </c>
      <c r="T5">
        <v>3</v>
      </c>
      <c r="U5" s="17">
        <v>50000</v>
      </c>
      <c r="V5" t="s">
        <v>367</v>
      </c>
      <c r="W5" t="s">
        <v>275</v>
      </c>
      <c r="X5" s="105">
        <f>U6</f>
        <v>100000</v>
      </c>
      <c r="Y5" t="s">
        <v>367</v>
      </c>
      <c r="Z5" t="s">
        <v>196</v>
      </c>
    </row>
    <row r="6" spans="1:26">
      <c r="A6" s="23" t="s">
        <v>1278</v>
      </c>
      <c r="B6" s="23" t="s">
        <v>1279</v>
      </c>
      <c r="I6" s="194"/>
      <c r="K6" t="s">
        <v>154</v>
      </c>
      <c r="L6" t="s">
        <v>369</v>
      </c>
      <c r="M6">
        <v>3</v>
      </c>
      <c r="N6" t="str">
        <f t="shared" si="0"/>
        <v>舗装3</v>
      </c>
      <c r="O6" s="191">
        <v>2.9</v>
      </c>
      <c r="R6" t="s">
        <v>372</v>
      </c>
      <c r="T6">
        <v>4</v>
      </c>
      <c r="U6" s="17">
        <v>100000</v>
      </c>
      <c r="V6" t="s">
        <v>367</v>
      </c>
      <c r="W6" t="s">
        <v>275</v>
      </c>
      <c r="X6" s="105">
        <f>U7</f>
        <v>500000</v>
      </c>
      <c r="Y6" t="s">
        <v>367</v>
      </c>
      <c r="Z6" t="s">
        <v>196</v>
      </c>
    </row>
    <row r="7" spans="1:26">
      <c r="B7" s="23" t="s">
        <v>1280</v>
      </c>
      <c r="I7" s="194"/>
      <c r="K7" t="s">
        <v>154</v>
      </c>
      <c r="L7" t="s">
        <v>369</v>
      </c>
      <c r="M7">
        <v>4</v>
      </c>
      <c r="N7" t="str">
        <f t="shared" si="0"/>
        <v>舗装4</v>
      </c>
      <c r="O7" s="191">
        <v>2.2999999999999998</v>
      </c>
      <c r="R7" t="s">
        <v>373</v>
      </c>
      <c r="T7">
        <v>5</v>
      </c>
      <c r="U7" s="17">
        <v>500000</v>
      </c>
      <c r="V7" t="s">
        <v>367</v>
      </c>
      <c r="W7" t="s">
        <v>275</v>
      </c>
    </row>
    <row r="8" spans="1:26">
      <c r="B8" s="23" t="s">
        <v>1281</v>
      </c>
      <c r="I8" s="194"/>
      <c r="K8" t="s">
        <v>154</v>
      </c>
      <c r="L8" t="s">
        <v>369</v>
      </c>
      <c r="M8">
        <v>5</v>
      </c>
      <c r="N8" t="str">
        <f t="shared" si="0"/>
        <v>舗装5</v>
      </c>
      <c r="O8" s="191">
        <v>1.7</v>
      </c>
      <c r="R8" t="s">
        <v>374</v>
      </c>
    </row>
    <row r="9" spans="1:26">
      <c r="B9" s="23" t="s">
        <v>1282</v>
      </c>
      <c r="I9" s="194"/>
      <c r="K9" t="s">
        <v>154</v>
      </c>
      <c r="L9" t="s">
        <v>370</v>
      </c>
      <c r="M9">
        <v>1</v>
      </c>
      <c r="N9" t="str">
        <f t="shared" si="0"/>
        <v>橋梁等1</v>
      </c>
      <c r="O9" s="191">
        <v>3.5</v>
      </c>
      <c r="R9" t="s">
        <v>1283</v>
      </c>
    </row>
    <row r="10" spans="1:26">
      <c r="B10" s="23" t="s">
        <v>1284</v>
      </c>
      <c r="I10" s="194"/>
      <c r="K10" t="s">
        <v>154</v>
      </c>
      <c r="L10" t="s">
        <v>370</v>
      </c>
      <c r="M10">
        <v>2</v>
      </c>
      <c r="N10" t="str">
        <f t="shared" si="0"/>
        <v>橋梁等2</v>
      </c>
      <c r="O10" s="191">
        <v>3.2</v>
      </c>
      <c r="R10" t="s">
        <v>1285</v>
      </c>
    </row>
    <row r="11" spans="1:26">
      <c r="B11" s="23" t="s">
        <v>1286</v>
      </c>
      <c r="I11" s="194"/>
      <c r="K11" t="s">
        <v>154</v>
      </c>
      <c r="L11" t="s">
        <v>370</v>
      </c>
      <c r="M11">
        <v>3</v>
      </c>
      <c r="N11" t="str">
        <f t="shared" si="0"/>
        <v>橋梁等3</v>
      </c>
      <c r="O11" s="191">
        <v>2.8</v>
      </c>
      <c r="R11" t="s">
        <v>1287</v>
      </c>
    </row>
    <row r="12" spans="1:26">
      <c r="B12" s="23" t="s">
        <v>1288</v>
      </c>
      <c r="I12" s="194"/>
      <c r="K12" t="s">
        <v>154</v>
      </c>
      <c r="L12" t="s">
        <v>370</v>
      </c>
      <c r="M12">
        <v>4</v>
      </c>
      <c r="N12" t="str">
        <f t="shared" si="0"/>
        <v>橋梁等4</v>
      </c>
      <c r="O12" s="191">
        <v>2.1</v>
      </c>
      <c r="R12" t="s">
        <v>1289</v>
      </c>
    </row>
    <row r="13" spans="1:26">
      <c r="B13" s="23" t="s">
        <v>1290</v>
      </c>
      <c r="I13" s="194"/>
      <c r="K13" t="s">
        <v>154</v>
      </c>
      <c r="L13" t="s">
        <v>370</v>
      </c>
      <c r="M13">
        <v>5</v>
      </c>
      <c r="N13" t="str">
        <f t="shared" si="0"/>
        <v>橋梁等5</v>
      </c>
      <c r="O13" s="191">
        <v>1.6</v>
      </c>
    </row>
    <row r="14" spans="1:26">
      <c r="B14" s="23" t="s">
        <v>1291</v>
      </c>
      <c r="I14" s="194"/>
      <c r="K14" t="s">
        <v>154</v>
      </c>
      <c r="L14" t="s">
        <v>371</v>
      </c>
      <c r="M14">
        <v>1</v>
      </c>
      <c r="N14" t="str">
        <f t="shared" si="0"/>
        <v>隧道1</v>
      </c>
      <c r="O14" s="191">
        <v>4.5</v>
      </c>
    </row>
    <row r="15" spans="1:26">
      <c r="B15" s="23" t="s">
        <v>1292</v>
      </c>
      <c r="I15" s="194"/>
      <c r="K15" t="s">
        <v>154</v>
      </c>
      <c r="L15" t="s">
        <v>371</v>
      </c>
      <c r="M15">
        <v>2</v>
      </c>
      <c r="N15" t="str">
        <f t="shared" si="0"/>
        <v>隧道2</v>
      </c>
      <c r="O15" s="191">
        <v>3.6</v>
      </c>
    </row>
    <row r="16" spans="1:26">
      <c r="B16" s="23" t="s">
        <v>1293</v>
      </c>
      <c r="I16" s="195">
        <f>SUM(I6:I15)</f>
        <v>0</v>
      </c>
      <c r="K16" t="s">
        <v>154</v>
      </c>
      <c r="L16" t="s">
        <v>371</v>
      </c>
      <c r="M16">
        <v>3</v>
      </c>
      <c r="N16" t="str">
        <f t="shared" si="0"/>
        <v>隧道3</v>
      </c>
      <c r="O16" s="191">
        <v>2.8</v>
      </c>
    </row>
    <row r="17" spans="1:15">
      <c r="A17" s="23" t="s">
        <v>1294</v>
      </c>
      <c r="B17" s="23" t="s">
        <v>1295</v>
      </c>
      <c r="C17" s="195" t="str">
        <f>入札結果!G16</f>
        <v/>
      </c>
      <c r="D17" s="196" t="e">
        <f>VLOOKUP(C23,N4:O53,2,FALSE)</f>
        <v>#VALUE!</v>
      </c>
      <c r="E17" s="197">
        <v>1000</v>
      </c>
      <c r="F17" s="241">
        <f>IF(建退共証紙購入申告書!AL4=1,建退共証紙購入申告書!I4/70,1)</f>
        <v>1</v>
      </c>
      <c r="G17" s="195" t="e">
        <f>C17*D17/E17*F17</f>
        <v>#VALUE!</v>
      </c>
      <c r="H17" s="195" t="e">
        <f>ROUNDUP(G17/H3,0)</f>
        <v>#VALUE!</v>
      </c>
      <c r="I17" s="195" t="e">
        <f>H3*H17</f>
        <v>#VALUE!</v>
      </c>
      <c r="K17" t="s">
        <v>154</v>
      </c>
      <c r="L17" t="s">
        <v>371</v>
      </c>
      <c r="M17">
        <v>4</v>
      </c>
      <c r="N17" t="str">
        <f t="shared" si="0"/>
        <v>隧道4</v>
      </c>
      <c r="O17" s="191">
        <v>2.1</v>
      </c>
    </row>
    <row r="18" spans="1:15">
      <c r="B18" s="23" t="s">
        <v>1296</v>
      </c>
      <c r="H18" t="e">
        <f>I18/H3</f>
        <v>#VALUE!</v>
      </c>
      <c r="I18" s="17" t="e">
        <f>I17-I16</f>
        <v>#VALUE!</v>
      </c>
      <c r="K18" t="s">
        <v>154</v>
      </c>
      <c r="L18" t="s">
        <v>371</v>
      </c>
      <c r="M18">
        <v>5</v>
      </c>
      <c r="N18" t="str">
        <f t="shared" si="0"/>
        <v>隧道5</v>
      </c>
      <c r="O18" s="191">
        <v>1.9</v>
      </c>
    </row>
    <row r="19" spans="1:15">
      <c r="K19" t="s">
        <v>154</v>
      </c>
      <c r="L19" t="s">
        <v>372</v>
      </c>
      <c r="M19">
        <v>1</v>
      </c>
      <c r="N19" t="str">
        <f t="shared" si="0"/>
        <v>堰堤1</v>
      </c>
      <c r="O19" s="191">
        <v>4.0999999999999996</v>
      </c>
    </row>
    <row r="20" spans="1:15">
      <c r="C20" s="17" t="e">
        <f>ROUNDDOWN(C17/1000,0)</f>
        <v>#VALUE!</v>
      </c>
      <c r="D20" t="s">
        <v>367</v>
      </c>
      <c r="K20" t="s">
        <v>154</v>
      </c>
      <c r="L20" t="s">
        <v>372</v>
      </c>
      <c r="M20">
        <v>2</v>
      </c>
      <c r="N20" t="str">
        <f t="shared" si="0"/>
        <v>堰堤2</v>
      </c>
      <c r="O20" s="191">
        <v>3.8</v>
      </c>
    </row>
    <row r="21" spans="1:15">
      <c r="C21" t="e">
        <f>IF(C20&lt;U4,1,IF(C20&lt;U5,2,IF(C20&lt;U6,3,IF(C20&lt;U7,4,5))))</f>
        <v>#VALUE!</v>
      </c>
      <c r="K21" t="s">
        <v>154</v>
      </c>
      <c r="L21" t="s">
        <v>372</v>
      </c>
      <c r="M21">
        <v>3</v>
      </c>
      <c r="N21" t="str">
        <f t="shared" si="0"/>
        <v>堰堤3</v>
      </c>
      <c r="O21" s="191">
        <v>3.1</v>
      </c>
    </row>
    <row r="22" spans="1:15">
      <c r="K22" t="s">
        <v>154</v>
      </c>
      <c r="L22" t="s">
        <v>372</v>
      </c>
      <c r="M22">
        <v>4</v>
      </c>
      <c r="N22" t="str">
        <f t="shared" si="0"/>
        <v>堰堤4</v>
      </c>
      <c r="O22" s="191">
        <v>2.5</v>
      </c>
    </row>
    <row r="23" spans="1:15">
      <c r="B23" t="s">
        <v>1297</v>
      </c>
      <c r="C23" t="e">
        <f>建退共証紙購入申告書!Y4&amp;C21</f>
        <v>#VALUE!</v>
      </c>
      <c r="I23" s="23" t="str">
        <f>IF(I6="","当初","変更")</f>
        <v>当初</v>
      </c>
      <c r="K23" t="s">
        <v>154</v>
      </c>
      <c r="L23" t="s">
        <v>372</v>
      </c>
      <c r="M23">
        <v>5</v>
      </c>
      <c r="N23" t="str">
        <f t="shared" si="0"/>
        <v>堰堤5</v>
      </c>
      <c r="O23" s="191">
        <v>1.8</v>
      </c>
    </row>
    <row r="24" spans="1:15">
      <c r="K24" t="s">
        <v>154</v>
      </c>
      <c r="L24" t="s">
        <v>373</v>
      </c>
      <c r="M24">
        <v>1</v>
      </c>
      <c r="N24" t="str">
        <f t="shared" si="0"/>
        <v>浚渫・埋立1</v>
      </c>
      <c r="O24" s="191">
        <v>3.7</v>
      </c>
    </row>
    <row r="25" spans="1:15">
      <c r="K25" t="s">
        <v>154</v>
      </c>
      <c r="L25" t="s">
        <v>373</v>
      </c>
      <c r="M25">
        <v>2</v>
      </c>
      <c r="N25" t="str">
        <f t="shared" si="0"/>
        <v>浚渫・埋立2</v>
      </c>
      <c r="O25" s="191">
        <v>2.8</v>
      </c>
    </row>
    <row r="26" spans="1:15">
      <c r="K26" t="s">
        <v>154</v>
      </c>
      <c r="L26" t="s">
        <v>373</v>
      </c>
      <c r="M26">
        <v>3</v>
      </c>
      <c r="N26" t="str">
        <f t="shared" si="0"/>
        <v>浚渫・埋立3</v>
      </c>
      <c r="O26" s="191">
        <v>2.7</v>
      </c>
    </row>
    <row r="27" spans="1:15">
      <c r="K27" t="s">
        <v>154</v>
      </c>
      <c r="L27" t="s">
        <v>373</v>
      </c>
      <c r="M27">
        <v>4</v>
      </c>
      <c r="N27" t="str">
        <f t="shared" si="0"/>
        <v>浚渫・埋立4</v>
      </c>
      <c r="O27" s="191">
        <v>1.9</v>
      </c>
    </row>
    <row r="28" spans="1:15">
      <c r="K28" t="s">
        <v>154</v>
      </c>
      <c r="L28" t="s">
        <v>373</v>
      </c>
      <c r="M28">
        <v>5</v>
      </c>
      <c r="N28" t="str">
        <f t="shared" si="0"/>
        <v>浚渫・埋立5</v>
      </c>
      <c r="O28" s="191">
        <v>1.7</v>
      </c>
    </row>
    <row r="29" spans="1:15">
      <c r="K29" t="s">
        <v>154</v>
      </c>
      <c r="L29" t="s">
        <v>374</v>
      </c>
      <c r="M29">
        <v>1</v>
      </c>
      <c r="N29" t="str">
        <f t="shared" si="0"/>
        <v>その他の土木1</v>
      </c>
      <c r="O29" s="191">
        <v>4.0999999999999996</v>
      </c>
    </row>
    <row r="30" spans="1:15">
      <c r="K30" t="s">
        <v>154</v>
      </c>
      <c r="L30" t="s">
        <v>374</v>
      </c>
      <c r="M30">
        <v>2</v>
      </c>
      <c r="N30" t="str">
        <f t="shared" si="0"/>
        <v>その他の土木2</v>
      </c>
      <c r="O30" s="191">
        <v>3.6</v>
      </c>
    </row>
    <row r="31" spans="1:15">
      <c r="K31" t="s">
        <v>154</v>
      </c>
      <c r="L31" t="s">
        <v>374</v>
      </c>
      <c r="M31">
        <v>3</v>
      </c>
      <c r="N31" t="str">
        <f t="shared" si="0"/>
        <v>その他の土木3</v>
      </c>
      <c r="O31" s="191">
        <v>3.1</v>
      </c>
    </row>
    <row r="32" spans="1:15">
      <c r="K32" t="s">
        <v>154</v>
      </c>
      <c r="L32" t="s">
        <v>374</v>
      </c>
      <c r="M32">
        <v>4</v>
      </c>
      <c r="N32" t="str">
        <f t="shared" si="0"/>
        <v>その他の土木4</v>
      </c>
      <c r="O32" s="191">
        <v>2.2999999999999998</v>
      </c>
    </row>
    <row r="33" spans="11:15">
      <c r="K33" t="s">
        <v>154</v>
      </c>
      <c r="L33" t="s">
        <v>374</v>
      </c>
      <c r="M33">
        <v>5</v>
      </c>
      <c r="N33" t="str">
        <f t="shared" si="0"/>
        <v>その他の土木5</v>
      </c>
      <c r="O33" s="191">
        <v>1.8</v>
      </c>
    </row>
    <row r="34" spans="11:15">
      <c r="K34" t="s">
        <v>172</v>
      </c>
      <c r="L34" t="s">
        <v>1283</v>
      </c>
      <c r="M34">
        <v>1</v>
      </c>
      <c r="N34" t="str">
        <f t="shared" si="0"/>
        <v>住宅・同設備1</v>
      </c>
      <c r="O34" s="191">
        <v>4.8</v>
      </c>
    </row>
    <row r="35" spans="11:15">
      <c r="K35" t="s">
        <v>172</v>
      </c>
      <c r="L35" t="s">
        <v>1283</v>
      </c>
      <c r="M35">
        <v>2</v>
      </c>
      <c r="N35" t="str">
        <f t="shared" si="0"/>
        <v>住宅・同設備2</v>
      </c>
      <c r="O35" s="191">
        <v>2.9</v>
      </c>
    </row>
    <row r="36" spans="11:15">
      <c r="K36" t="s">
        <v>172</v>
      </c>
      <c r="L36" t="s">
        <v>1283</v>
      </c>
      <c r="M36">
        <v>3</v>
      </c>
      <c r="N36" t="str">
        <f t="shared" si="0"/>
        <v>住宅・同設備3</v>
      </c>
      <c r="O36" s="191">
        <v>2.7</v>
      </c>
    </row>
    <row r="37" spans="11:15">
      <c r="K37" t="s">
        <v>172</v>
      </c>
      <c r="L37" t="s">
        <v>1283</v>
      </c>
      <c r="M37">
        <v>4</v>
      </c>
      <c r="N37" t="str">
        <f t="shared" si="0"/>
        <v>住宅・同設備4</v>
      </c>
      <c r="O37" s="191">
        <v>2.2000000000000002</v>
      </c>
    </row>
    <row r="38" spans="11:15">
      <c r="K38" t="s">
        <v>172</v>
      </c>
      <c r="L38" t="s">
        <v>1283</v>
      </c>
      <c r="M38">
        <v>5</v>
      </c>
      <c r="N38" t="str">
        <f t="shared" si="0"/>
        <v>住宅・同設備5</v>
      </c>
      <c r="O38" s="191">
        <v>2</v>
      </c>
    </row>
    <row r="39" spans="11:15">
      <c r="K39" t="s">
        <v>172</v>
      </c>
      <c r="L39" t="s">
        <v>1285</v>
      </c>
      <c r="M39">
        <v>1</v>
      </c>
      <c r="N39" t="str">
        <f t="shared" si="0"/>
        <v>非住宅・同設備1</v>
      </c>
      <c r="O39" s="191">
        <v>3.2</v>
      </c>
    </row>
    <row r="40" spans="11:15">
      <c r="K40" t="s">
        <v>172</v>
      </c>
      <c r="L40" t="s">
        <v>1285</v>
      </c>
      <c r="M40">
        <v>2</v>
      </c>
      <c r="N40" t="str">
        <f t="shared" si="0"/>
        <v>非住宅・同設備2</v>
      </c>
      <c r="O40" s="191">
        <v>3</v>
      </c>
    </row>
    <row r="41" spans="11:15">
      <c r="K41" t="s">
        <v>172</v>
      </c>
      <c r="L41" t="s">
        <v>1285</v>
      </c>
      <c r="M41">
        <v>3</v>
      </c>
      <c r="N41" t="str">
        <f t="shared" si="0"/>
        <v>非住宅・同設備3</v>
      </c>
      <c r="O41" s="191">
        <v>2.5</v>
      </c>
    </row>
    <row r="42" spans="11:15">
      <c r="K42" t="s">
        <v>172</v>
      </c>
      <c r="L42" t="s">
        <v>1285</v>
      </c>
      <c r="M42">
        <v>4</v>
      </c>
      <c r="N42" t="str">
        <f t="shared" si="0"/>
        <v>非住宅・同設備4</v>
      </c>
      <c r="O42" s="191">
        <v>2.1</v>
      </c>
    </row>
    <row r="43" spans="11:15">
      <c r="K43" t="s">
        <v>172</v>
      </c>
      <c r="L43" t="s">
        <v>1285</v>
      </c>
      <c r="M43">
        <v>5</v>
      </c>
      <c r="N43" t="str">
        <f t="shared" si="0"/>
        <v>非住宅・同設備5</v>
      </c>
      <c r="O43" s="191">
        <v>1.8</v>
      </c>
    </row>
    <row r="44" spans="11:15">
      <c r="K44" t="s">
        <v>379</v>
      </c>
      <c r="L44" t="s">
        <v>1287</v>
      </c>
      <c r="M44">
        <v>1</v>
      </c>
      <c r="N44" t="str">
        <f t="shared" si="0"/>
        <v>屋外の電気等1</v>
      </c>
      <c r="O44" s="191">
        <v>2.9</v>
      </c>
    </row>
    <row r="45" spans="11:15">
      <c r="K45" t="s">
        <v>379</v>
      </c>
      <c r="L45" t="s">
        <v>1287</v>
      </c>
      <c r="M45">
        <v>2</v>
      </c>
      <c r="N45" t="str">
        <f t="shared" si="0"/>
        <v>屋外の電気等2</v>
      </c>
      <c r="O45" s="191">
        <v>2.1</v>
      </c>
    </row>
    <row r="46" spans="11:15">
      <c r="K46" t="s">
        <v>379</v>
      </c>
      <c r="L46" t="s">
        <v>1287</v>
      </c>
      <c r="M46">
        <v>3</v>
      </c>
      <c r="N46" t="str">
        <f t="shared" si="0"/>
        <v>屋外の電気等3</v>
      </c>
      <c r="O46" s="191">
        <v>1.8</v>
      </c>
    </row>
    <row r="47" spans="11:15">
      <c r="K47" t="s">
        <v>379</v>
      </c>
      <c r="L47" t="s">
        <v>1287</v>
      </c>
      <c r="M47">
        <v>4</v>
      </c>
      <c r="N47" t="str">
        <f t="shared" si="0"/>
        <v>屋外の電気等4</v>
      </c>
      <c r="O47" s="191">
        <v>1.4</v>
      </c>
    </row>
    <row r="48" spans="11:15">
      <c r="K48" t="s">
        <v>379</v>
      </c>
      <c r="L48" t="s">
        <v>1287</v>
      </c>
      <c r="M48">
        <v>5</v>
      </c>
      <c r="N48" t="str">
        <f t="shared" si="0"/>
        <v>屋外の電気等5</v>
      </c>
      <c r="O48" s="191">
        <v>1.1000000000000001</v>
      </c>
    </row>
    <row r="49" spans="11:15">
      <c r="K49" t="s">
        <v>379</v>
      </c>
      <c r="L49" t="s">
        <v>1289</v>
      </c>
      <c r="M49">
        <v>1</v>
      </c>
      <c r="N49" t="str">
        <f t="shared" si="0"/>
        <v>機械器具設置1</v>
      </c>
      <c r="O49" s="191">
        <v>2.2000000000000002</v>
      </c>
    </row>
    <row r="50" spans="11:15">
      <c r="K50" t="s">
        <v>379</v>
      </c>
      <c r="L50" t="s">
        <v>1289</v>
      </c>
      <c r="M50">
        <v>2</v>
      </c>
      <c r="N50" t="str">
        <f t="shared" si="0"/>
        <v>機械器具設置2</v>
      </c>
      <c r="O50" s="191">
        <v>1.7</v>
      </c>
    </row>
    <row r="51" spans="11:15">
      <c r="K51" t="s">
        <v>379</v>
      </c>
      <c r="L51" t="s">
        <v>1289</v>
      </c>
      <c r="M51">
        <v>3</v>
      </c>
      <c r="N51" t="str">
        <f t="shared" si="0"/>
        <v>機械器具設置3</v>
      </c>
      <c r="O51" s="191">
        <v>1.4</v>
      </c>
    </row>
    <row r="52" spans="11:15">
      <c r="K52" t="s">
        <v>379</v>
      </c>
      <c r="L52" t="s">
        <v>1289</v>
      </c>
      <c r="M52">
        <v>4</v>
      </c>
      <c r="N52" t="str">
        <f t="shared" si="0"/>
        <v>機械器具設置4</v>
      </c>
      <c r="O52" s="191">
        <v>1.1000000000000001</v>
      </c>
    </row>
    <row r="53" spans="11:15">
      <c r="K53" t="s">
        <v>379</v>
      </c>
      <c r="L53" t="s">
        <v>1289</v>
      </c>
      <c r="M53">
        <v>5</v>
      </c>
      <c r="N53" t="str">
        <f t="shared" si="0"/>
        <v>機械器具設置5</v>
      </c>
      <c r="O53" s="191">
        <v>1.1000000000000001</v>
      </c>
    </row>
  </sheetData>
  <sheetProtection selectLockedCells="1"/>
  <mergeCells count="1">
    <mergeCell ref="D5:E5"/>
  </mergeCells>
  <phoneticPr fontId="2"/>
  <dataValidations count="1">
    <dataValidation imeMode="disabled" allowBlank="1" showInputMessage="1" showErrorMessage="1" sqref="I6:I17 C17:H17" xr:uid="{00000000-0002-0000-0D00-000000000000}"/>
  </dataValidation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7">
    <tabColor theme="1"/>
  </sheetPr>
  <dimension ref="A2:V34"/>
  <sheetViews>
    <sheetView workbookViewId="0">
      <selection activeCell="G14" sqref="G14"/>
    </sheetView>
  </sheetViews>
  <sheetFormatPr defaultRowHeight="13.5"/>
  <cols>
    <col min="1" max="1" width="3.625" customWidth="1"/>
    <col min="2" max="2" width="5.625" customWidth="1"/>
    <col min="3" max="3" width="3.375" bestFit="1" customWidth="1"/>
    <col min="4" max="4" width="57.375" bestFit="1" customWidth="1"/>
    <col min="5" max="6" width="3.625" customWidth="1"/>
    <col min="7" max="7" width="17.5" bestFit="1" customWidth="1"/>
    <col min="8" max="8" width="27" bestFit="1" customWidth="1"/>
    <col min="9" max="10" width="3.625" customWidth="1"/>
    <col min="11" max="11" width="11" bestFit="1" customWidth="1"/>
    <col min="12" max="12" width="10.5" bestFit="1" customWidth="1"/>
    <col min="13" max="14" width="3.625" customWidth="1"/>
    <col min="16" max="16" width="14.125" bestFit="1" customWidth="1"/>
    <col min="17" max="17" width="4.875" bestFit="1" customWidth="1"/>
    <col min="18" max="19" width="3.625" customWidth="1"/>
    <col min="20" max="20" width="6.625" customWidth="1"/>
    <col min="21" max="21" width="3.625" customWidth="1"/>
    <col min="22" max="22" width="12.625" bestFit="1" customWidth="1"/>
  </cols>
  <sheetData>
    <row r="2" spans="1:22">
      <c r="A2" t="s">
        <v>78</v>
      </c>
      <c r="F2" t="s">
        <v>88</v>
      </c>
      <c r="J2" t="s">
        <v>103</v>
      </c>
      <c r="N2" t="s">
        <v>106</v>
      </c>
      <c r="S2" t="s">
        <v>118</v>
      </c>
    </row>
    <row r="3" spans="1:22">
      <c r="A3">
        <v>1</v>
      </c>
      <c r="B3" t="s">
        <v>2</v>
      </c>
      <c r="D3" s="9" t="s">
        <v>114</v>
      </c>
      <c r="K3" t="s">
        <v>2</v>
      </c>
      <c r="L3" s="9" t="s">
        <v>125</v>
      </c>
      <c r="O3" t="s">
        <v>107</v>
      </c>
      <c r="P3" s="9" t="s">
        <v>125</v>
      </c>
      <c r="T3" t="s">
        <v>2</v>
      </c>
      <c r="V3" s="9" t="s">
        <v>125</v>
      </c>
    </row>
    <row r="4" spans="1:22">
      <c r="A4">
        <v>2</v>
      </c>
      <c r="B4" t="s">
        <v>3</v>
      </c>
      <c r="D4" s="10" t="s">
        <v>114</v>
      </c>
      <c r="G4" t="s">
        <v>92</v>
      </c>
      <c r="H4" s="12" t="s">
        <v>130</v>
      </c>
      <c r="K4" t="s">
        <v>3</v>
      </c>
      <c r="L4" s="9" t="s">
        <v>125</v>
      </c>
      <c r="O4" t="s">
        <v>71</v>
      </c>
      <c r="P4" s="9" t="s">
        <v>125</v>
      </c>
      <c r="T4" t="s">
        <v>3</v>
      </c>
      <c r="V4" s="9" t="s">
        <v>125</v>
      </c>
    </row>
    <row r="5" spans="1:22">
      <c r="A5">
        <v>3</v>
      </c>
      <c r="B5" t="s">
        <v>4</v>
      </c>
      <c r="C5" t="s">
        <v>79</v>
      </c>
      <c r="D5" s="9" t="s">
        <v>136</v>
      </c>
      <c r="G5" t="s">
        <v>93</v>
      </c>
      <c r="H5" s="12" t="s">
        <v>135</v>
      </c>
      <c r="K5" t="s">
        <v>104</v>
      </c>
      <c r="L5" s="9" t="s">
        <v>125</v>
      </c>
      <c r="O5" t="s">
        <v>87</v>
      </c>
      <c r="P5" s="11"/>
      <c r="T5" t="s">
        <v>4</v>
      </c>
      <c r="V5" s="9" t="s">
        <v>125</v>
      </c>
    </row>
    <row r="6" spans="1:22">
      <c r="C6" t="s">
        <v>80</v>
      </c>
      <c r="D6" s="9" t="s">
        <v>137</v>
      </c>
      <c r="G6" s="14" t="s">
        <v>144</v>
      </c>
      <c r="H6" s="10" t="s">
        <v>125</v>
      </c>
      <c r="K6" t="s">
        <v>105</v>
      </c>
      <c r="L6" s="9" t="s">
        <v>125</v>
      </c>
      <c r="O6" s="6" t="s">
        <v>108</v>
      </c>
      <c r="P6" s="9" t="s">
        <v>125</v>
      </c>
      <c r="T6" t="s">
        <v>119</v>
      </c>
      <c r="V6" s="9" t="s">
        <v>125</v>
      </c>
    </row>
    <row r="7" spans="1:22">
      <c r="A7">
        <v>4</v>
      </c>
      <c r="B7" t="s">
        <v>81</v>
      </c>
      <c r="D7" s="640" t="s">
        <v>213</v>
      </c>
      <c r="G7" s="14" t="s">
        <v>146</v>
      </c>
      <c r="H7" s="13" t="s">
        <v>147</v>
      </c>
      <c r="K7" t="s">
        <v>71</v>
      </c>
      <c r="L7" s="9" t="s">
        <v>125</v>
      </c>
      <c r="O7" s="6" t="s">
        <v>109</v>
      </c>
      <c r="P7" s="10" t="s">
        <v>125</v>
      </c>
    </row>
    <row r="8" spans="1:22">
      <c r="B8" t="s">
        <v>82</v>
      </c>
      <c r="D8" s="640"/>
      <c r="G8" s="14" t="s">
        <v>145</v>
      </c>
      <c r="H8" s="10" t="s">
        <v>140</v>
      </c>
      <c r="K8" t="s">
        <v>87</v>
      </c>
      <c r="L8" s="11"/>
      <c r="O8" s="6" t="s">
        <v>110</v>
      </c>
      <c r="P8" s="10" t="s">
        <v>125</v>
      </c>
      <c r="T8" t="s">
        <v>107</v>
      </c>
      <c r="V8" s="7"/>
    </row>
    <row r="9" spans="1:22">
      <c r="A9">
        <v>5</v>
      </c>
      <c r="B9" t="s">
        <v>83</v>
      </c>
      <c r="D9" s="9" t="s">
        <v>114</v>
      </c>
      <c r="H9" s="12"/>
      <c r="K9" s="6" t="s">
        <v>108</v>
      </c>
      <c r="L9" s="9" t="s">
        <v>125</v>
      </c>
      <c r="O9" t="s">
        <v>111</v>
      </c>
      <c r="P9" s="7"/>
      <c r="Q9" t="s">
        <v>112</v>
      </c>
      <c r="T9" t="s">
        <v>87</v>
      </c>
      <c r="V9" s="11"/>
    </row>
    <row r="10" spans="1:22">
      <c r="B10" t="s">
        <v>84</v>
      </c>
      <c r="D10" s="9" t="s">
        <v>114</v>
      </c>
      <c r="G10" t="s">
        <v>101</v>
      </c>
      <c r="K10" s="6" t="s">
        <v>109</v>
      </c>
      <c r="L10" s="9" t="s">
        <v>125</v>
      </c>
      <c r="P10" s="12" t="s">
        <v>126</v>
      </c>
      <c r="Q10" t="s">
        <v>113</v>
      </c>
      <c r="T10" s="6" t="s">
        <v>108</v>
      </c>
      <c r="V10" s="9" t="s">
        <v>125</v>
      </c>
    </row>
    <row r="11" spans="1:22">
      <c r="A11">
        <v>6</v>
      </c>
      <c r="B11" t="s">
        <v>85</v>
      </c>
      <c r="D11" s="13" t="s">
        <v>132</v>
      </c>
      <c r="G11" t="s">
        <v>94</v>
      </c>
      <c r="H11" s="12" t="s">
        <v>135</v>
      </c>
      <c r="K11" s="6" t="s">
        <v>110</v>
      </c>
      <c r="L11" s="9" t="s">
        <v>125</v>
      </c>
      <c r="T11" s="6" t="s">
        <v>109</v>
      </c>
      <c r="V11" s="10" t="s">
        <v>125</v>
      </c>
    </row>
    <row r="12" spans="1:22">
      <c r="G12" s="14" t="s">
        <v>141</v>
      </c>
      <c r="H12" s="10" t="s">
        <v>140</v>
      </c>
      <c r="T12" s="6" t="s">
        <v>110</v>
      </c>
      <c r="V12" s="10" t="s">
        <v>125</v>
      </c>
    </row>
    <row r="13" spans="1:22">
      <c r="B13" t="s">
        <v>86</v>
      </c>
      <c r="D13" s="13" t="s">
        <v>220</v>
      </c>
      <c r="G13" s="14" t="s">
        <v>143</v>
      </c>
      <c r="H13" s="10" t="s">
        <v>125</v>
      </c>
      <c r="T13" t="s">
        <v>71</v>
      </c>
      <c r="V13" s="9" t="s">
        <v>125</v>
      </c>
    </row>
    <row r="14" spans="1:22">
      <c r="B14" t="s">
        <v>71</v>
      </c>
      <c r="D14" s="9" t="s">
        <v>114</v>
      </c>
      <c r="G14" s="14" t="s">
        <v>142</v>
      </c>
      <c r="H14" s="13" t="s">
        <v>139</v>
      </c>
    </row>
    <row r="15" spans="1:22">
      <c r="B15" t="s">
        <v>87</v>
      </c>
      <c r="D15" s="11"/>
    </row>
    <row r="16" spans="1:22">
      <c r="B16" s="6" t="s">
        <v>108</v>
      </c>
      <c r="D16" s="7"/>
      <c r="G16" t="s">
        <v>95</v>
      </c>
      <c r="H16" s="12" t="s">
        <v>102</v>
      </c>
      <c r="S16" t="s">
        <v>120</v>
      </c>
    </row>
    <row r="17" spans="1:22">
      <c r="B17" s="6" t="s">
        <v>109</v>
      </c>
      <c r="D17" s="7"/>
      <c r="G17" t="s">
        <v>96</v>
      </c>
      <c r="H17" s="11"/>
      <c r="T17" t="s">
        <v>2</v>
      </c>
      <c r="V17" s="9" t="s">
        <v>125</v>
      </c>
    </row>
    <row r="18" spans="1:22">
      <c r="B18" s="6" t="s">
        <v>110</v>
      </c>
      <c r="D18" s="7"/>
      <c r="G18" t="s">
        <v>97</v>
      </c>
      <c r="H18" s="11"/>
      <c r="T18" t="s">
        <v>3</v>
      </c>
      <c r="V18" s="9" t="s">
        <v>125</v>
      </c>
    </row>
    <row r="19" spans="1:22">
      <c r="G19" t="s">
        <v>98</v>
      </c>
      <c r="H19" s="11"/>
      <c r="T19" t="s">
        <v>4</v>
      </c>
      <c r="V19" s="9" t="s">
        <v>125</v>
      </c>
    </row>
    <row r="20" spans="1:22">
      <c r="G20" t="s">
        <v>99</v>
      </c>
      <c r="H20" s="11"/>
      <c r="T20" t="s">
        <v>86</v>
      </c>
      <c r="V20" s="9" t="s">
        <v>125</v>
      </c>
    </row>
    <row r="21" spans="1:22">
      <c r="D21" s="12" t="s">
        <v>131</v>
      </c>
      <c r="T21" t="s">
        <v>121</v>
      </c>
      <c r="V21" s="9" t="s">
        <v>125</v>
      </c>
    </row>
    <row r="22" spans="1:22">
      <c r="A22" t="s">
        <v>115</v>
      </c>
      <c r="G22" t="s">
        <v>89</v>
      </c>
      <c r="H22" t="s">
        <v>90</v>
      </c>
      <c r="T22" t="s">
        <v>122</v>
      </c>
    </row>
    <row r="23" spans="1:22">
      <c r="B23" t="s">
        <v>107</v>
      </c>
      <c r="D23" s="13" t="s">
        <v>133</v>
      </c>
      <c r="G23" t="s">
        <v>100</v>
      </c>
      <c r="H23" s="12" t="s">
        <v>127</v>
      </c>
    </row>
    <row r="24" spans="1:22">
      <c r="B24" t="s">
        <v>71</v>
      </c>
      <c r="D24" s="9" t="s">
        <v>125</v>
      </c>
    </row>
    <row r="25" spans="1:22">
      <c r="B25" t="s">
        <v>87</v>
      </c>
      <c r="D25" s="11"/>
      <c r="G25" t="s">
        <v>91</v>
      </c>
      <c r="H25" s="13" t="s">
        <v>128</v>
      </c>
      <c r="S25" t="s">
        <v>124</v>
      </c>
    </row>
    <row r="26" spans="1:22">
      <c r="B26" s="6" t="s">
        <v>108</v>
      </c>
      <c r="D26" s="9" t="s">
        <v>125</v>
      </c>
      <c r="G26" t="s">
        <v>150</v>
      </c>
      <c r="H26" s="12" t="s">
        <v>148</v>
      </c>
      <c r="T26" t="s">
        <v>71</v>
      </c>
      <c r="V26" s="9" t="s">
        <v>125</v>
      </c>
    </row>
    <row r="27" spans="1:22">
      <c r="B27" s="6" t="s">
        <v>109</v>
      </c>
      <c r="D27" s="9" t="s">
        <v>125</v>
      </c>
      <c r="G27" t="s">
        <v>149</v>
      </c>
      <c r="H27" s="13"/>
      <c r="T27" t="s">
        <v>87</v>
      </c>
      <c r="V27" s="11"/>
    </row>
    <row r="28" spans="1:22">
      <c r="B28" s="6" t="s">
        <v>110</v>
      </c>
      <c r="D28" s="9" t="s">
        <v>125</v>
      </c>
      <c r="G28" t="s">
        <v>151</v>
      </c>
      <c r="H28" s="13"/>
      <c r="T28" s="6" t="s">
        <v>108</v>
      </c>
      <c r="V28" s="9" t="s">
        <v>125</v>
      </c>
    </row>
    <row r="29" spans="1:22">
      <c r="B29" t="s">
        <v>2</v>
      </c>
      <c r="D29" s="9" t="s">
        <v>125</v>
      </c>
      <c r="T29" s="6" t="s">
        <v>109</v>
      </c>
      <c r="V29" s="9" t="s">
        <v>125</v>
      </c>
    </row>
    <row r="30" spans="1:22">
      <c r="B30" t="s">
        <v>3</v>
      </c>
      <c r="D30" s="9" t="s">
        <v>125</v>
      </c>
      <c r="T30" s="6" t="s">
        <v>110</v>
      </c>
      <c r="V30" s="9" t="s">
        <v>125</v>
      </c>
    </row>
    <row r="31" spans="1:22">
      <c r="B31" s="8" t="s">
        <v>116</v>
      </c>
      <c r="D31" s="9" t="s">
        <v>129</v>
      </c>
      <c r="T31" t="s">
        <v>2</v>
      </c>
      <c r="V31" s="9" t="s">
        <v>125</v>
      </c>
    </row>
    <row r="32" spans="1:22">
      <c r="B32" s="8"/>
      <c r="D32" s="13" t="s">
        <v>138</v>
      </c>
      <c r="T32" t="s">
        <v>4</v>
      </c>
      <c r="U32" t="s">
        <v>79</v>
      </c>
      <c r="V32" s="9" t="s">
        <v>125</v>
      </c>
    </row>
    <row r="33" spans="2:22">
      <c r="B33" s="8"/>
      <c r="D33" s="10" t="s">
        <v>134</v>
      </c>
      <c r="U33" t="s">
        <v>80</v>
      </c>
      <c r="V33" s="9" t="s">
        <v>125</v>
      </c>
    </row>
    <row r="34" spans="2:22">
      <c r="B34" s="8" t="s">
        <v>117</v>
      </c>
      <c r="D34" s="9" t="s">
        <v>125</v>
      </c>
    </row>
  </sheetData>
  <mergeCells count="1">
    <mergeCell ref="D7:D8"/>
  </mergeCells>
  <phoneticPr fontId="2"/>
  <pageMargins left="0.7" right="0.7" top="0.75" bottom="0.75" header="0.3" footer="0.3"/>
  <pageSetup paperSize="9" orientation="portrait" copies="0"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6">
    <tabColor theme="1"/>
  </sheetPr>
  <dimension ref="A1:B24"/>
  <sheetViews>
    <sheetView workbookViewId="0">
      <selection activeCell="G14" sqref="G14"/>
    </sheetView>
  </sheetViews>
  <sheetFormatPr defaultRowHeight="13.5"/>
  <cols>
    <col min="1" max="1" width="5.625" bestFit="1" customWidth="1"/>
    <col min="2" max="2" width="130.625" customWidth="1"/>
  </cols>
  <sheetData>
    <row r="1" spans="1:2" ht="51">
      <c r="A1" s="71"/>
      <c r="B1" s="72" t="str">
        <f>'&lt;使わない&gt;当初書類'!I2</f>
        <v>作成及び添付書類一式（記入内容及び押印を確認のこと）
なお様式は、大分県土木建築部公共工事入札管理室のページにあります</v>
      </c>
    </row>
    <row r="2" spans="1:2" ht="25.5">
      <c r="B2" s="71" t="str">
        <f>'&lt;使わない&gt;当初書類'!I3</f>
        <v>（https://www.pref.oita.jp/soshiki/17050/kensetsu-yoshiki.html）</v>
      </c>
    </row>
    <row r="3" spans="1:2" ht="25.5">
      <c r="B3" s="71"/>
    </row>
    <row r="4" spans="1:2" ht="25.5">
      <c r="A4" s="71" t="str">
        <f>'&lt;使わない&gt;当初書類'!H3</f>
        <v>☑</v>
      </c>
      <c r="B4" s="73" t="s">
        <v>330</v>
      </c>
    </row>
    <row r="5" spans="1:2" ht="25.5">
      <c r="A5" s="71" t="str">
        <f>'&lt;使わない&gt;当初書類'!H4</f>
        <v/>
      </c>
      <c r="B5" s="71" t="str">
        <f>'&lt;使わない&gt;当初書類'!I4</f>
        <v/>
      </c>
    </row>
    <row r="6" spans="1:2" ht="25.5">
      <c r="A6" s="71" t="str">
        <f>'&lt;使わない&gt;当初書類'!H5</f>
        <v/>
      </c>
      <c r="B6" s="71" t="str">
        <f>'&lt;使わない&gt;当初書類'!I5</f>
        <v/>
      </c>
    </row>
    <row r="7" spans="1:2" ht="25.5">
      <c r="A7" s="71" t="str">
        <f>'&lt;使わない&gt;当初書類'!H6</f>
        <v/>
      </c>
      <c r="B7" s="71" t="str">
        <f>'&lt;使わない&gt;当初書類'!I6</f>
        <v/>
      </c>
    </row>
    <row r="8" spans="1:2" ht="25.5">
      <c r="A8" s="71" t="str">
        <f>'&lt;使わない&gt;当初書類'!H7</f>
        <v/>
      </c>
      <c r="B8" s="71" t="str">
        <f>'&lt;使わない&gt;当初書類'!I7</f>
        <v/>
      </c>
    </row>
    <row r="9" spans="1:2" ht="25.5">
      <c r="A9" s="71" t="str">
        <f>'&lt;使わない&gt;当初書類'!H8</f>
        <v/>
      </c>
      <c r="B9" s="71" t="str">
        <f>'&lt;使わない&gt;当初書類'!I8</f>
        <v/>
      </c>
    </row>
    <row r="10" spans="1:2" ht="25.5">
      <c r="A10" s="71" t="str">
        <f>'&lt;使わない&gt;当初書類'!H9</f>
        <v/>
      </c>
      <c r="B10" s="71" t="str">
        <f>'&lt;使わない&gt;当初書類'!I9</f>
        <v/>
      </c>
    </row>
    <row r="11" spans="1:2" ht="25.5">
      <c r="A11" s="71" t="str">
        <f>'&lt;使わない&gt;当初書類'!H10</f>
        <v/>
      </c>
      <c r="B11" s="71" t="str">
        <f>'&lt;使わない&gt;当初書類'!I10</f>
        <v/>
      </c>
    </row>
    <row r="12" spans="1:2" ht="25.5">
      <c r="A12" s="71" t="str">
        <f>'&lt;使わない&gt;当初書類'!H11</f>
        <v/>
      </c>
      <c r="B12" s="71" t="str">
        <f>'&lt;使わない&gt;当初書類'!I11</f>
        <v/>
      </c>
    </row>
    <row r="13" spans="1:2" ht="25.5">
      <c r="A13" s="71" t="str">
        <f>'&lt;使わない&gt;当初書類'!H12</f>
        <v/>
      </c>
      <c r="B13" s="71" t="str">
        <f>'&lt;使わない&gt;当初書類'!I12</f>
        <v/>
      </c>
    </row>
    <row r="14" spans="1:2" ht="25.5">
      <c r="A14" s="71" t="str">
        <f>'&lt;使わない&gt;当初書類'!H13</f>
        <v/>
      </c>
      <c r="B14" s="71" t="str">
        <f>'&lt;使わない&gt;当初書類'!I13</f>
        <v/>
      </c>
    </row>
    <row r="15" spans="1:2" ht="25.5">
      <c r="A15" s="71" t="str">
        <f>'&lt;使わない&gt;当初書類'!H14</f>
        <v/>
      </c>
      <c r="B15" s="71" t="str">
        <f>'&lt;使わない&gt;当初書類'!I14</f>
        <v/>
      </c>
    </row>
    <row r="16" spans="1:2" ht="25.5">
      <c r="A16" s="71" t="str">
        <f>'&lt;使わない&gt;当初書類'!H15</f>
        <v/>
      </c>
      <c r="B16" s="71" t="str">
        <f>'&lt;使わない&gt;当初書類'!I15</f>
        <v/>
      </c>
    </row>
    <row r="17" spans="1:2" s="75" customFormat="1" ht="25.5" customHeight="1">
      <c r="A17" s="76" t="str">
        <f>'&lt;使わない&gt;当初書類'!H16</f>
        <v/>
      </c>
      <c r="B17" s="76" t="str">
        <f>'&lt;使わない&gt;当初書類'!I16</f>
        <v/>
      </c>
    </row>
    <row r="18" spans="1:2" s="75" customFormat="1" ht="25.5" customHeight="1">
      <c r="A18" s="76" t="str">
        <f>'&lt;使わない&gt;当初書類'!H17</f>
        <v/>
      </c>
      <c r="B18" s="76" t="str">
        <f>'&lt;使わない&gt;当初書類'!I17</f>
        <v/>
      </c>
    </row>
    <row r="19" spans="1:2" s="75" customFormat="1" ht="25.5" customHeight="1">
      <c r="A19" s="76" t="str">
        <f>'&lt;使わない&gt;当初書類'!H18</f>
        <v/>
      </c>
      <c r="B19" s="76" t="str">
        <f>'&lt;使わない&gt;当初書類'!I18</f>
        <v/>
      </c>
    </row>
    <row r="20" spans="1:2" s="75" customFormat="1" ht="25.5" customHeight="1">
      <c r="A20" s="76" t="str">
        <f>'&lt;使わない&gt;当初書類'!H19</f>
        <v/>
      </c>
      <c r="B20" s="76" t="str">
        <f>'&lt;使わない&gt;当初書類'!I19</f>
        <v/>
      </c>
    </row>
    <row r="21" spans="1:2" s="75" customFormat="1" ht="25.5" customHeight="1">
      <c r="A21" s="76" t="str">
        <f>'&lt;使わない&gt;当初書類'!H20</f>
        <v/>
      </c>
      <c r="B21" s="76" t="str">
        <f>'&lt;使わない&gt;当初書類'!I20</f>
        <v/>
      </c>
    </row>
    <row r="22" spans="1:2" s="75" customFormat="1" ht="25.5" customHeight="1">
      <c r="A22" s="76" t="str">
        <f>'&lt;使わない&gt;当初書類'!H21</f>
        <v/>
      </c>
      <c r="B22" s="76" t="str">
        <f>'&lt;使わない&gt;当初書類'!I21</f>
        <v/>
      </c>
    </row>
    <row r="23" spans="1:2" s="75" customFormat="1" ht="25.5" customHeight="1">
      <c r="A23" s="76" t="str">
        <f>'&lt;使わない&gt;当初書類'!H22</f>
        <v/>
      </c>
      <c r="B23" s="76" t="str">
        <f>'&lt;使わない&gt;当初書類'!I22</f>
        <v/>
      </c>
    </row>
    <row r="24" spans="1:2" s="75" customFormat="1" ht="25.5" customHeight="1">
      <c r="A24" s="76" t="str">
        <f>'&lt;使わない&gt;当初書類'!H23</f>
        <v/>
      </c>
      <c r="B24" s="76" t="str">
        <f>'&lt;使わない&gt;当初書類'!I23</f>
        <v/>
      </c>
    </row>
  </sheetData>
  <phoneticPr fontId="2"/>
  <printOptions horizontalCentered="1" verticalCentered="1"/>
  <pageMargins left="0" right="0" top="0" bottom="0" header="0" footer="0"/>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4" tint="0.79998168889431442"/>
  </sheetPr>
  <dimension ref="A1:I33"/>
  <sheetViews>
    <sheetView showGridLines="0" showRowColHeaders="0" zoomScaleNormal="100" workbookViewId="0">
      <selection activeCell="C7" sqref="C7"/>
    </sheetView>
  </sheetViews>
  <sheetFormatPr defaultColWidth="9" defaultRowHeight="18" customHeight="1" outlineLevelCol="1"/>
  <cols>
    <col min="1" max="1" width="3.625" style="2" customWidth="1"/>
    <col min="2" max="2" width="23.5" style="2" bestFit="1" customWidth="1"/>
    <col min="3" max="3" width="90.625" style="2" customWidth="1"/>
    <col min="4" max="4" width="3.625" style="2" customWidth="1"/>
    <col min="5" max="5" width="11" style="2" hidden="1" customWidth="1" outlineLevel="1"/>
    <col min="6" max="6" width="1.625" style="2" hidden="1" customWidth="1" outlineLevel="1"/>
    <col min="7" max="8" width="95.125" style="2" hidden="1" customWidth="1" outlineLevel="1"/>
    <col min="9" max="9" width="9" style="2" collapsed="1"/>
    <col min="10" max="16384" width="9" style="2"/>
  </cols>
  <sheetData>
    <row r="1" spans="1:8" ht="30" customHeight="1">
      <c r="A1" s="36" t="s">
        <v>214</v>
      </c>
      <c r="C1" s="37" t="s">
        <v>216</v>
      </c>
      <c r="D1" s="339"/>
    </row>
    <row r="2" spans="1:8" ht="18" customHeight="1">
      <c r="B2" s="2" t="s">
        <v>215</v>
      </c>
      <c r="C2" s="324"/>
      <c r="D2" s="339"/>
    </row>
    <row r="3" spans="1:8" ht="18" customHeight="1">
      <c r="D3" s="339"/>
    </row>
    <row r="4" spans="1:8" ht="18" customHeight="1">
      <c r="A4" s="288" t="s">
        <v>5157</v>
      </c>
      <c r="B4" s="37" t="s">
        <v>5182</v>
      </c>
      <c r="D4" s="339"/>
    </row>
    <row r="5" spans="1:8" ht="18" customHeight="1">
      <c r="B5" s="37" t="s">
        <v>5183</v>
      </c>
      <c r="D5" s="339"/>
    </row>
    <row r="6" spans="1:8" ht="18" customHeight="1">
      <c r="A6" s="36" t="s">
        <v>364</v>
      </c>
      <c r="C6" s="37"/>
      <c r="D6" s="339"/>
      <c r="G6" s="5" t="s">
        <v>77</v>
      </c>
    </row>
    <row r="7" spans="1:8" ht="18" customHeight="1">
      <c r="A7" s="325">
        <v>1</v>
      </c>
      <c r="B7" s="323" t="s">
        <v>5158</v>
      </c>
      <c r="C7" s="303"/>
      <c r="D7" s="339"/>
    </row>
    <row r="8" spans="1:8" ht="18" customHeight="1">
      <c r="A8" s="323">
        <v>2</v>
      </c>
      <c r="B8" s="323" t="s">
        <v>5159</v>
      </c>
      <c r="C8" s="302"/>
      <c r="D8" s="339"/>
      <c r="E8" s="4" t="s">
        <v>72</v>
      </c>
      <c r="G8" s="2" t="str">
        <f>_xlfn.IFNA(VLOOKUP(C8,【定期メンテ】所属長名ほか!D4:H100,5,FALSE),"")</f>
        <v/>
      </c>
    </row>
    <row r="9" spans="1:8" ht="18" customHeight="1">
      <c r="A9" s="323">
        <v>3</v>
      </c>
      <c r="B9" s="323" t="s">
        <v>23026</v>
      </c>
      <c r="C9" s="303"/>
      <c r="D9" s="339"/>
    </row>
    <row r="10" spans="1:8" ht="18" customHeight="1">
      <c r="A10" s="323">
        <v>4</v>
      </c>
      <c r="B10" s="323" t="s">
        <v>5160</v>
      </c>
      <c r="C10" s="303"/>
      <c r="D10" s="339"/>
      <c r="E10" s="4" t="s">
        <v>123</v>
      </c>
      <c r="G10" s="2" t="str">
        <f>C10&amp;""</f>
        <v/>
      </c>
    </row>
    <row r="11" spans="1:8" ht="18" customHeight="1">
      <c r="A11" s="323">
        <v>5</v>
      </c>
      <c r="B11" s="323" t="s">
        <v>23025</v>
      </c>
      <c r="C11" s="303"/>
      <c r="D11" s="339"/>
      <c r="E11" s="4" t="s">
        <v>73</v>
      </c>
      <c r="G11" s="2" t="str">
        <f>_xlfn.IFNA(VLOOKUP(C10,【定期メンテ】所属長名ほか!A2:B35,2,FALSE),"")</f>
        <v/>
      </c>
    </row>
    <row r="12" spans="1:8" ht="18" customHeight="1">
      <c r="A12" s="323">
        <v>6</v>
      </c>
      <c r="B12" s="323" t="s">
        <v>1101</v>
      </c>
      <c r="C12" s="303"/>
      <c r="D12" s="339"/>
      <c r="E12" s="4" t="s">
        <v>2</v>
      </c>
      <c r="G12" s="2" t="str">
        <f>TRIM(C12)&amp;""</f>
        <v/>
      </c>
    </row>
    <row r="13" spans="1:8" ht="18" customHeight="1">
      <c r="A13" s="323">
        <v>7</v>
      </c>
      <c r="B13" s="323" t="s">
        <v>1043</v>
      </c>
      <c r="C13" s="303"/>
      <c r="D13" s="339"/>
      <c r="E13" s="4" t="s">
        <v>3</v>
      </c>
      <c r="G13" s="2" t="str">
        <f>C13&amp;""</f>
        <v/>
      </c>
    </row>
    <row r="14" spans="1:8" ht="18" customHeight="1">
      <c r="A14" s="323">
        <v>8</v>
      </c>
      <c r="B14" s="323" t="s">
        <v>5161</v>
      </c>
      <c r="C14" s="303"/>
      <c r="D14" s="339"/>
    </row>
    <row r="15" spans="1:8" ht="18" customHeight="1">
      <c r="A15" s="323">
        <v>9</v>
      </c>
      <c r="B15" s="323" t="s">
        <v>5162</v>
      </c>
      <c r="C15" s="303"/>
      <c r="D15" s="339"/>
      <c r="E15" s="4" t="s">
        <v>75</v>
      </c>
      <c r="G15" s="32" t="str">
        <f>IFERROR(VALUE(MID($C15,2,FIND("-",$C15,1)-2)),"")</f>
        <v/>
      </c>
      <c r="H15" s="33" t="str">
        <f>IFERROR(G15/1.1,"")</f>
        <v/>
      </c>
    </row>
    <row r="16" spans="1:8" ht="18" customHeight="1">
      <c r="A16" s="323">
        <v>10</v>
      </c>
      <c r="B16" s="323" t="s">
        <v>5163</v>
      </c>
      <c r="C16" s="303"/>
      <c r="D16" s="339"/>
      <c r="E16" s="4" t="s">
        <v>76</v>
      </c>
      <c r="G16" s="32" t="str">
        <f>IFERROR(_xlfn.IFNA(VALUE(MID($C16,2,FIND("-",$C16,1)-2)),""),"")</f>
        <v/>
      </c>
      <c r="H16" s="33" t="str">
        <f>IFERROR(_xlfn.IFNA(G16/1.1,""),"")</f>
        <v/>
      </c>
    </row>
    <row r="17" spans="1:7" ht="18" customHeight="1">
      <c r="A17" s="323">
        <v>11</v>
      </c>
      <c r="B17" s="323" t="s">
        <v>5164</v>
      </c>
      <c r="C17" s="303"/>
      <c r="D17" s="339"/>
    </row>
    <row r="18" spans="1:7" ht="18" customHeight="1">
      <c r="A18" s="323">
        <v>12</v>
      </c>
      <c r="B18" s="323" t="s">
        <v>5165</v>
      </c>
      <c r="C18" s="303"/>
      <c r="D18" s="339"/>
    </row>
    <row r="19" spans="1:7" ht="18" customHeight="1">
      <c r="A19" s="323">
        <v>13</v>
      </c>
      <c r="B19" s="323" t="s">
        <v>5166</v>
      </c>
      <c r="C19" s="303"/>
      <c r="D19" s="339"/>
      <c r="E19" s="430" t="s">
        <v>74</v>
      </c>
      <c r="G19" s="24" t="str">
        <f>IF(RIGHT($C14,2)="日間",VALUE(SUBSTITUTE($C14,"日間",)),"")</f>
        <v/>
      </c>
    </row>
    <row r="20" spans="1:7" ht="18" customHeight="1">
      <c r="A20" s="323">
        <v>14</v>
      </c>
      <c r="B20" s="323" t="s">
        <v>5167</v>
      </c>
      <c r="C20" s="303"/>
      <c r="D20" s="339"/>
      <c r="E20" s="430"/>
      <c r="G20" s="25" t="str">
        <f>IF(RIGHT(C14,2)="まで",DATEVALUE(SUBSTITUTE(LEFT($C14,LEN($C14)-2),"　","")),"")</f>
        <v/>
      </c>
    </row>
    <row r="21" spans="1:7" ht="18" customHeight="1">
      <c r="A21" s="323">
        <v>15</v>
      </c>
      <c r="B21" s="323" t="s">
        <v>5168</v>
      </c>
      <c r="C21" s="303"/>
      <c r="D21" s="339"/>
      <c r="E21" s="4" t="s">
        <v>5170</v>
      </c>
      <c r="G21" s="2" t="str">
        <f>C21&amp;""</f>
        <v/>
      </c>
    </row>
    <row r="22" spans="1:7" ht="18" customHeight="1">
      <c r="A22" s="323">
        <v>16</v>
      </c>
      <c r="B22" s="323" t="s">
        <v>5169</v>
      </c>
      <c r="C22" s="303"/>
      <c r="D22" s="339"/>
    </row>
    <row r="23" spans="1:7" ht="18" customHeight="1">
      <c r="A23" s="2">
        <v>17</v>
      </c>
      <c r="B23" s="2" t="s">
        <v>212</v>
      </c>
      <c r="C23" s="326"/>
      <c r="D23" s="339"/>
    </row>
    <row r="24" spans="1:7" ht="18" customHeight="1">
      <c r="D24" s="339"/>
    </row>
    <row r="25" spans="1:7" ht="30" customHeight="1">
      <c r="C25" s="77" t="str">
        <f>IF(OR(C2="",C8="",C10="",C12="",C13="",C14="",C15="",C16="",C23=""),【随時メンテ】部分払い回数等!$A$53,【随時メンテ】部分払い回数等!$A$52)</f>
        <v>NG</v>
      </c>
      <c r="D25" s="339"/>
    </row>
    <row r="26" spans="1:7" ht="3" customHeight="1">
      <c r="D26" s="339"/>
    </row>
    <row r="27" spans="1:7" ht="30" customHeight="1">
      <c r="B27" s="42" t="s">
        <v>231</v>
      </c>
      <c r="D27" s="339"/>
    </row>
    <row r="28" spans="1:7" ht="3.75" customHeight="1">
      <c r="A28" s="335"/>
      <c r="B28" s="335"/>
      <c r="C28" s="335"/>
      <c r="D28" s="340"/>
    </row>
    <row r="32" spans="1:7" ht="13.5"/>
    <row r="33" spans="2:2" ht="18" customHeight="1">
      <c r="B33" s="26"/>
    </row>
  </sheetData>
  <sheetProtection sheet="1" objects="1" scenarios="1"/>
  <mergeCells count="1">
    <mergeCell ref="E19:E20"/>
  </mergeCells>
  <phoneticPr fontId="2"/>
  <conditionalFormatting sqref="C25">
    <cfRule type="cellIs" dxfId="157" priority="1" operator="equal">
      <formula>"NG"</formula>
    </cfRule>
  </conditionalFormatting>
  <dataValidations count="2">
    <dataValidation imeMode="disabled" allowBlank="1" showInputMessage="1" showErrorMessage="1" sqref="C2" xr:uid="{00000000-0002-0000-0200-000000000000}"/>
    <dataValidation imeMode="hiragana" allowBlank="1" showInputMessage="1" showErrorMessage="1" sqref="C7:C22" xr:uid="{00000000-0002-0000-0200-000001000000}"/>
  </dataValidations>
  <hyperlinks>
    <hyperlink ref="B27" location="目次!B5" display="目次へ戻る" xr:uid="{00000000-0004-0000-0200-000000000000}"/>
  </hyperlink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imeMode="hiragana" allowBlank="1" showInputMessage="1" showErrorMessage="1" xr:uid="{00000000-0002-0000-0200-000002000000}">
          <x14:formula1>
            <xm:f>【随時メンテ】部分払い回数等!$A$41:$A$42</xm:f>
          </x14:formula1>
          <xm:sqref>C23</xm:sqref>
        </x14:dataValidation>
      </x14:dataValidations>
    </ext>
  </extLst>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theme="1"/>
  </sheetPr>
  <dimension ref="A1:J102"/>
  <sheetViews>
    <sheetView zoomScaleNormal="100" workbookViewId="0">
      <pane ySplit="3" topLeftCell="A25" activePane="bottomLeft" state="frozen"/>
      <selection activeCell="G14" sqref="G14"/>
      <selection pane="bottomLeft" activeCell="G14" sqref="G14"/>
    </sheetView>
  </sheetViews>
  <sheetFormatPr defaultRowHeight="13.5"/>
  <cols>
    <col min="1" max="1" width="16.5" bestFit="1" customWidth="1"/>
    <col min="2" max="2" width="47.25" style="21" bestFit="1" customWidth="1"/>
    <col min="3" max="3" width="5.75" style="21" customWidth="1"/>
    <col min="4" max="4" width="3.5" customWidth="1"/>
    <col min="5" max="5" width="88.5" style="50" bestFit="1" customWidth="1"/>
    <col min="6" max="6" width="34" style="50" hidden="1" customWidth="1"/>
    <col min="7" max="7" width="3.5" hidden="1" customWidth="1"/>
    <col min="8" max="8" width="3.375" style="23" bestFit="1" customWidth="1"/>
    <col min="9" max="9" width="65.625" style="15" bestFit="1" customWidth="1"/>
    <col min="10" max="10" width="35.875" style="23" bestFit="1" customWidth="1"/>
  </cols>
  <sheetData>
    <row r="1" spans="1:10" ht="24">
      <c r="A1" s="16" t="s">
        <v>204</v>
      </c>
      <c r="B1" s="20"/>
      <c r="C1" s="20"/>
      <c r="D1" s="20"/>
      <c r="E1" s="20"/>
      <c r="F1" s="20"/>
    </row>
    <row r="2" spans="1:10" ht="27">
      <c r="A2" s="16" t="s">
        <v>205</v>
      </c>
      <c r="B2" s="20"/>
      <c r="C2" s="20"/>
      <c r="D2" s="20"/>
      <c r="E2" s="20"/>
      <c r="F2" s="20"/>
      <c r="I2" s="69" t="s">
        <v>326</v>
      </c>
    </row>
    <row r="3" spans="1:10">
      <c r="A3" s="23" t="str">
        <f>IF(OR(B9="",B21="",B57="",B78="",B84="",B89=""),【随時メンテ】部分払い回数等!A53,【随時メンテ】部分払い回数等!A52)</f>
        <v>NG</v>
      </c>
      <c r="D3">
        <v>0</v>
      </c>
      <c r="E3" s="70" t="s">
        <v>327</v>
      </c>
      <c r="F3" s="70" t="s">
        <v>393</v>
      </c>
      <c r="H3" s="23" t="s">
        <v>203</v>
      </c>
      <c r="I3" s="15" t="s">
        <v>325</v>
      </c>
      <c r="J3" s="82" t="s">
        <v>352</v>
      </c>
    </row>
    <row r="4" spans="1:10">
      <c r="A4" s="641" t="s">
        <v>334</v>
      </c>
      <c r="B4" s="21">
        <f>閲覧図書!C12</f>
        <v>0</v>
      </c>
      <c r="D4">
        <f>IF($E4="－",0,MAX($D$2:$D3)+1)</f>
        <v>0</v>
      </c>
      <c r="E4" s="50" t="str">
        <f>IF(契約日ほか!L14=0,"－",VLOOKUP(B4,【随時メンテ】部分払い回数等!A3:B5,2,FALSE))</f>
        <v>－</v>
      </c>
      <c r="F4" s="50" t="s">
        <v>353</v>
      </c>
      <c r="G4">
        <v>1</v>
      </c>
      <c r="H4" s="23" t="str">
        <f t="shared" ref="H4:H11" si="0">IF(I4="","","□")</f>
        <v/>
      </c>
      <c r="I4" s="15" t="str">
        <f t="shared" ref="I4:I23" si="1">IFERROR(VLOOKUP($G4,$D$3:$E$127,2,FALSE),"")</f>
        <v/>
      </c>
      <c r="J4" s="82" t="str">
        <f t="shared" ref="J4:J23" si="2">IFERROR(VLOOKUP($G4,$D$3:$F$123,3,FALSE),"")</f>
        <v/>
      </c>
    </row>
    <row r="5" spans="1:10">
      <c r="A5" s="439"/>
      <c r="B5" s="39" t="s">
        <v>217</v>
      </c>
      <c r="D5">
        <v>0</v>
      </c>
      <c r="E5" s="51" t="str">
        <f>IF(E4="－","","契約日までの日付で作成すること")</f>
        <v/>
      </c>
      <c r="F5" s="51"/>
      <c r="G5">
        <v>2</v>
      </c>
      <c r="H5" s="23" t="str">
        <f t="shared" si="0"/>
        <v/>
      </c>
      <c r="I5" s="15" t="str">
        <f t="shared" si="1"/>
        <v/>
      </c>
      <c r="J5" s="82" t="str">
        <f t="shared" si="2"/>
        <v/>
      </c>
    </row>
    <row r="6" spans="1:10">
      <c r="D6">
        <v>0</v>
      </c>
      <c r="E6" s="51" t="str">
        <f>IF(E4="－","","工事の始期は契約日の翌日から任意の余裕期間を足したものとすること")</f>
        <v/>
      </c>
      <c r="F6" s="51"/>
      <c r="G6">
        <v>3</v>
      </c>
      <c r="H6" s="23" t="str">
        <f t="shared" si="0"/>
        <v/>
      </c>
      <c r="I6" s="15" t="str">
        <f t="shared" si="1"/>
        <v/>
      </c>
      <c r="J6" s="82" t="str">
        <f t="shared" si="2"/>
        <v/>
      </c>
    </row>
    <row r="7" spans="1:10">
      <c r="D7">
        <v>0</v>
      </c>
      <c r="E7" s="51" t="str">
        <f>IF(E4="－","","工事の始期から工事の終期は実工事期間とすること")</f>
        <v/>
      </c>
      <c r="F7" s="51"/>
      <c r="G7">
        <v>4</v>
      </c>
      <c r="H7" s="23" t="str">
        <f t="shared" si="0"/>
        <v/>
      </c>
      <c r="I7" s="15" t="str">
        <f t="shared" si="1"/>
        <v/>
      </c>
      <c r="J7" s="82" t="str">
        <f t="shared" si="2"/>
        <v/>
      </c>
    </row>
    <row r="8" spans="1:10">
      <c r="D8">
        <v>0</v>
      </c>
      <c r="G8">
        <v>5</v>
      </c>
      <c r="H8" s="23" t="str">
        <f t="shared" si="0"/>
        <v/>
      </c>
      <c r="I8" s="15" t="str">
        <f t="shared" si="1"/>
        <v/>
      </c>
      <c r="J8" s="82" t="str">
        <f t="shared" si="2"/>
        <v/>
      </c>
    </row>
    <row r="9" spans="1:10" ht="13.5" customHeight="1">
      <c r="A9" t="s">
        <v>164</v>
      </c>
      <c r="B9" s="21" t="str">
        <f>受注者情報!D3&amp;""</f>
        <v/>
      </c>
      <c r="D9">
        <f>IF($E9="－",0,MAX($D$2:$D8)+1)</f>
        <v>0</v>
      </c>
      <c r="E9" s="50" t="str">
        <f>IFERROR(VLOOKUP(B9,【随時メンテ】部分払い回数等!A8:B9,2,FALSE),"－")</f>
        <v>－</v>
      </c>
      <c r="F9" s="50" t="s">
        <v>354</v>
      </c>
      <c r="G9">
        <v>6</v>
      </c>
      <c r="H9" s="23" t="str">
        <f t="shared" si="0"/>
        <v/>
      </c>
      <c r="I9" s="15" t="str">
        <f t="shared" si="1"/>
        <v/>
      </c>
      <c r="J9" s="82" t="str">
        <f t="shared" si="2"/>
        <v/>
      </c>
    </row>
    <row r="10" spans="1:10">
      <c r="B10" s="39" t="s">
        <v>351</v>
      </c>
      <c r="D10">
        <v>0</v>
      </c>
      <c r="E10" s="68" t="str">
        <f>"※収入印紙税額："&amp;TEXT(VLOOKUP(【随時メンテ】部分払い回数等!L26,【随時メンテ】部分払い回数等!M15:N24,2,FALSE),"#,##0")&amp;" 円を貼付のうえ押印"</f>
        <v>※収入印紙税額：480,000 円を貼付のうえ押印</v>
      </c>
      <c r="F10" s="68"/>
      <c r="G10">
        <v>7</v>
      </c>
      <c r="H10" s="23" t="str">
        <f t="shared" si="0"/>
        <v/>
      </c>
      <c r="I10" s="15" t="str">
        <f t="shared" si="1"/>
        <v/>
      </c>
      <c r="J10" s="82" t="str">
        <f t="shared" si="2"/>
        <v/>
      </c>
    </row>
    <row r="11" spans="1:10">
      <c r="A11" s="34"/>
      <c r="B11" s="10"/>
      <c r="C11" s="38"/>
      <c r="D11">
        <v>0</v>
      </c>
      <c r="E11" s="51" t="str">
        <f>"１　工 事 名　　"&amp;入札結果!G$12</f>
        <v>１　工 事 名　　</v>
      </c>
      <c r="F11" s="51"/>
      <c r="G11">
        <v>8</v>
      </c>
      <c r="H11" s="23" t="str">
        <f t="shared" si="0"/>
        <v/>
      </c>
      <c r="I11" s="15" t="str">
        <f t="shared" si="1"/>
        <v/>
      </c>
      <c r="J11" s="82" t="str">
        <f t="shared" si="2"/>
        <v/>
      </c>
    </row>
    <row r="12" spans="1:10">
      <c r="A12" s="34"/>
      <c r="B12" s="10"/>
      <c r="C12" s="38"/>
      <c r="D12">
        <v>0</v>
      </c>
      <c r="E12" s="51" t="str">
        <f>"２　工事場所　　"&amp;入札結果!G$13</f>
        <v>２　工事場所　　</v>
      </c>
      <c r="F12" s="51"/>
      <c r="G12">
        <v>9</v>
      </c>
      <c r="H12" s="23" t="str">
        <f t="shared" ref="H12:H17" si="3">IF(I12="","","□")</f>
        <v/>
      </c>
      <c r="I12" s="15" t="str">
        <f t="shared" si="1"/>
        <v/>
      </c>
      <c r="J12" s="82" t="str">
        <f t="shared" si="2"/>
        <v/>
      </c>
    </row>
    <row r="13" spans="1:10">
      <c r="A13" s="34"/>
      <c r="B13" s="10"/>
      <c r="C13" s="38"/>
      <c r="D13">
        <v>0</v>
      </c>
      <c r="E13" s="51" t="e">
        <f>"３　工　　期　　自　　"&amp;DBCS(TEXT(契約日ほか!K22,"ggg_0e年_0m月_0d日"))</f>
        <v>#VALUE!</v>
      </c>
      <c r="F13" s="51"/>
      <c r="G13">
        <v>10</v>
      </c>
      <c r="H13" s="23" t="str">
        <f t="shared" si="3"/>
        <v/>
      </c>
      <c r="I13" s="15" t="str">
        <f t="shared" si="1"/>
        <v/>
      </c>
      <c r="J13" s="82" t="str">
        <f t="shared" si="2"/>
        <v/>
      </c>
    </row>
    <row r="14" spans="1:10">
      <c r="A14" s="34"/>
      <c r="B14" s="10"/>
      <c r="C14" s="38"/>
      <c r="D14">
        <v>0</v>
      </c>
      <c r="E14" s="51" t="e">
        <f>"　　　　　　　　至　　"&amp;DBCS(TEXT(契約日ほか!K23,"ggg_0e年_0m月_0d日"))</f>
        <v>#VALUE!</v>
      </c>
      <c r="F14" s="51"/>
      <c r="G14">
        <v>11</v>
      </c>
      <c r="H14" s="23" t="str">
        <f t="shared" si="3"/>
        <v/>
      </c>
      <c r="I14" s="15" t="str">
        <f t="shared" si="1"/>
        <v/>
      </c>
      <c r="J14" s="82" t="str">
        <f t="shared" si="2"/>
        <v/>
      </c>
    </row>
    <row r="15" spans="1:10">
      <c r="A15" s="642" t="s">
        <v>218</v>
      </c>
      <c r="B15" s="642"/>
      <c r="C15" s="19" t="str">
        <f>IF(AND(C16="",C17=""),"",IF(OR(C16="あり",C17="あり"),"あり","なし"))</f>
        <v/>
      </c>
      <c r="D15">
        <v>0</v>
      </c>
      <c r="E15" s="51" t="e">
        <f>"４　"&amp;VLOOKUP(C15,【随時メンテ】部分払い回数等!A41:B42,2,FALSE)</f>
        <v>#N/A</v>
      </c>
      <c r="F15" s="51"/>
      <c r="G15">
        <v>12</v>
      </c>
      <c r="H15" s="23" t="str">
        <f t="shared" si="3"/>
        <v/>
      </c>
      <c r="I15" s="15" t="str">
        <f t="shared" si="1"/>
        <v/>
      </c>
      <c r="J15" s="82" t="str">
        <f t="shared" si="2"/>
        <v/>
      </c>
    </row>
    <row r="16" spans="1:10" ht="13.5" customHeight="1">
      <c r="A16" s="643" t="s">
        <v>162</v>
      </c>
      <c r="B16" s="643"/>
      <c r="C16" s="38" t="str">
        <f>閲覧図書!C11&amp;""</f>
        <v/>
      </c>
      <c r="D16">
        <v>0</v>
      </c>
      <c r="G16">
        <v>13</v>
      </c>
      <c r="H16" s="23" t="str">
        <f t="shared" si="3"/>
        <v/>
      </c>
      <c r="I16" s="15" t="str">
        <f t="shared" si="1"/>
        <v/>
      </c>
      <c r="J16" s="82" t="str">
        <f t="shared" si="2"/>
        <v/>
      </c>
    </row>
    <row r="17" spans="1:10">
      <c r="A17" s="643" t="s">
        <v>161</v>
      </c>
      <c r="B17" s="643"/>
      <c r="C17" s="38" t="str">
        <f>閲覧図書!C22&amp;""</f>
        <v/>
      </c>
      <c r="D17">
        <v>0</v>
      </c>
      <c r="G17">
        <v>14</v>
      </c>
      <c r="H17" s="23" t="str">
        <f t="shared" si="3"/>
        <v/>
      </c>
      <c r="I17" s="15" t="str">
        <f t="shared" si="1"/>
        <v/>
      </c>
      <c r="J17" s="82" t="str">
        <f t="shared" si="2"/>
        <v/>
      </c>
    </row>
    <row r="18" spans="1:10">
      <c r="A18" s="34"/>
      <c r="B18" s="10"/>
      <c r="C18" s="38"/>
      <c r="D18">
        <v>0</v>
      </c>
      <c r="G18">
        <v>15</v>
      </c>
      <c r="H18" s="23" t="str">
        <f t="shared" ref="H18:H23" si="4">IF(I18="","","□")</f>
        <v/>
      </c>
      <c r="I18" s="15" t="str">
        <f t="shared" si="1"/>
        <v/>
      </c>
      <c r="J18" s="82" t="str">
        <f t="shared" si="2"/>
        <v/>
      </c>
    </row>
    <row r="19" spans="1:10">
      <c r="A19" t="s">
        <v>83</v>
      </c>
      <c r="B19" s="28" t="str">
        <f>入札結果!G16</f>
        <v/>
      </c>
      <c r="C19" s="18">
        <f>IF(B19="",3,IF($B19&gt;=【随時メンテ】配置技術者!D$3*10000,1,IF($B19&gt;=【随時メンテ】配置技術者!G$5*10000,2,3)))</f>
        <v>3</v>
      </c>
      <c r="D19">
        <v>0</v>
      </c>
      <c r="E19" s="51" t="str">
        <f>"５　請負代金額：￥"&amp;DBCS(TEXT(B19,"#,##0円－"))</f>
        <v>５　請負代金額：￥</v>
      </c>
      <c r="F19" s="51"/>
      <c r="G19">
        <v>16</v>
      </c>
      <c r="H19" s="23" t="str">
        <f t="shared" si="4"/>
        <v/>
      </c>
      <c r="I19" s="15" t="str">
        <f t="shared" si="1"/>
        <v/>
      </c>
      <c r="J19" s="82" t="str">
        <f t="shared" si="2"/>
        <v/>
      </c>
    </row>
    <row r="20" spans="1:10">
      <c r="B20" s="39" t="s">
        <v>219</v>
      </c>
      <c r="D20">
        <v>0</v>
      </c>
      <c r="E20" s="52" t="e">
        <f>"消費税額：￥"&amp;DBCS(TEXT(B19/11,"#,##0円－"))</f>
        <v>#VALUE!</v>
      </c>
      <c r="F20" s="52"/>
      <c r="G20">
        <v>17</v>
      </c>
      <c r="H20" s="23" t="str">
        <f t="shared" si="4"/>
        <v/>
      </c>
      <c r="I20" s="15" t="str">
        <f t="shared" si="1"/>
        <v/>
      </c>
      <c r="J20" s="82" t="str">
        <f t="shared" si="2"/>
        <v/>
      </c>
    </row>
    <row r="21" spans="1:10">
      <c r="A21" t="s">
        <v>85</v>
      </c>
      <c r="B21" s="21" t="str">
        <f>契約日ほか!S20&amp;""</f>
        <v/>
      </c>
      <c r="C21" s="18" t="str">
        <f>IFERROR(VLOOKUP($B$21,【随時メンテ】部分払い回数等!$A$21:$D$26,4,FALSE),"")</f>
        <v/>
      </c>
      <c r="D21">
        <v>0</v>
      </c>
      <c r="E21" s="51" t="str">
        <f>"６　契約保証金："&amp;IF(B21="","空欄",DBCS(TEXT(VLOOKUP(B21,【随時メンテ】部分払い回数等!A21:C26,3,FALSE),"￥ #,##0 円")))</f>
        <v>６　契約保証金：空欄</v>
      </c>
      <c r="F21" s="51"/>
      <c r="G21">
        <v>18</v>
      </c>
      <c r="H21" s="23" t="str">
        <f t="shared" si="4"/>
        <v/>
      </c>
      <c r="I21" s="15" t="str">
        <f t="shared" si="1"/>
        <v/>
      </c>
      <c r="J21" s="82" t="str">
        <f t="shared" si="2"/>
        <v/>
      </c>
    </row>
    <row r="22" spans="1:10">
      <c r="A22" s="14" t="str">
        <f>IF(C21&gt;3,"",VLOOKUP($B$21,【随時メンテ】部分払い回数等!$A$21:$D$26,2,FALSE))</f>
        <v/>
      </c>
      <c r="B22" s="28" t="str">
        <f>IF(C21&lt;4,ROUNDUP(B19/10,-LEN(B23)+1),"")</f>
        <v/>
      </c>
      <c r="D22">
        <v>0</v>
      </c>
      <c r="G22">
        <v>19</v>
      </c>
      <c r="H22" s="23" t="str">
        <f t="shared" si="4"/>
        <v/>
      </c>
      <c r="I22" s="15" t="str">
        <f t="shared" si="1"/>
        <v/>
      </c>
      <c r="J22" s="82" t="str">
        <f t="shared" si="2"/>
        <v/>
      </c>
    </row>
    <row r="23" spans="1:10">
      <c r="A23" s="14" t="s">
        <v>233</v>
      </c>
      <c r="B23" s="80"/>
      <c r="D23">
        <v>0</v>
      </c>
      <c r="G23">
        <v>20</v>
      </c>
      <c r="H23" s="23" t="str">
        <f t="shared" si="4"/>
        <v/>
      </c>
      <c r="I23" s="15" t="str">
        <f t="shared" si="1"/>
        <v/>
      </c>
      <c r="J23" s="82" t="str">
        <f t="shared" si="2"/>
        <v/>
      </c>
    </row>
    <row r="24" spans="1:10">
      <c r="A24" s="642" t="s">
        <v>394</v>
      </c>
      <c r="B24" s="642"/>
      <c r="C24" s="19" t="str">
        <f>IF(AND(C25="",C26=""),"",IF(OR(C25="あり",C26="あり"),"あり","なし"))</f>
        <v/>
      </c>
      <c r="D24">
        <v>0</v>
      </c>
      <c r="E24" s="51" t="e">
        <f>"７　"&amp;VLOOKUP(C24,【随時メンテ】部分払い回数等!A45:B46,2,FALSE)</f>
        <v>#N/A</v>
      </c>
      <c r="F24" s="37"/>
    </row>
    <row r="25" spans="1:10">
      <c r="A25" s="643" t="s">
        <v>395</v>
      </c>
      <c r="B25" s="643"/>
      <c r="C25" s="38" t="str">
        <f>閲覧図書!C18&amp;""</f>
        <v/>
      </c>
      <c r="D25">
        <v>0</v>
      </c>
      <c r="F25" s="51"/>
    </row>
    <row r="26" spans="1:10">
      <c r="A26" s="643" t="s">
        <v>396</v>
      </c>
      <c r="B26" s="643"/>
      <c r="C26" s="38" t="str">
        <f>閲覧図書!C23&amp;""</f>
        <v/>
      </c>
      <c r="D26">
        <v>0</v>
      </c>
      <c r="F26" s="51"/>
    </row>
    <row r="27" spans="1:10">
      <c r="A27" s="34"/>
      <c r="B27" s="34"/>
      <c r="C27" s="38"/>
      <c r="D27">
        <v>0</v>
      </c>
      <c r="F27" s="51"/>
    </row>
    <row r="28" spans="1:10">
      <c r="D28">
        <v>0</v>
      </c>
      <c r="E28" s="37" t="str">
        <f>"（契約日）"&amp;DBCS(TEXT(契約日ほか!K20,"ggg_0e年_0m月_0d日"))</f>
        <v>（契約日）</v>
      </c>
      <c r="F28" s="51"/>
    </row>
    <row r="29" spans="1:10">
      <c r="D29">
        <v>0</v>
      </c>
      <c r="E29" s="51" t="str">
        <f>"発注者　　"&amp;入札結果!G$8</f>
        <v>発注者　　</v>
      </c>
      <c r="F29" s="51"/>
    </row>
    <row r="30" spans="1:10">
      <c r="D30">
        <v>0</v>
      </c>
      <c r="E30" s="51" t="str">
        <f ca="1">"受注者　　住　　　　所　　"&amp;受注者情報!K$8</f>
        <v>受注者　　住　　　　所　　</v>
      </c>
    </row>
    <row r="31" spans="1:10">
      <c r="D31">
        <v>0</v>
      </c>
      <c r="E31" s="51" t="str">
        <f ca="1">""&amp;受注者情報!F$9</f>
        <v/>
      </c>
      <c r="F31" s="50" t="s">
        <v>355</v>
      </c>
    </row>
    <row r="32" spans="1:10">
      <c r="D32">
        <v>0</v>
      </c>
      <c r="E32" s="51" t="str">
        <f ca="1">"　　　　　商号又は名称　　"&amp;受注者情報!F$10</f>
        <v>　　　　　商号又は名称　　</v>
      </c>
      <c r="F32" s="51"/>
    </row>
    <row r="33" spans="1:6">
      <c r="D33">
        <v>0</v>
      </c>
      <c r="E33" s="51" t="str">
        <f ca="1">"　　　　　代表者 氏 名　　"&amp;受注者情報!K$12&amp;受注者情報!K$13</f>
        <v>　　　　　代表者 氏 名　　　　</v>
      </c>
      <c r="F33" s="56"/>
    </row>
    <row r="34" spans="1:6">
      <c r="D34">
        <v>0</v>
      </c>
      <c r="F34" s="57"/>
    </row>
    <row r="35" spans="1:6">
      <c r="A35" t="s">
        <v>159</v>
      </c>
      <c r="B35" s="21">
        <f>閲覧図書!C6</f>
        <v>0</v>
      </c>
      <c r="D35">
        <f>IF($E35="－",0,MAX($D$2:$D23)+1)</f>
        <v>0</v>
      </c>
      <c r="E35" s="50" t="str">
        <f>IFERROR(VLOOKUP(B35,【随時メンテ】部分払い回数等!A12:B13,2,FALSE),"－")</f>
        <v>－</v>
      </c>
      <c r="F35" s="57"/>
    </row>
    <row r="36" spans="1:6">
      <c r="B36" s="39" t="s">
        <v>217</v>
      </c>
      <c r="D36">
        <v>0</v>
      </c>
      <c r="E36" s="51" t="str">
        <f>"※約款第１０条が記述されているページの上に捨印を押して　第10条　"&amp;VLOOKUP(VLOOKUP(C38,【随時メンテ】配置技術者!L3:N16,3,FALSE),【随時メンテ】配置技術者!P3:T6,5,FALSE)&amp;"　と記入"</f>
        <v>※約款第１０条が記述されているページの上に捨印を押して　第10条　44字抹消　と記入</v>
      </c>
      <c r="F36" s="57"/>
    </row>
    <row r="37" spans="1:6">
      <c r="D37">
        <v>0</v>
      </c>
      <c r="E37" s="56" t="s">
        <v>270</v>
      </c>
    </row>
    <row r="38" spans="1:6">
      <c r="B38" s="21" t="str">
        <f>VLOOKUP(C38,【随時メンテ】配置技術者!L3:N16,3,FALSE)</f>
        <v>主任技術者</v>
      </c>
      <c r="C38" s="18">
        <f>C78*100+C19*10+C72</f>
        <v>233</v>
      </c>
      <c r="D38">
        <v>0</v>
      </c>
      <c r="E38" s="57" t="str">
        <f>"主任技術者："&amp;VLOOKUP(B$38,【随時メンテ】配置技術者!$P$3:$S$6,2,FALSE)</f>
        <v>主任技術者：［　　　　　　　　　　　　　　　　　　　　］主任技術者</v>
      </c>
      <c r="F38" s="56"/>
    </row>
    <row r="39" spans="1:6">
      <c r="D39">
        <v>0</v>
      </c>
      <c r="E39" s="57" t="str">
        <f>"管理技術者："&amp;VLOOKUP(B$38,【随時メンテ】配置技術者!$P$3:$S$6,3,FALSE)</f>
        <v>管理技術者： 削除</v>
      </c>
      <c r="F39" s="59"/>
    </row>
    <row r="40" spans="1:6">
      <c r="D40">
        <v>0</v>
      </c>
      <c r="E40" s="57" t="str">
        <f>"管理技術者補佐："&amp;VLOOKUP(B$38,【随時メンテ】配置技術者!$P$3:$S$6,4,FALSE)</f>
        <v>管理技術者補佐： 削除</v>
      </c>
    </row>
    <row r="41" spans="1:6">
      <c r="D41">
        <v>0</v>
      </c>
      <c r="F41" s="55"/>
    </row>
    <row r="42" spans="1:6">
      <c r="D42">
        <v>0</v>
      </c>
      <c r="E42" s="56" t="s">
        <v>269</v>
      </c>
      <c r="F42" s="53"/>
    </row>
    <row r="43" spans="1:6">
      <c r="D43">
        <v>0</v>
      </c>
      <c r="E43" s="59" t="str">
        <f>DBCS(VLOOKUP(【随時メンテ】部分払い回数等!L10,【随時メンテ】部分払い回数等!M3:N8,2,FALSE))</f>
        <v/>
      </c>
      <c r="F43" s="53"/>
    </row>
    <row r="44" spans="1:6">
      <c r="D44">
        <v>0</v>
      </c>
      <c r="F44" s="53"/>
    </row>
    <row r="45" spans="1:6">
      <c r="D45">
        <v>0</v>
      </c>
      <c r="E45" s="55" t="s">
        <v>268</v>
      </c>
      <c r="F45" s="53"/>
    </row>
    <row r="46" spans="1:6">
      <c r="D46">
        <v>0</v>
      </c>
      <c r="E46" s="53" t="str">
        <f>"工 事 名　"&amp;入札結果!G$12</f>
        <v>工 事 名　</v>
      </c>
      <c r="F46" s="53"/>
    </row>
    <row r="47" spans="1:6">
      <c r="D47">
        <v>0</v>
      </c>
      <c r="E47" s="53" t="str">
        <f>"工事場所　"&amp;入札結果!G$13</f>
        <v>工事場所　</v>
      </c>
      <c r="F47" s="53"/>
    </row>
    <row r="48" spans="1:6">
      <c r="D48">
        <v>0</v>
      </c>
      <c r="E48" s="53" t="str">
        <f>"（締結日）"&amp;DBCS(TEXT(契約日ほか!K20,"ggg_0e年_0m月_0d日"))</f>
        <v>（締結日）</v>
      </c>
      <c r="F48" s="53"/>
    </row>
    <row r="49" spans="1:6">
      <c r="D49">
        <v>0</v>
      </c>
      <c r="E49" s="53" t="str">
        <f>"発注者　　"&amp;入札結果!G$8</f>
        <v>発注者　　</v>
      </c>
      <c r="F49" s="53"/>
    </row>
    <row r="50" spans="1:6">
      <c r="D50">
        <v>0</v>
      </c>
      <c r="E50" s="53" t="str">
        <f ca="1">"受注者　　住所　　"&amp;受注者情報!K$8</f>
        <v>受注者　　住所　　</v>
      </c>
    </row>
    <row r="51" spans="1:6">
      <c r="D51">
        <v>0</v>
      </c>
      <c r="E51" s="53" t="str">
        <f ca="1">""&amp;受注者情報!F$9</f>
        <v/>
      </c>
    </row>
    <row r="52" spans="1:6">
      <c r="D52">
        <v>0</v>
      </c>
      <c r="E52" s="53" t="str">
        <f ca="1">"　　　　　商号又は名称　　"&amp;受注者情報!F$10</f>
        <v>　　　　　商号又は名称　　</v>
      </c>
    </row>
    <row r="53" spans="1:6">
      <c r="D53">
        <v>0</v>
      </c>
      <c r="E53" s="53" t="str">
        <f ca="1">"　　　　　代表者 氏 名　　"&amp;受注者情報!K$12&amp;受注者情報!K$13</f>
        <v>　　　　　代表者 氏 名　　　　</v>
      </c>
      <c r="F53" s="50" t="s">
        <v>362</v>
      </c>
    </row>
    <row r="54" spans="1:6">
      <c r="D54">
        <v>0</v>
      </c>
    </row>
    <row r="55" spans="1:6">
      <c r="A55" t="s">
        <v>158</v>
      </c>
      <c r="B55" s="21">
        <f>入札結果!C23</f>
        <v>0</v>
      </c>
      <c r="D55" t="e">
        <f>IF($E55="－",0,MAX($D$2:$D41)+1)</f>
        <v>#N/A</v>
      </c>
      <c r="E55" s="50" t="e">
        <f>VLOOKUP(B55,【随時メンテ】部分払い回数等!A29:B30,2,FALSE)</f>
        <v>#N/A</v>
      </c>
    </row>
    <row r="56" spans="1:6">
      <c r="B56" s="39" t="s">
        <v>219</v>
      </c>
      <c r="D56">
        <v>0</v>
      </c>
    </row>
    <row r="57" spans="1:6">
      <c r="A57" t="s">
        <v>157</v>
      </c>
      <c r="B57" s="18">
        <f>法第13条書面!E2</f>
        <v>0</v>
      </c>
      <c r="C57" s="21" t="e">
        <f>VLOOKUP(B57,【随時メンテ】建リ法13条判定!A6:B8,2,FALSE)</f>
        <v>#N/A</v>
      </c>
      <c r="D57" t="e">
        <f>IF($E57="－",0,MAX($D$2:$D56)+1)</f>
        <v>#N/A</v>
      </c>
      <c r="E57" s="54" t="e">
        <f>VLOOKUP(C57,【随時メンテ】部分払い回数等!A16:C18,3,FALSE)</f>
        <v>#N/A</v>
      </c>
    </row>
    <row r="58" spans="1:6">
      <c r="D58">
        <v>0</v>
      </c>
      <c r="E58" s="51" t="s">
        <v>356</v>
      </c>
      <c r="F58" s="60" t="s">
        <v>361</v>
      </c>
    </row>
    <row r="59" spans="1:6">
      <c r="D59">
        <v>0</v>
      </c>
      <c r="E59" s="51" t="s">
        <v>357</v>
      </c>
    </row>
    <row r="60" spans="1:6">
      <c r="D60">
        <v>0</v>
      </c>
      <c r="E60" s="51" t="s">
        <v>358</v>
      </c>
      <c r="F60" s="50" t="s">
        <v>359</v>
      </c>
    </row>
    <row r="61" spans="1:6">
      <c r="D61">
        <v>0</v>
      </c>
      <c r="F61" s="51"/>
    </row>
    <row r="62" spans="1:6">
      <c r="D62" t="e">
        <f>IF($E62="－",0,MAX($D$2:$D58)+1)</f>
        <v>#N/A</v>
      </c>
      <c r="E62" s="50" t="s">
        <v>329</v>
      </c>
    </row>
    <row r="63" spans="1:6">
      <c r="D63">
        <v>0</v>
      </c>
    </row>
    <row r="64" spans="1:6">
      <c r="D64" t="e">
        <f>IF($E64="－",0,MAX($D$2:$D63)+1)</f>
        <v>#N/A</v>
      </c>
      <c r="E64" s="50" t="s">
        <v>156</v>
      </c>
      <c r="F64" s="50" t="s">
        <v>360</v>
      </c>
    </row>
    <row r="65" spans="1:6">
      <c r="D65">
        <v>0</v>
      </c>
      <c r="E65" s="51" t="str">
        <f ca="1">"課税期間："&amp;受注者情報!Z12</f>
        <v>課税期間：令和８年　月　１日から</v>
      </c>
      <c r="F65" s="60" t="s">
        <v>361</v>
      </c>
    </row>
    <row r="66" spans="1:6">
      <c r="D66">
        <v>0</v>
      </c>
      <c r="E66" s="52" t="str">
        <f>受注者情報!Z13</f>
        <v>年月日まで</v>
      </c>
      <c r="F66" s="51"/>
    </row>
    <row r="67" spans="1:6">
      <c r="D67">
        <v>0</v>
      </c>
      <c r="E67" s="37"/>
    </row>
    <row r="68" spans="1:6">
      <c r="D68" t="e">
        <f>IF($E68="－",0,MAX($D$2:$D66)+1)</f>
        <v>#N/A</v>
      </c>
      <c r="E68" s="50" t="s">
        <v>155</v>
      </c>
      <c r="F68" s="50" t="s">
        <v>362</v>
      </c>
    </row>
    <row r="69" spans="1:6">
      <c r="D69" t="e">
        <f>IF($E69="－",0,MAX($D$2:$D68)+1)</f>
        <v>#N/A</v>
      </c>
      <c r="E69" s="60" t="s">
        <v>278</v>
      </c>
    </row>
    <row r="70" spans="1:6">
      <c r="D70">
        <v>0</v>
      </c>
      <c r="E70" s="51" t="s">
        <v>277</v>
      </c>
      <c r="F70" s="51"/>
    </row>
    <row r="71" spans="1:6">
      <c r="C71" s="19" t="str">
        <f>IF(B19&gt;=35000000,"該当","－")</f>
        <v>該当</v>
      </c>
      <c r="D71">
        <v>0</v>
      </c>
      <c r="F71" s="53"/>
    </row>
    <row r="72" spans="1:6">
      <c r="A72" t="str">
        <f>IF(C71="－","","下請発注総額")</f>
        <v>下請発注総額</v>
      </c>
      <c r="C72" s="18">
        <f>IF(契約日ほか!$T22&gt;=【随時メンテ】配置技術者!D$12*10000,1,IF(契約日ほか!$T22&lt;【随時メンテ】配置技術者!G$14*10000,3,2))</f>
        <v>3</v>
      </c>
      <c r="D72" t="e">
        <f>IF($E72="－",0,MAX($D$2:$D71)+1)</f>
        <v>#N/A</v>
      </c>
      <c r="E72" s="50" t="str">
        <f>IF(C71="該当","９－１　下請計画書","－")</f>
        <v>９－１　下請計画書</v>
      </c>
      <c r="F72" s="53"/>
    </row>
    <row r="73" spans="1:6">
      <c r="A73" s="14" t="s">
        <v>340</v>
      </c>
      <c r="B73" s="78" t="str">
        <f>B19</f>
        <v/>
      </c>
      <c r="D73">
        <v>0</v>
      </c>
    </row>
    <row r="74" spans="1:6">
      <c r="A74" s="14" t="s">
        <v>341</v>
      </c>
      <c r="B74" s="79" t="str">
        <f>B38</f>
        <v>主任技術者</v>
      </c>
      <c r="D74">
        <v>0</v>
      </c>
      <c r="E74" s="51" t="s">
        <v>346</v>
      </c>
      <c r="F74" s="50" t="s">
        <v>362</v>
      </c>
    </row>
    <row r="75" spans="1:6">
      <c r="D75">
        <v>0</v>
      </c>
      <c r="E75" s="53" t="s">
        <v>345</v>
      </c>
      <c r="F75" s="51"/>
    </row>
    <row r="76" spans="1:6">
      <c r="D76">
        <v>0</v>
      </c>
      <c r="E76" s="53" t="s">
        <v>344</v>
      </c>
    </row>
    <row r="77" spans="1:6">
      <c r="D77">
        <v>0</v>
      </c>
      <c r="F77" s="50" t="s">
        <v>362</v>
      </c>
    </row>
    <row r="78" spans="1:6">
      <c r="A78" t="s">
        <v>1</v>
      </c>
      <c r="B78" s="21">
        <f>請負代金内訳書!F2</f>
        <v>0</v>
      </c>
      <c r="C78" s="18">
        <f>IF(B78="建築",1,2)</f>
        <v>2</v>
      </c>
      <c r="D78" t="e">
        <f>IF($E78="－",0,MAX($D$2:$D72)+1)</f>
        <v>#N/A</v>
      </c>
      <c r="E78" s="50" t="e">
        <f>IF(B78="","－",VLOOKUP(B78,【随時メンテ】部分払い回数等!A33:B34,2,FALSE))</f>
        <v>#N/A</v>
      </c>
      <c r="F78" s="51"/>
    </row>
    <row r="79" spans="1:6">
      <c r="D79">
        <v>0</v>
      </c>
      <c r="E79" s="51" t="s">
        <v>400</v>
      </c>
    </row>
    <row r="80" spans="1:6">
      <c r="D80">
        <v>0</v>
      </c>
      <c r="F80" s="50" t="s">
        <v>362</v>
      </c>
    </row>
    <row r="81" spans="1:6">
      <c r="D81" t="e">
        <f>IF($E81="－",0,MAX($D$2:$D80)+1)</f>
        <v>#N/A</v>
      </c>
      <c r="E81" s="50" t="s">
        <v>239</v>
      </c>
      <c r="F81" s="51"/>
    </row>
    <row r="82" spans="1:6">
      <c r="D82">
        <v>0</v>
      </c>
      <c r="E82" s="51" t="str">
        <f>IF(閲覧図書!C12=【随時メンテ】部分払い回数等!A4,"工種の欄の一番上に余裕期間を入れてください","")</f>
        <v/>
      </c>
    </row>
    <row r="83" spans="1:6">
      <c r="D83">
        <v>0</v>
      </c>
      <c r="F83" s="50" t="s">
        <v>169</v>
      </c>
    </row>
    <row r="84" spans="1:6">
      <c r="A84" t="s">
        <v>279</v>
      </c>
      <c r="B84" s="22" t="s">
        <v>152</v>
      </c>
      <c r="D84" t="e">
        <f>IF($E84="－",0,MAX($D$2:$D83)+1)</f>
        <v>#N/A</v>
      </c>
      <c r="E84" s="50" t="str">
        <f>IF(B84="","－",VLOOKUP(B84,【随時メンテ】部分払い回数等!A49:B50,2,FALSE))</f>
        <v>１２　建退共証紙購入（当初・変更）申告書</v>
      </c>
    </row>
    <row r="85" spans="1:6">
      <c r="D85">
        <v>0</v>
      </c>
      <c r="E85" s="51" t="str">
        <f>IF(B84="あり","当初を○で囲むこと","")</f>
        <v>当初を○で囲むこと</v>
      </c>
      <c r="F85" s="50" t="s">
        <v>363</v>
      </c>
    </row>
    <row r="86" spans="1:6">
      <c r="D86">
        <v>0</v>
      </c>
      <c r="F86" s="51"/>
    </row>
    <row r="87" spans="1:6">
      <c r="D87" t="e">
        <f>IF($E87="－",0,MAX($D$2:$D86)+1)</f>
        <v>#N/A</v>
      </c>
      <c r="E87" s="50" t="str">
        <f>IF(B84=【随時メンテ】部分払い回数等!A49,"　掛金収納書","－")</f>
        <v>　掛金収納書</v>
      </c>
      <c r="F87" s="51"/>
    </row>
    <row r="88" spans="1:6">
      <c r="D88">
        <v>0</v>
      </c>
      <c r="F88" s="51"/>
    </row>
    <row r="89" spans="1:6">
      <c r="A89" t="s">
        <v>153</v>
      </c>
      <c r="B89" s="21">
        <f>契約日ほか!S26</f>
        <v>0</v>
      </c>
      <c r="D89" t="e">
        <f>IF($E89="－",0,MAX($D$2:$D86)+1)</f>
        <v>#N/A</v>
      </c>
      <c r="E89" s="50" t="e">
        <f>IF(B89="","－",VLOOKUP(B89,【随時メンテ】部分払い回数等!A37:B38,2,FALSE))</f>
        <v>#N/A</v>
      </c>
      <c r="F89" s="51"/>
    </row>
    <row r="90" spans="1:6">
      <c r="B90" s="83" t="e">
        <f>IF(E$89="－","","請求書（　　　　　）")</f>
        <v>#N/A</v>
      </c>
      <c r="D90">
        <v>0</v>
      </c>
      <c r="E90" s="51" t="e">
        <f>IF(E$89="－","","前払金")</f>
        <v>#N/A</v>
      </c>
      <c r="F90" s="51"/>
    </row>
    <row r="91" spans="1:6">
      <c r="B91" s="83" t="e">
        <f>IF(E$89="－","","請求者　")</f>
        <v>#N/A</v>
      </c>
      <c r="D91">
        <v>0</v>
      </c>
      <c r="E91" s="53" t="e">
        <f>IF(E$89="－","",受注者情報!K8&amp;"　"&amp;受注者情報!K9)</f>
        <v>#N/A</v>
      </c>
      <c r="F91" s="51"/>
    </row>
    <row r="92" spans="1:6">
      <c r="D92">
        <v>0</v>
      </c>
      <c r="E92" s="53" t="e">
        <f>IF(E$89="－","",受注者情報!K10&amp;"　"&amp;受注者情報!K11)</f>
        <v>#N/A</v>
      </c>
      <c r="F92" s="51"/>
    </row>
    <row r="93" spans="1:6">
      <c r="D93">
        <v>0</v>
      </c>
      <c r="E93" s="53" t="e">
        <f>IF(E$89="－","",受注者情報!K12&amp;受注者情報!K13)</f>
        <v>#N/A</v>
      </c>
      <c r="F93" s="51"/>
    </row>
    <row r="94" spans="1:6">
      <c r="B94" s="83" t="e">
        <f>IF(E$89="－","","請求金額（上限)　")</f>
        <v>#N/A</v>
      </c>
      <c r="D94">
        <v>0</v>
      </c>
      <c r="E94" s="51" t="e">
        <f>IF(E$89="－","",DBCS(TEXT(IF(支払限度額!F9="",入札結果!G16*0.4,支払限度額!F9*0.4),"#,##0"))&amp;" 円")</f>
        <v>#N/A</v>
      </c>
      <c r="F94" s="51"/>
    </row>
    <row r="95" spans="1:6">
      <c r="B95" s="83" t="e">
        <f>IF(E$89="－","","工事名：")</f>
        <v>#N/A</v>
      </c>
      <c r="D95">
        <v>0</v>
      </c>
      <c r="E95" s="51" t="e">
        <f>IF(E$89="－","",入札結果!G12)</f>
        <v>#N/A</v>
      </c>
      <c r="F95" s="51"/>
    </row>
    <row r="96" spans="1:6">
      <c r="B96" s="83" t="e">
        <f>IF(E$89="－","","契約日　")</f>
        <v>#N/A</v>
      </c>
      <c r="D96">
        <v>0</v>
      </c>
      <c r="E96" s="51" t="e">
        <f>IF(E$89="－","",DBCS(TEXT(契約日ほか!K20,"ggg_0e年_0m月_0d日")))</f>
        <v>#N/A</v>
      </c>
      <c r="F96" s="51"/>
    </row>
    <row r="97" spans="2:6">
      <c r="B97" s="83" t="e">
        <f>IF(E$89="－","","請負代金額")</f>
        <v>#N/A</v>
      </c>
      <c r="D97">
        <v>0</v>
      </c>
      <c r="E97" s="51" t="e">
        <f>IF(E$89="－","","￥"&amp;DBCS(TEXT(入札結果!G16,"#,##0")))</f>
        <v>#N/A</v>
      </c>
    </row>
    <row r="98" spans="2:6">
      <c r="B98" s="83" t="e">
        <f>IF(E$89="－","","前払金額（中間前払金含む）")</f>
        <v>#N/A</v>
      </c>
      <c r="D98">
        <v>0</v>
      </c>
      <c r="E98" s="51" t="e">
        <f>IF(E$89="－","","￥０")</f>
        <v>#N/A</v>
      </c>
      <c r="F98" s="50" t="s">
        <v>361</v>
      </c>
    </row>
    <row r="99" spans="2:6">
      <c r="B99" s="83" t="e">
        <f>IF(E$89="－","","部分払金額")</f>
        <v>#N/A</v>
      </c>
      <c r="D99">
        <v>0</v>
      </c>
      <c r="E99" s="51" t="e">
        <f>IF(E$89="－","","￥０")</f>
        <v>#N/A</v>
      </c>
    </row>
    <row r="100" spans="2:6">
      <c r="B100" s="83" t="e">
        <f>IF(E$89="－","","差引残余金額")</f>
        <v>#N/A</v>
      </c>
      <c r="D100">
        <v>0</v>
      </c>
      <c r="E100" s="51" t="e">
        <f>E97</f>
        <v>#N/A</v>
      </c>
    </row>
    <row r="101" spans="2:6">
      <c r="D101">
        <v>0</v>
      </c>
    </row>
    <row r="102" spans="2:6">
      <c r="D102" t="e">
        <f>IF(D89=0,0,IF($E101="－",0,MAX($D$2:$D98)+1))</f>
        <v>#N/A</v>
      </c>
      <c r="E102" s="50" t="e">
        <f>IF(D89=0,"","　前払保証証書")</f>
        <v>#N/A</v>
      </c>
    </row>
  </sheetData>
  <sheetProtection selectLockedCells="1"/>
  <mergeCells count="7">
    <mergeCell ref="A4:A5"/>
    <mergeCell ref="A24:B24"/>
    <mergeCell ref="A25:B25"/>
    <mergeCell ref="A26:B26"/>
    <mergeCell ref="A16:B16"/>
    <mergeCell ref="A17:B17"/>
    <mergeCell ref="A15:B15"/>
  </mergeCells>
  <phoneticPr fontId="2"/>
  <conditionalFormatting sqref="A22:B22">
    <cfRule type="containsErrors" dxfId="10" priority="8">
      <formula>ISERROR(A22)</formula>
    </cfRule>
  </conditionalFormatting>
  <conditionalFormatting sqref="B35">
    <cfRule type="cellIs" dxfId="9" priority="3" operator="equal">
      <formula>0</formula>
    </cfRule>
  </conditionalFormatting>
  <conditionalFormatting sqref="C22 A23:B23">
    <cfRule type="expression" dxfId="8" priority="6">
      <formula>$C$21&gt;3</formula>
    </cfRule>
  </conditionalFormatting>
  <dataValidations disablePrompts="1" count="4">
    <dataValidation imeMode="disabled" allowBlank="1" showInputMessage="1" showErrorMessage="1" sqref="B22" xr:uid="{00000000-0002-0000-0700-000000000000}"/>
    <dataValidation type="whole" imeMode="disabled" operator="greaterThanOrEqual" allowBlank="1" showInputMessage="1" showErrorMessage="1" sqref="B19" xr:uid="{00000000-0002-0000-0700-000001000000}">
      <formula1>1</formula1>
    </dataValidation>
    <dataValidation imeMode="hiragana" allowBlank="1" showInputMessage="1" showErrorMessage="1" sqref="C16:C18 B4 C11:C14 B10 C25:C27" xr:uid="{00000000-0002-0000-0700-000002000000}"/>
    <dataValidation type="list" imeMode="disabled" allowBlank="1" showInputMessage="1" showErrorMessage="1" sqref="B23" xr:uid="{00000000-0002-0000-0700-000003000000}">
      <formula1>"1,10,100,1000,10000"</formula1>
    </dataValidation>
  </dataValidations>
  <printOptions horizontalCentered="1" verticalCentered="1"/>
  <pageMargins left="0" right="0" top="0" bottom="0" header="0" footer="0"/>
  <pageSetup paperSize="9" scale="200" orientation="landscape" r:id="rId1"/>
  <colBreaks count="1" manualBreakCount="1">
    <brk id="7" max="1048575" man="1"/>
  </colBreaks>
  <drawing r:id="rId2"/>
  <extLst>
    <ext xmlns:x14="http://schemas.microsoft.com/office/spreadsheetml/2009/9/main" uri="{78C0D931-6437-407d-A8EE-F0AAD7539E65}">
      <x14:conditionalFormattings>
        <x14:conditionalFormatting xmlns:xm="http://schemas.microsoft.com/office/excel/2006/main">
          <x14:cfRule type="cellIs" priority="1" operator="equal" id="{75E34398-3D66-4A3D-89F6-148A36DC3D9A}">
            <xm:f>【随時メンテ】部分払い回数等!$A$53</xm:f>
            <x14:dxf>
              <font>
                <b/>
                <i val="0"/>
                <color rgb="FFFF0000"/>
              </font>
            </x14:dxf>
          </x14:cfRule>
          <xm:sqref>A3</xm:sqref>
        </x14:conditionalFormatting>
      </x14:conditionalFormattings>
    </ext>
    <ext xmlns:x14="http://schemas.microsoft.com/office/spreadsheetml/2009/9/main" uri="{CCE6A557-97BC-4b89-ADB6-D9C93CAAB3DF}">
      <x14:dataValidations xmlns:xm="http://schemas.microsoft.com/office/excel/2006/main" disablePrompts="1" count="1">
        <x14:dataValidation type="list" imeMode="hiragana" allowBlank="1" showInputMessage="1" showErrorMessage="1" xr:uid="{00000000-0002-0000-0700-000004000000}">
          <x14:formula1>
            <xm:f>【随時メンテ】部分払い回数等!$A$49:$A$50</xm:f>
          </x14:formula1>
          <xm:sqref>B84</xm:sqref>
        </x14:dataValidation>
      </x14:dataValidations>
    </ext>
  </extLst>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9">
    <tabColor theme="1"/>
    <pageSetUpPr fitToPage="1"/>
  </sheetPr>
  <dimension ref="A1:AD22"/>
  <sheetViews>
    <sheetView showGridLines="0" showRowColHeaders="0" zoomScaleNormal="100" workbookViewId="0">
      <pane ySplit="14" topLeftCell="A15" activePane="bottomLeft" state="frozen"/>
      <selection activeCell="G14" sqref="G14"/>
      <selection pane="bottomLeft" activeCell="G14" sqref="G14"/>
    </sheetView>
  </sheetViews>
  <sheetFormatPr defaultColWidth="2.625" defaultRowHeight="27" customHeight="1"/>
  <cols>
    <col min="1" max="16384" width="2.625" style="93"/>
  </cols>
  <sheetData>
    <row r="1" spans="1:30" ht="27" hidden="1" customHeight="1">
      <c r="A1" s="93" t="str">
        <f>受注者情報!$Z$20</f>
        <v>対象外</v>
      </c>
    </row>
    <row r="2" spans="1:30" ht="27" customHeight="1">
      <c r="AC2" s="94" t="s">
        <v>1122</v>
      </c>
    </row>
    <row r="4" spans="1:30" ht="27" customHeight="1">
      <c r="A4" s="524" t="str">
        <f>$A$1&amp;"事業者届出書"</f>
        <v>対象外事業者届出書</v>
      </c>
      <c r="B4" s="524"/>
      <c r="C4" s="524"/>
      <c r="D4" s="524"/>
      <c r="E4" s="524"/>
      <c r="F4" s="524"/>
      <c r="G4" s="524"/>
      <c r="H4" s="524"/>
      <c r="I4" s="524"/>
      <c r="J4" s="524"/>
      <c r="K4" s="524"/>
      <c r="L4" s="524"/>
      <c r="M4" s="524"/>
      <c r="N4" s="524"/>
      <c r="O4" s="524"/>
      <c r="P4" s="524"/>
      <c r="Q4" s="524"/>
      <c r="R4" s="524"/>
      <c r="S4" s="524"/>
      <c r="T4" s="524"/>
      <c r="U4" s="524"/>
      <c r="V4" s="524"/>
      <c r="W4" s="524"/>
      <c r="X4" s="524"/>
      <c r="Y4" s="524"/>
      <c r="Z4" s="524"/>
      <c r="AA4" s="524"/>
      <c r="AB4" s="524"/>
      <c r="AC4" s="524"/>
      <c r="AD4" s="524"/>
    </row>
    <row r="6" spans="1:30" ht="27" customHeight="1">
      <c r="V6" s="93" t="str">
        <f>契約日ほか!AD20</f>
        <v>令和　　　年　　　月　　　日</v>
      </c>
    </row>
    <row r="8" spans="1:30" ht="27" customHeight="1">
      <c r="A8" s="463" t="s">
        <v>71</v>
      </c>
      <c r="B8" s="463"/>
      <c r="C8" s="463"/>
      <c r="E8" s="93" t="str">
        <f>入札結果!G8&amp;"　　殿"</f>
        <v>　　殿</v>
      </c>
    </row>
    <row r="11" spans="1:30" ht="27" customHeight="1">
      <c r="K11" s="448" t="s">
        <v>108</v>
      </c>
      <c r="L11" s="448"/>
      <c r="M11" s="448"/>
      <c r="N11" s="448"/>
      <c r="O11" s="448"/>
      <c r="Q11" s="93" t="str">
        <f>受注者情報!K18</f>
        <v/>
      </c>
    </row>
    <row r="12" spans="1:30" ht="27" customHeight="1">
      <c r="K12" s="448" t="s">
        <v>265</v>
      </c>
      <c r="L12" s="448"/>
      <c r="M12" s="448"/>
      <c r="N12" s="448"/>
      <c r="O12" s="448"/>
      <c r="Q12" s="93" t="str">
        <f>受注者情報!K20</f>
        <v/>
      </c>
    </row>
    <row r="13" spans="1:30" ht="27" customHeight="1">
      <c r="K13" s="448" t="s">
        <v>404</v>
      </c>
      <c r="L13" s="448"/>
      <c r="M13" s="448"/>
      <c r="N13" s="448"/>
      <c r="O13" s="448"/>
      <c r="Q13" s="93" t="str">
        <f ca="1">受注者情報!K22&amp;受注者情報!K23</f>
        <v>　　</v>
      </c>
    </row>
    <row r="15" spans="1:30" ht="27" customHeight="1">
      <c r="A15" s="93" t="str">
        <f>"　下記の期間については、消費税及び地方消費税の"&amp;A1&amp;"事業者（消費税法第９条第１項"</f>
        <v>　下記の期間については、消費税及び地方消費税の対象外事業者（消費税法第９条第１項</v>
      </c>
    </row>
    <row r="16" spans="1:30" ht="27" customHeight="1">
      <c r="A16" s="93" t="str">
        <f>"本文の規定により消費税及び地方消費税を納める義務が免除される事業者で"&amp;IF(A1="免税","ある","ない")&amp;"）であ"</f>
        <v>本文の規定により消費税及び地方消費税を納める義務が免除される事業者でない）であ</v>
      </c>
    </row>
    <row r="17" spans="1:21" ht="27" customHeight="1">
      <c r="A17" s="93" t="s">
        <v>1124</v>
      </c>
    </row>
    <row r="19" spans="1:21" ht="27" customHeight="1">
      <c r="O19" s="463" t="s">
        <v>1126</v>
      </c>
      <c r="P19" s="463"/>
    </row>
    <row r="21" spans="1:21" ht="27" customHeight="1">
      <c r="F21" s="463" t="str">
        <f>A1&amp;"期間"</f>
        <v>対象外期間</v>
      </c>
      <c r="G21" s="463"/>
      <c r="H21" s="463"/>
      <c r="I21" s="463"/>
      <c r="J21" s="108"/>
      <c r="L21" s="448" t="str">
        <f ca="1">受注者情報!Z22</f>
        <v>令和８年　月　１日から</v>
      </c>
      <c r="M21" s="448"/>
      <c r="N21" s="448"/>
      <c r="O21" s="448"/>
      <c r="P21" s="448"/>
      <c r="Q21" s="448"/>
      <c r="R21" s="448"/>
      <c r="S21" s="448"/>
      <c r="T21" s="448"/>
      <c r="U21" s="448"/>
    </row>
    <row r="22" spans="1:21" ht="27" customHeight="1">
      <c r="L22" s="448" t="str">
        <f>受注者情報!Z23</f>
        <v>年月日まで</v>
      </c>
      <c r="M22" s="448"/>
      <c r="N22" s="448"/>
      <c r="O22" s="448"/>
      <c r="P22" s="448"/>
      <c r="Q22" s="448"/>
      <c r="R22" s="448"/>
      <c r="S22" s="448"/>
      <c r="T22" s="448"/>
      <c r="U22" s="448"/>
    </row>
  </sheetData>
  <sheetProtection sheet="1" objects="1" scenarios="1" selectLockedCells="1"/>
  <mergeCells count="9">
    <mergeCell ref="F21:I21"/>
    <mergeCell ref="L21:U21"/>
    <mergeCell ref="L22:U22"/>
    <mergeCell ref="A4:AD4"/>
    <mergeCell ref="A8:C8"/>
    <mergeCell ref="K11:O11"/>
    <mergeCell ref="K12:O12"/>
    <mergeCell ref="K13:O13"/>
    <mergeCell ref="O19:P19"/>
  </mergeCells>
  <phoneticPr fontId="2"/>
  <printOptions horizontalCentered="1"/>
  <pageMargins left="0" right="0" top="0.78740157480314965" bottom="0" header="0" footer="0"/>
  <pageSetup paperSize="9" fitToHeight="0"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5">
    <tabColor theme="1"/>
    <pageSetUpPr fitToPage="1"/>
  </sheetPr>
  <dimension ref="A2:BK117"/>
  <sheetViews>
    <sheetView showGridLines="0" showRowColHeaders="0" zoomScaleNormal="100" workbookViewId="0">
      <pane xSplit="8" ySplit="11" topLeftCell="I15" activePane="bottomRight" state="frozen"/>
      <selection activeCell="G14" sqref="G14"/>
      <selection pane="topRight" activeCell="G14" sqref="G14"/>
      <selection pane="bottomLeft" activeCell="G14" sqref="G14"/>
      <selection pane="bottomRight" activeCell="G14" sqref="G14"/>
    </sheetView>
  </sheetViews>
  <sheetFormatPr defaultColWidth="2.625" defaultRowHeight="15" customHeight="1"/>
  <cols>
    <col min="1" max="51" width="2.625" style="93"/>
    <col min="52" max="52" width="8.625" style="93" customWidth="1"/>
    <col min="53" max="53" width="2.625" style="93"/>
    <col min="54" max="54" width="8.625" style="93" customWidth="1"/>
    <col min="55" max="55" width="2.625" style="93"/>
    <col min="56" max="56" width="5.625" style="93" customWidth="1"/>
    <col min="57" max="57" width="2.625" style="93"/>
    <col min="58" max="58" width="4.625" style="93" customWidth="1"/>
    <col min="59" max="59" width="2.625" style="93"/>
    <col min="60" max="60" width="4.625" style="93" customWidth="1"/>
    <col min="61" max="61" width="2.625" style="93"/>
    <col min="62" max="62" width="4.625" style="93" customWidth="1"/>
    <col min="63" max="16384" width="2.625" style="93"/>
  </cols>
  <sheetData>
    <row r="2" spans="1:41" ht="15" customHeight="1">
      <c r="A2" s="93" t="s">
        <v>1153</v>
      </c>
      <c r="AG2" s="447" t="s">
        <v>1152</v>
      </c>
      <c r="AH2" s="447"/>
      <c r="AI2" s="447"/>
      <c r="AJ2" s="447"/>
      <c r="AK2" s="447"/>
      <c r="AL2" s="447"/>
      <c r="AM2" s="447"/>
      <c r="AN2" s="447"/>
    </row>
    <row r="3" spans="1:41" ht="15" customHeight="1">
      <c r="AG3" s="95"/>
      <c r="AH3" s="96"/>
      <c r="AI3" s="96"/>
      <c r="AJ3" s="96"/>
      <c r="AK3" s="96"/>
      <c r="AL3" s="96"/>
      <c r="AM3" s="96"/>
      <c r="AN3" s="97"/>
    </row>
    <row r="4" spans="1:41" ht="15" customHeight="1">
      <c r="E4" s="654" t="s">
        <v>1186</v>
      </c>
      <c r="F4" s="654"/>
      <c r="G4" s="654"/>
      <c r="H4" s="654"/>
      <c r="I4" s="654"/>
      <c r="J4" s="654"/>
      <c r="K4" s="654"/>
      <c r="L4" s="654"/>
      <c r="M4" s="654"/>
      <c r="N4" s="654"/>
      <c r="O4" s="654"/>
      <c r="P4" s="654"/>
      <c r="Q4" s="654"/>
      <c r="R4" s="654"/>
      <c r="S4" s="654"/>
      <c r="T4" s="654"/>
      <c r="U4" s="654"/>
      <c r="V4" s="654"/>
      <c r="W4" s="654"/>
      <c r="X4" s="654"/>
      <c r="Y4" s="654"/>
      <c r="Z4" s="654"/>
      <c r="AA4" s="654"/>
      <c r="AB4" s="654"/>
      <c r="AC4" s="117"/>
      <c r="AD4" s="117"/>
      <c r="AE4" s="117"/>
      <c r="AF4" s="117"/>
      <c r="AG4" s="118"/>
      <c r="AH4" s="117"/>
      <c r="AN4" s="99"/>
    </row>
    <row r="5" spans="1:41" ht="15" customHeight="1">
      <c r="E5" s="654"/>
      <c r="F5" s="654"/>
      <c r="G5" s="654"/>
      <c r="H5" s="654"/>
      <c r="I5" s="654"/>
      <c r="J5" s="654"/>
      <c r="K5" s="654"/>
      <c r="L5" s="654"/>
      <c r="M5" s="654"/>
      <c r="N5" s="654"/>
      <c r="O5" s="654"/>
      <c r="P5" s="654"/>
      <c r="Q5" s="654"/>
      <c r="R5" s="654"/>
      <c r="S5" s="654"/>
      <c r="T5" s="654"/>
      <c r="U5" s="654"/>
      <c r="V5" s="654"/>
      <c r="W5" s="654"/>
      <c r="X5" s="654"/>
      <c r="Y5" s="654"/>
      <c r="Z5" s="654"/>
      <c r="AA5" s="654"/>
      <c r="AB5" s="654"/>
      <c r="AC5" s="117"/>
      <c r="AD5" s="117"/>
      <c r="AE5" s="117"/>
      <c r="AF5" s="117"/>
      <c r="AG5" s="118"/>
      <c r="AH5" s="117"/>
      <c r="AN5" s="99"/>
    </row>
    <row r="6" spans="1:41" ht="15" customHeight="1">
      <c r="AG6" s="98"/>
      <c r="AN6" s="99"/>
    </row>
    <row r="7" spans="1:41" ht="15" customHeight="1">
      <c r="AG7" s="98"/>
      <c r="AN7" s="99"/>
    </row>
    <row r="8" spans="1:41" ht="15" customHeight="1">
      <c r="AG8" s="98"/>
      <c r="AN8" s="99"/>
    </row>
    <row r="9" spans="1:41" ht="15" customHeight="1">
      <c r="AG9" s="98"/>
      <c r="AN9" s="99"/>
    </row>
    <row r="10" spans="1:41" ht="15" customHeight="1">
      <c r="AG10" s="100"/>
      <c r="AH10" s="101"/>
      <c r="AI10" s="101"/>
      <c r="AJ10" s="101"/>
      <c r="AK10" s="101"/>
      <c r="AL10" s="101"/>
      <c r="AM10" s="101"/>
      <c r="AN10" s="102"/>
    </row>
    <row r="11" spans="1:41" ht="15" customHeight="1" thickBot="1"/>
    <row r="12" spans="1:41" ht="15" customHeight="1">
      <c r="A12" s="119"/>
      <c r="B12" s="120"/>
      <c r="C12" s="120"/>
      <c r="D12" s="120"/>
      <c r="E12" s="120"/>
      <c r="F12" s="120"/>
      <c r="G12" s="120"/>
      <c r="H12" s="121"/>
      <c r="I12" s="122"/>
      <c r="J12" s="120"/>
      <c r="K12" s="120"/>
      <c r="L12" s="120"/>
      <c r="M12" s="120"/>
      <c r="N12" s="120"/>
      <c r="O12" s="120"/>
      <c r="P12" s="120"/>
      <c r="Q12" s="120"/>
      <c r="R12" s="120"/>
      <c r="S12" s="120"/>
      <c r="T12" s="120"/>
      <c r="U12" s="120"/>
      <c r="V12" s="120"/>
      <c r="W12" s="120"/>
      <c r="X12" s="120"/>
      <c r="Y12" s="120"/>
      <c r="Z12" s="120"/>
      <c r="AA12" s="120"/>
      <c r="AB12" s="120"/>
      <c r="AC12" s="120"/>
      <c r="AD12" s="120"/>
      <c r="AE12" s="120"/>
      <c r="AF12" s="120"/>
      <c r="AG12" s="120"/>
      <c r="AH12" s="120"/>
      <c r="AI12" s="120"/>
      <c r="AJ12" s="120"/>
      <c r="AK12" s="120"/>
      <c r="AL12" s="120"/>
      <c r="AM12" s="120"/>
      <c r="AN12" s="120"/>
      <c r="AO12" s="123"/>
    </row>
    <row r="13" spans="1:41" ht="15" customHeight="1">
      <c r="A13" s="124"/>
      <c r="B13" s="448" t="s">
        <v>2</v>
      </c>
      <c r="C13" s="448"/>
      <c r="D13" s="448"/>
      <c r="E13" s="448"/>
      <c r="F13" s="448"/>
      <c r="G13" s="448"/>
      <c r="H13" s="99"/>
      <c r="I13" s="98"/>
      <c r="J13" s="93" t="str">
        <f>入札結果!G12</f>
        <v/>
      </c>
      <c r="AO13" s="125"/>
    </row>
    <row r="14" spans="1:41" ht="15" customHeight="1">
      <c r="A14" s="126"/>
      <c r="B14" s="101"/>
      <c r="C14" s="101"/>
      <c r="D14" s="101"/>
      <c r="E14" s="101"/>
      <c r="F14" s="101"/>
      <c r="G14" s="101"/>
      <c r="H14" s="102"/>
      <c r="I14" s="100"/>
      <c r="J14" s="101"/>
      <c r="K14" s="101"/>
      <c r="L14" s="101"/>
      <c r="M14" s="101"/>
      <c r="N14" s="101"/>
      <c r="O14" s="101"/>
      <c r="P14" s="101"/>
      <c r="Q14" s="101"/>
      <c r="R14" s="101"/>
      <c r="S14" s="101"/>
      <c r="T14" s="101"/>
      <c r="U14" s="101"/>
      <c r="V14" s="101"/>
      <c r="W14" s="101"/>
      <c r="X14" s="101"/>
      <c r="Y14" s="101"/>
      <c r="Z14" s="101"/>
      <c r="AA14" s="101"/>
      <c r="AB14" s="101"/>
      <c r="AC14" s="101"/>
      <c r="AD14" s="101"/>
      <c r="AE14" s="101"/>
      <c r="AF14" s="101"/>
      <c r="AG14" s="101"/>
      <c r="AH14" s="101"/>
      <c r="AI14" s="101"/>
      <c r="AJ14" s="101"/>
      <c r="AK14" s="101"/>
      <c r="AL14" s="101"/>
      <c r="AM14" s="101"/>
      <c r="AN14" s="101"/>
      <c r="AO14" s="127"/>
    </row>
    <row r="15" spans="1:41" ht="15" customHeight="1">
      <c r="A15" s="128"/>
      <c r="B15" s="96"/>
      <c r="C15" s="96"/>
      <c r="D15" s="96"/>
      <c r="E15" s="96"/>
      <c r="F15" s="96"/>
      <c r="G15" s="96"/>
      <c r="H15" s="97"/>
      <c r="I15" s="95"/>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129"/>
    </row>
    <row r="16" spans="1:41" ht="15" customHeight="1">
      <c r="A16" s="124"/>
      <c r="B16" s="448" t="s">
        <v>3</v>
      </c>
      <c r="C16" s="448"/>
      <c r="D16" s="448"/>
      <c r="E16" s="448"/>
      <c r="F16" s="448"/>
      <c r="G16" s="448"/>
      <c r="H16" s="99"/>
      <c r="I16" s="98"/>
      <c r="J16" s="93" t="str">
        <f>入札結果!G13</f>
        <v/>
      </c>
      <c r="AO16" s="125"/>
    </row>
    <row r="17" spans="1:63" ht="15" customHeight="1">
      <c r="A17" s="126"/>
      <c r="B17" s="101"/>
      <c r="C17" s="101"/>
      <c r="D17" s="101"/>
      <c r="E17" s="101"/>
      <c r="F17" s="101"/>
      <c r="G17" s="101"/>
      <c r="H17" s="102"/>
      <c r="I17" s="100"/>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27"/>
    </row>
    <row r="18" spans="1:63" ht="15" customHeight="1">
      <c r="A18" s="128"/>
      <c r="B18" s="96"/>
      <c r="C18" s="96"/>
      <c r="D18" s="96"/>
      <c r="E18" s="96"/>
      <c r="F18" s="96"/>
      <c r="G18" s="96"/>
      <c r="H18" s="97"/>
      <c r="I18" s="95"/>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129"/>
    </row>
    <row r="19" spans="1:63" ht="15" customHeight="1">
      <c r="A19" s="124"/>
      <c r="B19" s="448" t="s">
        <v>4</v>
      </c>
      <c r="C19" s="448"/>
      <c r="D19" s="448"/>
      <c r="E19" s="448"/>
      <c r="F19" s="448"/>
      <c r="G19" s="448"/>
      <c r="H19" s="99"/>
      <c r="I19" s="98"/>
      <c r="J19" s="93" t="e">
        <f>契約日ほか!AD22&amp;"　～　"&amp;契約日ほか!AD23</f>
        <v>#VALUE!</v>
      </c>
      <c r="AO19" s="125"/>
    </row>
    <row r="20" spans="1:63" ht="15" customHeight="1">
      <c r="A20" s="126"/>
      <c r="B20" s="101"/>
      <c r="C20" s="101"/>
      <c r="D20" s="101"/>
      <c r="E20" s="101"/>
      <c r="F20" s="101"/>
      <c r="G20" s="101"/>
      <c r="H20" s="102"/>
      <c r="I20" s="100"/>
      <c r="J20" s="101"/>
      <c r="K20" s="101"/>
      <c r="L20" s="101"/>
      <c r="M20" s="101"/>
      <c r="N20" s="101"/>
      <c r="O20" s="101"/>
      <c r="P20" s="101"/>
      <c r="Q20" s="101"/>
      <c r="R20" s="101"/>
      <c r="S20" s="101"/>
      <c r="T20" s="101"/>
      <c r="U20" s="101"/>
      <c r="V20" s="101"/>
      <c r="W20" s="101"/>
      <c r="X20" s="101"/>
      <c r="Y20" s="101"/>
      <c r="Z20" s="101"/>
      <c r="AA20" s="101"/>
      <c r="AB20" s="101"/>
      <c r="AC20" s="101"/>
      <c r="AD20" s="101"/>
      <c r="AE20" s="101"/>
      <c r="AF20" s="101"/>
      <c r="AG20" s="101"/>
      <c r="AH20" s="101"/>
      <c r="AI20" s="101"/>
      <c r="AJ20" s="101"/>
      <c r="AK20" s="101"/>
      <c r="AL20" s="101"/>
      <c r="AM20" s="101"/>
      <c r="AN20" s="101"/>
      <c r="AO20" s="127"/>
    </row>
    <row r="21" spans="1:63" ht="15" customHeight="1">
      <c r="A21" s="128"/>
      <c r="B21" s="449" t="s">
        <v>1128</v>
      </c>
      <c r="C21" s="652"/>
      <c r="D21" s="652"/>
      <c r="E21" s="652"/>
      <c r="F21" s="652"/>
      <c r="G21" s="652"/>
      <c r="H21" s="97"/>
      <c r="I21" s="95"/>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129"/>
    </row>
    <row r="22" spans="1:63" ht="15" customHeight="1">
      <c r="A22" s="124"/>
      <c r="B22" s="448"/>
      <c r="C22" s="448"/>
      <c r="D22" s="448"/>
      <c r="E22" s="448"/>
      <c r="F22" s="448"/>
      <c r="G22" s="448"/>
      <c r="H22" s="99"/>
      <c r="I22" s="98"/>
      <c r="AO22" s="125"/>
    </row>
    <row r="23" spans="1:63" ht="15" customHeight="1" thickBot="1">
      <c r="A23" s="131"/>
      <c r="B23" s="653"/>
      <c r="C23" s="653"/>
      <c r="D23" s="653"/>
      <c r="E23" s="653"/>
      <c r="F23" s="653"/>
      <c r="G23" s="653"/>
      <c r="H23" s="134"/>
      <c r="I23" s="135"/>
      <c r="J23" s="132"/>
      <c r="K23" s="132"/>
      <c r="L23" s="132"/>
      <c r="M23" s="132"/>
      <c r="N23" s="132"/>
      <c r="O23" s="132"/>
      <c r="P23" s="132"/>
      <c r="Q23" s="132"/>
      <c r="R23" s="132"/>
      <c r="S23" s="132"/>
      <c r="T23" s="132"/>
      <c r="U23" s="132"/>
      <c r="V23" s="132"/>
      <c r="W23" s="132"/>
      <c r="X23" s="132"/>
      <c r="Y23" s="132"/>
      <c r="Z23" s="132"/>
      <c r="AA23" s="132"/>
      <c r="AB23" s="132"/>
      <c r="AC23" s="132"/>
      <c r="AD23" s="132"/>
      <c r="AE23" s="132"/>
      <c r="AF23" s="132"/>
      <c r="AG23" s="132"/>
      <c r="AH23" s="132"/>
      <c r="AI23" s="132"/>
      <c r="AJ23" s="132"/>
      <c r="AK23" s="132"/>
      <c r="AL23" s="132"/>
      <c r="AM23" s="132"/>
      <c r="AN23" s="132"/>
      <c r="AO23" s="133"/>
    </row>
    <row r="24" spans="1:63" ht="15" customHeight="1">
      <c r="A24" s="119"/>
      <c r="B24" s="120"/>
      <c r="C24" s="120"/>
      <c r="D24" s="120"/>
      <c r="E24" s="120"/>
      <c r="F24" s="120"/>
      <c r="G24" s="120"/>
      <c r="H24" s="121"/>
      <c r="I24" s="122"/>
      <c r="J24" s="120"/>
      <c r="K24" s="120"/>
      <c r="L24" s="120"/>
      <c r="M24" s="120"/>
      <c r="N24" s="120"/>
      <c r="O24" s="120"/>
      <c r="P24" s="120"/>
      <c r="Q24" s="120"/>
      <c r="R24" s="120"/>
      <c r="S24" s="120"/>
      <c r="T24" s="120"/>
      <c r="U24" s="120"/>
      <c r="V24" s="120"/>
      <c r="W24" s="120"/>
      <c r="X24" s="120"/>
      <c r="Y24" s="120"/>
      <c r="Z24" s="120"/>
      <c r="AA24" s="120"/>
      <c r="AB24" s="120"/>
      <c r="AC24" s="120"/>
      <c r="AD24" s="120"/>
      <c r="AE24" s="120"/>
      <c r="AF24" s="120"/>
      <c r="AG24" s="120"/>
      <c r="AH24" s="120"/>
      <c r="AI24" s="120"/>
      <c r="AJ24" s="120"/>
      <c r="AK24" s="120"/>
      <c r="AL24" s="120"/>
      <c r="AM24" s="120"/>
      <c r="AN24" s="120"/>
      <c r="AO24" s="123"/>
    </row>
    <row r="25" spans="1:63" ht="15" customHeight="1">
      <c r="A25" s="124"/>
      <c r="B25" s="448" t="s">
        <v>119</v>
      </c>
      <c r="C25" s="448"/>
      <c r="D25" s="448"/>
      <c r="E25" s="448"/>
      <c r="F25" s="448"/>
      <c r="G25" s="448"/>
      <c r="H25" s="99"/>
      <c r="I25" s="98"/>
      <c r="X25" s="94" t="str">
        <f>建設工事請負契約書!AC12</f>
        <v>　円</v>
      </c>
      <c r="Z25" s="93" t="s">
        <v>1187</v>
      </c>
      <c r="AO25" s="125"/>
    </row>
    <row r="26" spans="1:63" ht="15" customHeight="1">
      <c r="A26" s="126"/>
      <c r="B26" s="101"/>
      <c r="C26" s="101"/>
      <c r="D26" s="101"/>
      <c r="E26" s="101"/>
      <c r="F26" s="101"/>
      <c r="G26" s="101"/>
      <c r="H26" s="102"/>
      <c r="I26" s="100"/>
      <c r="J26" s="101"/>
      <c r="K26" s="101"/>
      <c r="L26" s="101"/>
      <c r="M26" s="101"/>
      <c r="N26" s="101"/>
      <c r="O26" s="101"/>
      <c r="P26" s="101"/>
      <c r="Q26" s="101"/>
      <c r="R26" s="101"/>
      <c r="S26" s="101"/>
      <c r="T26" s="101"/>
      <c r="U26" s="101"/>
      <c r="V26" s="101"/>
      <c r="W26" s="101"/>
      <c r="X26" s="101"/>
      <c r="Y26" s="101"/>
      <c r="Z26" s="101"/>
      <c r="AA26" s="101"/>
      <c r="AB26" s="101"/>
      <c r="AC26" s="101"/>
      <c r="AD26" s="101"/>
      <c r="AE26" s="101"/>
      <c r="AF26" s="101"/>
      <c r="AG26" s="101"/>
      <c r="AH26" s="101"/>
      <c r="AI26" s="101"/>
      <c r="AJ26" s="101"/>
      <c r="AK26" s="101"/>
      <c r="AL26" s="101"/>
      <c r="AM26" s="101"/>
      <c r="AN26" s="101"/>
      <c r="AO26" s="127"/>
      <c r="BD26" s="93" t="s">
        <v>1133</v>
      </c>
    </row>
    <row r="27" spans="1:63" ht="15" customHeight="1">
      <c r="A27" s="128"/>
      <c r="B27" s="96"/>
      <c r="C27" s="96"/>
      <c r="D27" s="96"/>
      <c r="E27" s="96"/>
      <c r="F27" s="96"/>
      <c r="G27" s="96"/>
      <c r="H27" s="97"/>
      <c r="I27" s="95"/>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129"/>
      <c r="BD27" s="93" t="s">
        <v>1142</v>
      </c>
    </row>
    <row r="28" spans="1:63" ht="15" customHeight="1">
      <c r="A28" s="124"/>
      <c r="B28" s="448" t="s">
        <v>1127</v>
      </c>
      <c r="C28" s="448"/>
      <c r="D28" s="448"/>
      <c r="E28" s="448"/>
      <c r="F28" s="448"/>
      <c r="G28" s="448"/>
      <c r="H28" s="99"/>
      <c r="I28" s="98"/>
      <c r="J28" s="93" t="str">
        <f>AZ28&amp;"　"&amp;BB28</f>
        <v>　</v>
      </c>
      <c r="Z28" s="93" t="str">
        <f>IF($BD28="大正","Ⓣ","Ｔ")</f>
        <v>Ｔ</v>
      </c>
      <c r="AA28" s="93" t="s">
        <v>1135</v>
      </c>
      <c r="AB28" s="93" t="str">
        <f>IF($BD28="昭和","Ⓢ","Ｓ")</f>
        <v>Ｓ</v>
      </c>
      <c r="AC28" s="93" t="s">
        <v>1135</v>
      </c>
      <c r="AD28" s="93" t="str">
        <f>IF($BD28="平成","Ⓗ","Ｈ")</f>
        <v>Ｈ</v>
      </c>
      <c r="AF28" s="650" t="str">
        <f>DBCS(BF28)</f>
        <v/>
      </c>
      <c r="AG28" s="650"/>
      <c r="AH28" s="93" t="s">
        <v>244</v>
      </c>
      <c r="AI28" s="650" t="str">
        <f>DBCS(BH28)</f>
        <v/>
      </c>
      <c r="AJ28" s="650"/>
      <c r="AK28" s="93" t="s">
        <v>245</v>
      </c>
      <c r="AL28" s="650" t="str">
        <f>DBCS(BJ28)</f>
        <v/>
      </c>
      <c r="AM28" s="650"/>
      <c r="AN28" s="93" t="s">
        <v>246</v>
      </c>
      <c r="AO28" s="125"/>
      <c r="AQ28" s="93" t="str">
        <f>B28</f>
        <v>現場代理人氏名</v>
      </c>
      <c r="AZ28" s="141"/>
      <c r="BB28" s="141"/>
      <c r="BD28" s="142"/>
      <c r="BF28" s="142"/>
      <c r="BG28" s="93" t="s">
        <v>244</v>
      </c>
      <c r="BH28" s="142"/>
      <c r="BI28" s="93" t="s">
        <v>245</v>
      </c>
      <c r="BJ28" s="142"/>
      <c r="BK28" s="93" t="s">
        <v>246</v>
      </c>
    </row>
    <row r="29" spans="1:63" ht="15" customHeight="1" thickBot="1">
      <c r="A29" s="131"/>
      <c r="B29" s="651" t="s">
        <v>1129</v>
      </c>
      <c r="C29" s="651"/>
      <c r="D29" s="651"/>
      <c r="E29" s="651"/>
      <c r="F29" s="651"/>
      <c r="G29" s="651"/>
      <c r="H29" s="134"/>
      <c r="I29" s="135"/>
      <c r="J29" s="132"/>
      <c r="K29" s="132"/>
      <c r="L29" s="132"/>
      <c r="M29" s="132"/>
      <c r="N29" s="132"/>
      <c r="O29" s="132"/>
      <c r="P29" s="132"/>
      <c r="Q29" s="132"/>
      <c r="R29" s="132"/>
      <c r="S29" s="132"/>
      <c r="T29" s="132"/>
      <c r="U29" s="132"/>
      <c r="V29" s="132"/>
      <c r="W29" s="132"/>
      <c r="X29" s="132"/>
      <c r="Y29" s="132"/>
      <c r="Z29" s="132"/>
      <c r="AA29" s="132"/>
      <c r="AB29" s="132"/>
      <c r="AC29" s="132"/>
      <c r="AD29" s="132"/>
      <c r="AE29" s="132"/>
      <c r="AF29" s="132"/>
      <c r="AG29" s="132"/>
      <c r="AH29" s="132"/>
      <c r="AI29" s="132"/>
      <c r="AJ29" s="132"/>
      <c r="AK29" s="132"/>
      <c r="AL29" s="132"/>
      <c r="AM29" s="132"/>
      <c r="AN29" s="132"/>
      <c r="AO29" s="133"/>
    </row>
    <row r="30" spans="1:63" ht="15" customHeight="1">
      <c r="A30" s="119"/>
      <c r="B30" s="120"/>
      <c r="C30" s="120"/>
      <c r="D30" s="120"/>
      <c r="E30" s="120"/>
      <c r="F30" s="120"/>
      <c r="G30" s="120"/>
      <c r="H30" s="121"/>
      <c r="I30" s="122"/>
      <c r="J30" s="120"/>
      <c r="K30" s="120"/>
      <c r="L30" s="120" t="s">
        <v>1131</v>
      </c>
      <c r="M30" s="120"/>
      <c r="N30" s="120"/>
      <c r="O30" s="120"/>
      <c r="P30" s="120"/>
      <c r="Q30" s="120"/>
      <c r="R30" s="121"/>
      <c r="S30" s="122"/>
      <c r="T30" s="120"/>
      <c r="U30" s="120"/>
      <c r="V30" s="120"/>
      <c r="W30" s="120"/>
      <c r="X30" s="121"/>
      <c r="Y30" s="122"/>
      <c r="Z30" s="120"/>
      <c r="AA30" s="120"/>
      <c r="AB30" s="120"/>
      <c r="AC30" s="120"/>
      <c r="AD30" s="120"/>
      <c r="AE30" s="120"/>
      <c r="AF30" s="120"/>
      <c r="AG30" s="120"/>
      <c r="AH30" s="120"/>
      <c r="AI30" s="120"/>
      <c r="AJ30" s="120"/>
      <c r="AK30" s="120"/>
      <c r="AL30" s="120"/>
      <c r="AM30" s="120"/>
      <c r="AN30" s="120"/>
      <c r="AO30" s="123"/>
      <c r="AZ30" s="93" t="s">
        <v>1140</v>
      </c>
      <c r="BB30" s="93" t="s">
        <v>1141</v>
      </c>
    </row>
    <row r="31" spans="1:63" ht="15" customHeight="1">
      <c r="A31" s="124"/>
      <c r="H31" s="99"/>
      <c r="I31" s="98"/>
      <c r="R31" s="99"/>
      <c r="S31" s="98"/>
      <c r="T31" s="448" t="s">
        <v>1132</v>
      </c>
      <c r="U31" s="448"/>
      <c r="V31" s="448"/>
      <c r="W31" s="448"/>
      <c r="X31" s="99"/>
      <c r="Y31" s="98"/>
      <c r="Z31" s="93" t="str">
        <f>AZ31&amp;"　"&amp;BB31</f>
        <v>　</v>
      </c>
      <c r="AO31" s="125"/>
      <c r="AQ31" s="93" t="str">
        <f>契約日ほか!AB24</f>
        <v>主任技術者</v>
      </c>
      <c r="AZ31" s="141"/>
      <c r="BB31" s="141"/>
      <c r="BD31" s="142"/>
      <c r="BF31" s="142"/>
      <c r="BG31" s="93" t="s">
        <v>244</v>
      </c>
      <c r="BH31" s="142"/>
      <c r="BI31" s="93" t="s">
        <v>245</v>
      </c>
      <c r="BJ31" s="142"/>
      <c r="BK31" s="93" t="s">
        <v>246</v>
      </c>
    </row>
    <row r="32" spans="1:63" ht="15" customHeight="1">
      <c r="A32" s="124"/>
      <c r="B32" s="450" t="s">
        <v>1134</v>
      </c>
      <c r="C32" s="448"/>
      <c r="D32" s="448"/>
      <c r="E32" s="448"/>
      <c r="F32" s="448"/>
      <c r="G32" s="448"/>
      <c r="H32" s="99"/>
      <c r="I32" s="98"/>
      <c r="J32" s="103" t="str">
        <f>IF($AQ$31=$L32,"①","１")</f>
        <v>①</v>
      </c>
      <c r="L32" s="93" t="s">
        <v>194</v>
      </c>
      <c r="R32" s="99"/>
      <c r="S32" s="100"/>
      <c r="T32" s="101"/>
      <c r="U32" s="101"/>
      <c r="V32" s="101"/>
      <c r="W32" s="101"/>
      <c r="X32" s="102"/>
      <c r="Y32" s="100"/>
      <c r="Z32" s="101"/>
      <c r="AA32" s="101"/>
      <c r="AB32" s="101"/>
      <c r="AC32" s="101"/>
      <c r="AD32" s="101"/>
      <c r="AE32" s="101"/>
      <c r="AF32" s="101"/>
      <c r="AG32" s="101"/>
      <c r="AH32" s="101"/>
      <c r="AI32" s="101"/>
      <c r="AJ32" s="101"/>
      <c r="AK32" s="101"/>
      <c r="AL32" s="101"/>
      <c r="AM32" s="101"/>
      <c r="AN32" s="101"/>
      <c r="AO32" s="127"/>
    </row>
    <row r="33" spans="1:63" ht="15" customHeight="1">
      <c r="A33" s="124"/>
      <c r="B33" s="448"/>
      <c r="C33" s="448"/>
      <c r="D33" s="448"/>
      <c r="E33" s="448"/>
      <c r="F33" s="448"/>
      <c r="G33" s="448"/>
      <c r="H33" s="99"/>
      <c r="I33" s="98"/>
      <c r="J33" s="103" t="str">
        <f>IF($AQ$31=$L33,"②","２")</f>
        <v>２</v>
      </c>
      <c r="L33" s="93" t="s">
        <v>195</v>
      </c>
      <c r="R33" s="99"/>
      <c r="S33" s="95"/>
      <c r="T33" s="96"/>
      <c r="U33" s="96"/>
      <c r="V33" s="96"/>
      <c r="W33" s="96"/>
      <c r="X33" s="97"/>
      <c r="Y33" s="95"/>
      <c r="Z33" s="96"/>
      <c r="AA33" s="96"/>
      <c r="AB33" s="96"/>
      <c r="AC33" s="96"/>
      <c r="AD33" s="96"/>
      <c r="AE33" s="96"/>
      <c r="AF33" s="96"/>
      <c r="AG33" s="96"/>
      <c r="AH33" s="96"/>
      <c r="AI33" s="96"/>
      <c r="AJ33" s="96"/>
      <c r="AK33" s="96"/>
      <c r="AL33" s="96"/>
      <c r="AM33" s="96"/>
      <c r="AN33" s="96"/>
      <c r="AO33" s="129"/>
    </row>
    <row r="34" spans="1:63" ht="15" customHeight="1">
      <c r="A34" s="124"/>
      <c r="H34" s="99"/>
      <c r="I34" s="98"/>
      <c r="J34" s="103" t="str">
        <f>IF($AQ$31=$L34,"③","３")</f>
        <v>３</v>
      </c>
      <c r="L34" s="93" t="s">
        <v>1130</v>
      </c>
      <c r="R34" s="99"/>
      <c r="S34" s="98"/>
      <c r="T34" s="448" t="s">
        <v>1133</v>
      </c>
      <c r="U34" s="448"/>
      <c r="V34" s="448"/>
      <c r="W34" s="448"/>
      <c r="X34" s="99"/>
      <c r="Y34" s="98"/>
      <c r="Z34" s="93" t="str">
        <f>IF($BD31="大正","Ⓣ","Ｔ")</f>
        <v>Ｔ</v>
      </c>
      <c r="AA34" s="93" t="s">
        <v>1135</v>
      </c>
      <c r="AB34" s="93" t="str">
        <f>IF($BD31="昭和","Ⓢ","Ｓ")</f>
        <v>Ｓ</v>
      </c>
      <c r="AC34" s="93" t="s">
        <v>1135</v>
      </c>
      <c r="AD34" s="93" t="str">
        <f>IF($BD31="平成","Ⓗ","Ｈ")</f>
        <v>Ｈ</v>
      </c>
      <c r="AF34" s="650" t="str">
        <f>DBCS(BF31)</f>
        <v/>
      </c>
      <c r="AG34" s="650"/>
      <c r="AH34" s="93" t="s">
        <v>244</v>
      </c>
      <c r="AI34" s="650" t="str">
        <f>DBCS(BH31)</f>
        <v/>
      </c>
      <c r="AJ34" s="650"/>
      <c r="AK34" s="93" t="s">
        <v>245</v>
      </c>
      <c r="AL34" s="650" t="str">
        <f>DBCS(BJ31)</f>
        <v/>
      </c>
      <c r="AM34" s="650"/>
      <c r="AN34" s="93" t="s">
        <v>246</v>
      </c>
      <c r="AO34" s="125"/>
      <c r="BD34" s="93" t="s">
        <v>1133</v>
      </c>
    </row>
    <row r="35" spans="1:63" ht="15" customHeight="1">
      <c r="A35" s="126"/>
      <c r="B35" s="101"/>
      <c r="C35" s="101"/>
      <c r="D35" s="101"/>
      <c r="E35" s="101"/>
      <c r="F35" s="101"/>
      <c r="G35" s="101"/>
      <c r="H35" s="102"/>
      <c r="I35" s="100"/>
      <c r="J35" s="101"/>
      <c r="K35" s="101"/>
      <c r="L35" s="101"/>
      <c r="M35" s="101"/>
      <c r="N35" s="101"/>
      <c r="O35" s="101"/>
      <c r="P35" s="101"/>
      <c r="Q35" s="101"/>
      <c r="R35" s="102"/>
      <c r="S35" s="100"/>
      <c r="T35" s="101"/>
      <c r="U35" s="101"/>
      <c r="V35" s="101"/>
      <c r="W35" s="101"/>
      <c r="X35" s="102"/>
      <c r="Y35" s="100"/>
      <c r="Z35" s="101"/>
      <c r="AA35" s="101"/>
      <c r="AB35" s="101"/>
      <c r="AC35" s="101"/>
      <c r="AD35" s="101"/>
      <c r="AE35" s="101"/>
      <c r="AF35" s="101"/>
      <c r="AG35" s="101"/>
      <c r="AH35" s="101"/>
      <c r="AI35" s="101"/>
      <c r="AJ35" s="101"/>
      <c r="AK35" s="101"/>
      <c r="AL35" s="101"/>
      <c r="AM35" s="101"/>
      <c r="AN35" s="101"/>
      <c r="AO35" s="127"/>
      <c r="AZ35" s="93" t="s">
        <v>1140</v>
      </c>
      <c r="BB35" s="93" t="s">
        <v>1141</v>
      </c>
      <c r="BD35" s="93" t="s">
        <v>1142</v>
      </c>
    </row>
    <row r="36" spans="1:63" ht="30" customHeight="1">
      <c r="A36" s="644" t="s">
        <v>1136</v>
      </c>
      <c r="B36" s="645"/>
      <c r="C36" s="645"/>
      <c r="D36" s="645"/>
      <c r="E36" s="645"/>
      <c r="F36" s="645"/>
      <c r="G36" s="645"/>
      <c r="H36" s="646"/>
      <c r="I36" s="114"/>
      <c r="J36" s="115" t="str">
        <f>AZ36&amp;"　"&amp;BB36</f>
        <v>　</v>
      </c>
      <c r="K36" s="115"/>
      <c r="L36" s="115"/>
      <c r="M36" s="115"/>
      <c r="N36" s="115"/>
      <c r="O36" s="115"/>
      <c r="P36" s="115"/>
      <c r="Q36" s="115"/>
      <c r="R36" s="116"/>
      <c r="S36" s="114"/>
      <c r="T36" s="647" t="s">
        <v>1133</v>
      </c>
      <c r="U36" s="647"/>
      <c r="V36" s="647"/>
      <c r="W36" s="647"/>
      <c r="X36" s="116"/>
      <c r="Y36" s="114"/>
      <c r="Z36" s="115" t="str">
        <f>IF($BD36="大正","Ⓣ","Ｔ")</f>
        <v>Ｔ</v>
      </c>
      <c r="AA36" s="115" t="s">
        <v>1135</v>
      </c>
      <c r="AB36" s="115" t="str">
        <f>IF($BD36="昭和","Ⓢ","Ｓ")</f>
        <v>Ｓ</v>
      </c>
      <c r="AC36" s="115" t="s">
        <v>1135</v>
      </c>
      <c r="AD36" s="115" t="str">
        <f>IF($BD36="平成","Ⓗ","Ｈ")</f>
        <v>Ｈ</v>
      </c>
      <c r="AE36" s="115"/>
      <c r="AF36" s="648" t="str">
        <f>DBCS(BF36)</f>
        <v/>
      </c>
      <c r="AG36" s="648"/>
      <c r="AH36" s="115" t="s">
        <v>244</v>
      </c>
      <c r="AI36" s="648" t="str">
        <f>DBCS(BH36)</f>
        <v/>
      </c>
      <c r="AJ36" s="648"/>
      <c r="AK36" s="115" t="s">
        <v>245</v>
      </c>
      <c r="AL36" s="655" t="str">
        <f>DBCS(BJ36)</f>
        <v/>
      </c>
      <c r="AM36" s="655"/>
      <c r="AN36" s="115" t="s">
        <v>246</v>
      </c>
      <c r="AO36" s="130"/>
      <c r="AQ36" s="93" t="str">
        <f>A36</f>
        <v>監理技術者補佐氏名</v>
      </c>
      <c r="AZ36" s="141"/>
      <c r="BB36" s="141"/>
      <c r="BD36" s="142"/>
      <c r="BF36" s="142"/>
      <c r="BG36" s="93" t="s">
        <v>244</v>
      </c>
      <c r="BH36" s="142"/>
      <c r="BI36" s="93" t="s">
        <v>245</v>
      </c>
      <c r="BJ36" s="142"/>
      <c r="BK36" s="93" t="s">
        <v>246</v>
      </c>
    </row>
    <row r="37" spans="1:63" ht="30" customHeight="1" thickBot="1">
      <c r="A37" s="136"/>
      <c r="B37" s="649" t="s">
        <v>1137</v>
      </c>
      <c r="C37" s="649"/>
      <c r="D37" s="649"/>
      <c r="E37" s="649"/>
      <c r="F37" s="649"/>
      <c r="G37" s="649"/>
      <c r="H37" s="137"/>
      <c r="I37" s="138"/>
      <c r="J37" s="139" t="str">
        <f>AZ37&amp;"　"&amp;BB37</f>
        <v>　</v>
      </c>
      <c r="K37" s="139"/>
      <c r="L37" s="139"/>
      <c r="M37" s="139"/>
      <c r="N37" s="139"/>
      <c r="O37" s="139"/>
      <c r="P37" s="139"/>
      <c r="Q37" s="139"/>
      <c r="R37" s="137"/>
      <c r="S37" s="138"/>
      <c r="T37" s="649" t="s">
        <v>1133</v>
      </c>
      <c r="U37" s="649"/>
      <c r="V37" s="649"/>
      <c r="W37" s="649"/>
      <c r="X37" s="137"/>
      <c r="Y37" s="138"/>
      <c r="Z37" s="139" t="str">
        <f>IF($BD37="大正","Ⓣ","Ｔ")</f>
        <v>Ｔ</v>
      </c>
      <c r="AA37" s="139" t="s">
        <v>1135</v>
      </c>
      <c r="AB37" s="139" t="str">
        <f>IF($BD37="昭和","Ⓢ","Ｓ")</f>
        <v>Ｓ</v>
      </c>
      <c r="AC37" s="139" t="s">
        <v>1135</v>
      </c>
      <c r="AD37" s="139" t="str">
        <f>IF($BD37="平成","Ⓗ","Ｈ")</f>
        <v>Ｈ</v>
      </c>
      <c r="AE37" s="139"/>
      <c r="AF37" s="656" t="str">
        <f>DBCS(BF37)</f>
        <v/>
      </c>
      <c r="AG37" s="656"/>
      <c r="AH37" s="139" t="s">
        <v>244</v>
      </c>
      <c r="AI37" s="656" t="str">
        <f>DBCS(BH37)</f>
        <v/>
      </c>
      <c r="AJ37" s="656"/>
      <c r="AK37" s="139" t="s">
        <v>245</v>
      </c>
      <c r="AL37" s="657" t="str">
        <f>DBCS(BJ37)</f>
        <v/>
      </c>
      <c r="AM37" s="657"/>
      <c r="AN37" s="139" t="s">
        <v>246</v>
      </c>
      <c r="AO37" s="140"/>
      <c r="AQ37" s="93" t="str">
        <f>B37</f>
        <v>専門技術者氏名</v>
      </c>
      <c r="AZ37" s="141"/>
      <c r="BB37" s="141"/>
      <c r="BD37" s="142"/>
      <c r="BF37" s="142"/>
      <c r="BG37" s="93" t="s">
        <v>244</v>
      </c>
      <c r="BH37" s="142"/>
      <c r="BI37" s="93" t="s">
        <v>245</v>
      </c>
      <c r="BJ37" s="142"/>
      <c r="BK37" s="93" t="s">
        <v>246</v>
      </c>
    </row>
    <row r="38" spans="1:63" ht="15" customHeight="1">
      <c r="A38" s="119"/>
      <c r="B38" s="120"/>
      <c r="C38" s="120"/>
      <c r="D38" s="120"/>
      <c r="E38" s="120"/>
      <c r="F38" s="120" t="s">
        <v>1138</v>
      </c>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c r="AL38" s="120"/>
      <c r="AM38" s="120"/>
      <c r="AN38" s="120"/>
      <c r="AO38" s="123"/>
    </row>
    <row r="39" spans="1:63" ht="15" customHeight="1">
      <c r="A39" s="124"/>
      <c r="AO39" s="125"/>
    </row>
    <row r="40" spans="1:63" ht="15" customHeight="1">
      <c r="A40" s="124"/>
      <c r="E40" s="93" t="str">
        <f>契約日ほか!AD20</f>
        <v>令和　　　年　　　月　　　日</v>
      </c>
      <c r="AO40" s="125"/>
    </row>
    <row r="41" spans="1:63" ht="15" customHeight="1">
      <c r="A41" s="124"/>
      <c r="AO41" s="125"/>
    </row>
    <row r="42" spans="1:63" ht="15" customHeight="1">
      <c r="A42" s="124"/>
      <c r="F42" s="448" t="s">
        <v>403</v>
      </c>
      <c r="G42" s="448"/>
      <c r="H42" s="448"/>
      <c r="I42" s="448"/>
      <c r="J42" s="448"/>
      <c r="K42" s="448"/>
      <c r="AO42" s="125"/>
    </row>
    <row r="43" spans="1:63" ht="15" customHeight="1">
      <c r="A43" s="124"/>
      <c r="H43" s="448" t="s">
        <v>108</v>
      </c>
      <c r="I43" s="448"/>
      <c r="J43" s="448"/>
      <c r="K43" s="448"/>
      <c r="L43" s="448"/>
      <c r="O43" s="93" t="str">
        <f ca="1">受注者情報!K8</f>
        <v/>
      </c>
      <c r="AO43" s="125"/>
    </row>
    <row r="44" spans="1:63" ht="15" customHeight="1">
      <c r="A44" s="124"/>
      <c r="AO44" s="125"/>
    </row>
    <row r="45" spans="1:63" ht="15" customHeight="1">
      <c r="A45" s="124"/>
      <c r="H45" s="448" t="s">
        <v>265</v>
      </c>
      <c r="I45" s="448"/>
      <c r="J45" s="448"/>
      <c r="K45" s="448"/>
      <c r="L45" s="448"/>
      <c r="O45" s="93" t="str">
        <f ca="1">受注者情報!K10</f>
        <v>　</v>
      </c>
      <c r="AO45" s="125"/>
    </row>
    <row r="46" spans="1:63" ht="15" customHeight="1">
      <c r="A46" s="124"/>
      <c r="AO46" s="125"/>
    </row>
    <row r="47" spans="1:63" ht="15" customHeight="1">
      <c r="A47" s="124"/>
      <c r="H47" s="448" t="s">
        <v>404</v>
      </c>
      <c r="I47" s="448"/>
      <c r="J47" s="448"/>
      <c r="K47" s="448"/>
      <c r="L47" s="448"/>
      <c r="O47" s="93" t="str">
        <f ca="1">受注者情報!K12&amp;受注者情報!K13&amp;"　　㊞"</f>
        <v>　　　　㊞</v>
      </c>
      <c r="AO47" s="125"/>
    </row>
    <row r="48" spans="1:63" ht="15" customHeight="1">
      <c r="A48" s="124"/>
      <c r="AO48" s="125"/>
    </row>
    <row r="49" spans="1:43" ht="15" customHeight="1">
      <c r="A49" s="124"/>
      <c r="H49" s="448" t="s">
        <v>1139</v>
      </c>
      <c r="I49" s="448"/>
      <c r="J49" s="448"/>
      <c r="K49" s="448"/>
      <c r="L49" s="448"/>
      <c r="O49" s="93" t="s">
        <v>1143</v>
      </c>
      <c r="P49" s="93" t="s">
        <v>1135</v>
      </c>
      <c r="Q49" s="93" t="s">
        <v>1144</v>
      </c>
      <c r="S49" s="463" t="str">
        <f>DBCS(受注者情報!T8)</f>
        <v/>
      </c>
      <c r="T49" s="463"/>
      <c r="V49" s="93" t="s">
        <v>1145</v>
      </c>
      <c r="X49" s="463" t="str">
        <f>DBCS(受注者情報!V8)</f>
        <v/>
      </c>
      <c r="Y49" s="463"/>
      <c r="Z49" s="463"/>
      <c r="AA49" s="463"/>
      <c r="AB49" s="463"/>
      <c r="AD49" s="93" t="s">
        <v>1146</v>
      </c>
      <c r="AO49" s="125"/>
      <c r="AQ49" s="155">
        <f>受注者情報!R8</f>
        <v>0</v>
      </c>
    </row>
    <row r="50" spans="1:43" ht="15" customHeight="1">
      <c r="A50" s="124"/>
      <c r="AO50" s="125"/>
    </row>
    <row r="51" spans="1:43" ht="15" customHeight="1">
      <c r="A51" s="124"/>
      <c r="B51" s="463" t="s">
        <v>71</v>
      </c>
      <c r="C51" s="463"/>
      <c r="D51" s="463"/>
      <c r="G51" s="93" t="str">
        <f>入札結果!G8&amp;"　　殿"</f>
        <v>　　殿</v>
      </c>
      <c r="AO51" s="125"/>
    </row>
    <row r="52" spans="1:43" ht="15" customHeight="1">
      <c r="A52" s="124"/>
      <c r="AO52" s="125"/>
    </row>
    <row r="53" spans="1:43" ht="15" customHeight="1" thickBot="1">
      <c r="A53" s="131"/>
      <c r="B53" s="132"/>
      <c r="C53" s="132"/>
      <c r="D53" s="132"/>
      <c r="E53" s="132"/>
      <c r="F53" s="132"/>
      <c r="G53" s="132"/>
      <c r="H53" s="132"/>
      <c r="I53" s="132"/>
      <c r="J53" s="132"/>
      <c r="K53" s="132"/>
      <c r="L53" s="132"/>
      <c r="M53" s="132"/>
      <c r="N53" s="132"/>
      <c r="O53" s="132"/>
      <c r="P53" s="132"/>
      <c r="Q53" s="132"/>
      <c r="R53" s="132"/>
      <c r="S53" s="132"/>
      <c r="T53" s="132"/>
      <c r="U53" s="132"/>
      <c r="V53" s="132"/>
      <c r="W53" s="132"/>
      <c r="X53" s="132"/>
      <c r="Y53" s="132"/>
      <c r="Z53" s="132"/>
      <c r="AA53" s="132"/>
      <c r="AB53" s="132"/>
      <c r="AC53" s="132"/>
      <c r="AD53" s="132"/>
      <c r="AE53" s="132"/>
      <c r="AF53" s="132"/>
      <c r="AG53" s="132"/>
      <c r="AH53" s="132"/>
      <c r="AI53" s="132"/>
      <c r="AJ53" s="132"/>
      <c r="AK53" s="132"/>
      <c r="AL53" s="132"/>
      <c r="AM53" s="132"/>
      <c r="AN53" s="132"/>
      <c r="AO53" s="133"/>
    </row>
    <row r="54" spans="1:43" ht="20.100000000000001" customHeight="1">
      <c r="A54" s="124" t="s">
        <v>1147</v>
      </c>
      <c r="AO54" s="125"/>
    </row>
    <row r="55" spans="1:43" ht="20.100000000000001" customHeight="1">
      <c r="A55" s="124" t="s">
        <v>1148</v>
      </c>
      <c r="AO55" s="125"/>
    </row>
    <row r="56" spans="1:43" ht="20.100000000000001" customHeight="1">
      <c r="A56" s="124" t="s">
        <v>1149</v>
      </c>
      <c r="AO56" s="125"/>
    </row>
    <row r="57" spans="1:43" ht="20.100000000000001" customHeight="1" thickBot="1">
      <c r="A57" s="131" t="s">
        <v>1150</v>
      </c>
      <c r="B57" s="132"/>
      <c r="C57" s="132"/>
      <c r="D57" s="132"/>
      <c r="E57" s="132"/>
      <c r="F57" s="132"/>
      <c r="G57" s="132"/>
      <c r="H57" s="132"/>
      <c r="I57" s="132"/>
      <c r="J57" s="132"/>
      <c r="K57" s="132"/>
      <c r="L57" s="132"/>
      <c r="M57" s="132"/>
      <c r="N57" s="132"/>
      <c r="O57" s="132"/>
      <c r="P57" s="132"/>
      <c r="Q57" s="132"/>
      <c r="R57" s="132"/>
      <c r="S57" s="132"/>
      <c r="T57" s="132"/>
      <c r="U57" s="132"/>
      <c r="V57" s="132"/>
      <c r="W57" s="132"/>
      <c r="X57" s="132"/>
      <c r="Y57" s="132"/>
      <c r="Z57" s="132"/>
      <c r="AA57" s="132"/>
      <c r="AB57" s="132"/>
      <c r="AC57" s="132"/>
      <c r="AD57" s="132"/>
      <c r="AE57" s="132"/>
      <c r="AF57" s="132"/>
      <c r="AG57" s="132"/>
      <c r="AH57" s="132"/>
      <c r="AI57" s="132"/>
      <c r="AJ57" s="132"/>
      <c r="AK57" s="132"/>
      <c r="AL57" s="132"/>
      <c r="AM57" s="132"/>
      <c r="AN57" s="132"/>
      <c r="AO57" s="133"/>
    </row>
    <row r="58" spans="1:43" ht="20.100000000000001" customHeight="1">
      <c r="A58" s="93" t="s">
        <v>1151</v>
      </c>
    </row>
    <row r="61" spans="1:43" ht="15" customHeight="1">
      <c r="A61" s="93" t="s">
        <v>1154</v>
      </c>
      <c r="AG61" s="447" t="s">
        <v>1152</v>
      </c>
      <c r="AH61" s="447"/>
      <c r="AI61" s="447"/>
      <c r="AJ61" s="447"/>
      <c r="AK61" s="447"/>
      <c r="AL61" s="447"/>
      <c r="AM61" s="447"/>
      <c r="AN61" s="447"/>
    </row>
    <row r="62" spans="1:43" ht="15" customHeight="1">
      <c r="AG62" s="95"/>
      <c r="AH62" s="96"/>
      <c r="AI62" s="96"/>
      <c r="AJ62" s="96"/>
      <c r="AK62" s="96"/>
      <c r="AL62" s="96"/>
      <c r="AM62" s="96"/>
      <c r="AN62" s="97"/>
    </row>
    <row r="63" spans="1:43" ht="15" customHeight="1">
      <c r="E63" s="654" t="s">
        <v>1186</v>
      </c>
      <c r="F63" s="654"/>
      <c r="G63" s="654"/>
      <c r="H63" s="654"/>
      <c r="I63" s="654"/>
      <c r="J63" s="654"/>
      <c r="K63" s="654"/>
      <c r="L63" s="654"/>
      <c r="M63" s="654"/>
      <c r="N63" s="654"/>
      <c r="O63" s="654"/>
      <c r="P63" s="654"/>
      <c r="Q63" s="654"/>
      <c r="R63" s="654"/>
      <c r="S63" s="654"/>
      <c r="T63" s="654"/>
      <c r="U63" s="654"/>
      <c r="V63" s="654"/>
      <c r="W63" s="654"/>
      <c r="X63" s="654"/>
      <c r="Y63" s="654"/>
      <c r="Z63" s="654"/>
      <c r="AA63" s="654"/>
      <c r="AB63" s="654"/>
      <c r="AC63" s="117"/>
      <c r="AD63" s="117"/>
      <c r="AE63" s="117"/>
      <c r="AF63" s="117"/>
      <c r="AG63" s="118"/>
      <c r="AH63" s="117"/>
      <c r="AN63" s="99"/>
    </row>
    <row r="64" spans="1:43" ht="15" customHeight="1">
      <c r="E64" s="654"/>
      <c r="F64" s="654"/>
      <c r="G64" s="654"/>
      <c r="H64" s="654"/>
      <c r="I64" s="654"/>
      <c r="J64" s="654"/>
      <c r="K64" s="654"/>
      <c r="L64" s="654"/>
      <c r="M64" s="654"/>
      <c r="N64" s="654"/>
      <c r="O64" s="654"/>
      <c r="P64" s="654"/>
      <c r="Q64" s="654"/>
      <c r="R64" s="654"/>
      <c r="S64" s="654"/>
      <c r="T64" s="654"/>
      <c r="U64" s="654"/>
      <c r="V64" s="654"/>
      <c r="W64" s="654"/>
      <c r="X64" s="654"/>
      <c r="Y64" s="654"/>
      <c r="Z64" s="654"/>
      <c r="AA64" s="654"/>
      <c r="AB64" s="654"/>
      <c r="AC64" s="117"/>
      <c r="AD64" s="117"/>
      <c r="AE64" s="117"/>
      <c r="AF64" s="117"/>
      <c r="AG64" s="118"/>
      <c r="AH64" s="117"/>
      <c r="AN64" s="99"/>
    </row>
    <row r="65" spans="1:41" ht="15" customHeight="1">
      <c r="AG65" s="98"/>
      <c r="AN65" s="99"/>
    </row>
    <row r="66" spans="1:41" ht="15" customHeight="1">
      <c r="AG66" s="98"/>
      <c r="AN66" s="99"/>
    </row>
    <row r="67" spans="1:41" ht="15" customHeight="1">
      <c r="AG67" s="98"/>
      <c r="AN67" s="99"/>
    </row>
    <row r="68" spans="1:41" ht="15" customHeight="1">
      <c r="AG68" s="98"/>
      <c r="AN68" s="99"/>
    </row>
    <row r="69" spans="1:41" ht="15" customHeight="1">
      <c r="AG69" s="100"/>
      <c r="AH69" s="101"/>
      <c r="AI69" s="101"/>
      <c r="AJ69" s="101"/>
      <c r="AK69" s="101"/>
      <c r="AL69" s="101"/>
      <c r="AM69" s="101"/>
      <c r="AN69" s="102"/>
    </row>
    <row r="70" spans="1:41" ht="15" customHeight="1" thickBot="1"/>
    <row r="71" spans="1:41" ht="15" customHeight="1">
      <c r="A71" s="119"/>
      <c r="B71" s="120"/>
      <c r="C71" s="120"/>
      <c r="D71" s="120"/>
      <c r="E71" s="120"/>
      <c r="F71" s="120"/>
      <c r="G71" s="120"/>
      <c r="H71" s="121"/>
      <c r="I71" s="122"/>
      <c r="J71" s="120"/>
      <c r="K71" s="120"/>
      <c r="L71" s="120"/>
      <c r="M71" s="120"/>
      <c r="N71" s="120"/>
      <c r="O71" s="120"/>
      <c r="P71" s="120"/>
      <c r="Q71" s="120"/>
      <c r="R71" s="120"/>
      <c r="S71" s="120"/>
      <c r="T71" s="120"/>
      <c r="U71" s="120"/>
      <c r="V71" s="120"/>
      <c r="W71" s="120"/>
      <c r="X71" s="120"/>
      <c r="Y71" s="120"/>
      <c r="Z71" s="120"/>
      <c r="AA71" s="120"/>
      <c r="AB71" s="120"/>
      <c r="AC71" s="120"/>
      <c r="AD71" s="120"/>
      <c r="AE71" s="120"/>
      <c r="AF71" s="120"/>
      <c r="AG71" s="120"/>
      <c r="AH71" s="120"/>
      <c r="AI71" s="120"/>
      <c r="AJ71" s="120"/>
      <c r="AK71" s="120"/>
      <c r="AL71" s="120"/>
      <c r="AM71" s="120"/>
      <c r="AN71" s="120"/>
      <c r="AO71" s="123"/>
    </row>
    <row r="72" spans="1:41" ht="15" customHeight="1">
      <c r="A72" s="124"/>
      <c r="B72" s="448" t="s">
        <v>2</v>
      </c>
      <c r="C72" s="448"/>
      <c r="D72" s="448"/>
      <c r="E72" s="448"/>
      <c r="F72" s="448"/>
      <c r="G72" s="448"/>
      <c r="H72" s="99"/>
      <c r="I72" s="98"/>
      <c r="J72" s="93" t="str">
        <f>J13</f>
        <v/>
      </c>
      <c r="AO72" s="125"/>
    </row>
    <row r="73" spans="1:41" ht="15" customHeight="1">
      <c r="A73" s="126"/>
      <c r="B73" s="101"/>
      <c r="C73" s="101"/>
      <c r="D73" s="101"/>
      <c r="E73" s="101"/>
      <c r="F73" s="101"/>
      <c r="G73" s="101"/>
      <c r="H73" s="102"/>
      <c r="I73" s="100"/>
      <c r="J73" s="101"/>
      <c r="K73" s="101"/>
      <c r="L73" s="101"/>
      <c r="M73" s="101"/>
      <c r="N73" s="101"/>
      <c r="O73" s="101"/>
      <c r="P73" s="101"/>
      <c r="Q73" s="101"/>
      <c r="R73" s="101"/>
      <c r="S73" s="101"/>
      <c r="T73" s="101"/>
      <c r="U73" s="101"/>
      <c r="V73" s="101"/>
      <c r="W73" s="101"/>
      <c r="X73" s="101"/>
      <c r="Y73" s="101"/>
      <c r="Z73" s="101"/>
      <c r="AA73" s="101"/>
      <c r="AB73" s="101"/>
      <c r="AC73" s="101"/>
      <c r="AD73" s="101"/>
      <c r="AE73" s="101"/>
      <c r="AF73" s="101"/>
      <c r="AG73" s="101"/>
      <c r="AH73" s="101"/>
      <c r="AI73" s="101"/>
      <c r="AJ73" s="101"/>
      <c r="AK73" s="101"/>
      <c r="AL73" s="101"/>
      <c r="AM73" s="101"/>
      <c r="AN73" s="101"/>
      <c r="AO73" s="127"/>
    </row>
    <row r="74" spans="1:41" ht="15" customHeight="1">
      <c r="A74" s="128"/>
      <c r="B74" s="96"/>
      <c r="C74" s="96"/>
      <c r="D74" s="96"/>
      <c r="E74" s="96"/>
      <c r="F74" s="96"/>
      <c r="G74" s="96"/>
      <c r="H74" s="97"/>
      <c r="I74" s="95"/>
      <c r="J74" s="96"/>
      <c r="K74" s="96"/>
      <c r="L74" s="96"/>
      <c r="M74" s="96"/>
      <c r="N74" s="96"/>
      <c r="O74" s="96"/>
      <c r="P74" s="96"/>
      <c r="Q74" s="96"/>
      <c r="R74" s="96"/>
      <c r="S74" s="96"/>
      <c r="T74" s="96"/>
      <c r="U74" s="96"/>
      <c r="V74" s="96"/>
      <c r="W74" s="96"/>
      <c r="X74" s="96"/>
      <c r="Y74" s="96"/>
      <c r="Z74" s="96"/>
      <c r="AA74" s="96"/>
      <c r="AB74" s="96"/>
      <c r="AC74" s="96"/>
      <c r="AD74" s="96"/>
      <c r="AE74" s="96"/>
      <c r="AF74" s="96"/>
      <c r="AG74" s="96"/>
      <c r="AH74" s="96"/>
      <c r="AI74" s="96"/>
      <c r="AJ74" s="96"/>
      <c r="AK74" s="96"/>
      <c r="AL74" s="96"/>
      <c r="AM74" s="96"/>
      <c r="AN74" s="96"/>
      <c r="AO74" s="129"/>
    </row>
    <row r="75" spans="1:41" ht="15" customHeight="1">
      <c r="A75" s="124"/>
      <c r="B75" s="448" t="s">
        <v>3</v>
      </c>
      <c r="C75" s="448"/>
      <c r="D75" s="448"/>
      <c r="E75" s="448"/>
      <c r="F75" s="448"/>
      <c r="G75" s="448"/>
      <c r="H75" s="99"/>
      <c r="I75" s="98"/>
      <c r="J75" s="93" t="str">
        <f>J16</f>
        <v/>
      </c>
      <c r="AO75" s="125"/>
    </row>
    <row r="76" spans="1:41" ht="15" customHeight="1">
      <c r="A76" s="126"/>
      <c r="B76" s="101"/>
      <c r="C76" s="101"/>
      <c r="D76" s="101"/>
      <c r="E76" s="101"/>
      <c r="F76" s="101"/>
      <c r="G76" s="101"/>
      <c r="H76" s="102"/>
      <c r="I76" s="100"/>
      <c r="J76" s="101"/>
      <c r="K76" s="101"/>
      <c r="L76" s="101"/>
      <c r="M76" s="101"/>
      <c r="N76" s="101"/>
      <c r="O76" s="101"/>
      <c r="P76" s="101"/>
      <c r="Q76" s="101"/>
      <c r="R76" s="101"/>
      <c r="S76" s="101"/>
      <c r="T76" s="101"/>
      <c r="U76" s="101"/>
      <c r="V76" s="101"/>
      <c r="W76" s="101"/>
      <c r="X76" s="101"/>
      <c r="Y76" s="101"/>
      <c r="Z76" s="101"/>
      <c r="AA76" s="101"/>
      <c r="AB76" s="101"/>
      <c r="AC76" s="101"/>
      <c r="AD76" s="101"/>
      <c r="AE76" s="101"/>
      <c r="AF76" s="101"/>
      <c r="AG76" s="101"/>
      <c r="AH76" s="101"/>
      <c r="AI76" s="101"/>
      <c r="AJ76" s="101"/>
      <c r="AK76" s="101"/>
      <c r="AL76" s="101"/>
      <c r="AM76" s="101"/>
      <c r="AN76" s="101"/>
      <c r="AO76" s="127"/>
    </row>
    <row r="77" spans="1:41" ht="15" customHeight="1">
      <c r="A77" s="128"/>
      <c r="B77" s="96"/>
      <c r="C77" s="96"/>
      <c r="D77" s="96"/>
      <c r="E77" s="96"/>
      <c r="F77" s="96"/>
      <c r="G77" s="96"/>
      <c r="H77" s="97"/>
      <c r="I77" s="95"/>
      <c r="J77" s="96"/>
      <c r="K77" s="96"/>
      <c r="L77" s="96"/>
      <c r="M77" s="96"/>
      <c r="N77" s="96"/>
      <c r="O77" s="96"/>
      <c r="P77" s="96"/>
      <c r="Q77" s="96"/>
      <c r="R77" s="96"/>
      <c r="S77" s="96"/>
      <c r="T77" s="96"/>
      <c r="U77" s="96"/>
      <c r="V77" s="96"/>
      <c r="W77" s="96"/>
      <c r="X77" s="96"/>
      <c r="Y77" s="96"/>
      <c r="Z77" s="96"/>
      <c r="AA77" s="96"/>
      <c r="AB77" s="96"/>
      <c r="AC77" s="96"/>
      <c r="AD77" s="96"/>
      <c r="AE77" s="96"/>
      <c r="AF77" s="96"/>
      <c r="AG77" s="96"/>
      <c r="AH77" s="96"/>
      <c r="AI77" s="96"/>
      <c r="AJ77" s="96"/>
      <c r="AK77" s="96"/>
      <c r="AL77" s="96"/>
      <c r="AM77" s="96"/>
      <c r="AN77" s="96"/>
      <c r="AO77" s="129"/>
    </row>
    <row r="78" spans="1:41" ht="15" customHeight="1">
      <c r="A78" s="124"/>
      <c r="B78" s="448" t="s">
        <v>4</v>
      </c>
      <c r="C78" s="448"/>
      <c r="D78" s="448"/>
      <c r="E78" s="448"/>
      <c r="F78" s="448"/>
      <c r="G78" s="448"/>
      <c r="H78" s="99"/>
      <c r="I78" s="98"/>
      <c r="J78" s="93" t="e">
        <f>J19</f>
        <v>#VALUE!</v>
      </c>
      <c r="AO78" s="125"/>
    </row>
    <row r="79" spans="1:41" ht="15" customHeight="1">
      <c r="A79" s="126"/>
      <c r="B79" s="101"/>
      <c r="C79" s="101"/>
      <c r="D79" s="101"/>
      <c r="E79" s="101"/>
      <c r="F79" s="101"/>
      <c r="G79" s="101"/>
      <c r="H79" s="102"/>
      <c r="I79" s="100"/>
      <c r="J79" s="101"/>
      <c r="K79" s="101"/>
      <c r="L79" s="101"/>
      <c r="M79" s="101"/>
      <c r="N79" s="101"/>
      <c r="O79" s="101"/>
      <c r="P79" s="101"/>
      <c r="Q79" s="101"/>
      <c r="R79" s="101"/>
      <c r="S79" s="101"/>
      <c r="T79" s="101"/>
      <c r="U79" s="101"/>
      <c r="V79" s="101"/>
      <c r="W79" s="101"/>
      <c r="X79" s="101"/>
      <c r="Y79" s="101"/>
      <c r="Z79" s="101"/>
      <c r="AA79" s="101"/>
      <c r="AB79" s="101"/>
      <c r="AC79" s="101"/>
      <c r="AD79" s="101"/>
      <c r="AE79" s="101"/>
      <c r="AF79" s="101"/>
      <c r="AG79" s="101"/>
      <c r="AH79" s="101"/>
      <c r="AI79" s="101"/>
      <c r="AJ79" s="101"/>
      <c r="AK79" s="101"/>
      <c r="AL79" s="101"/>
      <c r="AM79" s="101"/>
      <c r="AN79" s="101"/>
      <c r="AO79" s="127"/>
    </row>
    <row r="80" spans="1:41" ht="15" customHeight="1">
      <c r="A80" s="128"/>
      <c r="B80" s="449" t="s">
        <v>1128</v>
      </c>
      <c r="C80" s="652"/>
      <c r="D80" s="652"/>
      <c r="E80" s="652"/>
      <c r="F80" s="652"/>
      <c r="G80" s="652"/>
      <c r="H80" s="97"/>
      <c r="I80" s="95"/>
      <c r="J80" s="96"/>
      <c r="K80" s="96"/>
      <c r="L80" s="96"/>
      <c r="M80" s="96"/>
      <c r="N80" s="96"/>
      <c r="O80" s="96"/>
      <c r="P80" s="96"/>
      <c r="Q80" s="96"/>
      <c r="R80" s="96"/>
      <c r="S80" s="96"/>
      <c r="T80" s="96"/>
      <c r="U80" s="96"/>
      <c r="V80" s="96"/>
      <c r="W80" s="96"/>
      <c r="X80" s="96"/>
      <c r="Y80" s="96"/>
      <c r="Z80" s="96"/>
      <c r="AA80" s="96"/>
      <c r="AB80" s="96"/>
      <c r="AC80" s="96"/>
      <c r="AD80" s="96"/>
      <c r="AE80" s="96"/>
      <c r="AF80" s="96"/>
      <c r="AG80" s="96"/>
      <c r="AH80" s="96"/>
      <c r="AI80" s="96"/>
      <c r="AJ80" s="96"/>
      <c r="AK80" s="96"/>
      <c r="AL80" s="96"/>
      <c r="AM80" s="96"/>
      <c r="AN80" s="96"/>
      <c r="AO80" s="129"/>
    </row>
    <row r="81" spans="1:41" ht="15" customHeight="1">
      <c r="A81" s="124"/>
      <c r="B81" s="448"/>
      <c r="C81" s="448"/>
      <c r="D81" s="448"/>
      <c r="E81" s="448"/>
      <c r="F81" s="448"/>
      <c r="G81" s="448"/>
      <c r="H81" s="99"/>
      <c r="I81" s="98"/>
      <c r="AO81" s="125"/>
    </row>
    <row r="82" spans="1:41" ht="15" customHeight="1" thickBot="1">
      <c r="A82" s="131"/>
      <c r="B82" s="653"/>
      <c r="C82" s="653"/>
      <c r="D82" s="653"/>
      <c r="E82" s="653"/>
      <c r="F82" s="653"/>
      <c r="G82" s="653"/>
      <c r="H82" s="134"/>
      <c r="I82" s="135"/>
      <c r="J82" s="132"/>
      <c r="K82" s="132"/>
      <c r="L82" s="132"/>
      <c r="M82" s="132"/>
      <c r="N82" s="132"/>
      <c r="O82" s="132"/>
      <c r="P82" s="132"/>
      <c r="Q82" s="132"/>
      <c r="R82" s="132"/>
      <c r="S82" s="132"/>
      <c r="T82" s="132"/>
      <c r="U82" s="132"/>
      <c r="V82" s="132"/>
      <c r="W82" s="132"/>
      <c r="X82" s="132"/>
      <c r="Y82" s="132"/>
      <c r="Z82" s="132"/>
      <c r="AA82" s="132"/>
      <c r="AB82" s="132"/>
      <c r="AC82" s="132"/>
      <c r="AD82" s="132"/>
      <c r="AE82" s="132"/>
      <c r="AF82" s="132"/>
      <c r="AG82" s="132"/>
      <c r="AH82" s="132"/>
      <c r="AI82" s="132"/>
      <c r="AJ82" s="132"/>
      <c r="AK82" s="132"/>
      <c r="AL82" s="132"/>
      <c r="AM82" s="132"/>
      <c r="AN82" s="132"/>
      <c r="AO82" s="133"/>
    </row>
    <row r="83" spans="1:41" ht="15" customHeight="1">
      <c r="A83" s="119"/>
      <c r="B83" s="120"/>
      <c r="C83" s="120"/>
      <c r="D83" s="120"/>
      <c r="E83" s="120"/>
      <c r="F83" s="120"/>
      <c r="G83" s="120"/>
      <c r="H83" s="121"/>
      <c r="I83" s="122"/>
      <c r="J83" s="120"/>
      <c r="K83" s="120"/>
      <c r="L83" s="120"/>
      <c r="M83" s="120"/>
      <c r="N83" s="120"/>
      <c r="O83" s="120"/>
      <c r="P83" s="120"/>
      <c r="Q83" s="120"/>
      <c r="R83" s="120"/>
      <c r="S83" s="120"/>
      <c r="T83" s="120"/>
      <c r="U83" s="120"/>
      <c r="V83" s="120"/>
      <c r="W83" s="120"/>
      <c r="X83" s="120"/>
      <c r="Y83" s="120"/>
      <c r="Z83" s="120"/>
      <c r="AA83" s="120"/>
      <c r="AB83" s="120"/>
      <c r="AC83" s="120"/>
      <c r="AD83" s="120"/>
      <c r="AE83" s="120"/>
      <c r="AF83" s="120"/>
      <c r="AG83" s="120"/>
      <c r="AH83" s="120"/>
      <c r="AI83" s="120"/>
      <c r="AJ83" s="120"/>
      <c r="AK83" s="120"/>
      <c r="AL83" s="120"/>
      <c r="AM83" s="120"/>
      <c r="AN83" s="120"/>
      <c r="AO83" s="123"/>
    </row>
    <row r="84" spans="1:41" ht="15" customHeight="1">
      <c r="A84" s="124"/>
      <c r="B84" s="448" t="s">
        <v>119</v>
      </c>
      <c r="C84" s="448"/>
      <c r="D84" s="448"/>
      <c r="E84" s="448"/>
      <c r="F84" s="448"/>
      <c r="G84" s="448"/>
      <c r="H84" s="99"/>
      <c r="I84" s="98"/>
      <c r="X84" s="94" t="str">
        <f>X25</f>
        <v>　円</v>
      </c>
      <c r="Z84" s="93" t="s">
        <v>1187</v>
      </c>
      <c r="AO84" s="125"/>
    </row>
    <row r="85" spans="1:41" ht="15" customHeight="1">
      <c r="A85" s="126"/>
      <c r="B85" s="101"/>
      <c r="C85" s="101"/>
      <c r="D85" s="101"/>
      <c r="E85" s="101"/>
      <c r="F85" s="101"/>
      <c r="G85" s="101"/>
      <c r="H85" s="102"/>
      <c r="I85" s="100"/>
      <c r="J85" s="101"/>
      <c r="K85" s="101"/>
      <c r="L85" s="101"/>
      <c r="M85" s="101"/>
      <c r="N85" s="101"/>
      <c r="O85" s="101"/>
      <c r="P85" s="101"/>
      <c r="Q85" s="101"/>
      <c r="R85" s="101"/>
      <c r="S85" s="101"/>
      <c r="T85" s="101"/>
      <c r="U85" s="101"/>
      <c r="V85" s="101"/>
      <c r="W85" s="101"/>
      <c r="X85" s="101"/>
      <c r="Y85" s="101"/>
      <c r="Z85" s="101"/>
      <c r="AA85" s="101"/>
      <c r="AB85" s="101"/>
      <c r="AC85" s="101"/>
      <c r="AD85" s="101"/>
      <c r="AE85" s="101"/>
      <c r="AF85" s="101"/>
      <c r="AG85" s="101"/>
      <c r="AH85" s="101"/>
      <c r="AI85" s="101"/>
      <c r="AJ85" s="101"/>
      <c r="AK85" s="101"/>
      <c r="AL85" s="101"/>
      <c r="AM85" s="101"/>
      <c r="AN85" s="101"/>
      <c r="AO85" s="127"/>
    </row>
    <row r="86" spans="1:41" ht="15" customHeight="1">
      <c r="A86" s="128"/>
      <c r="B86" s="96"/>
      <c r="C86" s="96"/>
      <c r="D86" s="96"/>
      <c r="E86" s="96"/>
      <c r="F86" s="96"/>
      <c r="G86" s="96"/>
      <c r="H86" s="97"/>
      <c r="I86" s="95"/>
      <c r="J86" s="96"/>
      <c r="K86" s="96"/>
      <c r="L86" s="96"/>
      <c r="M86" s="96"/>
      <c r="N86" s="96"/>
      <c r="O86" s="96"/>
      <c r="P86" s="96"/>
      <c r="Q86" s="96"/>
      <c r="R86" s="96"/>
      <c r="S86" s="96"/>
      <c r="T86" s="96"/>
      <c r="U86" s="96"/>
      <c r="V86" s="96"/>
      <c r="W86" s="96"/>
      <c r="X86" s="96"/>
      <c r="Y86" s="96"/>
      <c r="Z86" s="96"/>
      <c r="AA86" s="96"/>
      <c r="AB86" s="96"/>
      <c r="AC86" s="96"/>
      <c r="AD86" s="96"/>
      <c r="AE86" s="96"/>
      <c r="AF86" s="96"/>
      <c r="AG86" s="96"/>
      <c r="AH86" s="96"/>
      <c r="AI86" s="96"/>
      <c r="AJ86" s="96"/>
      <c r="AK86" s="96"/>
      <c r="AL86" s="96"/>
      <c r="AM86" s="96"/>
      <c r="AN86" s="96"/>
      <c r="AO86" s="129"/>
    </row>
    <row r="87" spans="1:41" ht="15" customHeight="1">
      <c r="A87" s="124"/>
      <c r="B87" s="448" t="s">
        <v>1127</v>
      </c>
      <c r="C87" s="448"/>
      <c r="D87" s="448"/>
      <c r="E87" s="448"/>
      <c r="F87" s="448"/>
      <c r="G87" s="448"/>
      <c r="H87" s="99"/>
      <c r="I87" s="98"/>
      <c r="J87" s="93" t="str">
        <f>J28</f>
        <v>　</v>
      </c>
      <c r="Z87" s="93" t="str">
        <f>Z28</f>
        <v>Ｔ</v>
      </c>
      <c r="AA87" s="93" t="s">
        <v>1135</v>
      </c>
      <c r="AB87" s="93" t="str">
        <f>AB28</f>
        <v>Ｓ</v>
      </c>
      <c r="AC87" s="93" t="s">
        <v>1135</v>
      </c>
      <c r="AD87" s="93" t="str">
        <f>AD28</f>
        <v>Ｈ</v>
      </c>
      <c r="AF87" s="650" t="str">
        <f>AF28</f>
        <v/>
      </c>
      <c r="AG87" s="650"/>
      <c r="AH87" s="93" t="s">
        <v>244</v>
      </c>
      <c r="AI87" s="650" t="str">
        <f>AI28</f>
        <v/>
      </c>
      <c r="AJ87" s="650"/>
      <c r="AK87" s="93" t="s">
        <v>245</v>
      </c>
      <c r="AL87" s="650" t="str">
        <f>AL28</f>
        <v/>
      </c>
      <c r="AM87" s="650"/>
      <c r="AN87" s="93" t="s">
        <v>246</v>
      </c>
      <c r="AO87" s="125"/>
    </row>
    <row r="88" spans="1:41" ht="15" customHeight="1" thickBot="1">
      <c r="A88" s="131"/>
      <c r="B88" s="651" t="s">
        <v>1129</v>
      </c>
      <c r="C88" s="651"/>
      <c r="D88" s="651"/>
      <c r="E88" s="651"/>
      <c r="F88" s="651"/>
      <c r="G88" s="651"/>
      <c r="H88" s="134"/>
      <c r="I88" s="135"/>
      <c r="J88" s="132"/>
      <c r="K88" s="132"/>
      <c r="L88" s="132"/>
      <c r="M88" s="132"/>
      <c r="N88" s="132"/>
      <c r="O88" s="132"/>
      <c r="P88" s="132"/>
      <c r="Q88" s="132"/>
      <c r="R88" s="132"/>
      <c r="S88" s="132"/>
      <c r="T88" s="132"/>
      <c r="U88" s="132"/>
      <c r="V88" s="132"/>
      <c r="W88" s="132"/>
      <c r="X88" s="132"/>
      <c r="Y88" s="132"/>
      <c r="Z88" s="132"/>
      <c r="AA88" s="132"/>
      <c r="AB88" s="132"/>
      <c r="AC88" s="132"/>
      <c r="AD88" s="132"/>
      <c r="AE88" s="132"/>
      <c r="AF88" s="132"/>
      <c r="AG88" s="132"/>
      <c r="AH88" s="132"/>
      <c r="AI88" s="132"/>
      <c r="AJ88" s="132"/>
      <c r="AK88" s="132"/>
      <c r="AL88" s="132"/>
      <c r="AM88" s="132"/>
      <c r="AN88" s="132"/>
      <c r="AO88" s="133"/>
    </row>
    <row r="89" spans="1:41" ht="15" customHeight="1">
      <c r="A89" s="119"/>
      <c r="B89" s="120"/>
      <c r="C89" s="120"/>
      <c r="D89" s="120"/>
      <c r="E89" s="120"/>
      <c r="F89" s="120"/>
      <c r="G89" s="120"/>
      <c r="H89" s="121"/>
      <c r="I89" s="122"/>
      <c r="J89" s="120"/>
      <c r="K89" s="120"/>
      <c r="L89" s="120" t="s">
        <v>1131</v>
      </c>
      <c r="M89" s="120"/>
      <c r="N89" s="120"/>
      <c r="O89" s="120"/>
      <c r="P89" s="120"/>
      <c r="Q89" s="120"/>
      <c r="R89" s="121"/>
      <c r="S89" s="122"/>
      <c r="T89" s="120"/>
      <c r="U89" s="120"/>
      <c r="V89" s="120"/>
      <c r="W89" s="120"/>
      <c r="X89" s="121"/>
      <c r="Y89" s="122"/>
      <c r="Z89" s="120"/>
      <c r="AA89" s="120"/>
      <c r="AB89" s="120"/>
      <c r="AC89" s="120"/>
      <c r="AD89" s="120"/>
      <c r="AE89" s="120"/>
      <c r="AF89" s="120"/>
      <c r="AG89" s="120"/>
      <c r="AH89" s="120"/>
      <c r="AI89" s="120"/>
      <c r="AJ89" s="120"/>
      <c r="AK89" s="120"/>
      <c r="AL89" s="120"/>
      <c r="AM89" s="120"/>
      <c r="AN89" s="120"/>
      <c r="AO89" s="123"/>
    </row>
    <row r="90" spans="1:41" ht="15" customHeight="1">
      <c r="A90" s="124"/>
      <c r="H90" s="99"/>
      <c r="I90" s="98"/>
      <c r="R90" s="99"/>
      <c r="S90" s="98"/>
      <c r="T90" s="448" t="s">
        <v>1132</v>
      </c>
      <c r="U90" s="448"/>
      <c r="V90" s="448"/>
      <c r="W90" s="448"/>
      <c r="X90" s="99"/>
      <c r="Y90" s="98"/>
      <c r="Z90" s="93" t="str">
        <f>Z31</f>
        <v>　</v>
      </c>
      <c r="AO90" s="125"/>
    </row>
    <row r="91" spans="1:41" ht="15" customHeight="1">
      <c r="A91" s="124"/>
      <c r="B91" s="450" t="s">
        <v>1134</v>
      </c>
      <c r="C91" s="448"/>
      <c r="D91" s="448"/>
      <c r="E91" s="448"/>
      <c r="F91" s="448"/>
      <c r="G91" s="448"/>
      <c r="H91" s="99"/>
      <c r="I91" s="98"/>
      <c r="J91" s="103" t="str">
        <f>J32</f>
        <v>①</v>
      </c>
      <c r="L91" s="93" t="s">
        <v>194</v>
      </c>
      <c r="R91" s="99"/>
      <c r="S91" s="100"/>
      <c r="T91" s="101"/>
      <c r="U91" s="101"/>
      <c r="V91" s="101"/>
      <c r="W91" s="101"/>
      <c r="X91" s="102"/>
      <c r="Y91" s="100"/>
      <c r="Z91" s="101"/>
      <c r="AA91" s="101"/>
      <c r="AB91" s="101"/>
      <c r="AC91" s="101"/>
      <c r="AD91" s="101"/>
      <c r="AE91" s="101"/>
      <c r="AF91" s="101"/>
      <c r="AG91" s="101"/>
      <c r="AH91" s="101"/>
      <c r="AI91" s="101"/>
      <c r="AJ91" s="101"/>
      <c r="AK91" s="101"/>
      <c r="AL91" s="101"/>
      <c r="AM91" s="101"/>
      <c r="AN91" s="101"/>
      <c r="AO91" s="127"/>
    </row>
    <row r="92" spans="1:41" ht="15" customHeight="1">
      <c r="A92" s="124"/>
      <c r="B92" s="448"/>
      <c r="C92" s="448"/>
      <c r="D92" s="448"/>
      <c r="E92" s="448"/>
      <c r="F92" s="448"/>
      <c r="G92" s="448"/>
      <c r="H92" s="99"/>
      <c r="I92" s="98"/>
      <c r="J92" s="103" t="str">
        <f>J33</f>
        <v>２</v>
      </c>
      <c r="L92" s="93" t="s">
        <v>195</v>
      </c>
      <c r="R92" s="99"/>
      <c r="S92" s="95"/>
      <c r="T92" s="96"/>
      <c r="U92" s="96"/>
      <c r="V92" s="96"/>
      <c r="W92" s="96"/>
      <c r="X92" s="97"/>
      <c r="Y92" s="95"/>
      <c r="Z92" s="96"/>
      <c r="AA92" s="96"/>
      <c r="AB92" s="96"/>
      <c r="AC92" s="96"/>
      <c r="AD92" s="96"/>
      <c r="AE92" s="96"/>
      <c r="AF92" s="96"/>
      <c r="AG92" s="96"/>
      <c r="AH92" s="96"/>
      <c r="AI92" s="96"/>
      <c r="AJ92" s="96"/>
      <c r="AK92" s="96"/>
      <c r="AL92" s="96"/>
      <c r="AM92" s="96"/>
      <c r="AN92" s="96"/>
      <c r="AO92" s="129"/>
    </row>
    <row r="93" spans="1:41" ht="15" customHeight="1">
      <c r="A93" s="124"/>
      <c r="H93" s="99"/>
      <c r="I93" s="98"/>
      <c r="J93" s="103" t="str">
        <f>J34</f>
        <v>３</v>
      </c>
      <c r="L93" s="93" t="s">
        <v>1130</v>
      </c>
      <c r="R93" s="99"/>
      <c r="S93" s="98"/>
      <c r="T93" s="448" t="s">
        <v>1133</v>
      </c>
      <c r="U93" s="448"/>
      <c r="V93" s="448"/>
      <c r="W93" s="448"/>
      <c r="X93" s="99"/>
      <c r="Y93" s="98"/>
      <c r="Z93" s="93" t="str">
        <f>Z34</f>
        <v>Ｔ</v>
      </c>
      <c r="AA93" s="93" t="s">
        <v>1135</v>
      </c>
      <c r="AB93" s="93" t="str">
        <f>AB34</f>
        <v>Ｓ</v>
      </c>
      <c r="AC93" s="93" t="s">
        <v>1135</v>
      </c>
      <c r="AD93" s="93" t="str">
        <f>AD34</f>
        <v>Ｈ</v>
      </c>
      <c r="AF93" s="650" t="str">
        <f>AF34</f>
        <v/>
      </c>
      <c r="AG93" s="650"/>
      <c r="AH93" s="93" t="s">
        <v>244</v>
      </c>
      <c r="AI93" s="650" t="str">
        <f>AI34</f>
        <v/>
      </c>
      <c r="AJ93" s="650"/>
      <c r="AK93" s="93" t="s">
        <v>245</v>
      </c>
      <c r="AL93" s="650" t="str">
        <f>AL34</f>
        <v/>
      </c>
      <c r="AM93" s="650"/>
      <c r="AN93" s="93" t="s">
        <v>246</v>
      </c>
      <c r="AO93" s="125"/>
    </row>
    <row r="94" spans="1:41" ht="15" customHeight="1">
      <c r="A94" s="126"/>
      <c r="B94" s="101"/>
      <c r="C94" s="101"/>
      <c r="D94" s="101"/>
      <c r="E94" s="101"/>
      <c r="F94" s="101"/>
      <c r="G94" s="101"/>
      <c r="H94" s="102"/>
      <c r="I94" s="100"/>
      <c r="J94" s="101"/>
      <c r="K94" s="101"/>
      <c r="L94" s="101"/>
      <c r="M94" s="101"/>
      <c r="N94" s="101"/>
      <c r="O94" s="101"/>
      <c r="P94" s="101"/>
      <c r="Q94" s="101"/>
      <c r="R94" s="102"/>
      <c r="S94" s="100"/>
      <c r="T94" s="101"/>
      <c r="U94" s="101"/>
      <c r="V94" s="101"/>
      <c r="W94" s="101"/>
      <c r="X94" s="102"/>
      <c r="Y94" s="100"/>
      <c r="Z94" s="101"/>
      <c r="AA94" s="101"/>
      <c r="AB94" s="101"/>
      <c r="AC94" s="101"/>
      <c r="AD94" s="101"/>
      <c r="AE94" s="101"/>
      <c r="AF94" s="101"/>
      <c r="AG94" s="101"/>
      <c r="AH94" s="101"/>
      <c r="AI94" s="101"/>
      <c r="AJ94" s="101"/>
      <c r="AK94" s="101"/>
      <c r="AL94" s="101"/>
      <c r="AM94" s="101"/>
      <c r="AN94" s="101"/>
      <c r="AO94" s="127"/>
    </row>
    <row r="95" spans="1:41" ht="30" customHeight="1">
      <c r="A95" s="644" t="s">
        <v>1136</v>
      </c>
      <c r="B95" s="645"/>
      <c r="C95" s="645"/>
      <c r="D95" s="645"/>
      <c r="E95" s="645"/>
      <c r="F95" s="645"/>
      <c r="G95" s="645"/>
      <c r="H95" s="646"/>
      <c r="I95" s="114"/>
      <c r="J95" s="115" t="str">
        <f>J36</f>
        <v>　</v>
      </c>
      <c r="K95" s="115"/>
      <c r="L95" s="115"/>
      <c r="M95" s="115"/>
      <c r="N95" s="115"/>
      <c r="O95" s="115"/>
      <c r="P95" s="115"/>
      <c r="Q95" s="115"/>
      <c r="R95" s="116"/>
      <c r="S95" s="114"/>
      <c r="T95" s="647" t="s">
        <v>1133</v>
      </c>
      <c r="U95" s="647"/>
      <c r="V95" s="647"/>
      <c r="W95" s="647"/>
      <c r="X95" s="116"/>
      <c r="Y95" s="114"/>
      <c r="Z95" s="115" t="str">
        <f>Z36</f>
        <v>Ｔ</v>
      </c>
      <c r="AA95" s="115" t="s">
        <v>1135</v>
      </c>
      <c r="AB95" s="115" t="str">
        <f>AB36</f>
        <v>Ｓ</v>
      </c>
      <c r="AC95" s="115" t="s">
        <v>1135</v>
      </c>
      <c r="AD95" s="115" t="str">
        <f>AD36</f>
        <v>Ｈ</v>
      </c>
      <c r="AE95" s="115"/>
      <c r="AF95" s="648" t="str">
        <f>AF36</f>
        <v/>
      </c>
      <c r="AG95" s="648"/>
      <c r="AH95" s="115" t="s">
        <v>244</v>
      </c>
      <c r="AI95" s="648" t="str">
        <f>AI36</f>
        <v/>
      </c>
      <c r="AJ95" s="648"/>
      <c r="AK95" s="115" t="s">
        <v>245</v>
      </c>
      <c r="AL95" s="648" t="str">
        <f>AL36</f>
        <v/>
      </c>
      <c r="AM95" s="648"/>
      <c r="AN95" s="115" t="s">
        <v>246</v>
      </c>
      <c r="AO95" s="130"/>
    </row>
    <row r="96" spans="1:41" ht="30" customHeight="1" thickBot="1">
      <c r="A96" s="136"/>
      <c r="B96" s="649" t="s">
        <v>1137</v>
      </c>
      <c r="C96" s="649"/>
      <c r="D96" s="649"/>
      <c r="E96" s="649"/>
      <c r="F96" s="649"/>
      <c r="G96" s="649"/>
      <c r="H96" s="137"/>
      <c r="I96" s="138"/>
      <c r="J96" s="115" t="str">
        <f>J37</f>
        <v>　</v>
      </c>
      <c r="K96" s="139"/>
      <c r="L96" s="139"/>
      <c r="M96" s="139"/>
      <c r="N96" s="139"/>
      <c r="O96" s="139"/>
      <c r="P96" s="139"/>
      <c r="Q96" s="139"/>
      <c r="R96" s="137"/>
      <c r="S96" s="138"/>
      <c r="T96" s="649" t="s">
        <v>1133</v>
      </c>
      <c r="U96" s="649"/>
      <c r="V96" s="649"/>
      <c r="W96" s="649"/>
      <c r="X96" s="137"/>
      <c r="Y96" s="138"/>
      <c r="Z96" s="93" t="str">
        <f>Z37</f>
        <v>Ｔ</v>
      </c>
      <c r="AA96" s="93" t="s">
        <v>1135</v>
      </c>
      <c r="AB96" s="93" t="str">
        <f>AB37</f>
        <v>Ｓ</v>
      </c>
      <c r="AC96" s="93" t="s">
        <v>1135</v>
      </c>
      <c r="AD96" s="93" t="str">
        <f>AD37</f>
        <v>Ｈ</v>
      </c>
      <c r="AE96" s="139"/>
      <c r="AF96" s="650" t="str">
        <f>AF37</f>
        <v/>
      </c>
      <c r="AG96" s="650"/>
      <c r="AH96" s="132" t="s">
        <v>244</v>
      </c>
      <c r="AI96" s="650" t="str">
        <f>AI37</f>
        <v/>
      </c>
      <c r="AJ96" s="650"/>
      <c r="AK96" s="132" t="s">
        <v>245</v>
      </c>
      <c r="AL96" s="650" t="str">
        <f>AL37</f>
        <v/>
      </c>
      <c r="AM96" s="650"/>
      <c r="AN96" s="139" t="s">
        <v>246</v>
      </c>
      <c r="AO96" s="140"/>
    </row>
    <row r="97" spans="1:41" ht="15" customHeight="1">
      <c r="A97" s="119"/>
      <c r="B97" s="120"/>
      <c r="C97" s="120"/>
      <c r="D97" s="120"/>
      <c r="E97" s="120"/>
      <c r="F97" s="120" t="s">
        <v>1138</v>
      </c>
      <c r="G97" s="120"/>
      <c r="H97" s="120"/>
      <c r="I97" s="120"/>
      <c r="J97" s="120"/>
      <c r="K97" s="120"/>
      <c r="L97" s="120"/>
      <c r="M97" s="120"/>
      <c r="N97" s="120"/>
      <c r="O97" s="120"/>
      <c r="P97" s="120"/>
      <c r="Q97" s="120"/>
      <c r="R97" s="120"/>
      <c r="S97" s="120"/>
      <c r="T97" s="120"/>
      <c r="U97" s="120"/>
      <c r="V97" s="120"/>
      <c r="W97" s="120"/>
      <c r="X97" s="120"/>
      <c r="Y97" s="120"/>
      <c r="Z97" s="120"/>
      <c r="AA97" s="120"/>
      <c r="AB97" s="120"/>
      <c r="AC97" s="120"/>
      <c r="AD97" s="120"/>
      <c r="AE97" s="120"/>
      <c r="AF97" s="120"/>
      <c r="AG97" s="120"/>
      <c r="AH97" s="120"/>
      <c r="AI97" s="120"/>
      <c r="AJ97" s="120"/>
      <c r="AK97" s="120"/>
      <c r="AL97" s="120"/>
      <c r="AM97" s="120"/>
      <c r="AN97" s="120"/>
      <c r="AO97" s="123"/>
    </row>
    <row r="98" spans="1:41" ht="15" customHeight="1">
      <c r="A98" s="124"/>
      <c r="AO98" s="125"/>
    </row>
    <row r="99" spans="1:41" ht="15" customHeight="1">
      <c r="A99" s="124"/>
      <c r="E99" s="93" t="str">
        <f>E40</f>
        <v>令和　　　年　　　月　　　日</v>
      </c>
      <c r="AO99" s="125"/>
    </row>
    <row r="100" spans="1:41" ht="15" customHeight="1">
      <c r="A100" s="124"/>
      <c r="AO100" s="125"/>
    </row>
    <row r="101" spans="1:41" ht="15" customHeight="1">
      <c r="A101" s="124"/>
      <c r="F101" s="448" t="s">
        <v>403</v>
      </c>
      <c r="G101" s="448"/>
      <c r="H101" s="448"/>
      <c r="I101" s="448"/>
      <c r="J101" s="448"/>
      <c r="K101" s="448"/>
      <c r="AO101" s="125"/>
    </row>
    <row r="102" spans="1:41" ht="15" customHeight="1">
      <c r="A102" s="124"/>
      <c r="H102" s="448" t="s">
        <v>108</v>
      </c>
      <c r="I102" s="448"/>
      <c r="J102" s="448"/>
      <c r="K102" s="448"/>
      <c r="L102" s="448"/>
      <c r="O102" s="93" t="str">
        <f ca="1">O43</f>
        <v/>
      </c>
      <c r="AO102" s="125"/>
    </row>
    <row r="103" spans="1:41" ht="15" customHeight="1">
      <c r="A103" s="124"/>
      <c r="AO103" s="125"/>
    </row>
    <row r="104" spans="1:41" ht="15" customHeight="1">
      <c r="A104" s="124"/>
      <c r="H104" s="448" t="s">
        <v>265</v>
      </c>
      <c r="I104" s="448"/>
      <c r="J104" s="448"/>
      <c r="K104" s="448"/>
      <c r="L104" s="448"/>
      <c r="O104" s="93" t="str">
        <f ca="1">O45</f>
        <v>　</v>
      </c>
      <c r="AO104" s="125"/>
    </row>
    <row r="105" spans="1:41" ht="15" customHeight="1">
      <c r="A105" s="124"/>
      <c r="AO105" s="125"/>
    </row>
    <row r="106" spans="1:41" ht="15" customHeight="1">
      <c r="A106" s="124"/>
      <c r="H106" s="448" t="s">
        <v>404</v>
      </c>
      <c r="I106" s="448"/>
      <c r="J106" s="448"/>
      <c r="K106" s="448"/>
      <c r="L106" s="448"/>
      <c r="O106" s="93" t="str">
        <f ca="1">受注者情報!K12&amp;受注者情報!K13</f>
        <v>　　</v>
      </c>
      <c r="AO106" s="125"/>
    </row>
    <row r="107" spans="1:41" ht="15" customHeight="1">
      <c r="A107" s="124"/>
      <c r="AO107" s="125"/>
    </row>
    <row r="108" spans="1:41" ht="15" customHeight="1">
      <c r="A108" s="124"/>
      <c r="H108" s="448" t="s">
        <v>1139</v>
      </c>
      <c r="I108" s="448"/>
      <c r="J108" s="448"/>
      <c r="K108" s="448"/>
      <c r="L108" s="448"/>
      <c r="O108" s="93" t="str">
        <f>O49</f>
        <v>般</v>
      </c>
      <c r="P108" s="93" t="s">
        <v>1188</v>
      </c>
      <c r="Q108" s="93" t="str">
        <f>Q49</f>
        <v>特</v>
      </c>
      <c r="S108" s="463" t="str">
        <f>S49&amp;""</f>
        <v/>
      </c>
      <c r="T108" s="463"/>
      <c r="V108" s="93" t="s">
        <v>1145</v>
      </c>
      <c r="X108" s="463" t="str">
        <f>X49&amp;""</f>
        <v/>
      </c>
      <c r="Y108" s="463"/>
      <c r="Z108" s="463"/>
      <c r="AA108" s="463"/>
      <c r="AB108" s="463"/>
      <c r="AD108" s="93" t="s">
        <v>1146</v>
      </c>
      <c r="AO108" s="125"/>
    </row>
    <row r="109" spans="1:41" ht="15" customHeight="1">
      <c r="A109" s="124"/>
      <c r="AO109" s="125"/>
    </row>
    <row r="110" spans="1:41" ht="15" customHeight="1">
      <c r="A110" s="124"/>
      <c r="B110" s="463" t="s">
        <v>71</v>
      </c>
      <c r="C110" s="463"/>
      <c r="D110" s="463"/>
      <c r="G110" s="93" t="str">
        <f>G51</f>
        <v>　　殿</v>
      </c>
      <c r="AO110" s="125"/>
    </row>
    <row r="111" spans="1:41" ht="15" customHeight="1">
      <c r="A111" s="124"/>
      <c r="AO111" s="125"/>
    </row>
    <row r="112" spans="1:41" ht="15" customHeight="1" thickBot="1">
      <c r="A112" s="131"/>
      <c r="B112" s="132"/>
      <c r="C112" s="132"/>
      <c r="D112" s="132"/>
      <c r="E112" s="132"/>
      <c r="F112" s="132"/>
      <c r="G112" s="132"/>
      <c r="H112" s="132"/>
      <c r="I112" s="132"/>
      <c r="J112" s="132"/>
      <c r="K112" s="132"/>
      <c r="L112" s="132"/>
      <c r="M112" s="132"/>
      <c r="N112" s="132"/>
      <c r="O112" s="132"/>
      <c r="P112" s="132"/>
      <c r="Q112" s="132"/>
      <c r="R112" s="132"/>
      <c r="S112" s="132"/>
      <c r="T112" s="132"/>
      <c r="U112" s="132"/>
      <c r="V112" s="132"/>
      <c r="W112" s="132"/>
      <c r="X112" s="132"/>
      <c r="Y112" s="132"/>
      <c r="Z112" s="132"/>
      <c r="AA112" s="132"/>
      <c r="AB112" s="132"/>
      <c r="AC112" s="132"/>
      <c r="AD112" s="132"/>
      <c r="AE112" s="132"/>
      <c r="AF112" s="132"/>
      <c r="AG112" s="132"/>
      <c r="AH112" s="132"/>
      <c r="AI112" s="132"/>
      <c r="AJ112" s="132"/>
      <c r="AK112" s="132"/>
      <c r="AL112" s="132"/>
      <c r="AM112" s="132"/>
      <c r="AN112" s="132"/>
      <c r="AO112" s="133"/>
    </row>
    <row r="113" spans="1:41" ht="20.100000000000001" customHeight="1">
      <c r="A113" s="124" t="s">
        <v>1147</v>
      </c>
      <c r="AO113" s="125"/>
    </row>
    <row r="114" spans="1:41" ht="20.100000000000001" customHeight="1">
      <c r="A114" s="124" t="s">
        <v>1148</v>
      </c>
      <c r="AO114" s="125"/>
    </row>
    <row r="115" spans="1:41" ht="20.100000000000001" customHeight="1">
      <c r="A115" s="124" t="s">
        <v>1149</v>
      </c>
      <c r="AO115" s="125"/>
    </row>
    <row r="116" spans="1:41" ht="20.100000000000001" customHeight="1" thickBot="1">
      <c r="A116" s="131" t="s">
        <v>1150</v>
      </c>
      <c r="B116" s="132"/>
      <c r="C116" s="132"/>
      <c r="D116" s="132"/>
      <c r="E116" s="132"/>
      <c r="F116" s="132"/>
      <c r="G116" s="132"/>
      <c r="H116" s="132"/>
      <c r="I116" s="132"/>
      <c r="J116" s="132"/>
      <c r="K116" s="132"/>
      <c r="L116" s="132"/>
      <c r="M116" s="132"/>
      <c r="N116" s="132"/>
      <c r="O116" s="132"/>
      <c r="P116" s="132"/>
      <c r="Q116" s="132"/>
      <c r="R116" s="132"/>
      <c r="S116" s="132"/>
      <c r="T116" s="132"/>
      <c r="U116" s="132"/>
      <c r="V116" s="132"/>
      <c r="W116" s="132"/>
      <c r="X116" s="132"/>
      <c r="Y116" s="132"/>
      <c r="Z116" s="132"/>
      <c r="AA116" s="132"/>
      <c r="AB116" s="132"/>
      <c r="AC116" s="132"/>
      <c r="AD116" s="132"/>
      <c r="AE116" s="132"/>
      <c r="AF116" s="132"/>
      <c r="AG116" s="132"/>
      <c r="AH116" s="132"/>
      <c r="AI116" s="132"/>
      <c r="AJ116" s="132"/>
      <c r="AK116" s="132"/>
      <c r="AL116" s="132"/>
      <c r="AM116" s="132"/>
      <c r="AN116" s="132"/>
      <c r="AO116" s="133"/>
    </row>
    <row r="117" spans="1:41" ht="20.100000000000001" customHeight="1">
      <c r="A117" s="93" t="s">
        <v>1151</v>
      </c>
    </row>
  </sheetData>
  <sheetProtection sheet="1" objects="1" scenarios="1" selectLockedCells="1"/>
  <mergeCells count="72">
    <mergeCell ref="B21:G23"/>
    <mergeCell ref="AG2:AN2"/>
    <mergeCell ref="E4:AB5"/>
    <mergeCell ref="B13:G13"/>
    <mergeCell ref="B16:G16"/>
    <mergeCell ref="B19:G19"/>
    <mergeCell ref="AL34:AM34"/>
    <mergeCell ref="B25:G25"/>
    <mergeCell ref="B28:G28"/>
    <mergeCell ref="AF28:AG28"/>
    <mergeCell ref="AI28:AJ28"/>
    <mergeCell ref="AL28:AM28"/>
    <mergeCell ref="B29:G29"/>
    <mergeCell ref="T31:W31"/>
    <mergeCell ref="B32:G33"/>
    <mergeCell ref="T34:W34"/>
    <mergeCell ref="AF34:AG34"/>
    <mergeCell ref="AI34:AJ34"/>
    <mergeCell ref="B37:G37"/>
    <mergeCell ref="T37:W37"/>
    <mergeCell ref="AF37:AG37"/>
    <mergeCell ref="AI37:AJ37"/>
    <mergeCell ref="AL37:AM37"/>
    <mergeCell ref="A36:H36"/>
    <mergeCell ref="T36:W36"/>
    <mergeCell ref="AF36:AG36"/>
    <mergeCell ref="AI36:AJ36"/>
    <mergeCell ref="AL36:AM36"/>
    <mergeCell ref="B75:G75"/>
    <mergeCell ref="F42:K42"/>
    <mergeCell ref="H43:L43"/>
    <mergeCell ref="H45:L45"/>
    <mergeCell ref="H47:L47"/>
    <mergeCell ref="H49:L49"/>
    <mergeCell ref="X49:AB49"/>
    <mergeCell ref="B51:D51"/>
    <mergeCell ref="AG61:AN61"/>
    <mergeCell ref="E63:AB64"/>
    <mergeCell ref="B72:G72"/>
    <mergeCell ref="S49:T49"/>
    <mergeCell ref="B78:G78"/>
    <mergeCell ref="B80:G82"/>
    <mergeCell ref="B84:G84"/>
    <mergeCell ref="B87:G87"/>
    <mergeCell ref="AF87:AG87"/>
    <mergeCell ref="AL87:AM87"/>
    <mergeCell ref="B88:G88"/>
    <mergeCell ref="T90:W90"/>
    <mergeCell ref="B91:G92"/>
    <mergeCell ref="T93:W93"/>
    <mergeCell ref="AF93:AG93"/>
    <mergeCell ref="AI93:AJ93"/>
    <mergeCell ref="AL93:AM93"/>
    <mergeCell ref="AI87:AJ87"/>
    <mergeCell ref="B96:G96"/>
    <mergeCell ref="T96:W96"/>
    <mergeCell ref="AF96:AG96"/>
    <mergeCell ref="AI96:AJ96"/>
    <mergeCell ref="AL96:AM96"/>
    <mergeCell ref="A95:H95"/>
    <mergeCell ref="T95:W95"/>
    <mergeCell ref="AF95:AG95"/>
    <mergeCell ref="AI95:AJ95"/>
    <mergeCell ref="AL95:AM95"/>
    <mergeCell ref="X108:AB108"/>
    <mergeCell ref="B110:D110"/>
    <mergeCell ref="F101:K101"/>
    <mergeCell ref="H102:L102"/>
    <mergeCell ref="H104:L104"/>
    <mergeCell ref="H106:L106"/>
    <mergeCell ref="H108:L108"/>
    <mergeCell ref="S108:T108"/>
  </mergeCells>
  <phoneticPr fontId="2"/>
  <conditionalFormatting sqref="J1:J1048576">
    <cfRule type="cellIs" dxfId="7" priority="1" operator="equal">
      <formula>"③"</formula>
    </cfRule>
    <cfRule type="cellIs" dxfId="6" priority="2" operator="equal">
      <formula>"①"</formula>
    </cfRule>
    <cfRule type="cellIs" dxfId="5" priority="3" operator="equal">
      <formula>"②"</formula>
    </cfRule>
  </conditionalFormatting>
  <conditionalFormatting sqref="O49 O108">
    <cfRule type="expression" dxfId="4" priority="8">
      <formula>$AQ$49="特"</formula>
    </cfRule>
  </conditionalFormatting>
  <conditionalFormatting sqref="Q49 O108">
    <cfRule type="expression" dxfId="3" priority="7">
      <formula>AO49="般"</formula>
    </cfRule>
  </conditionalFormatting>
  <conditionalFormatting sqref="Z1:Z1048576">
    <cfRule type="cellIs" dxfId="2" priority="5" operator="equal">
      <formula>"Ⓣ"</formula>
    </cfRule>
  </conditionalFormatting>
  <conditionalFormatting sqref="AB1:AB1048576">
    <cfRule type="cellIs" dxfId="1" priority="6" operator="equal">
      <formula>"Ⓢ"</formula>
    </cfRule>
  </conditionalFormatting>
  <conditionalFormatting sqref="AD1:AD1048576">
    <cfRule type="cellIs" dxfId="0" priority="4" operator="equal">
      <formula>"Ⓗ"</formula>
    </cfRule>
  </conditionalFormatting>
  <dataValidations count="5">
    <dataValidation type="list" imeMode="hiragana" allowBlank="1" showInputMessage="1" showErrorMessage="1" sqref="BD31 BD36:BD37 BD28" xr:uid="{00000000-0002-0000-1700-000000000000}">
      <formula1>"大正,昭和,平成"</formula1>
    </dataValidation>
    <dataValidation type="whole" imeMode="disabled" allowBlank="1" showInputMessage="1" showErrorMessage="1" sqref="BH36:BH37 BH31 BH28" xr:uid="{00000000-0002-0000-1700-000001000000}">
      <formula1>1</formula1>
      <formula2>12</formula2>
    </dataValidation>
    <dataValidation type="whole" imeMode="disabled" allowBlank="1" showInputMessage="1" showErrorMessage="1" sqref="BF36:BF37 BF31 BF28" xr:uid="{00000000-0002-0000-1700-000002000000}">
      <formula1>1</formula1>
      <formula2>64</formula2>
    </dataValidation>
    <dataValidation type="whole" imeMode="disabled" allowBlank="1" showInputMessage="1" showErrorMessage="1" sqref="BJ36:BJ37 BJ31 BJ28" xr:uid="{00000000-0002-0000-1700-000003000000}">
      <formula1>1</formula1>
      <formula2>31</formula2>
    </dataValidation>
    <dataValidation imeMode="hiragana" allowBlank="1" showInputMessage="1" showErrorMessage="1" sqref="AZ36:AZ37 AZ31 BB36:BB37 BB31 AZ28 BB28" xr:uid="{00000000-0002-0000-1700-000004000000}"/>
  </dataValidations>
  <printOptions horizontalCentered="1"/>
  <pageMargins left="0.59055118110236227" right="0.59055118110236227" top="0.59055118110236227" bottom="0" header="0" footer="0"/>
  <pageSetup paperSize="9" scale="85" fitToHeight="0" orientation="portrait" r:id="rId1"/>
  <rowBreaks count="1" manualBreakCount="1">
    <brk id="59" max="40" man="1"/>
  </rowBreak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32">
    <tabColor theme="1"/>
  </sheetPr>
  <dimension ref="A2:Q9"/>
  <sheetViews>
    <sheetView workbookViewId="0">
      <selection activeCell="G14" sqref="G14"/>
    </sheetView>
  </sheetViews>
  <sheetFormatPr defaultRowHeight="13.5"/>
  <cols>
    <col min="2" max="2" width="3.375" bestFit="1" customWidth="1"/>
    <col min="3" max="3" width="7.875" bestFit="1" customWidth="1"/>
    <col min="4" max="4" width="5.25" bestFit="1" customWidth="1"/>
    <col min="5" max="14" width="15.625" customWidth="1"/>
    <col min="16" max="16" width="5.25" bestFit="1" customWidth="1"/>
    <col min="17" max="17" width="2.5" bestFit="1" customWidth="1"/>
  </cols>
  <sheetData>
    <row r="2" spans="1:17" ht="30" customHeight="1">
      <c r="A2" t="s">
        <v>382</v>
      </c>
    </row>
    <row r="3" spans="1:17" ht="30" customHeight="1">
      <c r="A3" s="660" t="s">
        <v>381</v>
      </c>
      <c r="B3" s="661"/>
      <c r="C3" s="661"/>
      <c r="D3" s="662"/>
      <c r="E3" s="84" t="s">
        <v>154</v>
      </c>
      <c r="F3" s="84"/>
      <c r="G3" s="84"/>
      <c r="H3" s="84"/>
      <c r="I3" s="84"/>
      <c r="J3" s="84"/>
      <c r="K3" s="84" t="s">
        <v>172</v>
      </c>
      <c r="L3" s="84"/>
      <c r="M3" s="84" t="s">
        <v>379</v>
      </c>
      <c r="N3" s="84"/>
      <c r="P3" s="23" t="s">
        <v>154</v>
      </c>
      <c r="Q3" s="23">
        <v>1</v>
      </c>
    </row>
    <row r="4" spans="1:17" ht="30" customHeight="1">
      <c r="A4" s="663"/>
      <c r="B4" s="664"/>
      <c r="C4" s="664"/>
      <c r="D4" s="665"/>
      <c r="E4" s="84" t="s">
        <v>369</v>
      </c>
      <c r="F4" s="84" t="s">
        <v>370</v>
      </c>
      <c r="G4" s="84" t="s">
        <v>371</v>
      </c>
      <c r="H4" s="84" t="s">
        <v>372</v>
      </c>
      <c r="I4" s="84" t="s">
        <v>373</v>
      </c>
      <c r="J4" s="84" t="s">
        <v>374</v>
      </c>
      <c r="K4" s="84" t="s">
        <v>375</v>
      </c>
      <c r="L4" s="84" t="s">
        <v>376</v>
      </c>
      <c r="M4" s="84" t="s">
        <v>377</v>
      </c>
      <c r="N4" s="84" t="s">
        <v>378</v>
      </c>
      <c r="O4" s="90"/>
      <c r="P4" s="23" t="s">
        <v>172</v>
      </c>
      <c r="Q4" s="23">
        <v>2</v>
      </c>
    </row>
    <row r="5" spans="1:17" ht="30" customHeight="1">
      <c r="A5" s="86">
        <v>1000</v>
      </c>
      <c r="B5" s="87" t="s">
        <v>380</v>
      </c>
      <c r="C5" s="88">
        <f>A6-1</f>
        <v>9999</v>
      </c>
      <c r="D5" s="89" t="s">
        <v>367</v>
      </c>
      <c r="E5" s="85">
        <v>3.5</v>
      </c>
      <c r="F5" s="85">
        <v>3.5</v>
      </c>
      <c r="G5" s="85">
        <v>4.5</v>
      </c>
      <c r="H5" s="85">
        <v>4.0999999999999996</v>
      </c>
      <c r="I5" s="85">
        <v>3.7</v>
      </c>
      <c r="J5" s="85">
        <v>4.0999999999999996</v>
      </c>
      <c r="K5" s="85">
        <v>1.8</v>
      </c>
      <c r="L5" s="85">
        <v>3.2</v>
      </c>
      <c r="M5" s="85">
        <v>2.9</v>
      </c>
      <c r="N5" s="85">
        <v>2.2000000000000002</v>
      </c>
      <c r="P5" s="23" t="s">
        <v>379</v>
      </c>
      <c r="Q5" s="91">
        <v>3</v>
      </c>
    </row>
    <row r="6" spans="1:17" ht="30" customHeight="1">
      <c r="A6" s="86">
        <v>10000</v>
      </c>
      <c r="B6" s="87" t="s">
        <v>380</v>
      </c>
      <c r="C6" s="88">
        <f>A7-1</f>
        <v>49999</v>
      </c>
      <c r="D6" s="89" t="s">
        <v>367</v>
      </c>
      <c r="E6" s="85">
        <v>3.3</v>
      </c>
      <c r="F6" s="85">
        <v>3.2</v>
      </c>
      <c r="G6" s="85">
        <v>3.6</v>
      </c>
      <c r="H6" s="85">
        <v>3.8</v>
      </c>
      <c r="I6" s="85">
        <v>2.8</v>
      </c>
      <c r="J6" s="85">
        <v>3.6</v>
      </c>
      <c r="K6" s="85">
        <v>2.9</v>
      </c>
      <c r="L6" s="85">
        <v>3</v>
      </c>
      <c r="M6" s="85">
        <v>2.1</v>
      </c>
      <c r="N6" s="85">
        <v>1.7</v>
      </c>
    </row>
    <row r="7" spans="1:17" ht="30" customHeight="1">
      <c r="A7" s="86">
        <v>50000</v>
      </c>
      <c r="B7" s="87" t="s">
        <v>380</v>
      </c>
      <c r="C7" s="88">
        <f>A8-1</f>
        <v>99999</v>
      </c>
      <c r="D7" s="89" t="s">
        <v>367</v>
      </c>
      <c r="E7" s="85">
        <v>2.9</v>
      </c>
      <c r="F7" s="85">
        <v>2.8</v>
      </c>
      <c r="G7" s="85">
        <v>2.8</v>
      </c>
      <c r="H7" s="85">
        <v>3.1</v>
      </c>
      <c r="I7" s="85">
        <v>2.7</v>
      </c>
      <c r="J7" s="85">
        <v>3.1</v>
      </c>
      <c r="K7" s="85">
        <v>2.7</v>
      </c>
      <c r="L7" s="85">
        <v>2.5</v>
      </c>
      <c r="M7" s="85">
        <v>1.8</v>
      </c>
      <c r="N7" s="85">
        <v>1.4</v>
      </c>
    </row>
    <row r="8" spans="1:17" ht="30" customHeight="1">
      <c r="A8" s="86">
        <v>100000</v>
      </c>
      <c r="B8" s="87" t="s">
        <v>380</v>
      </c>
      <c r="C8" s="88">
        <f>A9-1</f>
        <v>499999</v>
      </c>
      <c r="D8" s="89" t="s">
        <v>367</v>
      </c>
      <c r="E8" s="85">
        <v>2.2999999999999998</v>
      </c>
      <c r="F8" s="85">
        <v>2.1</v>
      </c>
      <c r="G8" s="85">
        <v>2.1</v>
      </c>
      <c r="H8" s="85">
        <v>2.5</v>
      </c>
      <c r="I8" s="85">
        <v>1.9</v>
      </c>
      <c r="J8" s="85">
        <v>2.2999999999999998</v>
      </c>
      <c r="K8" s="85">
        <v>2.2000000000000002</v>
      </c>
      <c r="L8" s="85">
        <v>2.1</v>
      </c>
      <c r="M8" s="85">
        <v>1.4</v>
      </c>
      <c r="N8" s="85">
        <v>1.1000000000000001</v>
      </c>
    </row>
    <row r="9" spans="1:17" ht="30" customHeight="1">
      <c r="A9" s="86">
        <v>500000</v>
      </c>
      <c r="B9" s="658" t="s">
        <v>368</v>
      </c>
      <c r="C9" s="658"/>
      <c r="D9" s="659"/>
      <c r="E9" s="85">
        <v>1.7</v>
      </c>
      <c r="F9" s="85">
        <v>1.6</v>
      </c>
      <c r="G9" s="85">
        <v>1.9</v>
      </c>
      <c r="H9" s="85">
        <v>1.8</v>
      </c>
      <c r="I9" s="85">
        <v>1.7</v>
      </c>
      <c r="J9" s="85">
        <v>1.8</v>
      </c>
      <c r="K9" s="85">
        <v>2</v>
      </c>
      <c r="L9" s="85">
        <v>1.8</v>
      </c>
      <c r="M9" s="85">
        <v>1.1000000000000001</v>
      </c>
      <c r="N9" s="85">
        <v>1.1000000000000001</v>
      </c>
    </row>
  </sheetData>
  <mergeCells count="2">
    <mergeCell ref="B9:D9"/>
    <mergeCell ref="A3:D4"/>
  </mergeCells>
  <phoneticPr fontId="2"/>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4" tint="0.79998168889431442"/>
    <pageSetUpPr fitToPage="1"/>
  </sheetPr>
  <dimension ref="A1:AB29"/>
  <sheetViews>
    <sheetView showGridLines="0" showRowColHeaders="0" topLeftCell="B1" zoomScaleNormal="100" workbookViewId="0">
      <selection activeCell="D2" sqref="D2"/>
    </sheetView>
  </sheetViews>
  <sheetFormatPr defaultRowHeight="13.5" outlineLevelCol="1"/>
  <cols>
    <col min="1" max="1" width="6.25" style="2" hidden="1" customWidth="1"/>
    <col min="2" max="2" width="3.625" style="2" customWidth="1"/>
    <col min="3" max="3" width="23.5" style="2" bestFit="1" customWidth="1"/>
    <col min="4" max="6" width="50.625" style="2" customWidth="1"/>
    <col min="7" max="7" width="3.5" style="2" hidden="1" customWidth="1" outlineLevel="1"/>
    <col min="8" max="9" width="2.5" style="2" hidden="1" customWidth="1" outlineLevel="1"/>
    <col min="10" max="10" width="10.125" style="2" hidden="1" customWidth="1" outlineLevel="1"/>
    <col min="11" max="11" width="40.125" style="2" hidden="1" customWidth="1" outlineLevel="1"/>
    <col min="12" max="12" width="2.5" style="2" hidden="1" customWidth="1" outlineLevel="1"/>
    <col min="13" max="13" width="13" style="2" hidden="1" customWidth="1" outlineLevel="1"/>
    <col min="14" max="14" width="50.5" style="2" hidden="1" customWidth="1" outlineLevel="1"/>
    <col min="15" max="15" width="3.375" style="2" hidden="1" customWidth="1" outlineLevel="1"/>
    <col min="16" max="16" width="1.25" style="2" customWidth="1" collapsed="1"/>
    <col min="17" max="17" width="13" style="2" bestFit="1" customWidth="1"/>
    <col min="18" max="18" width="6.25" style="2" bestFit="1" customWidth="1"/>
    <col min="19" max="19" width="3.375" style="2" bestFit="1" customWidth="1"/>
    <col min="20" max="20" width="3.5" style="2" bestFit="1" customWidth="1"/>
    <col min="21" max="21" width="3.375" style="2" bestFit="1" customWidth="1"/>
    <col min="22" max="22" width="3.5" style="2" bestFit="1" customWidth="1"/>
    <col min="23" max="23" width="3.375" style="2" bestFit="1" customWidth="1"/>
    <col min="24" max="24" width="5.25" style="2" bestFit="1" customWidth="1"/>
    <col min="25" max="25" width="11.625" style="2" hidden="1" customWidth="1" outlineLevel="1"/>
    <col min="26" max="26" width="23.5" style="2" hidden="1" customWidth="1" outlineLevel="1"/>
    <col min="27" max="27" width="9" style="2" collapsed="1"/>
    <col min="28" max="28" width="0.5" style="2" customWidth="1"/>
    <col min="29" max="29" width="18.625" style="2" customWidth="1"/>
    <col min="30" max="30" width="7.125" style="2" bestFit="1" customWidth="1"/>
    <col min="31" max="31" width="30.625" style="2" customWidth="1"/>
    <col min="32" max="32" width="13" style="2" customWidth="1"/>
    <col min="33" max="33" width="5.25" style="2" customWidth="1"/>
    <col min="34" max="16384" width="9" style="2"/>
  </cols>
  <sheetData>
    <row r="1" spans="1:28" ht="30" customHeight="1">
      <c r="B1" s="36" t="s">
        <v>264</v>
      </c>
      <c r="AB1" s="339"/>
    </row>
    <row r="2" spans="1:28" ht="18" customHeight="1">
      <c r="B2" s="36"/>
      <c r="C2" s="2" t="s">
        <v>5171</v>
      </c>
      <c r="D2" s="2" t="str">
        <f>入札結果!G21</f>
        <v/>
      </c>
      <c r="K2" s="2" t="str">
        <f>【随時メンテ】部分払い回数等!A8</f>
        <v>単体</v>
      </c>
      <c r="AB2" s="339"/>
    </row>
    <row r="3" spans="1:28" ht="18" customHeight="1">
      <c r="B3" s="36"/>
      <c r="C3" s="2" t="s">
        <v>164</v>
      </c>
      <c r="D3" s="151"/>
      <c r="K3" s="2" t="str">
        <f>【随時メンテ】部分払い回数等!A9</f>
        <v>共同企業体</v>
      </c>
      <c r="AB3" s="339"/>
    </row>
    <row r="4" spans="1:28" ht="18" customHeight="1">
      <c r="C4" s="113" t="s">
        <v>1121</v>
      </c>
      <c r="D4" s="112"/>
      <c r="K4" s="2" t="str">
        <f>IF(D3="共同企業体",D4&amp;"","")</f>
        <v/>
      </c>
      <c r="AB4" s="339"/>
    </row>
    <row r="5" spans="1:28" ht="18" customHeight="1">
      <c r="C5" s="113" t="s">
        <v>1119</v>
      </c>
      <c r="D5" s="113"/>
      <c r="E5" s="113"/>
      <c r="AB5" s="339"/>
    </row>
    <row r="6" spans="1:28" ht="18" customHeight="1">
      <c r="A6" s="2" t="str">
        <f>"第"&amp;TEXT(D6,"000000")&amp;"号"</f>
        <v>第000000号</v>
      </c>
      <c r="C6" s="308" t="s">
        <v>5128</v>
      </c>
      <c r="D6" s="305"/>
      <c r="AB6" s="339"/>
    </row>
    <row r="7" spans="1:28" ht="18" customHeight="1">
      <c r="C7" s="30" t="s">
        <v>5149</v>
      </c>
      <c r="D7" s="30"/>
      <c r="E7" s="321" t="s">
        <v>5185</v>
      </c>
      <c r="F7" s="5" t="s">
        <v>5127</v>
      </c>
      <c r="O7" s="2" t="s">
        <v>5153</v>
      </c>
      <c r="AB7" s="339"/>
    </row>
    <row r="8" spans="1:28" ht="18" customHeight="1">
      <c r="A8" s="2">
        <v>6</v>
      </c>
      <c r="C8" s="2" t="s">
        <v>267</v>
      </c>
      <c r="D8" s="2" t="str">
        <f ca="1">IFERROR(MID(VLOOKUP(A$6,INDIRECT("【定期メンテ】国交省・検索システム!$C$2:$H$"&amp;【定期メンテ】国交省・検索システム!$J$1),$A8,FALSE),1,20),"")</f>
        <v/>
      </c>
      <c r="E8" s="327"/>
      <c r="F8" s="2" t="str">
        <f ca="1">IF(E8="",D8,E8)&amp;""</f>
        <v/>
      </c>
      <c r="G8" s="2">
        <f ca="1">LEN(F8)</f>
        <v>0</v>
      </c>
      <c r="H8" s="2">
        <f ca="1">IF(G8=0,0,1)</f>
        <v>0</v>
      </c>
      <c r="I8" s="2">
        <f ca="1">IF($H8=0,0,MAX($I$7:$I7)+1)</f>
        <v>0</v>
      </c>
      <c r="J8" s="2" t="s">
        <v>5150</v>
      </c>
      <c r="K8" s="2" t="str">
        <f ca="1">DBCS(F8)</f>
        <v/>
      </c>
      <c r="L8" s="2">
        <v>1</v>
      </c>
      <c r="M8" s="2" t="str">
        <f ca="1">IFERROR(VLOOKUP($L8,$I$8:$K$13,2,FALSE),"")&amp;""</f>
        <v/>
      </c>
      <c r="N8" s="2" t="str">
        <f ca="1">IFERROR(VLOOKUP($L8,$I$8:$K$13,3,FALSE),"")&amp;""</f>
        <v/>
      </c>
      <c r="R8" s="323"/>
      <c r="T8" s="323"/>
      <c r="V8" s="431"/>
      <c r="W8" s="431"/>
      <c r="AB8" s="339"/>
    </row>
    <row r="9" spans="1:28" ht="18" customHeight="1">
      <c r="C9" s="2" t="s">
        <v>5125</v>
      </c>
      <c r="D9" s="2" t="str">
        <f ca="1">IFERROR(MID(VLOOKUP(A$6,INDIRECT("【定期メンテ】国交省・検索システム!$C$2:$H$"&amp;【定期メンテ】国交省・検索システム!$J$1),$A8,FALSE),21,20),"")</f>
        <v/>
      </c>
      <c r="E9" s="328"/>
      <c r="F9" s="2" t="str">
        <f ca="1">IF(E9="",D9,E9)&amp;""</f>
        <v/>
      </c>
      <c r="G9" s="2">
        <f ca="1">LEN(F9)</f>
        <v>0</v>
      </c>
      <c r="H9" s="2">
        <f ca="1">IF(G9=0,0,1)</f>
        <v>0</v>
      </c>
      <c r="I9" s="2">
        <f ca="1">IF($H9=0,0,MAX($I$7:$I8)+1)</f>
        <v>0</v>
      </c>
      <c r="K9" s="2" t="str">
        <f ca="1">IF(F9="","",F9)</f>
        <v/>
      </c>
      <c r="L9" s="2">
        <v>2</v>
      </c>
      <c r="M9" s="2" t="str">
        <f ca="1">IFERROR(VLOOKUP($L9,$I$8:$K$13,2,FALSE),"")&amp;""</f>
        <v/>
      </c>
      <c r="N9" s="2" t="str">
        <f ca="1">IFERROR(VLOOKUP($L9,$I$8:$K$13,3,FALSE),"")&amp;""</f>
        <v/>
      </c>
      <c r="AB9" s="339"/>
    </row>
    <row r="10" spans="1:28" ht="18" customHeight="1">
      <c r="A10" s="2">
        <v>2</v>
      </c>
      <c r="C10" s="2" t="s">
        <v>265</v>
      </c>
      <c r="D10" s="2" t="str">
        <f ca="1">IFERROR(VLOOKUP(A$6,INDIRECT("【定期メンテ】国交省・検索システム!$C$2:$H$"&amp;【定期メンテ】国交省・検索システム!$J$1),$A10,FALSE),"")</f>
        <v/>
      </c>
      <c r="E10" s="328"/>
      <c r="F10" s="2" t="str">
        <f ca="1">IF(E10="",D10,E10)&amp;""</f>
        <v/>
      </c>
      <c r="G10" s="2">
        <f ca="1">LEN(F10)</f>
        <v>0</v>
      </c>
      <c r="H10" s="2">
        <f ca="1">IF(G10=0,0,1)</f>
        <v>0</v>
      </c>
      <c r="I10" s="2">
        <f ca="1">IF($H10=0,0,MAX($I$7:$I9)+1)</f>
        <v>0</v>
      </c>
      <c r="J10" s="2" t="str">
        <f>C10</f>
        <v>商号又は名称</v>
      </c>
      <c r="K10" s="2" t="str">
        <f ca="1">IF(G$10+G$11&lt;=15,F10&amp;"　"&amp;F11,F10)</f>
        <v>　</v>
      </c>
      <c r="L10" s="2">
        <v>3</v>
      </c>
      <c r="M10" s="2" t="str">
        <f ca="1">IFERROR(VLOOKUP($L10,$I$8:$K$13,2,FALSE),"")&amp;""</f>
        <v/>
      </c>
      <c r="N10" s="2" t="str">
        <f ca="1">IFERROR(VLOOKUP($L10,$I$8:$K$13,3,FALSE),"")&amp;""</f>
        <v/>
      </c>
      <c r="O10" s="2" t="str">
        <f ca="1">IF($M10=$C$13,$O$7,"")</f>
        <v/>
      </c>
      <c r="Q10" s="2" t="s">
        <v>1125</v>
      </c>
      <c r="R10" s="3"/>
      <c r="AB10" s="339"/>
    </row>
    <row r="11" spans="1:28" ht="18" customHeight="1">
      <c r="A11" s="2">
        <v>5</v>
      </c>
      <c r="C11" s="2" t="s">
        <v>317</v>
      </c>
      <c r="D11" s="2" t="str">
        <f ca="1">IFERROR(VLOOKUP(A$6,INDIRECT("【定期メンテ】国交省・検索システム!$C$2:$H$"&amp;【定期メンテ】国交省・検索システム!$J$1),$A11,FALSE),"")</f>
        <v/>
      </c>
      <c r="E11" s="328"/>
      <c r="F11" s="2" t="str">
        <f ca="1">IF(E11="",IF(D11="主たる営業所","",D11),E11)&amp;""</f>
        <v/>
      </c>
      <c r="G11" s="2">
        <f ca="1">LEN(F11)</f>
        <v>0</v>
      </c>
      <c r="H11" s="2">
        <f ca="1">IF(G11=0,0,1)</f>
        <v>0</v>
      </c>
      <c r="I11" s="2">
        <f ca="1">IF($H11=0,0,MAX($I$7:$I10)+1)</f>
        <v>0</v>
      </c>
      <c r="K11" s="2" t="str">
        <f ca="1">IF(G$10+G$11&lt;=15,"",F11)</f>
        <v/>
      </c>
      <c r="L11" s="2">
        <v>4</v>
      </c>
      <c r="M11" s="2" t="str">
        <f ca="1">IFERROR(VLOOKUP($L11,$I$8:$K$13,2,FALSE),"")&amp;""</f>
        <v/>
      </c>
      <c r="N11" s="2" t="str">
        <f ca="1">IFERROR(VLOOKUP($L11,$I$8:$K$13,3,FALSE),"")&amp;""</f>
        <v/>
      </c>
      <c r="O11" s="2" t="str">
        <f ca="1">IF($M11=$C$13,$O$7,"")</f>
        <v/>
      </c>
      <c r="Q11" s="169">
        <f ca="1">TODAY()</f>
        <v>46127</v>
      </c>
      <c r="R11" s="170" t="s">
        <v>389</v>
      </c>
      <c r="AB11" s="339"/>
    </row>
    <row r="12" spans="1:28" ht="18" customHeight="1">
      <c r="A12" s="2">
        <v>3</v>
      </c>
      <c r="C12" s="2" t="s">
        <v>266</v>
      </c>
      <c r="D12" s="2" t="str">
        <f ca="1">IFERROR(VLOOKUP(A$6,INDIRECT("【定期メンテ】国交省・検索システム!$C$2:$H$"&amp;【定期メンテ】国交省・検索システム!$J$1),$A12,FALSE),"")</f>
        <v/>
      </c>
      <c r="E12" s="328"/>
      <c r="F12" s="2" t="str">
        <f ca="1">IF(E12="",D12,E12)&amp;""</f>
        <v/>
      </c>
      <c r="L12" s="2">
        <v>5</v>
      </c>
      <c r="M12" s="2" t="str">
        <f ca="1">IFERROR(VLOOKUP($L12,$I$8:$K$13,2,FALSE),"")&amp;""</f>
        <v/>
      </c>
      <c r="N12" s="2" t="str">
        <f ca="1">IFERROR(VLOOKUP($L12,$I$8:$K$13,3,FALSE),"")&amp;""</f>
        <v/>
      </c>
      <c r="O12" s="2" t="str">
        <f ca="1">IF($M12=$C$13,$O$7,"")</f>
        <v/>
      </c>
      <c r="Q12" s="2" t="s">
        <v>7147</v>
      </c>
      <c r="R12" s="2" t="str">
        <f ca="1">IF(T12&gt;MONTH(Q11),TEXT(Q11-365,"ggge"),TEXT(Q11,"ggge"))</f>
        <v>令和8</v>
      </c>
      <c r="S12" s="2" t="s">
        <v>388</v>
      </c>
      <c r="T12" s="3"/>
      <c r="U12" s="2" t="s">
        <v>384</v>
      </c>
      <c r="V12" s="2">
        <v>1</v>
      </c>
      <c r="W12" s="2" t="s">
        <v>385</v>
      </c>
      <c r="X12" s="2" t="s">
        <v>386</v>
      </c>
      <c r="Y12" s="92">
        <f ca="1">DATE(IF(T12&gt;MONTH(Q11),YEAR(Q11)-1,YEAR(Q11)),T12,V12)</f>
        <v>45992</v>
      </c>
      <c r="Z12" s="2" t="str">
        <f ca="1">DBCS(R12&amp;S12&amp;IF(T12&lt;10," ","")&amp;T12&amp;U12&amp;" "&amp;V12&amp;W12&amp;X12)</f>
        <v>令和８年　月　１日から</v>
      </c>
      <c r="AB12" s="339"/>
    </row>
    <row r="13" spans="1:28" ht="18" customHeight="1">
      <c r="A13" s="2">
        <v>4</v>
      </c>
      <c r="C13" s="2" t="s">
        <v>404</v>
      </c>
      <c r="D13" s="2" t="str">
        <f ca="1">IFERROR(VLOOKUP(A$6,INDIRECT("【定期メンテ】国交省・検索システム!$C$2:$H$"&amp;【定期メンテ】国交省・検索システム!$J$1),$A13,FALSE),"")</f>
        <v/>
      </c>
      <c r="E13" s="329"/>
      <c r="F13" s="2" t="str">
        <f ca="1">IF(E13="",D13,E13)&amp;""</f>
        <v/>
      </c>
      <c r="G13" s="2">
        <f ca="1">LEN(F13)</f>
        <v>0</v>
      </c>
      <c r="H13" s="2">
        <f ca="1">IF(G13=0,0,1)</f>
        <v>0</v>
      </c>
      <c r="I13" s="2">
        <f ca="1">IF($H13=0,0,MAX($I$7:$I12)+1)</f>
        <v>0</v>
      </c>
      <c r="J13" s="2" t="s">
        <v>5151</v>
      </c>
      <c r="K13" s="2" t="str">
        <f ca="1">F12&amp;"　　"&amp;F13</f>
        <v>　　</v>
      </c>
      <c r="R13" s="2" t="str">
        <f>IF($T$12="","",TEXT(Y13,"ggge"))</f>
        <v/>
      </c>
      <c r="S13" s="2" t="s">
        <v>388</v>
      </c>
      <c r="T13" s="2" t="str">
        <f>IF($T$12="","",MONTH(Y13))</f>
        <v/>
      </c>
      <c r="U13" s="2" t="s">
        <v>384</v>
      </c>
      <c r="V13" s="2" t="str">
        <f>IF($T$12="","",DAY(Y13))</f>
        <v/>
      </c>
      <c r="W13" s="2" t="s">
        <v>385</v>
      </c>
      <c r="X13" s="2" t="s">
        <v>387</v>
      </c>
      <c r="Y13" s="92">
        <f ca="1">DATE(YEAR(Y12)+1,T12,V12)-1</f>
        <v>45991</v>
      </c>
      <c r="Z13" s="2" t="str">
        <f>DBCS(R13&amp;S13&amp;IF(T13&lt;10," ","")&amp;T13&amp;U13&amp;V13&amp;W13&amp;X13)</f>
        <v>年月日まで</v>
      </c>
      <c r="AB13" s="339"/>
    </row>
    <row r="14" spans="1:28" ht="18" customHeight="1">
      <c r="Q14" s="288" t="s">
        <v>410</v>
      </c>
      <c r="R14" s="37" t="s">
        <v>1436</v>
      </c>
      <c r="AB14" s="339"/>
    </row>
    <row r="15" spans="1:28" ht="18" customHeight="1">
      <c r="C15" s="113" t="s">
        <v>1120</v>
      </c>
      <c r="D15" s="113"/>
      <c r="E15" s="113"/>
      <c r="F15" s="111"/>
      <c r="K15" s="2" t="s">
        <v>1163</v>
      </c>
      <c r="Q15" s="37"/>
      <c r="R15" s="37" t="s">
        <v>5184</v>
      </c>
      <c r="AB15" s="339"/>
    </row>
    <row r="16" spans="1:28" ht="18" customHeight="1">
      <c r="A16" s="2" t="str">
        <f>"第"&amp;TEXT(D16,"000000")&amp;"号"</f>
        <v>第000000号</v>
      </c>
      <c r="C16" s="113" t="s">
        <v>5124</v>
      </c>
      <c r="D16" s="306"/>
      <c r="E16" s="113"/>
      <c r="F16" s="111"/>
      <c r="Q16" s="37"/>
      <c r="R16" s="37"/>
      <c r="AB16" s="339"/>
    </row>
    <row r="17" spans="1:28" ht="18" customHeight="1">
      <c r="C17" s="307" t="s">
        <v>5152</v>
      </c>
      <c r="D17" s="30"/>
      <c r="E17" s="113" t="s">
        <v>5185</v>
      </c>
      <c r="F17" s="111"/>
      <c r="Q17" s="37"/>
      <c r="R17" s="37"/>
      <c r="AB17" s="339"/>
    </row>
    <row r="18" spans="1:28" ht="18" customHeight="1">
      <c r="A18" s="2">
        <v>6</v>
      </c>
      <c r="C18" s="111" t="s">
        <v>267</v>
      </c>
      <c r="D18" s="2" t="str">
        <f ca="1">IFERROR(MID(VLOOKUP(A$16,INDIRECT("【定期メンテ】国交省・検索システム!$C$2:$h$"&amp;【定期メンテ】国交省・検索システム!$J$1),$A18,FALSE),1,20),"")</f>
        <v/>
      </c>
      <c r="E18" s="112"/>
      <c r="F18" s="2" t="str">
        <f ca="1">IF(E18="",D18,E18)&amp;""</f>
        <v/>
      </c>
      <c r="G18" s="2">
        <f ca="1">LEN(F18)</f>
        <v>0</v>
      </c>
      <c r="H18" s="2">
        <f t="shared" ref="H18:H23" ca="1" si="0">IF(G18=0,0,1)</f>
        <v>0</v>
      </c>
      <c r="I18" s="2">
        <f ca="1">IF($H18=0,0,MAX($I$17:$I17)+1)</f>
        <v>0</v>
      </c>
      <c r="J18" s="2" t="s">
        <v>5150</v>
      </c>
      <c r="K18" s="2" t="str">
        <f>IF($D$3=$K$3,DBCS(F18),"")</f>
        <v/>
      </c>
      <c r="L18" s="2">
        <v>1</v>
      </c>
      <c r="M18" s="2" t="str">
        <f ca="1">IFERROR(VLOOKUP($L18,$I$18:$K$23,2,FALSE),"")&amp;""</f>
        <v/>
      </c>
      <c r="N18" s="2" t="str">
        <f ca="1">IFERROR(VLOOKUP($L18,$I$18:$K$23,3,FALSE),"")&amp;""</f>
        <v/>
      </c>
      <c r="Q18" s="408"/>
      <c r="R18" s="409"/>
      <c r="S18" s="408"/>
      <c r="T18" s="409"/>
      <c r="U18" s="408"/>
      <c r="V18" s="432"/>
      <c r="W18" s="432"/>
      <c r="X18" s="408"/>
      <c r="Y18" s="410"/>
      <c r="Z18" s="410"/>
      <c r="AA18" s="410"/>
      <c r="AB18" s="339"/>
    </row>
    <row r="19" spans="1:28" ht="18" customHeight="1">
      <c r="C19" s="111" t="s">
        <v>5126</v>
      </c>
      <c r="D19" s="2" t="str">
        <f ca="1">IFERROR(MID(VLOOKUP(A$16,INDIRECT("【定期メンテ】国交省・検索システム!$C$2:$h$"&amp;【定期メンテ】国交省・検索システム!$J$1),$A18,FALSE),21,20),"")</f>
        <v/>
      </c>
      <c r="E19" s="112"/>
      <c r="F19" s="2" t="str">
        <f ca="1">IF(E19="",D19,E19)&amp;""</f>
        <v/>
      </c>
      <c r="G19" s="2">
        <f ca="1">LEN(F19)</f>
        <v>0</v>
      </c>
      <c r="H19" s="2">
        <f t="shared" ca="1" si="0"/>
        <v>0</v>
      </c>
      <c r="I19" s="2">
        <f ca="1">IF($H19=0,0,MAX($I$17:$I18)+1)</f>
        <v>0</v>
      </c>
      <c r="K19" s="2" t="str">
        <f>IF($D$3=$K$3,IF(F19="","",F19),"")</f>
        <v/>
      </c>
      <c r="L19" s="2">
        <v>2</v>
      </c>
      <c r="M19" s="2" t="str">
        <f ca="1">IFERROR(VLOOKUP($L19,$I$18:$K$23,2,FALSE),"")&amp;""</f>
        <v/>
      </c>
      <c r="N19" s="2" t="str">
        <f ca="1">IFERROR(VLOOKUP($L19,$I$18:$K$23,3,FALSE),"")&amp;""</f>
        <v/>
      </c>
      <c r="AB19" s="339"/>
    </row>
    <row r="20" spans="1:28" ht="18" customHeight="1">
      <c r="A20" s="2">
        <v>2</v>
      </c>
      <c r="C20" s="111" t="s">
        <v>265</v>
      </c>
      <c r="D20" s="2" t="str">
        <f ca="1">IFERROR(VLOOKUP(A$16,INDIRECT("【定期メンテ】国交省・検索システム!$C$2:$h$"&amp;【定期メンテ】国交省・検索システム!$J$1),$A20,FALSE),"")</f>
        <v/>
      </c>
      <c r="E20" s="112"/>
      <c r="F20" s="2" t="str">
        <f ca="1">IF(E20="",D20,E20)&amp;""</f>
        <v/>
      </c>
      <c r="G20" s="2">
        <f ca="1">LEN(F20)</f>
        <v>0</v>
      </c>
      <c r="H20" s="2">
        <f t="shared" ca="1" si="0"/>
        <v>0</v>
      </c>
      <c r="I20" s="2">
        <f ca="1">IF($H20=0,0,MAX($I$17:$I19)+1)</f>
        <v>0</v>
      </c>
      <c r="J20" s="2" t="str">
        <f>C20</f>
        <v>商号又は名称</v>
      </c>
      <c r="K20" s="2" t="str">
        <f>IF($D$3=$K$3,IF(G$20+G$21&lt;=15,F20&amp;"　"&amp;F21,F20),"")</f>
        <v/>
      </c>
      <c r="L20" s="2">
        <v>3</v>
      </c>
      <c r="M20" s="2" t="str">
        <f ca="1">IFERROR(VLOOKUP($L20,$I$18:$K$23,2,FALSE),"")&amp;""</f>
        <v/>
      </c>
      <c r="N20" s="2" t="str">
        <f ca="1">IFERROR(VLOOKUP($L20,$I$18:$K$23,3,FALSE),"")&amp;""</f>
        <v/>
      </c>
      <c r="O20" s="2" t="str">
        <f ca="1">IF($M20=$C$13,$O$7,"")</f>
        <v/>
      </c>
      <c r="Q20" s="111" t="s">
        <v>1125</v>
      </c>
      <c r="R20" s="112"/>
      <c r="S20" s="111"/>
      <c r="T20" s="111"/>
      <c r="U20" s="111"/>
      <c r="V20" s="111"/>
      <c r="W20" s="111"/>
      <c r="X20" s="111"/>
      <c r="Y20" s="111"/>
      <c r="Z20" s="111" t="str">
        <f>IF(D3=K3,R20,K15)</f>
        <v>対象外</v>
      </c>
      <c r="AB20" s="339"/>
    </row>
    <row r="21" spans="1:28" ht="18" customHeight="1">
      <c r="A21" s="2">
        <v>5</v>
      </c>
      <c r="C21" s="111" t="s">
        <v>317</v>
      </c>
      <c r="D21" s="2" t="str">
        <f ca="1">IFERROR(VLOOKUP(A$16,INDIRECT("【定期メンテ】国交省・検索システム!$C$2:$h$"&amp;【定期メンテ】国交省・検索システム!$J$1),$A21,FALSE),"")</f>
        <v/>
      </c>
      <c r="E21" s="112"/>
      <c r="F21" s="2" t="str">
        <f ca="1">IF(E21="",IF(D21="主たる営業所","",D21),E21)&amp;""</f>
        <v/>
      </c>
      <c r="G21" s="2">
        <f ca="1">LEN(F21)</f>
        <v>0</v>
      </c>
      <c r="H21" s="2">
        <f ca="1">IF(OR(G21=0,(G21+G23)&lt;20),0,1)</f>
        <v>0</v>
      </c>
      <c r="I21" s="2">
        <f ca="1">IF($H21=0,0,MAX($I$17:$I20)+1)</f>
        <v>0</v>
      </c>
      <c r="K21" s="2" t="str">
        <f ca="1">IF(G$20+G$21&lt;=15,"",F21)</f>
        <v/>
      </c>
      <c r="L21" s="2">
        <v>4</v>
      </c>
      <c r="M21" s="2" t="str">
        <f ca="1">IFERROR(VLOOKUP($L21,$I$18:$K$23,2,FALSE),"")&amp;""</f>
        <v/>
      </c>
      <c r="N21" s="2" t="str">
        <f ca="1">IFERROR(VLOOKUP($L21,$I$18:$K$23,3,FALSE),"")&amp;""</f>
        <v/>
      </c>
      <c r="O21" s="2" t="str">
        <f ca="1">IF($M21=$C$13,$O$7,"")</f>
        <v/>
      </c>
      <c r="Q21" s="150">
        <f ca="1">TODAY()</f>
        <v>46127</v>
      </c>
      <c r="R21" s="111" t="s">
        <v>389</v>
      </c>
      <c r="S21" s="111"/>
      <c r="T21" s="111"/>
      <c r="U21" s="111"/>
      <c r="V21" s="111"/>
      <c r="W21" s="111"/>
      <c r="X21" s="111"/>
      <c r="Y21" s="111"/>
      <c r="Z21" s="111"/>
      <c r="AB21" s="339"/>
    </row>
    <row r="22" spans="1:28" ht="18" customHeight="1">
      <c r="A22" s="2">
        <v>3</v>
      </c>
      <c r="C22" s="111" t="s">
        <v>266</v>
      </c>
      <c r="D22" s="2" t="str">
        <f ca="1">IFERROR(VLOOKUP(A$16,INDIRECT("【定期メンテ】国交省・検索システム!$C$2:$h$"&amp;【定期メンテ】国交省・検索システム!$J$1),$A22,FALSE),"")</f>
        <v/>
      </c>
      <c r="E22" s="112"/>
      <c r="F22" s="2" t="str">
        <f ca="1">IF(E22="",D22,E22)&amp;""</f>
        <v/>
      </c>
      <c r="L22" s="2">
        <v>5</v>
      </c>
      <c r="M22" s="2" t="str">
        <f ca="1">IFERROR(VLOOKUP($L22,$I$18:$K$23,2,FALSE),"")&amp;""</f>
        <v/>
      </c>
      <c r="N22" s="2" t="str">
        <f ca="1">IFERROR(VLOOKUP($L22,$I$18:$K$23,3,FALSE),"")&amp;""</f>
        <v/>
      </c>
      <c r="O22" s="2" t="str">
        <f ca="1">IF($M22=$C$13,$O$7,"")</f>
        <v/>
      </c>
      <c r="Q22" s="111" t="s">
        <v>383</v>
      </c>
      <c r="R22" s="111" t="str">
        <f ca="1">IF(T22&gt;MONTH(Q21),TEXT(Q21-365,"ggge"),TEXT(Q21,"ggge"))</f>
        <v>令和8</v>
      </c>
      <c r="S22" s="111" t="s">
        <v>244</v>
      </c>
      <c r="T22" s="112"/>
      <c r="U22" s="111" t="s">
        <v>384</v>
      </c>
      <c r="V22" s="111">
        <v>1</v>
      </c>
      <c r="W22" s="111" t="s">
        <v>246</v>
      </c>
      <c r="X22" s="111" t="s">
        <v>112</v>
      </c>
      <c r="Y22" s="150">
        <f ca="1">DATE(IF(T22&gt;MONTH(Q21),YEAR(Q21)-1,YEAR(Q21)),T22,V22)</f>
        <v>45992</v>
      </c>
      <c r="Z22" s="111" t="str">
        <f ca="1">DBCS(R22&amp;S22&amp;IF(T22&lt;10," ","")&amp;T22&amp;U22&amp;" "&amp;V22&amp;W22&amp;X22)</f>
        <v>令和８年　月　１日から</v>
      </c>
      <c r="AB22" s="339"/>
    </row>
    <row r="23" spans="1:28" ht="18" customHeight="1">
      <c r="A23" s="2">
        <v>4</v>
      </c>
      <c r="C23" s="111" t="s">
        <v>404</v>
      </c>
      <c r="D23" s="2" t="str">
        <f ca="1">IFERROR(VLOOKUP(A$16,INDIRECT("【定期メンテ】国交省・検索システム!$C$2:$h$"&amp;【定期メンテ】国交省・検索システム!$J$1),$A23,FALSE),"")</f>
        <v/>
      </c>
      <c r="E23" s="112"/>
      <c r="F23" s="2" t="str">
        <f ca="1">IF(E23="",D23,E23)&amp;""</f>
        <v/>
      </c>
      <c r="G23" s="2">
        <f ca="1">LEN(F23)</f>
        <v>0</v>
      </c>
      <c r="H23" s="2">
        <f t="shared" ca="1" si="0"/>
        <v>0</v>
      </c>
      <c r="I23" s="2">
        <f ca="1">IF($H23=0,0,MAX($I$17:$I22)+1)</f>
        <v>0</v>
      </c>
      <c r="J23" s="2" t="s">
        <v>5151</v>
      </c>
      <c r="K23" s="2" t="str">
        <f ca="1">IF(OR(G21=0,(G21+G23)&gt;19),"",F21&amp;"　")&amp;F22&amp;"　　"&amp;F23</f>
        <v>　　</v>
      </c>
      <c r="O23" s="2" t="str">
        <f>IF($M23=$C$13,$O$7,"")</f>
        <v/>
      </c>
      <c r="Q23" s="111"/>
      <c r="R23" s="111" t="str">
        <f>IF($T$22="","",TEXT(Y23,"ggge"))</f>
        <v/>
      </c>
      <c r="S23" s="111" t="s">
        <v>244</v>
      </c>
      <c r="T23" s="111" t="str">
        <f>IF($T$22="","",MONTH(Y23))</f>
        <v/>
      </c>
      <c r="U23" s="111" t="s">
        <v>384</v>
      </c>
      <c r="V23" s="111" t="str">
        <f>IF($T$22="","",DAY(Y23))</f>
        <v/>
      </c>
      <c r="W23" s="111" t="s">
        <v>246</v>
      </c>
      <c r="X23" s="111" t="s">
        <v>113</v>
      </c>
      <c r="Y23" s="150">
        <f ca="1">DATE(YEAR(Y22)+1,T22,V22)-1</f>
        <v>45991</v>
      </c>
      <c r="Z23" s="111" t="str">
        <f>DBCS(R23&amp;S23&amp;IF(T23&lt;10," ","")&amp;T23&amp;U23&amp;V23&amp;W23&amp;X23)</f>
        <v>年月日まで</v>
      </c>
      <c r="AB23" s="339"/>
    </row>
    <row r="24" spans="1:28" ht="18" customHeight="1">
      <c r="AB24" s="339"/>
    </row>
    <row r="25" spans="1:28" ht="23.25">
      <c r="E25" s="77" t="str">
        <f ca="1">IF(OR(D3="",F8="",F10="",F12="",F13="",T12=""),【随時メンテ】部分払い回数等!$A$53,【随時メンテ】部分払い回数等!$A$52)</f>
        <v>NG</v>
      </c>
      <c r="AB25" s="339"/>
    </row>
    <row r="26" spans="1:28">
      <c r="AB26" s="339"/>
    </row>
    <row r="27" spans="1:28" ht="23.25" customHeight="1">
      <c r="C27" s="152" t="s">
        <v>231</v>
      </c>
      <c r="D27" s="304"/>
      <c r="E27" s="304"/>
      <c r="AB27" s="339"/>
    </row>
    <row r="28" spans="1:28" ht="3.75" customHeight="1">
      <c r="AB28" s="340"/>
    </row>
    <row r="29" spans="1:28">
      <c r="B29" s="341"/>
      <c r="C29" s="341"/>
      <c r="D29" s="341"/>
      <c r="E29" s="341"/>
      <c r="F29" s="341"/>
      <c r="G29" s="341"/>
      <c r="H29" s="341"/>
      <c r="I29" s="341"/>
      <c r="J29" s="341"/>
      <c r="K29" s="341"/>
      <c r="L29" s="341"/>
      <c r="M29" s="341"/>
      <c r="N29" s="341"/>
      <c r="O29" s="341"/>
      <c r="P29" s="341"/>
      <c r="Q29" s="341"/>
      <c r="R29" s="341"/>
      <c r="S29" s="341"/>
      <c r="T29" s="341"/>
      <c r="U29" s="341"/>
      <c r="V29" s="341"/>
      <c r="W29" s="341"/>
      <c r="X29" s="341"/>
      <c r="Y29" s="341"/>
      <c r="Z29" s="341"/>
      <c r="AA29" s="341"/>
      <c r="AB29" s="341"/>
    </row>
  </sheetData>
  <sheetProtection sheet="1" objects="1" scenarios="1"/>
  <mergeCells count="2">
    <mergeCell ref="V8:W8"/>
    <mergeCell ref="V18:W18"/>
  </mergeCells>
  <phoneticPr fontId="2"/>
  <conditionalFormatting sqref="C16:C23">
    <cfRule type="expression" dxfId="156" priority="9">
      <formula>$D$3="共同企業体"</formula>
    </cfRule>
  </conditionalFormatting>
  <conditionalFormatting sqref="C4:D4 C5:E5 C15:F15 E16:F16 F17 Q18:V18 X18:Z18 E18:E23 Q19:Z23">
    <cfRule type="expression" dxfId="155" priority="100">
      <formula>$D$3="共同企業体"</formula>
    </cfRule>
  </conditionalFormatting>
  <conditionalFormatting sqref="D4 D16">
    <cfRule type="expression" dxfId="154" priority="8">
      <formula>$D$3="共同企業体"</formula>
    </cfRule>
  </conditionalFormatting>
  <conditionalFormatting sqref="E17">
    <cfRule type="expression" dxfId="153" priority="7">
      <formula>$D$3="共同企業体"</formula>
    </cfRule>
  </conditionalFormatting>
  <conditionalFormatting sqref="E18">
    <cfRule type="expression" dxfId="152" priority="3">
      <formula>$D$3="共同企業体"</formula>
    </cfRule>
  </conditionalFormatting>
  <conditionalFormatting sqref="E19:E22">
    <cfRule type="expression" dxfId="151" priority="2">
      <formula>$D$3="共同企業体"</formula>
    </cfRule>
  </conditionalFormatting>
  <conditionalFormatting sqref="E23">
    <cfRule type="expression" dxfId="150" priority="6">
      <formula>$D$3="共同企業体"</formula>
    </cfRule>
  </conditionalFormatting>
  <conditionalFormatting sqref="E25">
    <cfRule type="cellIs" dxfId="149" priority="13" operator="equal">
      <formula>"NG"</formula>
    </cfRule>
  </conditionalFormatting>
  <conditionalFormatting sqref="R20">
    <cfRule type="expression" dxfId="148" priority="1">
      <formula>$D$3="共同企業体"</formula>
    </cfRule>
  </conditionalFormatting>
  <dataValidations count="9">
    <dataValidation imeMode="hiragana" allowBlank="1" showInputMessage="1" showErrorMessage="1" sqref="D4 E10:E13 E18:E23" xr:uid="{00000000-0002-0000-0300-000000000000}"/>
    <dataValidation type="whole" imeMode="disabled" allowBlank="1" showInputMessage="1" showErrorMessage="1" sqref="T12 T22" xr:uid="{00000000-0002-0000-0300-000001000000}">
      <formula1>1</formula1>
      <formula2>12</formula2>
    </dataValidation>
    <dataValidation type="list" imeMode="hiragana" allowBlank="1" showInputMessage="1" showErrorMessage="1" sqref="R10 R20" xr:uid="{00000000-0002-0000-0300-000002000000}">
      <formula1>"課税,免税"</formula1>
    </dataValidation>
    <dataValidation type="whole" imeMode="disabled" operator="greaterThanOrEqual" allowBlank="1" showInputMessage="1" showErrorMessage="1" sqref="T8 V18 T18" xr:uid="{00000000-0002-0000-0300-000004000000}">
      <formula1>1</formula1>
    </dataValidation>
    <dataValidation type="whole" imeMode="disabled" allowBlank="1" showInputMessage="1" showErrorMessage="1" sqref="D6" xr:uid="{00000000-0002-0000-0300-000005000000}">
      <formula1>1</formula1>
      <formula2>99999</formula2>
    </dataValidation>
    <dataValidation type="textLength" imeMode="hiragana" operator="lessThanOrEqual" allowBlank="1" showInputMessage="1" showErrorMessage="1" errorTitle="文字数エラー" error="２０文字以内にしてください。" sqref="E8:E9" xr:uid="{00000000-0002-0000-0300-000006000000}">
      <formula1>20</formula1>
    </dataValidation>
    <dataValidation operator="greaterThanOrEqual" allowBlank="1" showInputMessage="1" showErrorMessage="1" sqref="V8:W8" xr:uid="{00000000-0002-0000-0300-000007000000}"/>
    <dataValidation imeMode="disabled" allowBlank="1" showInputMessage="1" showErrorMessage="1" sqref="D16" xr:uid="{00000000-0002-0000-0300-000008000000}"/>
    <dataValidation type="list" imeMode="hiragana" allowBlank="1" showInputMessage="1" showErrorMessage="1" sqref="D3" xr:uid="{00000000-0002-0000-0300-000009000000}">
      <formula1>$K$2:$K$3</formula1>
    </dataValidation>
  </dataValidations>
  <hyperlinks>
    <hyperlink ref="C27" location="目次!B7" display="目次へ戻る" xr:uid="{00000000-0004-0000-0300-000000000000}"/>
  </hyperlinks>
  <pageMargins left="0.7" right="0.7" top="0.75" bottom="0.75" header="0.3" footer="0.3"/>
  <pageSetup paperSize="9" scale="37" orientation="portrait" r:id="rId1"/>
  <ignoredErrors>
    <ignoredError sqref="F21 F11" 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theme="4" tint="0.79998168889431442"/>
  </sheetPr>
  <dimension ref="A1:I16"/>
  <sheetViews>
    <sheetView showGridLines="0" showRowColHeaders="0" workbookViewId="0">
      <selection activeCell="F15" sqref="F15"/>
    </sheetView>
  </sheetViews>
  <sheetFormatPr defaultColWidth="9" defaultRowHeight="13.5"/>
  <cols>
    <col min="1" max="2" width="3.625" style="40" customWidth="1"/>
    <col min="3" max="3" width="5.25" style="40" customWidth="1"/>
    <col min="4" max="4" width="3.125" style="40" bestFit="1" customWidth="1"/>
    <col min="5" max="5" width="5.25" style="40" bestFit="1" customWidth="1"/>
    <col min="6" max="6" width="20.625" style="40" customWidth="1"/>
    <col min="7" max="7" width="3.625" style="40" bestFit="1" customWidth="1"/>
    <col min="8" max="8" width="3.625" style="40" customWidth="1"/>
    <col min="9" max="9" width="5.25" style="40" bestFit="1" customWidth="1"/>
    <col min="10" max="16384" width="9" style="40"/>
  </cols>
  <sheetData>
    <row r="1" spans="1:9" ht="16.5">
      <c r="A1" s="41" t="s">
        <v>229</v>
      </c>
      <c r="I1" s="345" t="str">
        <f>閲覧図書!C6&amp;""</f>
        <v/>
      </c>
    </row>
    <row r="2" spans="1:9">
      <c r="I2" s="342"/>
    </row>
    <row r="3" spans="1:9" ht="30" customHeight="1">
      <c r="B3" s="168" t="s">
        <v>221</v>
      </c>
      <c r="C3" s="168"/>
      <c r="D3" s="168"/>
      <c r="E3" s="168"/>
      <c r="F3" s="168"/>
      <c r="G3" s="168"/>
      <c r="I3" s="342"/>
    </row>
    <row r="4" spans="1:9" ht="30" customHeight="1">
      <c r="B4" s="168"/>
      <c r="C4" s="168" t="s">
        <v>223</v>
      </c>
      <c r="D4" s="389"/>
      <c r="E4" s="168" t="s">
        <v>222</v>
      </c>
      <c r="F4" s="388"/>
      <c r="G4" s="168" t="s">
        <v>224</v>
      </c>
      <c r="I4" s="342"/>
    </row>
    <row r="5" spans="1:9" ht="30" customHeight="1">
      <c r="B5" s="168"/>
      <c r="C5" s="168" t="s">
        <v>223</v>
      </c>
      <c r="D5" s="389"/>
      <c r="E5" s="168" t="s">
        <v>222</v>
      </c>
      <c r="F5" s="388"/>
      <c r="G5" s="168" t="s">
        <v>224</v>
      </c>
      <c r="I5" s="342"/>
    </row>
    <row r="6" spans="1:9" ht="30" customHeight="1">
      <c r="B6" s="168"/>
      <c r="C6" s="168" t="s">
        <v>223</v>
      </c>
      <c r="D6" s="389"/>
      <c r="E6" s="168" t="s">
        <v>222</v>
      </c>
      <c r="F6" s="388"/>
      <c r="G6" s="168" t="s">
        <v>224</v>
      </c>
      <c r="I6" s="342"/>
    </row>
    <row r="7" spans="1:9">
      <c r="B7" s="168"/>
      <c r="C7" s="168"/>
      <c r="D7" s="168"/>
      <c r="E7" s="168"/>
      <c r="F7" s="168"/>
      <c r="G7" s="168"/>
      <c r="I7" s="342"/>
    </row>
    <row r="8" spans="1:9" ht="30" customHeight="1">
      <c r="B8" s="168" t="s">
        <v>225</v>
      </c>
      <c r="C8" s="168"/>
      <c r="D8" s="168"/>
      <c r="E8" s="168"/>
      <c r="F8" s="168"/>
      <c r="G8" s="168"/>
      <c r="I8" s="342"/>
    </row>
    <row r="9" spans="1:9" ht="30" customHeight="1">
      <c r="B9" s="168"/>
      <c r="C9" s="168" t="str">
        <f>C4</f>
        <v>令和</v>
      </c>
      <c r="D9" s="168" t="str">
        <f>IF(D4="","",D4)</f>
        <v/>
      </c>
      <c r="E9" s="168" t="str">
        <f>E4</f>
        <v>年度</v>
      </c>
      <c r="F9" s="388"/>
      <c r="G9" s="168" t="s">
        <v>224</v>
      </c>
      <c r="I9" s="342"/>
    </row>
    <row r="10" spans="1:9" ht="30" customHeight="1">
      <c r="B10" s="168"/>
      <c r="C10" s="168" t="str">
        <f>C5</f>
        <v>令和</v>
      </c>
      <c r="D10" s="168" t="str">
        <f>IF(D5="","",D5)</f>
        <v/>
      </c>
      <c r="E10" s="168" t="str">
        <f>E5</f>
        <v>年度</v>
      </c>
      <c r="F10" s="388"/>
      <c r="G10" s="168" t="s">
        <v>224</v>
      </c>
      <c r="I10" s="342"/>
    </row>
    <row r="11" spans="1:9" ht="30" customHeight="1">
      <c r="B11" s="168"/>
      <c r="C11" s="168" t="str">
        <f>C6</f>
        <v>令和</v>
      </c>
      <c r="D11" s="168" t="str">
        <f>IF(D6="","",D6)</f>
        <v/>
      </c>
      <c r="E11" s="168" t="str">
        <f>E6</f>
        <v>年度</v>
      </c>
      <c r="F11" s="388"/>
      <c r="G11" s="168" t="s">
        <v>224</v>
      </c>
      <c r="I11" s="342"/>
    </row>
    <row r="12" spans="1:9">
      <c r="I12" s="342"/>
    </row>
    <row r="13" spans="1:9" ht="30" customHeight="1">
      <c r="F13" s="81" t="str">
        <f>IF(AND(I1="あり",F10=""),【随時メンテ】部分払い回数等!A53,【随時メンテ】部分払い回数等!A52)</f>
        <v>OK</v>
      </c>
      <c r="I13" s="342"/>
    </row>
    <row r="14" spans="1:9">
      <c r="I14" s="342"/>
    </row>
    <row r="15" spans="1:9" ht="30" customHeight="1">
      <c r="F15" s="156" t="s">
        <v>232</v>
      </c>
      <c r="I15" s="342"/>
    </row>
    <row r="16" spans="1:9">
      <c r="A16" s="343"/>
      <c r="B16" s="343"/>
      <c r="C16" s="343"/>
      <c r="D16" s="343"/>
      <c r="E16" s="343"/>
      <c r="F16" s="343"/>
      <c r="G16" s="343"/>
      <c r="H16" s="343"/>
      <c r="I16" s="344"/>
    </row>
  </sheetData>
  <sheetProtection sheet="1" objects="1" scenarios="1"/>
  <phoneticPr fontId="2"/>
  <conditionalFormatting sqref="B3:G11">
    <cfRule type="expression" dxfId="147" priority="3">
      <formula>$I$1="あり"</formula>
    </cfRule>
  </conditionalFormatting>
  <conditionalFormatting sqref="D4:D6 F4:F6 F9:F11">
    <cfRule type="expression" dxfId="146" priority="1">
      <formula>$I$1="あり"</formula>
    </cfRule>
  </conditionalFormatting>
  <conditionalFormatting sqref="D9:D11">
    <cfRule type="cellIs" dxfId="145" priority="11" operator="equal">
      <formula>0</formula>
    </cfRule>
  </conditionalFormatting>
  <conditionalFormatting sqref="F13">
    <cfRule type="cellIs" dxfId="144" priority="8" operator="equal">
      <formula>"NG"</formula>
    </cfRule>
  </conditionalFormatting>
  <dataValidations count="2">
    <dataValidation type="whole" imeMode="disabled" operator="greaterThanOrEqual" allowBlank="1" showInputMessage="1" showErrorMessage="1" sqref="D4:D6" xr:uid="{00000000-0002-0000-0500-000000000000}">
      <formula1>1</formula1>
    </dataValidation>
    <dataValidation imeMode="disabled" allowBlank="1" showInputMessage="1" showErrorMessage="1" sqref="F4:F6 F9:F11" xr:uid="{00000000-0002-0000-0500-000001000000}"/>
  </dataValidations>
  <hyperlinks>
    <hyperlink ref="F15" location="目次!B9" display="目次へ戻る" xr:uid="{00000000-0004-0000-0500-000000000000}"/>
  </hyperlinks>
  <pageMargins left="0.7" right="0.7" top="0.75" bottom="0.75" header="0.3" footer="0.3"/>
  <ignoredErrors>
    <ignoredError sqref="D9:D11" 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theme="4" tint="0.79998168889431442"/>
  </sheetPr>
  <dimension ref="A1:AJ31"/>
  <sheetViews>
    <sheetView showGridLines="0" showRowColHeaders="0" topLeftCell="A6" zoomScaleNormal="100" workbookViewId="0">
      <selection activeCell="S26" sqref="S26:T26"/>
    </sheetView>
  </sheetViews>
  <sheetFormatPr defaultRowHeight="24" customHeight="1"/>
  <cols>
    <col min="1" max="2" width="3.375" customWidth="1"/>
    <col min="3" max="3" width="3.375" bestFit="1" customWidth="1"/>
    <col min="4" max="4" width="5.25" bestFit="1" customWidth="1"/>
    <col min="5" max="5" width="2.5" bestFit="1" customWidth="1"/>
    <col min="6" max="6" width="3.375" customWidth="1"/>
    <col min="7" max="7" width="3.5" bestFit="1" customWidth="1"/>
    <col min="8" max="8" width="3.375" customWidth="1"/>
    <col min="9" max="9" width="3.5" bestFit="1" customWidth="1"/>
    <col min="10" max="10" width="3.375" customWidth="1"/>
    <col min="11" max="11" width="15.625" customWidth="1"/>
    <col min="12" max="12" width="5.25" style="23" bestFit="1" customWidth="1"/>
    <col min="13" max="13" width="5.25" bestFit="1" customWidth="1"/>
    <col min="14" max="14" width="7.125" bestFit="1" customWidth="1"/>
    <col min="15" max="15" width="40.625" customWidth="1"/>
    <col min="16" max="16" width="3.375" customWidth="1"/>
    <col min="17" max="17" width="3.625" customWidth="1"/>
    <col min="18" max="18" width="5.25" bestFit="1" customWidth="1"/>
    <col min="19" max="19" width="3.5" customWidth="1"/>
    <col min="20" max="20" width="3.375" bestFit="1" customWidth="1"/>
    <col min="21" max="21" width="3.5" customWidth="1"/>
    <col min="22" max="22" width="3.375" bestFit="1" customWidth="1"/>
    <col min="23" max="23" width="3.5" customWidth="1"/>
    <col min="24" max="24" width="3.375" bestFit="1" customWidth="1"/>
    <col min="25" max="25" width="5.625" customWidth="1"/>
    <col min="26" max="26" width="15.625" customWidth="1"/>
    <col min="27" max="27" width="4.625" bestFit="1" customWidth="1"/>
    <col min="28" max="28" width="16.5" hidden="1" customWidth="1"/>
    <col min="29" max="29" width="4.625" hidden="1" customWidth="1"/>
    <col min="30" max="31" width="9" hidden="1" customWidth="1"/>
    <col min="32" max="32" width="11" bestFit="1" customWidth="1"/>
    <col min="33" max="33" width="19.25" bestFit="1" customWidth="1"/>
    <col min="34" max="35" width="0" hidden="1" customWidth="1"/>
  </cols>
  <sheetData>
    <row r="1" spans="1:33" ht="24" hidden="1" customHeight="1">
      <c r="A1" s="12" t="s">
        <v>241</v>
      </c>
      <c r="L1"/>
      <c r="AG1" s="346"/>
    </row>
    <row r="2" spans="1:33" ht="24" hidden="1" customHeight="1">
      <c r="D2" s="437" t="s">
        <v>242</v>
      </c>
      <c r="E2" s="437"/>
      <c r="F2" s="437"/>
      <c r="G2" s="437"/>
      <c r="H2" s="437"/>
      <c r="I2" s="437"/>
      <c r="J2" s="437"/>
      <c r="L2" s="23" t="s">
        <v>243</v>
      </c>
      <c r="AG2" s="346"/>
    </row>
    <row r="3" spans="1:33" ht="24" hidden="1" customHeight="1">
      <c r="C3" t="s">
        <v>79</v>
      </c>
      <c r="D3" t="s">
        <v>223</v>
      </c>
      <c r="E3" s="1">
        <v>4</v>
      </c>
      <c r="F3" t="s">
        <v>244</v>
      </c>
      <c r="G3" s="1">
        <v>8</v>
      </c>
      <c r="H3" t="s">
        <v>245</v>
      </c>
      <c r="I3" s="1">
        <v>25</v>
      </c>
      <c r="J3" t="s">
        <v>246</v>
      </c>
      <c r="K3" s="44">
        <f>DATE(E3+2018,G3,I3)</f>
        <v>44798</v>
      </c>
      <c r="L3" s="23" t="str">
        <f>TEXT(K3,"aaa")</f>
        <v>木</v>
      </c>
      <c r="AG3" s="346"/>
    </row>
    <row r="4" spans="1:33" ht="24" hidden="1" customHeight="1">
      <c r="C4" t="s">
        <v>80</v>
      </c>
      <c r="D4" t="s">
        <v>247</v>
      </c>
      <c r="E4" s="1">
        <v>4</v>
      </c>
      <c r="F4" t="s">
        <v>248</v>
      </c>
      <c r="G4" s="1">
        <v>10</v>
      </c>
      <c r="H4" t="s">
        <v>245</v>
      </c>
      <c r="I4" s="1">
        <v>7</v>
      </c>
      <c r="J4" t="s">
        <v>249</v>
      </c>
      <c r="K4" s="44">
        <f>DATE(E4+2018,G4,I4)</f>
        <v>44841</v>
      </c>
      <c r="L4" s="23" t="str">
        <f>TEXT(K4,"aaa")</f>
        <v>金</v>
      </c>
      <c r="AG4" s="346"/>
    </row>
    <row r="5" spans="1:33" ht="24" hidden="1" customHeight="1">
      <c r="A5" s="45"/>
      <c r="B5" s="45"/>
      <c r="C5" s="45"/>
      <c r="D5" s="45"/>
      <c r="E5" s="45"/>
      <c r="F5" s="45"/>
      <c r="G5" s="45"/>
      <c r="H5" s="45"/>
      <c r="I5" s="45"/>
      <c r="J5" s="45"/>
      <c r="K5" s="46"/>
      <c r="L5" s="18">
        <f>_xlfn.DAYS(K4,K3)+1</f>
        <v>44</v>
      </c>
      <c r="M5" s="23" t="s">
        <v>250</v>
      </c>
      <c r="N5" s="45"/>
      <c r="AG5" s="346"/>
    </row>
    <row r="6" spans="1:33" ht="24" customHeight="1">
      <c r="A6" s="47"/>
      <c r="B6" s="47"/>
      <c r="C6" s="47"/>
      <c r="D6" s="47"/>
      <c r="E6" s="47"/>
      <c r="F6" s="47"/>
      <c r="G6" s="47"/>
      <c r="H6" s="47"/>
      <c r="I6" s="47"/>
      <c r="J6" s="47"/>
      <c r="K6" s="47"/>
      <c r="L6" s="48"/>
      <c r="M6" s="47"/>
      <c r="N6" s="47"/>
      <c r="AF6" s="337"/>
      <c r="AG6" s="346"/>
    </row>
    <row r="7" spans="1:33" ht="24" hidden="1" customHeight="1">
      <c r="A7" s="12" t="s">
        <v>251</v>
      </c>
      <c r="AF7" s="337"/>
      <c r="AG7" s="346"/>
    </row>
    <row r="8" spans="1:33" ht="24" customHeight="1">
      <c r="A8" s="12"/>
      <c r="B8" s="15" t="s">
        <v>366</v>
      </c>
      <c r="L8" s="23" t="str">
        <f>入札結果!G19</f>
        <v/>
      </c>
      <c r="M8" s="23" t="s">
        <v>250</v>
      </c>
      <c r="AF8" s="337"/>
      <c r="AG8" s="346"/>
    </row>
    <row r="9" spans="1:33" ht="24" customHeight="1">
      <c r="B9" s="49" t="s">
        <v>337</v>
      </c>
      <c r="M9" s="23" t="str">
        <f>IF(閲覧図書!$C$12="任意着手","あり","なし")</f>
        <v>なし</v>
      </c>
      <c r="P9" s="49" t="s">
        <v>338</v>
      </c>
      <c r="AA9" s="23" t="str">
        <f>IF(閲覧図書!$C$12="発注者指定","あり","なし")</f>
        <v>なし</v>
      </c>
      <c r="AF9" s="337"/>
      <c r="AG9" s="346"/>
    </row>
    <row r="10" spans="1:33" ht="24" customHeight="1">
      <c r="D10" s="443" t="s">
        <v>252</v>
      </c>
      <c r="E10" s="443"/>
      <c r="F10" s="443"/>
      <c r="G10" s="443"/>
      <c r="H10" s="443"/>
      <c r="I10" s="443"/>
      <c r="J10" s="443"/>
      <c r="K10" s="443"/>
      <c r="L10" s="164">
        <f>閲覧図書!C15</f>
        <v>0</v>
      </c>
      <c r="M10" s="166" t="s">
        <v>250</v>
      </c>
      <c r="N10" s="164"/>
      <c r="Q10" s="443" t="s">
        <v>253</v>
      </c>
      <c r="R10" s="443"/>
      <c r="S10" s="443"/>
      <c r="T10" s="164"/>
      <c r="U10" s="164"/>
      <c r="V10" s="164"/>
      <c r="W10" s="164"/>
      <c r="X10" s="164"/>
      <c r="AC10" s="23"/>
      <c r="AF10" s="337"/>
      <c r="AG10" s="346"/>
    </row>
    <row r="11" spans="1:33" ht="24" customHeight="1">
      <c r="D11" s="443" t="s">
        <v>254</v>
      </c>
      <c r="E11" s="443"/>
      <c r="F11" s="443"/>
      <c r="G11" s="443"/>
      <c r="H11" s="443"/>
      <c r="I11" s="443"/>
      <c r="J11" s="443"/>
      <c r="K11" s="443"/>
      <c r="L11" s="164">
        <f>閲覧図書!C16</f>
        <v>0</v>
      </c>
      <c r="M11" s="166" t="s">
        <v>250</v>
      </c>
      <c r="N11" s="164" t="s">
        <v>255</v>
      </c>
      <c r="Q11" s="164" t="s">
        <v>79</v>
      </c>
      <c r="R11" s="164" t="s">
        <v>223</v>
      </c>
      <c r="S11" s="164" t="str">
        <f>IF(閲覧図書!$C13="","",YEAR(閲覧図書!$C13)-2018)</f>
        <v/>
      </c>
      <c r="T11" s="164" t="s">
        <v>244</v>
      </c>
      <c r="U11" s="164" t="str">
        <f>IF(閲覧図書!$C13="","",MONTH(閲覧図書!$C13))</f>
        <v/>
      </c>
      <c r="V11" s="164" t="s">
        <v>245</v>
      </c>
      <c r="W11" s="164" t="str">
        <f>IF(閲覧図書!$C13="","",DAY(閲覧図書!$C13))</f>
        <v/>
      </c>
      <c r="X11" s="164" t="s">
        <v>246</v>
      </c>
      <c r="AB11" s="44" t="str">
        <f>IF(W11="","",DATE(S11+2018,U11,W11))</f>
        <v/>
      </c>
      <c r="AC11" s="23" t="str">
        <f>TEXT(AB11,"aaa")</f>
        <v/>
      </c>
      <c r="AF11" s="337"/>
      <c r="AG11" s="346"/>
    </row>
    <row r="12" spans="1:33" ht="24" customHeight="1">
      <c r="D12" s="164"/>
      <c r="E12" s="164"/>
      <c r="F12" s="164"/>
      <c r="G12" s="164"/>
      <c r="H12" s="164"/>
      <c r="I12" s="164"/>
      <c r="J12" s="164"/>
      <c r="K12" s="164"/>
      <c r="L12" s="164">
        <f>L10+L11</f>
        <v>0</v>
      </c>
      <c r="M12" s="166" t="s">
        <v>250</v>
      </c>
      <c r="N12" s="164"/>
      <c r="Q12" s="164" t="s">
        <v>80</v>
      </c>
      <c r="R12" s="164" t="s">
        <v>247</v>
      </c>
      <c r="S12" s="164" t="str">
        <f>IF(閲覧図書!$C14="","",YEAR(閲覧図書!$C14)-2018)</f>
        <v/>
      </c>
      <c r="T12" s="164" t="s">
        <v>248</v>
      </c>
      <c r="U12" s="164" t="str">
        <f>IF(閲覧図書!$C14="","",MONTH(閲覧図書!$C14))</f>
        <v/>
      </c>
      <c r="V12" s="164" t="s">
        <v>245</v>
      </c>
      <c r="W12" s="164" t="str">
        <f>IF(閲覧図書!$C14="","",DAY(閲覧図書!$C14))</f>
        <v/>
      </c>
      <c r="X12" s="164" t="s">
        <v>249</v>
      </c>
      <c r="AB12" s="44" t="str">
        <f>IF(W12="","",DATE(S12+2018,U12,W12))</f>
        <v/>
      </c>
      <c r="AC12" s="23" t="str">
        <f>TEXT(AB12,"aaa")</f>
        <v/>
      </c>
      <c r="AF12" s="337"/>
      <c r="AG12" s="346"/>
    </row>
    <row r="13" spans="1:33" ht="24" customHeight="1">
      <c r="K13" t="s">
        <v>328</v>
      </c>
      <c r="L13" s="1"/>
      <c r="M13" s="23" t="s">
        <v>250</v>
      </c>
      <c r="O13" s="12" t="str">
        <f>IF(AND(入札結果!G20="",L13=0),"入力してください","")</f>
        <v>入力してください</v>
      </c>
      <c r="Q13" s="443" t="s">
        <v>256</v>
      </c>
      <c r="R13" s="443"/>
      <c r="S13" s="443"/>
      <c r="T13" s="164"/>
      <c r="U13" s="164"/>
      <c r="V13" s="164"/>
      <c r="W13" s="164"/>
      <c r="X13" s="164"/>
      <c r="AC13" s="23"/>
      <c r="AF13" s="337"/>
      <c r="AG13" s="346"/>
    </row>
    <row r="14" spans="1:33" ht="24" customHeight="1">
      <c r="K14" s="160" t="s">
        <v>257</v>
      </c>
      <c r="L14" s="163"/>
      <c r="M14" s="166" t="s">
        <v>250</v>
      </c>
      <c r="O14" s="12" t="str">
        <f>IF(AND(L11&lt;&gt;0,L14=0),"入力してください","")</f>
        <v/>
      </c>
      <c r="Q14" s="164"/>
      <c r="R14" s="164" t="s">
        <v>223</v>
      </c>
      <c r="S14" s="347" t="e">
        <f>YEAR(AB14)-2018</f>
        <v>#VALUE!</v>
      </c>
      <c r="T14" s="164" t="s">
        <v>248</v>
      </c>
      <c r="U14" s="164" t="e">
        <f>MONTH(AB14)</f>
        <v>#VALUE!</v>
      </c>
      <c r="V14" s="164" t="s">
        <v>258</v>
      </c>
      <c r="W14" s="164" t="e">
        <f>DAY(AB14)</f>
        <v>#VALUE!</v>
      </c>
      <c r="X14" s="164" t="s">
        <v>249</v>
      </c>
      <c r="AB14" s="44" t="str">
        <f>IF(AA9="なし","",IF(K20="","",K20+1))</f>
        <v/>
      </c>
      <c r="AC14" s="23" t="str">
        <f>TEXT(AB14,"aaa")</f>
        <v/>
      </c>
      <c r="AF14" s="337"/>
      <c r="AG14" s="346"/>
    </row>
    <row r="15" spans="1:33" ht="24" customHeight="1">
      <c r="K15" s="350" t="s">
        <v>259</v>
      </c>
      <c r="Q15" s="164"/>
      <c r="R15" s="164" t="s">
        <v>223</v>
      </c>
      <c r="S15" s="347" t="e">
        <f>YEAR(AB15)-2018</f>
        <v>#VALUE!</v>
      </c>
      <c r="T15" s="164" t="s">
        <v>248</v>
      </c>
      <c r="U15" s="164" t="e">
        <f>MONTH(AB15)</f>
        <v>#VALUE!</v>
      </c>
      <c r="V15" s="164" t="s">
        <v>258</v>
      </c>
      <c r="W15" s="164" t="e">
        <f>DAY(AB15)</f>
        <v>#VALUE!</v>
      </c>
      <c r="X15" s="164" t="s">
        <v>249</v>
      </c>
      <c r="AB15" s="44" t="str">
        <f>IF(AB11="","",AB11-1)</f>
        <v/>
      </c>
      <c r="AC15" s="23" t="str">
        <f>TEXT(AB15,"aaa")</f>
        <v/>
      </c>
      <c r="AF15" s="337"/>
      <c r="AG15" s="346"/>
    </row>
    <row r="16" spans="1:33" ht="24" customHeight="1">
      <c r="B16" s="49" t="s">
        <v>365</v>
      </c>
      <c r="K16" s="12"/>
      <c r="S16" s="348"/>
      <c r="AB16" s="44"/>
      <c r="AC16" s="23"/>
      <c r="AF16" s="337"/>
      <c r="AG16" s="346"/>
    </row>
    <row r="17" spans="1:36" ht="24" customHeight="1">
      <c r="D17" t="s">
        <v>223</v>
      </c>
      <c r="E17" s="17" t="e">
        <f>YEAR(K17)-2018</f>
        <v>#VALUE!</v>
      </c>
      <c r="F17" t="s">
        <v>248</v>
      </c>
      <c r="G17" t="e">
        <f>MONTH(K17)</f>
        <v>#VALUE!</v>
      </c>
      <c r="H17" t="s">
        <v>258</v>
      </c>
      <c r="I17" t="e">
        <f>DAY(K17)</f>
        <v>#VALUE!</v>
      </c>
      <c r="J17" t="s">
        <v>249</v>
      </c>
      <c r="K17" s="44" t="str">
        <f>IF(入札結果!C2="","",入札結果!C2)</f>
        <v/>
      </c>
      <c r="L17" s="23" t="str">
        <f>TEXT(K17,"aaa")</f>
        <v/>
      </c>
      <c r="S17" s="348"/>
      <c r="AB17" s="44"/>
      <c r="AC17" s="23"/>
      <c r="AF17" s="337"/>
      <c r="AG17" s="346"/>
    </row>
    <row r="18" spans="1:36" ht="24" customHeight="1">
      <c r="B18" s="49" t="s">
        <v>260</v>
      </c>
      <c r="K18" s="23" t="e">
        <f>IF(OR(N20="閉庁日",N23="閉庁日",N19="範囲外"),【随時メンテ】部分払い回数等!$A$53,【随時メンテ】部分払い回数等!$A$52)</f>
        <v>#VALUE!</v>
      </c>
      <c r="N18" s="23"/>
      <c r="O18" s="12" t="e">
        <f>IF(OR(N20="閉庁日",N23="閉庁日"),"契約日、余裕期間または工事期間を変更してください","")</f>
        <v>#VALUE!</v>
      </c>
      <c r="P18" s="49" t="s">
        <v>85</v>
      </c>
      <c r="AF18" s="337"/>
      <c r="AG18" s="346"/>
      <c r="AH18" s="2"/>
      <c r="AI18" s="2"/>
    </row>
    <row r="19" spans="1:36" ht="24" customHeight="1">
      <c r="D19" s="439" t="s">
        <v>86</v>
      </c>
      <c r="E19" s="439"/>
      <c r="L19" s="23" t="s">
        <v>243</v>
      </c>
      <c r="N19" s="23" t="str">
        <f>IFERROR(IF(OR(K20&lt;【定期メンテ】祝日!U2,K20&gt;【定期メンテ】祝日!U3),"期間外",IF((K20-K17)&gt;7,"範囲外","")),"")</f>
        <v>期間外</v>
      </c>
      <c r="O19" s="12" t="str">
        <f>IFERROR(IF(N19="期間外","当該年度の様式を使用してください",IF(N19="範囲外","通知日から7日以内にしてください","")),"入札結果シートに落札通知日を入力してください")</f>
        <v>当該年度の様式を使用してください</v>
      </c>
      <c r="Q19" s="437" t="s">
        <v>1164</v>
      </c>
      <c r="R19" s="437"/>
      <c r="S19" s="445" t="str">
        <f>入札結果!G16</f>
        <v/>
      </c>
      <c r="T19" s="445"/>
      <c r="U19" s="445"/>
      <c r="V19" s="445"/>
      <c r="W19" s="445"/>
      <c r="X19" s="445"/>
      <c r="Y19" s="349"/>
      <c r="Z19" s="349"/>
      <c r="AA19" s="349"/>
      <c r="AB19" s="370"/>
      <c r="AD19" t="s">
        <v>1050</v>
      </c>
      <c r="AF19" s="337"/>
      <c r="AG19" s="346"/>
      <c r="AH19" s="2"/>
      <c r="AI19" s="2"/>
    </row>
    <row r="20" spans="1:36" ht="24" customHeight="1">
      <c r="D20" t="s">
        <v>223</v>
      </c>
      <c r="E20" s="1"/>
      <c r="F20" t="s">
        <v>244</v>
      </c>
      <c r="G20" s="1"/>
      <c r="H20" t="s">
        <v>245</v>
      </c>
      <c r="I20" s="1"/>
      <c r="J20" t="s">
        <v>246</v>
      </c>
      <c r="K20" s="44" t="str">
        <f>IF(I20="","",DATE(E20+2018,G20,I20))</f>
        <v/>
      </c>
      <c r="L20" s="23" t="str">
        <f>TEXT(K20,"aaa")</f>
        <v/>
      </c>
      <c r="M20" t="str">
        <f>IF(ISERROR(VLOOKUP($K$20,【定期メンテ】祝日!$B$5:$B$89,1,FALSE))=TRUE,"","祝日")</f>
        <v/>
      </c>
      <c r="N20" s="23" t="str">
        <f>IF(OR(L20="土",L20="日",M20="祝日"),"閉庁日","")</f>
        <v/>
      </c>
      <c r="O20" s="12" t="str">
        <f>IF(N20="閉庁日","別の日にしてください","")</f>
        <v/>
      </c>
      <c r="Q20" s="437" t="s">
        <v>1165</v>
      </c>
      <c r="R20" s="437"/>
      <c r="S20" s="444"/>
      <c r="T20" s="444"/>
      <c r="U20" s="444"/>
      <c r="V20" s="444"/>
      <c r="W20" s="444"/>
      <c r="X20" s="444"/>
      <c r="Y20" s="444"/>
      <c r="Z20" s="444"/>
      <c r="AA20" s="444"/>
      <c r="AB20" s="444"/>
      <c r="AC20" s="18" t="e">
        <f>VLOOKUP($S$20,【随時メンテ】部分払い回数等!$A$21:$D$26,4,FALSE)</f>
        <v>#N/A</v>
      </c>
      <c r="AD20" t="str">
        <f>DBCS(D20&amp;IF(E20&lt;10," ","")&amp;IF(E20="","　　",E20)&amp;"年"&amp;IF(G20&lt;10," ","")&amp;IF(G20="","　　",G20)&amp;"月"&amp;IF(I20&lt;10," ","")&amp;IF(I20="","　　",I20)&amp;"日")</f>
        <v>令和　　　年　　　月　　　日</v>
      </c>
      <c r="AF20" s="337"/>
      <c r="AG20" s="346"/>
      <c r="AH20" s="2"/>
      <c r="AI20" s="2"/>
    </row>
    <row r="21" spans="1:36" ht="24" customHeight="1">
      <c r="D21" s="437" t="s">
        <v>242</v>
      </c>
      <c r="E21" s="437"/>
      <c r="F21" s="437"/>
      <c r="G21" s="437"/>
      <c r="H21" s="437"/>
      <c r="I21" s="437"/>
      <c r="J21" s="437"/>
      <c r="Q21" s="437" t="e">
        <f>IF($AC$20&lt;4,"保証金額","")</f>
        <v>#N/A</v>
      </c>
      <c r="R21" s="437"/>
      <c r="S21" s="433"/>
      <c r="T21" s="433"/>
      <c r="U21" s="433"/>
      <c r="V21" s="433"/>
      <c r="W21" s="433"/>
      <c r="X21" s="433"/>
      <c r="Y21" s="371"/>
      <c r="Z21" s="371"/>
      <c r="AA21" s="371"/>
      <c r="AB21" s="370"/>
      <c r="AF21" s="353"/>
      <c r="AG21" s="377"/>
      <c r="AH21" s="2"/>
      <c r="AI21" s="2"/>
    </row>
    <row r="22" spans="1:36" ht="24" customHeight="1">
      <c r="C22" t="s">
        <v>79</v>
      </c>
      <c r="D22" t="s">
        <v>223</v>
      </c>
      <c r="E22" s="17" t="e">
        <f>YEAR(K22)-2018</f>
        <v>#VALUE!</v>
      </c>
      <c r="F22" t="s">
        <v>248</v>
      </c>
      <c r="G22" t="e">
        <f>MONTH(K22)</f>
        <v>#VALUE!</v>
      </c>
      <c r="H22" t="s">
        <v>258</v>
      </c>
      <c r="I22" t="e">
        <f>DAY(K22)</f>
        <v>#VALUE!</v>
      </c>
      <c r="J22" t="s">
        <v>249</v>
      </c>
      <c r="K22" s="44" t="e">
        <f>K20+1</f>
        <v>#VALUE!</v>
      </c>
      <c r="L22" s="23" t="e">
        <f>TEXT(K22,"aaa")</f>
        <v>#VALUE!</v>
      </c>
      <c r="P22" s="350" t="s">
        <v>1242</v>
      </c>
      <c r="Q22" s="164"/>
      <c r="R22" s="164"/>
      <c r="S22" s="164"/>
      <c r="T22" s="442"/>
      <c r="U22" s="442"/>
      <c r="V22" s="442"/>
      <c r="W22" s="442"/>
      <c r="X22" s="442"/>
      <c r="AD22" t="e">
        <f>DBCS(D22&amp;IF(E22&lt;10," ","")&amp;E22&amp;"年"&amp;IF(G22&lt;10," ","")&amp;G22&amp;"月"&amp;IF(I22&lt;10," ","")&amp;I22&amp;"日")</f>
        <v>#VALUE!</v>
      </c>
      <c r="AF22" s="354" t="s">
        <v>1231</v>
      </c>
      <c r="AG22" s="378"/>
      <c r="AH22" s="2"/>
      <c r="AI22" s="2"/>
    </row>
    <row r="23" spans="1:36" ht="24" customHeight="1">
      <c r="C23" t="s">
        <v>80</v>
      </c>
      <c r="D23" t="s">
        <v>247</v>
      </c>
      <c r="E23" s="17" t="e">
        <f>YEAR(K23)-2018</f>
        <v>#VALUE!</v>
      </c>
      <c r="F23" t="s">
        <v>248</v>
      </c>
      <c r="G23" t="e">
        <f>MONTH(K23)</f>
        <v>#VALUE!</v>
      </c>
      <c r="H23" t="s">
        <v>258</v>
      </c>
      <c r="I23" t="e">
        <f>DAY(K23)</f>
        <v>#VALUE!</v>
      </c>
      <c r="J23" t="s">
        <v>249</v>
      </c>
      <c r="K23" s="44" t="e">
        <f>IF(入札結果!G20="",K29,入札結果!G20)</f>
        <v>#VALUE!</v>
      </c>
      <c r="L23" s="23" t="e">
        <f>TEXT(K23,"aaa")</f>
        <v>#VALUE!</v>
      </c>
      <c r="M23" t="str">
        <f>IF(ISERROR(VLOOKUP($K$23,【定期メンテ】祝日!$B$5:$B$89,1,FALSE))=TRUE,"","祝日")</f>
        <v/>
      </c>
      <c r="N23" s="23" t="e">
        <f>IF(OR(L23="土",L23="日",M23="祝日"),"閉庁日","")</f>
        <v>#VALUE!</v>
      </c>
      <c r="O23" s="12" t="e">
        <f>IF(N23="閉庁日","別の日にしてください","")</f>
        <v>#VALUE!</v>
      </c>
      <c r="P23" s="49" t="s">
        <v>1190</v>
      </c>
      <c r="R23" s="437" t="s">
        <v>1191</v>
      </c>
      <c r="S23" s="437"/>
      <c r="T23" s="439" t="str">
        <f>'&lt;使わない&gt;当初書類'!B38</f>
        <v>主任技術者</v>
      </c>
      <c r="U23" s="439"/>
      <c r="V23" s="439"/>
      <c r="W23" s="439"/>
      <c r="X23" s="439"/>
      <c r="AD23" t="e">
        <f>DBCS(D23&amp;IF(E23&lt;10," ","")&amp;E23&amp;"年"&amp;IF(G23&lt;10," ","")&amp;G23&amp;"月"&amp;IF(I23&lt;10," ","")&amp;I23&amp;"日")</f>
        <v>#VALUE!</v>
      </c>
      <c r="AF23" s="355" t="s">
        <v>1224</v>
      </c>
      <c r="AG23" s="379"/>
      <c r="AH23" s="2" t="str">
        <f>IF(AI23="",契約日ほか!AG23,LEFT(契約日ほか!AG23,LEN(契約日ほか!AG23)-2))&amp;""</f>
        <v/>
      </c>
      <c r="AI23" s="5" t="str">
        <f>IF(OR(RIGHT(契約日ほか!AG23,2)="銀行",RIGHT(契約日ほか!AG23,2)="金庫"),RIGHT(契約日ほか!AG23,2),"")</f>
        <v/>
      </c>
    </row>
    <row r="24" spans="1:36" ht="24" customHeight="1">
      <c r="Q24" s="437" t="s">
        <v>1192</v>
      </c>
      <c r="R24" s="437"/>
      <c r="S24" s="437"/>
      <c r="T24" s="438"/>
      <c r="U24" s="438"/>
      <c r="V24" s="438"/>
      <c r="W24" s="438"/>
      <c r="X24" s="438"/>
      <c r="Z24" s="441" t="s">
        <v>1234</v>
      </c>
      <c r="AA24" s="390"/>
      <c r="AB24" t="str">
        <f>IF(T24="",T23,T24)</f>
        <v>主任技術者</v>
      </c>
      <c r="AF24" s="355" t="s">
        <v>1228</v>
      </c>
      <c r="AG24" s="379"/>
      <c r="AH24" s="2"/>
      <c r="AI24" s="2"/>
      <c r="AJ24" s="427" t="s">
        <v>18538</v>
      </c>
    </row>
    <row r="25" spans="1:36" ht="24" customHeight="1">
      <c r="B25" s="49" t="s">
        <v>261</v>
      </c>
      <c r="K25" t="str">
        <f>M9</f>
        <v>なし</v>
      </c>
      <c r="Z25" s="441"/>
      <c r="AA25" s="391"/>
      <c r="AF25" s="355" t="s">
        <v>1225</v>
      </c>
      <c r="AG25" s="380"/>
      <c r="AH25" s="2"/>
      <c r="AI25" s="2"/>
    </row>
    <row r="26" spans="1:36" ht="24" customHeight="1">
      <c r="D26" s="439" t="s">
        <v>262</v>
      </c>
      <c r="E26" s="439"/>
      <c r="F26" s="439"/>
      <c r="G26" s="439"/>
      <c r="H26" s="439"/>
      <c r="I26" s="439"/>
      <c r="J26" s="439"/>
      <c r="P26" s="49" t="s">
        <v>153</v>
      </c>
      <c r="S26" s="440"/>
      <c r="T26" s="440"/>
      <c r="Y26" s="372" t="s">
        <v>1244</v>
      </c>
      <c r="Z26" s="351" t="str">
        <f>IFERROR(IF(AND(閲覧図書!$C$6="あり",閲覧図書!C7="会計年度ごと"),支払限度額!$F$9,$S$19)*0.4,"")</f>
        <v/>
      </c>
      <c r="AF26" s="355" t="s">
        <v>1226</v>
      </c>
      <c r="AG26" s="381"/>
      <c r="AH26" s="2"/>
      <c r="AI26" s="2"/>
    </row>
    <row r="27" spans="1:36" ht="15" customHeight="1">
      <c r="D27" t="s">
        <v>247</v>
      </c>
      <c r="E27" s="17" t="e">
        <f>YEAR(K27)-2018</f>
        <v>#VALUE!</v>
      </c>
      <c r="F27" t="s">
        <v>248</v>
      </c>
      <c r="G27" t="e">
        <f>MONTH(K27)</f>
        <v>#VALUE!</v>
      </c>
      <c r="H27" t="s">
        <v>258</v>
      </c>
      <c r="I27" t="e">
        <f>DAY(K27)</f>
        <v>#VALUE!</v>
      </c>
      <c r="J27" t="s">
        <v>249</v>
      </c>
      <c r="K27" s="44" t="e">
        <f>IF(AB11="",K20+L14+1,AB11)</f>
        <v>#VALUE!</v>
      </c>
      <c r="P27" s="160"/>
      <c r="Q27" s="373" t="s">
        <v>1239</v>
      </c>
      <c r="R27" s="164" t="s">
        <v>223</v>
      </c>
      <c r="S27" s="347" t="e">
        <f>YEAR(AB27)-2018</f>
        <v>#VALUE!</v>
      </c>
      <c r="T27" s="164" t="s">
        <v>248</v>
      </c>
      <c r="U27" s="164" t="e">
        <f>MONTH(AB27)</f>
        <v>#VALUE!</v>
      </c>
      <c r="V27" s="164" t="s">
        <v>258</v>
      </c>
      <c r="W27" s="164" t="e">
        <f>DAY(AB27)</f>
        <v>#VALUE!</v>
      </c>
      <c r="X27" s="164" t="s">
        <v>249</v>
      </c>
      <c r="Y27" s="374" t="s">
        <v>1240</v>
      </c>
      <c r="Z27" s="375"/>
      <c r="AB27" s="376" t="e">
        <f>K20+30</f>
        <v>#VALUE!</v>
      </c>
      <c r="AD27" t="e">
        <f>DBCS(D27&amp;IF(E27&lt;10," ","")&amp;E27&amp;"年"&amp;IF(G27&lt;10," ","")&amp;G27&amp;"月"&amp;IF(I27&lt;10," ","")&amp;I27&amp;"日")</f>
        <v>#VALUE!</v>
      </c>
      <c r="AF27" s="355" t="s">
        <v>1227</v>
      </c>
      <c r="AG27" s="379"/>
      <c r="AH27" s="2"/>
      <c r="AI27" s="2"/>
    </row>
    <row r="28" spans="1:36" ht="15" customHeight="1">
      <c r="D28" s="439" t="s">
        <v>263</v>
      </c>
      <c r="E28" s="439"/>
      <c r="F28" s="439"/>
      <c r="G28" s="439"/>
      <c r="H28" s="439"/>
      <c r="I28" s="439"/>
      <c r="J28" s="439"/>
      <c r="AF28" s="356"/>
      <c r="AG28" s="339"/>
      <c r="AH28" s="2"/>
      <c r="AI28" s="2"/>
    </row>
    <row r="29" spans="1:36" ht="24" customHeight="1">
      <c r="D29" t="s">
        <v>247</v>
      </c>
      <c r="E29" s="17" t="e">
        <f>YEAR(K29)-2018</f>
        <v>#VALUE!</v>
      </c>
      <c r="F29" t="s">
        <v>248</v>
      </c>
      <c r="G29" t="e">
        <f>MONTH(K29)</f>
        <v>#VALUE!</v>
      </c>
      <c r="H29" t="s">
        <v>258</v>
      </c>
      <c r="I29" t="e">
        <f>DAY(K29)</f>
        <v>#VALUE!</v>
      </c>
      <c r="J29" t="s">
        <v>249</v>
      </c>
      <c r="K29" s="44" t="e">
        <f>IF(AB12="",K27+L13-1,AB12)</f>
        <v>#VALUE!</v>
      </c>
      <c r="P29" s="434" t="s">
        <v>231</v>
      </c>
      <c r="Q29" s="435"/>
      <c r="R29" s="436"/>
      <c r="AD29" t="e">
        <f>DBCS(D29&amp;IF(E29&lt;10," ","")&amp;E29&amp;"年"&amp;IF(G29&lt;10," ","")&amp;G29&amp;"月"&amp;IF(I29&lt;10," ","")&amp;I29&amp;"日")</f>
        <v>#VALUE!</v>
      </c>
      <c r="AF29" s="337"/>
      <c r="AG29" s="346"/>
    </row>
    <row r="30" spans="1:36" ht="7.5" customHeight="1">
      <c r="A30" s="336"/>
      <c r="B30" s="336"/>
      <c r="C30" s="336"/>
      <c r="D30" s="336"/>
      <c r="E30" s="336"/>
      <c r="F30" s="336"/>
      <c r="G30" s="336"/>
      <c r="H30" s="336"/>
      <c r="I30" s="336"/>
      <c r="J30" s="336"/>
      <c r="K30" s="336"/>
      <c r="L30" s="352"/>
      <c r="M30" s="336"/>
      <c r="N30" s="336"/>
      <c r="O30" s="336"/>
      <c r="P30" s="336"/>
      <c r="Q30" s="336"/>
      <c r="R30" s="336"/>
      <c r="S30" s="336"/>
      <c r="T30" s="336"/>
      <c r="U30" s="336"/>
      <c r="V30" s="336"/>
      <c r="W30" s="336"/>
      <c r="X30" s="336"/>
      <c r="Y30" s="336"/>
      <c r="Z30" s="336"/>
      <c r="AA30" s="336"/>
      <c r="AF30" s="382"/>
      <c r="AG30" s="383"/>
    </row>
    <row r="31" spans="1:36" ht="7.5" customHeight="1">
      <c r="K31" s="17"/>
    </row>
  </sheetData>
  <mergeCells count="23">
    <mergeCell ref="Z24:Z25"/>
    <mergeCell ref="T22:X22"/>
    <mergeCell ref="D26:J26"/>
    <mergeCell ref="D28:J28"/>
    <mergeCell ref="D2:J2"/>
    <mergeCell ref="D10:K10"/>
    <mergeCell ref="Q10:S10"/>
    <mergeCell ref="D11:K11"/>
    <mergeCell ref="Q13:S13"/>
    <mergeCell ref="D19:E19"/>
    <mergeCell ref="D21:J21"/>
    <mergeCell ref="Q20:R20"/>
    <mergeCell ref="S20:AB20"/>
    <mergeCell ref="Q19:R19"/>
    <mergeCell ref="Q21:R21"/>
    <mergeCell ref="S19:X19"/>
    <mergeCell ref="S21:X21"/>
    <mergeCell ref="P29:R29"/>
    <mergeCell ref="R23:S23"/>
    <mergeCell ref="T24:X24"/>
    <mergeCell ref="T23:X23"/>
    <mergeCell ref="Q24:S24"/>
    <mergeCell ref="S26:T26"/>
  </mergeCells>
  <phoneticPr fontId="2"/>
  <conditionalFormatting sqref="B25:K29">
    <cfRule type="expression" dxfId="143" priority="42">
      <formula>$L$11=""</formula>
    </cfRule>
  </conditionalFormatting>
  <conditionalFormatting sqref="D26:K29">
    <cfRule type="expression" dxfId="142" priority="7">
      <formula>$M$9="なし"</formula>
    </cfRule>
  </conditionalFormatting>
  <conditionalFormatting sqref="D10:N12 K14:M14">
    <cfRule type="expression" dxfId="141" priority="15">
      <formula>$M$9="あり"</formula>
    </cfRule>
  </conditionalFormatting>
  <conditionalFormatting sqref="E17 G17 I17">
    <cfRule type="containsErrors" dxfId="140" priority="10">
      <formula>ISERROR(E17)</formula>
    </cfRule>
  </conditionalFormatting>
  <conditionalFormatting sqref="K15">
    <cfRule type="expression" dxfId="139" priority="2">
      <formula>$M$9="あり"</formula>
    </cfRule>
  </conditionalFormatting>
  <conditionalFormatting sqref="K18">
    <cfRule type="containsErrors" dxfId="138" priority="26">
      <formula>ISERROR(K18)</formula>
    </cfRule>
    <cfRule type="cellIs" dxfId="137" priority="31" operator="equal">
      <formula>"NG"</formula>
    </cfRule>
  </conditionalFormatting>
  <conditionalFormatting sqref="L14">
    <cfRule type="expression" dxfId="136" priority="3">
      <formula>$M$9="あり"</formula>
    </cfRule>
  </conditionalFormatting>
  <conditionalFormatting sqref="O18 E22:E23 G22:G23 I22:I23 K22:L23 N23:O23 E27 G27 I27 K27 E29 G29 I29 K29">
    <cfRule type="containsErrors" dxfId="135" priority="28">
      <formula>ISERROR(E18)</formula>
    </cfRule>
  </conditionalFormatting>
  <conditionalFormatting sqref="Q27 Y27">
    <cfRule type="expression" dxfId="133" priority="17">
      <formula>$S$26="あり"</formula>
    </cfRule>
  </conditionalFormatting>
  <conditionalFormatting sqref="Q21:R21">
    <cfRule type="containsErrors" dxfId="132" priority="24">
      <formula>ISERROR(Q21)</formula>
    </cfRule>
  </conditionalFormatting>
  <conditionalFormatting sqref="Q10:X15">
    <cfRule type="expression" dxfId="131" priority="52">
      <formula>$AA$9="あり"</formula>
    </cfRule>
  </conditionalFormatting>
  <conditionalFormatting sqref="S27 U27 W27 S14:S17 U14:U17 W14:W17 AB27">
    <cfRule type="containsErrors" dxfId="130" priority="27">
      <formula>ISERROR(S14)</formula>
    </cfRule>
  </conditionalFormatting>
  <conditionalFormatting sqref="S19:X19">
    <cfRule type="containsErrors" dxfId="129" priority="8">
      <formula>ISERROR(S19)</formula>
    </cfRule>
  </conditionalFormatting>
  <conditionalFormatting sqref="S21:X21">
    <cfRule type="expression" dxfId="128" priority="4">
      <formula>$AC$20&lt;4</formula>
    </cfRule>
  </conditionalFormatting>
  <conditionalFormatting sqref="T23:X23">
    <cfRule type="containsErrors" dxfId="126" priority="9">
      <formula>ISERROR(T23)</formula>
    </cfRule>
  </conditionalFormatting>
  <conditionalFormatting sqref="Z27">
    <cfRule type="expression" dxfId="125" priority="5">
      <formula>$S$26="あり"</formula>
    </cfRule>
  </conditionalFormatting>
  <conditionalFormatting sqref="Z24:AA24">
    <cfRule type="expression" dxfId="124" priority="22">
      <formula>$AB$24="専任監理技術者"</formula>
    </cfRule>
  </conditionalFormatting>
  <conditionalFormatting sqref="AA24">
    <cfRule type="expression" dxfId="123" priority="21">
      <formula>$AB$24="専任監理技術者"</formula>
    </cfRule>
  </conditionalFormatting>
  <conditionalFormatting sqref="AF22:AG27 Z27 R27:X27">
    <cfRule type="expression" dxfId="122" priority="18">
      <formula>$S$26="あり"</formula>
    </cfRule>
  </conditionalFormatting>
  <conditionalFormatting sqref="AG23:AG27">
    <cfRule type="expression" dxfId="121" priority="6">
      <formula>$S$26="あり"</formula>
    </cfRule>
  </conditionalFormatting>
  <conditionalFormatting sqref="AJ24">
    <cfRule type="expression" dxfId="120" priority="1">
      <formula>$S$26="あり"</formula>
    </cfRule>
  </conditionalFormatting>
  <dataValidations count="11">
    <dataValidation type="whole" imeMode="disabled" allowBlank="1" showInputMessage="1" showErrorMessage="1" errorTitle="日数エラー" error="特記仕様書の日数以内にしてください" sqref="L14" xr:uid="{00000000-0002-0000-0600-000000000000}">
      <formula1>0</formula1>
      <formula2>L11</formula2>
    </dataValidation>
    <dataValidation type="whole" imeMode="disabled" operator="greaterThanOrEqual" allowBlank="1" showInputMessage="1" showErrorMessage="1" sqref="E3:E4 E20 T22 AG26" xr:uid="{00000000-0002-0000-0600-000001000000}">
      <formula1>1</formula1>
    </dataValidation>
    <dataValidation type="whole" imeMode="disabled" allowBlank="1" showInputMessage="1" showErrorMessage="1" sqref="I20 I3:I4" xr:uid="{00000000-0002-0000-0600-000002000000}">
      <formula1>1</formula1>
      <formula2>31</formula2>
    </dataValidation>
    <dataValidation type="whole" imeMode="disabled" allowBlank="1" showInputMessage="1" showErrorMessage="1" sqref="G20 G3:G4" xr:uid="{00000000-0002-0000-0600-000003000000}">
      <formula1>1</formula1>
      <formula2>12</formula2>
    </dataValidation>
    <dataValidation type="whole" imeMode="disabled" allowBlank="1" showInputMessage="1" showErrorMessage="1" errorTitle="日数エラー" error="特記仕様書の日数以内にしてください" sqref="L13" xr:uid="{00000000-0002-0000-0600-000004000000}">
      <formula1>0</formula1>
      <formula2>IF(L13=0,L8,L13)</formula2>
    </dataValidation>
    <dataValidation imeMode="disabled" operator="greaterThanOrEqual" allowBlank="1" showInputMessage="1" showErrorMessage="1" sqref="S11:S12" xr:uid="{00000000-0002-0000-0600-000005000000}"/>
    <dataValidation imeMode="disabled" allowBlank="1" showInputMessage="1" showErrorMessage="1" sqref="U11:U12 W11:W12" xr:uid="{00000000-0002-0000-0600-000006000000}"/>
    <dataValidation type="whole" imeMode="disabled" operator="greaterThanOrEqual" allowBlank="1" showInputMessage="1" showErrorMessage="1" errorTitle="保証金額エラー" error="契約額の10分の１以上を入力してください" sqref="S21" xr:uid="{00000000-0002-0000-0600-000007000000}">
      <formula1>S19/10</formula1>
    </dataValidation>
    <dataValidation type="whole" imeMode="disabled" operator="lessThanOrEqual" allowBlank="1" showInputMessage="1" showErrorMessage="1" errorTitle="前払請求額エラー" error="前払対象額（出来高予定額または契約額）の4割以内にしてください" sqref="Z27" xr:uid="{00000000-0002-0000-0600-000009000000}">
      <formula1>Z26</formula1>
    </dataValidation>
    <dataValidation type="list" imeMode="hiragana" allowBlank="1" showInputMessage="1" showErrorMessage="1" sqref="AG25" xr:uid="{00000000-0002-0000-0600-00000A000000}">
      <formula1>"普通預金,当座預金"</formula1>
    </dataValidation>
    <dataValidation imeMode="hiragana" allowBlank="1" showInputMessage="1" showErrorMessage="1" sqref="AG23:AG24 AG27" xr:uid="{00000000-0002-0000-0600-00000B000000}"/>
  </dataValidations>
  <hyperlinks>
    <hyperlink ref="P29" location="目次!B9" display="目次へ戻る" xr:uid="{00000000-0004-0000-0600-000000000000}"/>
    <hyperlink ref="P29:R29" location="目次!B11" display="目次へ戻る" xr:uid="{00000000-0004-0000-0600-000001000000}"/>
  </hyperlinks>
  <pageMargins left="0.7" right="0.7" top="0.75" bottom="0.75" header="0.3" footer="0.3"/>
  <pageSetup paperSize="9" orientation="portrait" r:id="rId1"/>
  <ignoredErrors>
    <ignoredError sqref="S14:S15 U14:U15 W14:W15" evalError="1"/>
  </ignoredErrors>
  <extLst>
    <ext xmlns:x14="http://schemas.microsoft.com/office/spreadsheetml/2009/9/main" uri="{78C0D931-6437-407d-A8EE-F0AAD7539E65}">
      <x14:conditionalFormattings>
        <x14:conditionalFormatting xmlns:xm="http://schemas.microsoft.com/office/excel/2006/main">
          <x14:cfRule type="expression" priority="11" id="{1627BB96-F58C-489B-8960-F73A27FA055B}">
            <xm:f>$S$19&gt;=【随時メンテ】配置技術者!$G$14*10000</xm:f>
            <x14:dxf>
              <font>
                <b/>
                <i val="0"/>
                <color theme="8"/>
              </font>
            </x14:dxf>
          </x14:cfRule>
          <xm:sqref>P22</xm:sqref>
        </x14:conditionalFormatting>
        <x14:conditionalFormatting xmlns:xm="http://schemas.microsoft.com/office/excel/2006/main">
          <x14:cfRule type="expression" priority="12" id="{511A4C45-895C-49C5-9BF8-F8E6A13A470B}">
            <xm:f>$S$19&gt;=【随時メンテ】配置技術者!$G$14*10000</xm:f>
            <x14:dxf>
              <font>
                <color theme="1"/>
              </font>
              <fill>
                <patternFill>
                  <bgColor theme="4" tint="0.79998168889431442"/>
                </patternFill>
              </fill>
            </x14:dxf>
          </x14:cfRule>
          <xm:sqref>T22</xm:sqref>
        </x14:conditionalFormatting>
      </x14:conditionalFormattings>
    </ext>
    <ext xmlns:x14="http://schemas.microsoft.com/office/spreadsheetml/2009/9/main" uri="{CCE6A557-97BC-4b89-ADB6-D9C93CAAB3DF}">
      <x14:dataValidations xmlns:xm="http://schemas.microsoft.com/office/excel/2006/main" count="3">
        <x14:dataValidation type="list" imeMode="hiragana" allowBlank="1" showInputMessage="1" showErrorMessage="1" xr:uid="{00000000-0002-0000-0600-000008000000}">
          <x14:formula1>
            <xm:f>【随時メンテ】配置技術者!$P$3:$P$4</xm:f>
          </x14:formula1>
          <xm:sqref>T24:X24</xm:sqref>
        </x14:dataValidation>
        <x14:dataValidation type="list" imeMode="hiragana" allowBlank="1" showInputMessage="1" showErrorMessage="1" xr:uid="{00000000-0002-0000-0600-00000C000000}">
          <x14:formula1>
            <xm:f>【随時メンテ】部分払い回数等!$A$21:$A$26</xm:f>
          </x14:formula1>
          <xm:sqref>S20</xm:sqref>
        </x14:dataValidation>
        <x14:dataValidation type="list" imeMode="hiragana" allowBlank="1" showInputMessage="1" showErrorMessage="1" xr:uid="{00000000-0002-0000-0600-00000D000000}">
          <x14:formula1>
            <xm:f>【随時メンテ】配置技術者!$P$14:$P$15</xm:f>
          </x14:formula1>
          <xm:sqref>AA24 S26</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theme="7" tint="0.79998168889431442"/>
    <pageSetUpPr fitToPage="1"/>
  </sheetPr>
  <dimension ref="A1:AJ45"/>
  <sheetViews>
    <sheetView showGridLines="0" showRowColHeaders="0" view="pageBreakPreview" zoomScale="85" zoomScaleNormal="80" zoomScaleSheetLayoutView="85" workbookViewId="0">
      <pane ySplit="25" topLeftCell="A32" activePane="bottomLeft" state="frozen"/>
      <selection pane="bottomLeft"/>
    </sheetView>
  </sheetViews>
  <sheetFormatPr defaultColWidth="2.625" defaultRowHeight="15" customHeight="1"/>
  <cols>
    <col min="1" max="10" width="2.625" style="93"/>
    <col min="11" max="11" width="2.625" style="93" customWidth="1"/>
    <col min="12" max="35" width="2.625" style="93"/>
    <col min="36" max="36" width="0" style="93" hidden="1" customWidth="1"/>
    <col min="37" max="16384" width="2.625" style="93"/>
  </cols>
  <sheetData>
    <row r="1" spans="1:31" ht="15" customHeight="1">
      <c r="Z1" s="447" t="s">
        <v>417</v>
      </c>
      <c r="AA1" s="447"/>
      <c r="AB1" s="447"/>
      <c r="AC1" s="447"/>
      <c r="AD1" s="447"/>
      <c r="AE1" s="447"/>
    </row>
    <row r="2" spans="1:31" ht="15" customHeight="1">
      <c r="Z2" s="95"/>
      <c r="AA2" s="96"/>
      <c r="AB2" s="96"/>
      <c r="AC2" s="96"/>
      <c r="AD2" s="96"/>
      <c r="AE2" s="97"/>
    </row>
    <row r="3" spans="1:31" ht="15" customHeight="1">
      <c r="Z3" s="98"/>
      <c r="AE3" s="99"/>
    </row>
    <row r="4" spans="1:31" ht="15" customHeight="1">
      <c r="Z4" s="98"/>
      <c r="AE4" s="99"/>
    </row>
    <row r="5" spans="1:31" ht="15" customHeight="1">
      <c r="Z5" s="98"/>
      <c r="AE5" s="99"/>
    </row>
    <row r="6" spans="1:31" ht="15" customHeight="1">
      <c r="Z6" s="98"/>
      <c r="AE6" s="99"/>
    </row>
    <row r="7" spans="1:31" ht="15" customHeight="1">
      <c r="A7" s="93" t="s">
        <v>401</v>
      </c>
      <c r="Z7" s="100"/>
      <c r="AA7" s="101"/>
      <c r="AB7" s="101"/>
      <c r="AC7" s="101"/>
      <c r="AD7" s="101"/>
      <c r="AE7" s="102"/>
    </row>
    <row r="9" spans="1:31" ht="15" customHeight="1">
      <c r="W9" s="93" t="str">
        <f>契約日ほか!AD20</f>
        <v>令和　　　年　　　月　　　日</v>
      </c>
    </row>
    <row r="11" spans="1:31" ht="15" customHeight="1">
      <c r="A11" s="93" t="s">
        <v>402</v>
      </c>
      <c r="E11" s="93" t="str">
        <f>IF(入札結果!G8="",REPT("　",14),入札結果!G8)&amp;"　殿"</f>
        <v>　　　　　　　　　　　　　　　殿</v>
      </c>
    </row>
    <row r="13" spans="1:31" ht="15" customHeight="1">
      <c r="H13" s="94" t="s">
        <v>1155</v>
      </c>
      <c r="I13" s="93" t="str">
        <f>受注者情報!K4&amp;""</f>
        <v/>
      </c>
    </row>
    <row r="14" spans="1:31" ht="15" customHeight="1">
      <c r="H14" s="94" t="str">
        <f>IF(受注者情報!D3="単体","","（代表構成員）")</f>
        <v>（代表構成員）</v>
      </c>
      <c r="I14" s="448" t="str">
        <f ca="1">受注者情報!M8</f>
        <v/>
      </c>
      <c r="J14" s="448"/>
      <c r="K14" s="448"/>
      <c r="L14" s="448"/>
      <c r="M14" s="448"/>
      <c r="O14" s="93" t="str">
        <f ca="1">受注者情報!N8</f>
        <v/>
      </c>
    </row>
    <row r="15" spans="1:31" ht="15" customHeight="1">
      <c r="I15" s="448" t="str">
        <f ca="1">受注者情報!M9</f>
        <v/>
      </c>
      <c r="J15" s="448"/>
      <c r="K15" s="448"/>
      <c r="L15" s="448"/>
      <c r="M15" s="448"/>
      <c r="O15" s="459" t="str">
        <f ca="1">受注者情報!N9</f>
        <v/>
      </c>
      <c r="P15" s="459"/>
      <c r="Q15" s="459"/>
      <c r="R15" s="459"/>
      <c r="S15" s="459"/>
      <c r="T15" s="459"/>
      <c r="U15" s="459"/>
      <c r="V15" s="459"/>
      <c r="W15" s="459"/>
      <c r="X15" s="459"/>
      <c r="Y15" s="459"/>
      <c r="Z15" s="459"/>
      <c r="AA15" s="459"/>
      <c r="AB15" s="459"/>
    </row>
    <row r="16" spans="1:31" ht="15" customHeight="1">
      <c r="I16" s="448" t="str">
        <f ca="1">受注者情報!M10</f>
        <v/>
      </c>
      <c r="J16" s="448"/>
      <c r="K16" s="448"/>
      <c r="L16" s="448"/>
      <c r="M16" s="448"/>
      <c r="O16" s="93" t="str">
        <f ca="1">受注者情報!N10&amp;"　　"&amp;受注者情報!O10</f>
        <v>　　</v>
      </c>
    </row>
    <row r="17" spans="2:36" ht="15" customHeight="1">
      <c r="I17" s="448" t="str">
        <f ca="1">受注者情報!M11</f>
        <v/>
      </c>
      <c r="J17" s="448"/>
      <c r="K17" s="448"/>
      <c r="L17" s="448"/>
      <c r="M17" s="448"/>
      <c r="O17" s="93" t="str">
        <f ca="1">受注者情報!N11&amp;"　　"&amp;受注者情報!O11</f>
        <v>　　</v>
      </c>
    </row>
    <row r="18" spans="2:36" ht="15" customHeight="1">
      <c r="I18" s="448" t="str">
        <f ca="1">受注者情報!M12</f>
        <v/>
      </c>
      <c r="J18" s="448"/>
      <c r="K18" s="448"/>
      <c r="L18" s="448"/>
      <c r="M18" s="448"/>
      <c r="O18" s="93" t="str">
        <f ca="1">受注者情報!N12&amp;"　　"&amp;受注者情報!O12</f>
        <v>　　</v>
      </c>
    </row>
    <row r="21" spans="2:36" ht="18" customHeight="1">
      <c r="B21" s="452" t="s">
        <v>405</v>
      </c>
      <c r="C21" s="452"/>
      <c r="D21" s="452"/>
      <c r="E21" s="452"/>
      <c r="F21" s="452"/>
      <c r="G21" s="452"/>
      <c r="H21" s="452"/>
      <c r="I21" s="452"/>
      <c r="J21" s="452"/>
      <c r="K21" s="452"/>
      <c r="L21" s="452"/>
      <c r="M21" s="452"/>
      <c r="N21" s="452"/>
      <c r="O21" s="452"/>
      <c r="P21" s="452"/>
      <c r="Q21" s="452"/>
      <c r="R21" s="452"/>
      <c r="S21" s="452"/>
      <c r="T21" s="452"/>
      <c r="U21" s="452"/>
      <c r="V21" s="452"/>
      <c r="W21" s="452"/>
      <c r="X21" s="452"/>
      <c r="Y21" s="452"/>
      <c r="Z21" s="452"/>
      <c r="AA21" s="452"/>
      <c r="AB21" s="452"/>
      <c r="AC21" s="452"/>
      <c r="AD21" s="452"/>
      <c r="AE21" s="452"/>
      <c r="AF21" s="452"/>
      <c r="AJ21" s="93">
        <f>閲覧図書!C12</f>
        <v>0</v>
      </c>
    </row>
    <row r="22" spans="2:36" ht="15" customHeight="1">
      <c r="AJ22" s="93" t="s">
        <v>1051</v>
      </c>
    </row>
    <row r="24" spans="2:36" ht="15" customHeight="1">
      <c r="B24" s="93" t="s">
        <v>406</v>
      </c>
    </row>
    <row r="26" spans="2:36" ht="15" customHeight="1">
      <c r="B26" s="95"/>
      <c r="C26" s="96"/>
      <c r="D26" s="96"/>
      <c r="E26" s="96"/>
      <c r="F26" s="96"/>
      <c r="G26" s="96"/>
      <c r="H26" s="96"/>
      <c r="I26" s="97"/>
      <c r="J26" s="95"/>
      <c r="K26" s="453" t="str">
        <f>IF($AJ$21=【随時メンテ】部分払い回数等!$A$4,入札結果!$G12,$AJ$22)</f>
        <v>※対象外</v>
      </c>
      <c r="L26" s="453"/>
      <c r="M26" s="453"/>
      <c r="N26" s="453"/>
      <c r="O26" s="453"/>
      <c r="P26" s="453"/>
      <c r="Q26" s="453"/>
      <c r="R26" s="453"/>
      <c r="S26" s="453"/>
      <c r="T26" s="453"/>
      <c r="U26" s="453"/>
      <c r="V26" s="453"/>
      <c r="W26" s="453"/>
      <c r="X26" s="453"/>
      <c r="Y26" s="453"/>
      <c r="Z26" s="453"/>
      <c r="AA26" s="453"/>
      <c r="AB26" s="453"/>
      <c r="AC26" s="453"/>
      <c r="AD26" s="453"/>
      <c r="AE26" s="453"/>
      <c r="AF26" s="97"/>
    </row>
    <row r="27" spans="2:36" ht="15" customHeight="1">
      <c r="B27" s="98"/>
      <c r="C27" s="448" t="s">
        <v>2</v>
      </c>
      <c r="D27" s="448"/>
      <c r="E27" s="448"/>
      <c r="F27" s="448"/>
      <c r="G27" s="448"/>
      <c r="H27" s="448"/>
      <c r="I27" s="99"/>
      <c r="J27" s="98"/>
      <c r="K27" s="454"/>
      <c r="L27" s="454"/>
      <c r="M27" s="454"/>
      <c r="N27" s="454"/>
      <c r="O27" s="454"/>
      <c r="P27" s="454"/>
      <c r="Q27" s="454"/>
      <c r="R27" s="454"/>
      <c r="S27" s="454"/>
      <c r="T27" s="454"/>
      <c r="U27" s="454"/>
      <c r="V27" s="454"/>
      <c r="W27" s="454"/>
      <c r="X27" s="454"/>
      <c r="Y27" s="454"/>
      <c r="Z27" s="454"/>
      <c r="AA27" s="454"/>
      <c r="AB27" s="454"/>
      <c r="AC27" s="454"/>
      <c r="AD27" s="454"/>
      <c r="AE27" s="454"/>
      <c r="AF27" s="99"/>
    </row>
    <row r="28" spans="2:36" ht="15" customHeight="1">
      <c r="B28" s="100"/>
      <c r="C28" s="101"/>
      <c r="D28" s="101"/>
      <c r="E28" s="101"/>
      <c r="F28" s="101"/>
      <c r="G28" s="101"/>
      <c r="H28" s="101"/>
      <c r="I28" s="102"/>
      <c r="J28" s="100"/>
      <c r="K28" s="455"/>
      <c r="L28" s="455"/>
      <c r="M28" s="455"/>
      <c r="N28" s="455"/>
      <c r="O28" s="455"/>
      <c r="P28" s="455"/>
      <c r="Q28" s="455"/>
      <c r="R28" s="455"/>
      <c r="S28" s="455"/>
      <c r="T28" s="455"/>
      <c r="U28" s="455"/>
      <c r="V28" s="455"/>
      <c r="W28" s="455"/>
      <c r="X28" s="455"/>
      <c r="Y28" s="455"/>
      <c r="Z28" s="455"/>
      <c r="AA28" s="455"/>
      <c r="AB28" s="455"/>
      <c r="AC28" s="455"/>
      <c r="AD28" s="455"/>
      <c r="AE28" s="455"/>
      <c r="AF28" s="102"/>
    </row>
    <row r="29" spans="2:36" ht="15" customHeight="1">
      <c r="B29" s="95"/>
      <c r="C29" s="96"/>
      <c r="D29" s="96"/>
      <c r="E29" s="96"/>
      <c r="F29" s="96"/>
      <c r="G29" s="96"/>
      <c r="H29" s="96"/>
      <c r="I29" s="97"/>
      <c r="J29" s="95"/>
      <c r="K29" s="456" t="str">
        <f>IF($AJ$21=【随時メンテ】部分払い回数等!$A$4,入札結果!$G13,$AJ$22)</f>
        <v>※対象外</v>
      </c>
      <c r="L29" s="456"/>
      <c r="M29" s="456"/>
      <c r="N29" s="456"/>
      <c r="O29" s="456"/>
      <c r="P29" s="456"/>
      <c r="Q29" s="456"/>
      <c r="R29" s="456"/>
      <c r="S29" s="456"/>
      <c r="T29" s="456"/>
      <c r="U29" s="456"/>
      <c r="V29" s="456"/>
      <c r="W29" s="456"/>
      <c r="X29" s="456"/>
      <c r="Y29" s="456"/>
      <c r="Z29" s="456"/>
      <c r="AA29" s="456"/>
      <c r="AB29" s="456"/>
      <c r="AC29" s="456"/>
      <c r="AD29" s="456"/>
      <c r="AE29" s="456"/>
      <c r="AF29" s="97"/>
    </row>
    <row r="30" spans="2:36" ht="15" customHeight="1">
      <c r="B30" s="98"/>
      <c r="C30" s="448" t="s">
        <v>3</v>
      </c>
      <c r="D30" s="448"/>
      <c r="E30" s="448"/>
      <c r="F30" s="448"/>
      <c r="G30" s="448"/>
      <c r="H30" s="448"/>
      <c r="I30" s="99"/>
      <c r="J30" s="98"/>
      <c r="K30" s="457"/>
      <c r="L30" s="457"/>
      <c r="M30" s="457"/>
      <c r="N30" s="457"/>
      <c r="O30" s="457"/>
      <c r="P30" s="457"/>
      <c r="Q30" s="457"/>
      <c r="R30" s="457"/>
      <c r="S30" s="457"/>
      <c r="T30" s="457"/>
      <c r="U30" s="457"/>
      <c r="V30" s="457"/>
      <c r="W30" s="457"/>
      <c r="X30" s="457"/>
      <c r="Y30" s="457"/>
      <c r="Z30" s="457"/>
      <c r="AA30" s="457"/>
      <c r="AB30" s="457"/>
      <c r="AC30" s="457"/>
      <c r="AD30" s="457"/>
      <c r="AE30" s="457"/>
      <c r="AF30" s="99"/>
    </row>
    <row r="31" spans="2:36" ht="15" customHeight="1">
      <c r="B31" s="100"/>
      <c r="C31" s="101"/>
      <c r="D31" s="101"/>
      <c r="E31" s="101"/>
      <c r="F31" s="101"/>
      <c r="G31" s="101"/>
      <c r="H31" s="101"/>
      <c r="I31" s="102"/>
      <c r="J31" s="100"/>
      <c r="K31" s="458"/>
      <c r="L31" s="458"/>
      <c r="M31" s="458"/>
      <c r="N31" s="458"/>
      <c r="O31" s="458"/>
      <c r="P31" s="458"/>
      <c r="Q31" s="458"/>
      <c r="R31" s="458"/>
      <c r="S31" s="458"/>
      <c r="T31" s="458"/>
      <c r="U31" s="458"/>
      <c r="V31" s="458"/>
      <c r="W31" s="458"/>
      <c r="X31" s="458"/>
      <c r="Y31" s="458"/>
      <c r="Z31" s="458"/>
      <c r="AA31" s="458"/>
      <c r="AB31" s="458"/>
      <c r="AC31" s="458"/>
      <c r="AD31" s="458"/>
      <c r="AE31" s="458"/>
      <c r="AF31" s="102"/>
    </row>
    <row r="32" spans="2:36" ht="15" customHeight="1">
      <c r="B32" s="95"/>
      <c r="C32" s="449" t="s">
        <v>407</v>
      </c>
      <c r="D32" s="449"/>
      <c r="E32" s="449"/>
      <c r="F32" s="449"/>
      <c r="G32" s="449"/>
      <c r="H32" s="449"/>
      <c r="I32" s="97"/>
      <c r="J32" s="95"/>
      <c r="K32" s="96"/>
      <c r="L32" s="96"/>
      <c r="M32" s="96"/>
      <c r="N32" s="96"/>
      <c r="O32" s="96"/>
      <c r="P32" s="96"/>
      <c r="Q32" s="96"/>
      <c r="R32" s="96"/>
      <c r="S32" s="96"/>
      <c r="T32" s="96"/>
      <c r="U32" s="96"/>
      <c r="V32" s="96"/>
      <c r="W32" s="96"/>
      <c r="X32" s="96"/>
      <c r="Y32" s="96"/>
      <c r="Z32" s="96"/>
      <c r="AA32" s="96"/>
      <c r="AB32" s="96"/>
      <c r="AC32" s="96"/>
      <c r="AD32" s="96"/>
      <c r="AE32" s="96"/>
      <c r="AF32" s="97"/>
    </row>
    <row r="33" spans="1:32" ht="15" customHeight="1">
      <c r="B33" s="98"/>
      <c r="C33" s="450"/>
      <c r="D33" s="450"/>
      <c r="E33" s="450"/>
      <c r="F33" s="450"/>
      <c r="G33" s="450"/>
      <c r="H33" s="450"/>
      <c r="I33" s="99"/>
      <c r="J33" s="98"/>
      <c r="K33" s="457" t="str">
        <f>IF($AJ$21=【随時メンテ】部分払い回数等!$A$4,契約日ほか!AD27,$AJ$22)</f>
        <v>※対象外</v>
      </c>
      <c r="L33" s="457"/>
      <c r="M33" s="457"/>
      <c r="N33" s="457"/>
      <c r="O33" s="457"/>
      <c r="P33" s="457"/>
      <c r="Q33" s="457"/>
      <c r="R33" s="457"/>
      <c r="S33" s="457"/>
      <c r="T33" s="457"/>
      <c r="U33" s="457"/>
      <c r="V33" s="457"/>
      <c r="W33" s="457"/>
      <c r="X33" s="457"/>
      <c r="Y33" s="457"/>
      <c r="Z33" s="457"/>
      <c r="AA33" s="457"/>
      <c r="AB33" s="457"/>
      <c r="AC33" s="457"/>
      <c r="AD33" s="457"/>
      <c r="AE33" s="457"/>
      <c r="AF33" s="99"/>
    </row>
    <row r="34" spans="1:32" ht="15" customHeight="1">
      <c r="B34" s="100"/>
      <c r="C34" s="451"/>
      <c r="D34" s="451"/>
      <c r="E34" s="451"/>
      <c r="F34" s="451"/>
      <c r="G34" s="451"/>
      <c r="H34" s="451"/>
      <c r="I34" s="102"/>
      <c r="J34" s="100"/>
      <c r="K34" s="101"/>
      <c r="L34" s="101"/>
      <c r="M34" s="101"/>
      <c r="N34" s="101"/>
      <c r="O34" s="101"/>
      <c r="P34" s="101"/>
      <c r="Q34" s="101"/>
      <c r="R34" s="101"/>
      <c r="S34" s="101"/>
      <c r="T34" s="101"/>
      <c r="U34" s="101"/>
      <c r="V34" s="101"/>
      <c r="W34" s="101"/>
      <c r="X34" s="101"/>
      <c r="Y34" s="101"/>
      <c r="Z34" s="101"/>
      <c r="AA34" s="101"/>
      <c r="AB34" s="101"/>
      <c r="AC34" s="101"/>
      <c r="AD34" s="101"/>
      <c r="AE34" s="101"/>
      <c r="AF34" s="102"/>
    </row>
    <row r="35" spans="1:32" ht="15" customHeight="1">
      <c r="B35" s="95"/>
      <c r="C35" s="449" t="s">
        <v>408</v>
      </c>
      <c r="D35" s="449"/>
      <c r="E35" s="449"/>
      <c r="F35" s="449"/>
      <c r="G35" s="449"/>
      <c r="H35" s="449"/>
      <c r="I35" s="97"/>
      <c r="J35" s="95"/>
      <c r="K35" s="96"/>
      <c r="L35" s="96"/>
      <c r="M35" s="96"/>
      <c r="N35" s="96"/>
      <c r="O35" s="96"/>
      <c r="P35" s="96"/>
      <c r="Q35" s="96"/>
      <c r="R35" s="96"/>
      <c r="S35" s="96"/>
      <c r="T35" s="96"/>
      <c r="U35" s="96"/>
      <c r="V35" s="96"/>
      <c r="W35" s="96"/>
      <c r="X35" s="96"/>
      <c r="Y35" s="96"/>
      <c r="Z35" s="96"/>
      <c r="AA35" s="96"/>
      <c r="AB35" s="96"/>
      <c r="AC35" s="96"/>
      <c r="AD35" s="96"/>
      <c r="AE35" s="96"/>
      <c r="AF35" s="97"/>
    </row>
    <row r="36" spans="1:32" ht="15" customHeight="1">
      <c r="B36" s="98"/>
      <c r="C36" s="450"/>
      <c r="D36" s="450"/>
      <c r="E36" s="450"/>
      <c r="F36" s="450"/>
      <c r="G36" s="450"/>
      <c r="H36" s="450"/>
      <c r="I36" s="99"/>
      <c r="J36" s="98"/>
      <c r="K36" s="457" t="str">
        <f>IF($AJ$21=【随時メンテ】部分払い回数等!$A$4,契約日ほか!AD29,$AJ$22)</f>
        <v>※対象外</v>
      </c>
      <c r="L36" s="457"/>
      <c r="M36" s="457"/>
      <c r="N36" s="457"/>
      <c r="O36" s="457"/>
      <c r="P36" s="457"/>
      <c r="Q36" s="457"/>
      <c r="R36" s="457"/>
      <c r="S36" s="457"/>
      <c r="T36" s="457"/>
      <c r="U36" s="457"/>
      <c r="V36" s="457"/>
      <c r="W36" s="457"/>
      <c r="X36" s="457"/>
      <c r="Y36" s="457"/>
      <c r="Z36" s="457"/>
      <c r="AA36" s="457"/>
      <c r="AB36" s="457"/>
      <c r="AC36" s="457"/>
      <c r="AD36" s="457"/>
      <c r="AE36" s="457"/>
      <c r="AF36" s="99"/>
    </row>
    <row r="37" spans="1:32" ht="15" customHeight="1">
      <c r="B37" s="100"/>
      <c r="C37" s="451"/>
      <c r="D37" s="451"/>
      <c r="E37" s="451"/>
      <c r="F37" s="451"/>
      <c r="G37" s="451"/>
      <c r="H37" s="451"/>
      <c r="I37" s="102"/>
      <c r="J37" s="100"/>
      <c r="K37" s="101"/>
      <c r="L37" s="101"/>
      <c r="M37" s="101"/>
      <c r="N37" s="101"/>
      <c r="O37" s="101"/>
      <c r="P37" s="101"/>
      <c r="Q37" s="101"/>
      <c r="R37" s="101"/>
      <c r="S37" s="101"/>
      <c r="T37" s="101"/>
      <c r="U37" s="101"/>
      <c r="V37" s="101"/>
      <c r="W37" s="101"/>
      <c r="X37" s="101"/>
      <c r="Y37" s="101"/>
      <c r="Z37" s="101"/>
      <c r="AA37" s="101"/>
      <c r="AB37" s="101"/>
      <c r="AC37" s="101"/>
      <c r="AD37" s="101"/>
      <c r="AE37" s="101"/>
      <c r="AF37" s="102"/>
    </row>
    <row r="39" spans="1:32" ht="15" customHeight="1">
      <c r="A39" s="93" t="s">
        <v>410</v>
      </c>
      <c r="B39" s="103" t="s">
        <v>411</v>
      </c>
      <c r="C39" s="446" t="s">
        <v>1157</v>
      </c>
      <c r="D39" s="446"/>
      <c r="E39" s="446"/>
      <c r="F39" s="446"/>
      <c r="G39" s="446"/>
      <c r="H39" s="446"/>
      <c r="I39" s="446"/>
      <c r="J39" s="446"/>
      <c r="K39" s="446"/>
      <c r="L39" s="446"/>
      <c r="M39" s="446"/>
      <c r="N39" s="446"/>
      <c r="O39" s="446"/>
      <c r="P39" s="446"/>
      <c r="Q39" s="446"/>
      <c r="R39" s="446"/>
      <c r="S39" s="446"/>
      <c r="T39" s="446"/>
      <c r="U39" s="446"/>
      <c r="V39" s="446"/>
      <c r="W39" s="446"/>
      <c r="X39" s="446"/>
      <c r="Y39" s="446"/>
      <c r="Z39" s="446"/>
      <c r="AA39" s="446"/>
      <c r="AB39" s="446"/>
      <c r="AC39" s="446"/>
      <c r="AD39" s="446"/>
      <c r="AE39" s="446"/>
      <c r="AF39" s="446"/>
    </row>
    <row r="40" spans="1:32" ht="15" customHeight="1">
      <c r="C40" s="104" t="s">
        <v>1156</v>
      </c>
      <c r="D40" s="104"/>
      <c r="E40" s="104"/>
      <c r="F40" s="104"/>
      <c r="G40" s="104"/>
      <c r="H40" s="104"/>
      <c r="I40" s="104"/>
      <c r="J40" s="104"/>
      <c r="K40" s="104"/>
      <c r="L40" s="104"/>
      <c r="M40" s="104"/>
      <c r="N40" s="104"/>
      <c r="O40" s="104"/>
      <c r="P40" s="104"/>
      <c r="Q40" s="104"/>
      <c r="R40" s="104"/>
      <c r="S40" s="104"/>
      <c r="T40" s="104"/>
      <c r="U40" s="104"/>
      <c r="V40" s="104"/>
      <c r="W40" s="104"/>
      <c r="X40" s="104"/>
      <c r="Y40" s="104"/>
      <c r="Z40" s="104"/>
      <c r="AA40" s="104"/>
      <c r="AB40" s="104"/>
      <c r="AC40" s="104"/>
      <c r="AD40" s="104"/>
      <c r="AE40" s="104"/>
      <c r="AF40" s="104"/>
    </row>
    <row r="41" spans="1:32" ht="15" customHeight="1">
      <c r="B41" s="103" t="s">
        <v>412</v>
      </c>
      <c r="C41" s="446" t="s">
        <v>414</v>
      </c>
      <c r="D41" s="446"/>
      <c r="E41" s="446"/>
      <c r="F41" s="446"/>
      <c r="G41" s="446"/>
      <c r="H41" s="446"/>
      <c r="I41" s="446"/>
      <c r="J41" s="446"/>
      <c r="K41" s="446"/>
      <c r="L41" s="446"/>
      <c r="M41" s="446"/>
      <c r="N41" s="446"/>
      <c r="O41" s="446"/>
      <c r="P41" s="446"/>
      <c r="Q41" s="446"/>
      <c r="R41" s="446"/>
      <c r="S41" s="446"/>
      <c r="T41" s="446"/>
      <c r="U41" s="446"/>
      <c r="V41" s="446"/>
      <c r="W41" s="446"/>
      <c r="X41" s="446"/>
      <c r="Y41" s="446"/>
      <c r="Z41" s="446"/>
      <c r="AA41" s="446"/>
      <c r="AB41" s="446"/>
      <c r="AC41" s="446"/>
      <c r="AD41" s="446"/>
      <c r="AE41" s="446"/>
      <c r="AF41" s="446"/>
    </row>
    <row r="42" spans="1:32" ht="15" customHeight="1">
      <c r="C42" s="104" t="s">
        <v>415</v>
      </c>
      <c r="D42" s="104"/>
      <c r="E42" s="104"/>
      <c r="F42" s="104"/>
      <c r="G42" s="104"/>
      <c r="H42" s="104"/>
      <c r="I42" s="104"/>
      <c r="J42" s="104"/>
      <c r="K42" s="104"/>
      <c r="L42" s="104"/>
      <c r="M42" s="104"/>
      <c r="N42" s="104"/>
      <c r="O42" s="104"/>
      <c r="P42" s="104"/>
      <c r="Q42" s="104"/>
      <c r="R42" s="104"/>
      <c r="S42" s="104"/>
      <c r="T42" s="104"/>
      <c r="U42" s="104"/>
      <c r="V42" s="104"/>
      <c r="W42" s="104"/>
      <c r="X42" s="104"/>
      <c r="Y42" s="104"/>
      <c r="Z42" s="104"/>
      <c r="AA42" s="104"/>
      <c r="AB42" s="104"/>
      <c r="AC42" s="104"/>
      <c r="AD42" s="104"/>
      <c r="AE42" s="104"/>
      <c r="AF42" s="104"/>
    </row>
    <row r="43" spans="1:32" ht="15" customHeight="1">
      <c r="B43" s="103" t="s">
        <v>413</v>
      </c>
      <c r="C43" s="446" t="s">
        <v>1159</v>
      </c>
      <c r="D43" s="446"/>
      <c r="E43" s="446"/>
      <c r="F43" s="446"/>
      <c r="G43" s="446"/>
      <c r="H43" s="446"/>
      <c r="I43" s="446"/>
      <c r="J43" s="446"/>
      <c r="K43" s="446"/>
      <c r="L43" s="446"/>
      <c r="M43" s="446"/>
      <c r="N43" s="446"/>
      <c r="O43" s="446"/>
      <c r="P43" s="446"/>
      <c r="Q43" s="446"/>
      <c r="R43" s="446"/>
      <c r="S43" s="446"/>
      <c r="T43" s="446"/>
      <c r="U43" s="446"/>
      <c r="V43" s="446"/>
      <c r="W43" s="446"/>
      <c r="X43" s="446"/>
      <c r="Y43" s="446"/>
      <c r="Z43" s="446"/>
      <c r="AA43" s="446"/>
      <c r="AB43" s="446"/>
      <c r="AC43" s="446"/>
      <c r="AD43" s="446"/>
      <c r="AE43" s="446"/>
      <c r="AF43" s="446"/>
    </row>
    <row r="44" spans="1:32" ht="15" customHeight="1">
      <c r="C44" s="104" t="s">
        <v>1158</v>
      </c>
      <c r="D44" s="104"/>
      <c r="E44" s="104"/>
      <c r="F44" s="104"/>
      <c r="G44" s="104"/>
      <c r="H44" s="104"/>
      <c r="I44" s="104"/>
      <c r="J44" s="104"/>
      <c r="K44" s="104"/>
      <c r="L44" s="104"/>
      <c r="M44" s="104"/>
      <c r="N44" s="104"/>
      <c r="O44" s="104"/>
      <c r="P44" s="104"/>
      <c r="Q44" s="104"/>
      <c r="R44" s="104"/>
      <c r="S44" s="104"/>
      <c r="T44" s="104"/>
      <c r="U44" s="104"/>
      <c r="V44" s="104"/>
      <c r="W44" s="104"/>
      <c r="X44" s="104"/>
      <c r="Y44" s="104"/>
      <c r="Z44" s="104"/>
      <c r="AA44" s="104"/>
      <c r="AB44" s="104"/>
      <c r="AC44" s="104"/>
      <c r="AD44" s="104"/>
      <c r="AE44" s="104"/>
      <c r="AF44" s="104"/>
    </row>
    <row r="45" spans="1:32" ht="15" customHeight="1">
      <c r="D45" s="93" t="s">
        <v>416</v>
      </c>
    </row>
  </sheetData>
  <sheetProtection sheet="1"/>
  <mergeCells count="19">
    <mergeCell ref="I18:M18"/>
    <mergeCell ref="C41:AF41"/>
    <mergeCell ref="C39:AF39"/>
    <mergeCell ref="C43:AF43"/>
    <mergeCell ref="Z1:AE1"/>
    <mergeCell ref="C30:H30"/>
    <mergeCell ref="C27:H27"/>
    <mergeCell ref="C32:H34"/>
    <mergeCell ref="C35:H37"/>
    <mergeCell ref="B21:AF21"/>
    <mergeCell ref="K26:AE28"/>
    <mergeCell ref="I16:M16"/>
    <mergeCell ref="I15:M15"/>
    <mergeCell ref="I14:M14"/>
    <mergeCell ref="K29:AE31"/>
    <mergeCell ref="K33:AE33"/>
    <mergeCell ref="K36:AE36"/>
    <mergeCell ref="O15:AB15"/>
    <mergeCell ref="I17:M17"/>
  </mergeCells>
  <phoneticPr fontId="2"/>
  <printOptions horizontalCentered="1"/>
  <pageMargins left="0" right="0" top="0.78740157480314965" bottom="0" header="0" footer="0"/>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theme="7" tint="0.79998168889431442"/>
    <pageSetUpPr fitToPage="1"/>
  </sheetPr>
  <dimension ref="B1:AR51"/>
  <sheetViews>
    <sheetView showGridLines="0" showRowColHeaders="0" zoomScaleNormal="100" workbookViewId="0">
      <pane ySplit="3" topLeftCell="A19" activePane="bottomLeft" state="frozen"/>
      <selection activeCell="E11" sqref="E11"/>
      <selection pane="bottomLeft" activeCell="C1" sqref="C1"/>
    </sheetView>
  </sheetViews>
  <sheetFormatPr defaultColWidth="2.625" defaultRowHeight="15" customHeight="1"/>
  <cols>
    <col min="1" max="1" width="0" style="93" hidden="1" customWidth="1"/>
    <col min="2" max="2" width="3.625" style="93" hidden="1" customWidth="1"/>
    <col min="3" max="3" width="2.625" style="93" customWidth="1"/>
    <col min="4" max="10" width="2.625" style="93"/>
    <col min="11" max="11" width="2.625" style="93" customWidth="1"/>
    <col min="12" max="38" width="2.625" style="93"/>
    <col min="39" max="39" width="0" style="93" hidden="1" customWidth="1"/>
    <col min="40" max="40" width="3.5" style="93" hidden="1" customWidth="1"/>
    <col min="41" max="44" width="2.625" style="93" hidden="1" customWidth="1"/>
    <col min="45" max="45" width="0" style="93" hidden="1" customWidth="1"/>
    <col min="46" max="16384" width="2.625" style="93"/>
  </cols>
  <sheetData>
    <row r="1" spans="3:40" ht="15" customHeight="1">
      <c r="C1" s="93" t="str">
        <f>"（第１号様式　"&amp;IF(AN1=0,"単体",AN1)&amp;"用）"</f>
        <v>（第１号様式　単体用）</v>
      </c>
      <c r="AN1" s="93">
        <f>受注者情報!D3</f>
        <v>0</v>
      </c>
    </row>
    <row r="2" spans="3:40" ht="30" customHeight="1">
      <c r="C2" s="460" t="s">
        <v>1079</v>
      </c>
      <c r="D2" s="460"/>
      <c r="E2" s="460"/>
      <c r="F2" s="460"/>
      <c r="G2" s="460"/>
      <c r="H2" s="460"/>
      <c r="I2" s="460"/>
      <c r="J2" s="460"/>
      <c r="K2" s="460"/>
      <c r="L2" s="460"/>
      <c r="M2" s="460"/>
      <c r="N2" s="460"/>
      <c r="O2" s="460"/>
      <c r="P2" s="460"/>
      <c r="Q2" s="460"/>
      <c r="R2" s="460"/>
      <c r="S2" s="460"/>
      <c r="T2" s="460"/>
      <c r="U2" s="460"/>
      <c r="V2" s="460"/>
      <c r="W2" s="460"/>
      <c r="X2" s="460"/>
      <c r="Y2" s="460"/>
      <c r="Z2" s="460"/>
      <c r="AA2" s="460"/>
      <c r="AB2" s="460"/>
      <c r="AC2" s="460"/>
      <c r="AD2" s="460"/>
      <c r="AE2" s="460"/>
      <c r="AF2" s="460"/>
      <c r="AG2" s="460"/>
      <c r="AH2" s="460"/>
      <c r="AI2" s="460"/>
      <c r="AJ2" s="460"/>
    </row>
    <row r="4" spans="3:40" ht="15" customHeight="1">
      <c r="C4" s="103" t="s">
        <v>1083</v>
      </c>
      <c r="D4" s="103"/>
      <c r="E4" s="448" t="s">
        <v>1101</v>
      </c>
      <c r="F4" s="448"/>
      <c r="G4" s="448"/>
      <c r="H4" s="448"/>
      <c r="K4" s="93" t="str">
        <f>入札結果!G12</f>
        <v/>
      </c>
    </row>
    <row r="6" spans="3:40" ht="15" customHeight="1">
      <c r="C6" s="103" t="s">
        <v>1084</v>
      </c>
      <c r="D6" s="103"/>
      <c r="E6" s="448" t="s">
        <v>1100</v>
      </c>
      <c r="F6" s="448"/>
      <c r="G6" s="448"/>
      <c r="H6" s="448"/>
      <c r="K6" s="93" t="str">
        <f>入札結果!G13</f>
        <v/>
      </c>
    </row>
    <row r="8" spans="3:40" ht="15" customHeight="1">
      <c r="C8" s="103" t="s">
        <v>1085</v>
      </c>
      <c r="D8" s="103"/>
      <c r="E8" s="448" t="s">
        <v>1102</v>
      </c>
      <c r="F8" s="448"/>
      <c r="G8" s="448"/>
      <c r="H8" s="448"/>
      <c r="M8" s="93" t="s">
        <v>1104</v>
      </c>
      <c r="P8" s="93" t="str">
        <f>IFERROR(契約日ほか!AD22,"令和　　　年　　　月　　　日")</f>
        <v>令和　　　年　　　月　　　日</v>
      </c>
    </row>
    <row r="9" spans="3:40" ht="15" customHeight="1">
      <c r="M9" s="93" t="s">
        <v>1105</v>
      </c>
      <c r="P9" s="93" t="str">
        <f>IFERROR(契約日ほか!AD23,"令和　　　年　　　月　　　日")</f>
        <v>令和　　　年　　　月　　　日</v>
      </c>
    </row>
    <row r="10" spans="3:40" ht="15" customHeight="1">
      <c r="C10" s="103" t="s">
        <v>1086</v>
      </c>
      <c r="D10" s="103"/>
      <c r="E10" s="93" t="s">
        <v>1096</v>
      </c>
      <c r="N10" s="464" t="s">
        <v>1117</v>
      </c>
      <c r="O10" s="461" t="s">
        <v>1118</v>
      </c>
      <c r="P10" s="461"/>
      <c r="Q10" s="461"/>
      <c r="R10" s="461"/>
      <c r="S10" s="461"/>
      <c r="T10" s="461"/>
      <c r="U10" s="461"/>
      <c r="V10" s="461"/>
      <c r="W10" s="461"/>
      <c r="X10" s="461"/>
      <c r="Y10" s="461"/>
      <c r="Z10" s="461"/>
      <c r="AA10" s="461"/>
      <c r="AB10" s="461"/>
      <c r="AC10" s="461"/>
      <c r="AD10" s="461"/>
      <c r="AE10" s="461"/>
      <c r="AF10" s="461"/>
      <c r="AG10" s="461"/>
      <c r="AH10" s="461"/>
      <c r="AI10" s="461"/>
      <c r="AJ10" s="461"/>
      <c r="AK10" s="461"/>
      <c r="AN10" s="93" t="str">
        <f>'&lt;使わない&gt;当初書類'!C15</f>
        <v/>
      </c>
    </row>
    <row r="11" spans="3:40" ht="15" customHeight="1">
      <c r="E11" s="93" t="s">
        <v>1103</v>
      </c>
      <c r="N11" s="464"/>
      <c r="O11" s="461"/>
      <c r="P11" s="461"/>
      <c r="Q11" s="461"/>
      <c r="R11" s="461"/>
      <c r="S11" s="461"/>
      <c r="T11" s="461"/>
      <c r="U11" s="461"/>
      <c r="V11" s="461"/>
      <c r="W11" s="461"/>
      <c r="X11" s="461"/>
      <c r="Y11" s="461"/>
      <c r="Z11" s="461"/>
      <c r="AA11" s="461"/>
      <c r="AB11" s="461"/>
      <c r="AC11" s="461"/>
      <c r="AD11" s="461"/>
      <c r="AE11" s="461"/>
      <c r="AF11" s="461"/>
      <c r="AG11" s="461"/>
      <c r="AH11" s="461"/>
      <c r="AI11" s="461"/>
      <c r="AJ11" s="461"/>
      <c r="AK11" s="461"/>
    </row>
    <row r="12" spans="3:40" ht="15" customHeight="1">
      <c r="C12" s="103" t="s">
        <v>1087</v>
      </c>
      <c r="D12" s="103"/>
      <c r="E12" s="463" t="s">
        <v>1106</v>
      </c>
      <c r="F12" s="463"/>
      <c r="G12" s="463"/>
      <c r="H12" s="463"/>
      <c r="AC12" s="94" t="str">
        <f>DBCS(TEXT(IFERROR(入札結果!$G$16,""),"#,##0"))&amp;"　円"</f>
        <v>　円</v>
      </c>
    </row>
    <row r="13" spans="3:40" ht="15" customHeight="1">
      <c r="E13" s="95"/>
      <c r="F13" s="93" t="s">
        <v>1107</v>
      </c>
      <c r="AC13" s="94" t="str">
        <f>DBCS(TEXT(IFERROR(入札結果!$G$16/11,""),"#,##0"))&amp;"　円"</f>
        <v>　円</v>
      </c>
      <c r="AH13" s="97"/>
    </row>
    <row r="14" spans="3:40" ht="15" customHeight="1">
      <c r="E14" s="98" t="s">
        <v>1080</v>
      </c>
      <c r="AH14" s="99"/>
    </row>
    <row r="15" spans="3:40" ht="15" customHeight="1">
      <c r="E15" s="100"/>
      <c r="F15" s="93" t="s">
        <v>1081</v>
      </c>
      <c r="AH15" s="102"/>
    </row>
    <row r="16" spans="3:40" ht="15" customHeight="1">
      <c r="E16" s="93" t="s">
        <v>1082</v>
      </c>
    </row>
    <row r="17" spans="3:44" ht="15" customHeight="1">
      <c r="C17" s="103" t="s">
        <v>1088</v>
      </c>
      <c r="D17" s="103"/>
      <c r="E17" s="93" t="str">
        <f>"契約保証金　　"&amp;IF(契約日ほか!$S$20="","",DBCS(TEXT(VLOOKUP(契約日ほか!$S$20,【随時メンテ】部分払い回数等!$A$21:$C$26,3,FALSE)," #,##0 円")))</f>
        <v>契約保証金　　</v>
      </c>
    </row>
    <row r="18" spans="3:44" ht="15" customHeight="1">
      <c r="C18" s="103" t="s">
        <v>1089</v>
      </c>
      <c r="D18" s="103"/>
      <c r="E18" s="93" t="s">
        <v>1108</v>
      </c>
      <c r="O18" s="93" t="str">
        <f>IF('&lt;使わない&gt;当初書類'!C24="あり","設計図書のとおり","")</f>
        <v/>
      </c>
      <c r="AN18" s="93" t="str">
        <f>'&lt;使わない&gt;当初書類'!C24</f>
        <v/>
      </c>
    </row>
    <row r="19" spans="3:44" ht="15" customHeight="1">
      <c r="C19" s="103" t="s">
        <v>1090</v>
      </c>
      <c r="D19" s="103"/>
      <c r="E19" s="93" t="s">
        <v>1109</v>
      </c>
      <c r="O19" s="93" t="s">
        <v>1110</v>
      </c>
    </row>
    <row r="20" spans="3:44" s="109" customFormat="1" ht="15" customHeight="1">
      <c r="E20" s="109" t="s">
        <v>1097</v>
      </c>
    </row>
    <row r="21" spans="3:44" s="109" customFormat="1" ht="15" customHeight="1">
      <c r="F21" s="109" t="s">
        <v>1098</v>
      </c>
    </row>
    <row r="22" spans="3:44" s="109" customFormat="1" ht="15" customHeight="1">
      <c r="F22" s="109" t="s">
        <v>1099</v>
      </c>
    </row>
    <row r="24" spans="3:44" ht="15" customHeight="1">
      <c r="C24" s="93" t="s">
        <v>1092</v>
      </c>
    </row>
    <row r="25" spans="3:44" ht="15" customHeight="1">
      <c r="C25" s="93" t="s">
        <v>1093</v>
      </c>
    </row>
    <row r="26" spans="3:44" ht="15" customHeight="1">
      <c r="C26" s="93" t="s">
        <v>1094</v>
      </c>
    </row>
    <row r="27" spans="3:44" ht="15" customHeight="1">
      <c r="C27" s="171" t="str">
        <f>"　受注者は別紙の"&amp;REPT("　",$AP$28)&amp;IF($AN$27="","",MID($AN$27,1,AN28-5)&amp;REPT("　",$AR$28)&amp;"共同企業体協定書により契約書記載の工事")</f>
        <v>　受注者は別紙の　　　　　　　　　　　　</v>
      </c>
      <c r="D27" s="171"/>
      <c r="E27" s="171"/>
      <c r="F27" s="171"/>
      <c r="G27" s="171"/>
      <c r="H27" s="171"/>
      <c r="I27" s="171"/>
      <c r="J27" s="171"/>
      <c r="K27" s="171"/>
      <c r="L27" s="171"/>
      <c r="M27" s="171"/>
      <c r="N27" s="171"/>
      <c r="O27" s="171"/>
      <c r="P27" s="171"/>
      <c r="Q27" s="171"/>
      <c r="R27" s="171"/>
      <c r="S27" s="171"/>
      <c r="T27" s="171"/>
      <c r="U27" s="171"/>
      <c r="V27" s="171"/>
      <c r="W27" s="171"/>
      <c r="X27" s="171"/>
      <c r="Y27" s="171"/>
      <c r="Z27" s="171"/>
      <c r="AA27" s="171"/>
      <c r="AB27" s="171"/>
      <c r="AC27" s="171"/>
      <c r="AD27" s="171"/>
      <c r="AE27" s="171"/>
      <c r="AF27" s="171"/>
      <c r="AG27" s="171"/>
      <c r="AH27" s="171"/>
      <c r="AI27" s="171"/>
      <c r="AN27" s="93" t="str">
        <f>受注者情報!D4&amp;""</f>
        <v/>
      </c>
    </row>
    <row r="28" spans="3:44" ht="15" customHeight="1">
      <c r="C28" s="171" t="s">
        <v>1095</v>
      </c>
      <c r="D28" s="171"/>
      <c r="E28" s="171"/>
      <c r="F28" s="171"/>
      <c r="G28" s="171"/>
      <c r="H28" s="171"/>
      <c r="I28" s="171"/>
      <c r="J28" s="171"/>
      <c r="K28" s="171"/>
      <c r="L28" s="171"/>
      <c r="M28" s="171"/>
      <c r="N28" s="171"/>
      <c r="O28" s="171"/>
      <c r="P28" s="171"/>
      <c r="Q28" s="171"/>
      <c r="R28" s="171"/>
      <c r="S28" s="171"/>
      <c r="T28" s="171"/>
      <c r="U28" s="171"/>
      <c r="V28" s="171"/>
      <c r="W28" s="171"/>
      <c r="X28" s="171"/>
      <c r="Y28" s="171"/>
      <c r="Z28" s="171"/>
      <c r="AA28" s="171"/>
      <c r="AB28" s="171"/>
      <c r="AC28" s="171"/>
      <c r="AD28" s="171"/>
      <c r="AE28" s="171"/>
      <c r="AF28" s="171"/>
      <c r="AG28" s="171"/>
      <c r="AH28" s="171"/>
      <c r="AI28" s="171"/>
      <c r="AN28" s="93">
        <f>LEN($AN$27)</f>
        <v>0</v>
      </c>
      <c r="AP28" s="93">
        <f>ROUNDUP((24-$AN$28)/2,0)</f>
        <v>12</v>
      </c>
      <c r="AR28" s="93">
        <f>ROUNDDOWN((24-$AN$28)/2,0)</f>
        <v>12</v>
      </c>
    </row>
    <row r="29" spans="3:44" ht="15" customHeight="1">
      <c r="C29" s="93" t="str">
        <f>"　本契約の証として本書"&amp;DBCS($AN$29)&amp;"通を作成し、発注者及び受注者が記名押印のうえ、各自１通を保持する。"</f>
        <v>　本契約の証として本書２通を作成し、発注者及び受注者が記名押印のうえ、各自１通を保持する。</v>
      </c>
      <c r="AN29" s="93">
        <f>IF($AN$1="共同企業体",3,2)</f>
        <v>2</v>
      </c>
    </row>
    <row r="31" spans="3:44" ht="15" customHeight="1">
      <c r="G31" s="93" t="str">
        <f>契約日ほか!AD20</f>
        <v>令和　　　年　　　月　　　日</v>
      </c>
    </row>
    <row r="33" spans="3:19" ht="15" customHeight="1">
      <c r="G33" s="448" t="s">
        <v>1112</v>
      </c>
      <c r="H33" s="448"/>
      <c r="I33" s="448"/>
      <c r="J33" s="448"/>
      <c r="M33" s="93" t="str">
        <f>IF(入札結果!G8="",REPT("　",20),入札結果!G8)&amp;"　　㊞"</f>
        <v>　　　　　　　　　　　　　　　　　　　　　　㊞</v>
      </c>
    </row>
    <row r="35" spans="3:19" ht="15" customHeight="1">
      <c r="G35" s="448" t="s">
        <v>1111</v>
      </c>
      <c r="H35" s="448"/>
      <c r="I35" s="448"/>
      <c r="J35" s="448"/>
      <c r="M35" s="93" t="str">
        <f>IF($AN$1="共同企業体",受注者情報!D4&amp;"","")</f>
        <v/>
      </c>
    </row>
    <row r="36" spans="3:19" ht="15" customHeight="1">
      <c r="H36" s="462" t="str">
        <f>IF(M35="","","代表構成員")&amp;""</f>
        <v/>
      </c>
      <c r="I36" s="462"/>
      <c r="J36" s="462"/>
      <c r="K36" s="462"/>
      <c r="M36" s="448" t="str">
        <f ca="1">受注者情報!M8</f>
        <v/>
      </c>
      <c r="N36" s="448"/>
      <c r="O36" s="448"/>
      <c r="P36" s="448"/>
      <c r="Q36" s="448"/>
      <c r="S36" s="93" t="str">
        <f ca="1">受注者情報!N8</f>
        <v/>
      </c>
    </row>
    <row r="37" spans="3:19" ht="15" customHeight="1">
      <c r="M37" s="448" t="str">
        <f ca="1">受注者情報!M9</f>
        <v/>
      </c>
      <c r="N37" s="448"/>
      <c r="O37" s="448"/>
      <c r="P37" s="448"/>
      <c r="Q37" s="448"/>
      <c r="S37" s="93" t="str">
        <f ca="1">受注者情報!N9</f>
        <v/>
      </c>
    </row>
    <row r="38" spans="3:19" ht="15" customHeight="1">
      <c r="M38" s="448" t="str">
        <f ca="1">受注者情報!M10</f>
        <v/>
      </c>
      <c r="N38" s="448"/>
      <c r="O38" s="448"/>
      <c r="P38" s="448"/>
      <c r="Q38" s="448"/>
      <c r="S38" s="93" t="str">
        <f ca="1">受注者情報!N10&amp;"　　"&amp;受注者情報!O10</f>
        <v>　　</v>
      </c>
    </row>
    <row r="39" spans="3:19" ht="15" customHeight="1">
      <c r="M39" s="448" t="str">
        <f ca="1">受注者情報!M11</f>
        <v/>
      </c>
      <c r="N39" s="448"/>
      <c r="O39" s="448"/>
      <c r="P39" s="448"/>
      <c r="Q39" s="448"/>
      <c r="S39" s="93" t="str">
        <f ca="1">受注者情報!N11&amp;"　　"&amp;受注者情報!O11</f>
        <v>　　</v>
      </c>
    </row>
    <row r="40" spans="3:19" ht="15" customHeight="1">
      <c r="M40" s="448" t="str">
        <f ca="1">受注者情報!M12</f>
        <v/>
      </c>
      <c r="N40" s="448"/>
      <c r="O40" s="448"/>
      <c r="P40" s="448"/>
      <c r="Q40" s="448"/>
      <c r="S40" s="93" t="str">
        <f ca="1">受注者情報!N12&amp;"　　"&amp;受注者情報!O12</f>
        <v>　　</v>
      </c>
    </row>
    <row r="41" spans="3:19" ht="15" customHeight="1">
      <c r="M41" s="106"/>
      <c r="N41" s="106"/>
      <c r="O41" s="106"/>
      <c r="P41" s="106"/>
      <c r="Q41" s="106"/>
    </row>
    <row r="42" spans="3:19" ht="15" customHeight="1">
      <c r="H42" s="448" t="str">
        <f>IF(M35="","","構成員")&amp;""</f>
        <v/>
      </c>
      <c r="I42" s="448"/>
      <c r="J42" s="448"/>
      <c r="K42" s="448"/>
      <c r="M42" s="448" t="str">
        <f ca="1">受注者情報!M18</f>
        <v/>
      </c>
      <c r="N42" s="448"/>
      <c r="O42" s="448"/>
      <c r="P42" s="448"/>
      <c r="Q42" s="448"/>
      <c r="S42" s="93" t="str">
        <f ca="1">受注者情報!N18</f>
        <v/>
      </c>
    </row>
    <row r="43" spans="3:19" ht="15" customHeight="1">
      <c r="M43" s="448" t="str">
        <f ca="1">受注者情報!M19</f>
        <v/>
      </c>
      <c r="N43" s="448"/>
      <c r="O43" s="448"/>
      <c r="P43" s="448"/>
      <c r="Q43" s="448"/>
      <c r="S43" s="93" t="str">
        <f ca="1">受注者情報!N19</f>
        <v/>
      </c>
    </row>
    <row r="44" spans="3:19" ht="15" customHeight="1">
      <c r="M44" s="448" t="str">
        <f ca="1">受注者情報!M20</f>
        <v/>
      </c>
      <c r="N44" s="448"/>
      <c r="O44" s="448"/>
      <c r="P44" s="448"/>
      <c r="Q44" s="448"/>
      <c r="S44" s="93" t="str">
        <f ca="1">受注者情報!N20&amp;"　　"&amp;受注者情報!O20</f>
        <v>　　</v>
      </c>
    </row>
    <row r="45" spans="3:19" ht="15" customHeight="1">
      <c r="M45" s="448" t="str">
        <f ca="1">受注者情報!M21</f>
        <v/>
      </c>
      <c r="N45" s="448"/>
      <c r="O45" s="448"/>
      <c r="P45" s="448"/>
      <c r="Q45" s="448"/>
      <c r="S45" s="93" t="str">
        <f ca="1">受注者情報!N21&amp;"　　"&amp;受注者情報!O21</f>
        <v>　　</v>
      </c>
    </row>
    <row r="46" spans="3:19" ht="15" customHeight="1">
      <c r="M46" s="448" t="str">
        <f ca="1">受注者情報!M22</f>
        <v/>
      </c>
      <c r="N46" s="448"/>
      <c r="O46" s="448"/>
      <c r="P46" s="448"/>
      <c r="Q46" s="448"/>
      <c r="S46" s="93" t="str">
        <f ca="1">受注者情報!N22&amp;"　　"&amp;受注者情報!O22</f>
        <v>　　</v>
      </c>
    </row>
    <row r="48" spans="3:19" s="109" customFormat="1" ht="15" customHeight="1">
      <c r="C48" s="109" t="s">
        <v>1113</v>
      </c>
      <c r="D48" s="110"/>
    </row>
    <row r="49" spans="3:4" s="109" customFormat="1" ht="15" customHeight="1">
      <c r="C49" s="109" t="s">
        <v>1114</v>
      </c>
      <c r="D49" s="110"/>
    </row>
    <row r="50" spans="3:4" s="109" customFormat="1" ht="15" customHeight="1">
      <c r="C50" s="109" t="s">
        <v>1115</v>
      </c>
    </row>
    <row r="51" spans="3:4" s="109" customFormat="1" ht="15" customHeight="1">
      <c r="C51" s="109" t="s">
        <v>1116</v>
      </c>
    </row>
  </sheetData>
  <sheetProtection sheet="1"/>
  <mergeCells count="21">
    <mergeCell ref="N10:N11"/>
    <mergeCell ref="H42:K42"/>
    <mergeCell ref="M42:Q42"/>
    <mergeCell ref="M39:Q39"/>
    <mergeCell ref="M40:Q40"/>
    <mergeCell ref="M45:Q45"/>
    <mergeCell ref="M46:Q46"/>
    <mergeCell ref="C2:AJ2"/>
    <mergeCell ref="O10:AK11"/>
    <mergeCell ref="H36:K36"/>
    <mergeCell ref="M37:Q37"/>
    <mergeCell ref="M38:Q38"/>
    <mergeCell ref="M36:Q36"/>
    <mergeCell ref="E8:H8"/>
    <mergeCell ref="E6:H6"/>
    <mergeCell ref="E4:H4"/>
    <mergeCell ref="E12:H12"/>
    <mergeCell ref="G33:J33"/>
    <mergeCell ref="G35:J35"/>
    <mergeCell ref="M43:Q43"/>
    <mergeCell ref="M44:Q44"/>
  </mergeCells>
  <phoneticPr fontId="2"/>
  <conditionalFormatting sqref="C27:C28 H36 H42">
    <cfRule type="expression" dxfId="119" priority="9">
      <formula>$AN$1="共同企業体"</formula>
    </cfRule>
  </conditionalFormatting>
  <conditionalFormatting sqref="E10:E11">
    <cfRule type="expression" dxfId="118" priority="13">
      <formula>$AN$10="なし"</formula>
    </cfRule>
  </conditionalFormatting>
  <conditionalFormatting sqref="E18">
    <cfRule type="expression" dxfId="117" priority="10">
      <formula>$AN$18="なし"</formula>
    </cfRule>
  </conditionalFormatting>
  <conditionalFormatting sqref="M42:M46">
    <cfRule type="expression" dxfId="116" priority="3">
      <formula>$AN$1="共同企業体"</formula>
    </cfRule>
  </conditionalFormatting>
  <conditionalFormatting sqref="N10:O10">
    <cfRule type="expression" dxfId="115" priority="12">
      <formula>$AN$10="あり"</formula>
    </cfRule>
  </conditionalFormatting>
  <conditionalFormatting sqref="O18">
    <cfRule type="expression" dxfId="114" priority="11">
      <formula>$AN$18="なし"</formula>
    </cfRule>
  </conditionalFormatting>
  <conditionalFormatting sqref="S42:S46">
    <cfRule type="expression" dxfId="113" priority="1">
      <formula>$AN$1="共同企業体"</formula>
    </cfRule>
  </conditionalFormatting>
  <printOptions horizontalCentered="1"/>
  <pageMargins left="0.78740157480314965" right="0" top="0.78740157480314965" bottom="0" header="0" footer="0"/>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1">
    <tabColor theme="7" tint="0.79998168889431442"/>
  </sheetPr>
  <dimension ref="A1:B1200"/>
  <sheetViews>
    <sheetView showGridLines="0" showRowColHeaders="0" view="pageBreakPreview" topLeftCell="B1" zoomScale="85" zoomScaleNormal="70" zoomScaleSheetLayoutView="85" workbookViewId="0">
      <pane ySplit="3" topLeftCell="A40" activePane="bottomLeft" state="frozen"/>
      <selection activeCell="E11" sqref="E11"/>
      <selection pane="bottomLeft" activeCell="A59" sqref="A59"/>
    </sheetView>
  </sheetViews>
  <sheetFormatPr defaultColWidth="2.625" defaultRowHeight="18.75" customHeight="1"/>
  <cols>
    <col min="1" max="1" width="4" style="93" hidden="1" customWidth="1"/>
    <col min="2" max="2" width="123.625" style="93" bestFit="1" customWidth="1"/>
    <col min="3" max="3" width="2.625" style="93" customWidth="1"/>
    <col min="4" max="16384" width="2.625" style="93"/>
  </cols>
  <sheetData>
    <row r="1" spans="1:2" ht="18.75" customHeight="1">
      <c r="B1" s="236" t="s">
        <v>1346</v>
      </c>
    </row>
    <row r="2" spans="1:2" ht="18.75" customHeight="1">
      <c r="A2" s="93">
        <v>4</v>
      </c>
    </row>
    <row r="3" spans="1:2" ht="18.75" customHeight="1">
      <c r="B3" s="107" t="str">
        <f>'【随時メンテ】工事請負約款（原文）'!C1</f>
        <v>大 分 県 公 共 工 事 請 負 契 約 約 款</v>
      </c>
    </row>
    <row r="4" spans="1:2" ht="18.75" customHeight="1">
      <c r="B4" s="107"/>
    </row>
    <row r="5" spans="1:2" ht="18.75" customHeight="1">
      <c r="A5" s="93">
        <f>ROW()-$A$2</f>
        <v>1</v>
      </c>
      <c r="B5" s="93" t="str">
        <f>VLOOKUP($A5,'【随時メンテ】工事請負約款（原文）'!$B$2:$C$835,2,FALSE)&amp;""</f>
        <v>　（総則）</v>
      </c>
    </row>
    <row r="6" spans="1:2" ht="18.75" customHeight="1">
      <c r="A6" s="93">
        <f>ROW()-$A$2</f>
        <v>2</v>
      </c>
      <c r="B6" s="93" t="str">
        <f>VLOOKUP($A6,'【随時メンテ】工事請負約款（原文）'!$B$2:$C$835,2,FALSE)&amp;""</f>
        <v>第１条　発注者及び受注者は、この約款（契約書を含む。以下同じ。）に基づき、設計図書（別冊の図面、仕様書、現場説明書</v>
      </c>
    </row>
    <row r="7" spans="1:2" ht="18.75" customHeight="1">
      <c r="A7" s="93">
        <f t="shared" ref="A7:A70" si="0">ROW()-$A$2</f>
        <v>3</v>
      </c>
      <c r="B7" s="93" t="str">
        <f>VLOOKUP($A7,'【随時メンテ】工事請負約款（原文）'!$B$2:$C$835,2,FALSE)&amp;""</f>
        <v>　及び現場説明に対する質問回答書をいう。以下同じ。）に従い、日本国の法令を遵守し、この契約（この約款及び設計図書を</v>
      </c>
    </row>
    <row r="8" spans="1:2" ht="18.75" customHeight="1">
      <c r="A8" s="93">
        <f t="shared" si="0"/>
        <v>4</v>
      </c>
      <c r="B8" s="93" t="str">
        <f>VLOOKUP($A8,'【随時メンテ】工事請負約款（原文）'!$B$2:$C$835,2,FALSE)&amp;""</f>
        <v>　内容とする工事の請負契約をいう。以下同じ｡)を履行しなければならない。</v>
      </c>
    </row>
    <row r="9" spans="1:2" ht="18.75" customHeight="1">
      <c r="A9" s="93">
        <f t="shared" si="0"/>
        <v>5</v>
      </c>
      <c r="B9" s="93" t="str">
        <f>VLOOKUP($A9,'【随時メンテ】工事請負約款（原文）'!$B$2:$C$835,2,FALSE)&amp;""</f>
        <v>２　受注者は、契約書記載の工事を契約書記載の工期内に完成し、工事目的物を発注者に引き渡すものとし、発注者は、その請</v>
      </c>
    </row>
    <row r="10" spans="1:2" ht="18.75" customHeight="1">
      <c r="A10" s="93">
        <f t="shared" si="0"/>
        <v>6</v>
      </c>
      <c r="B10" s="93" t="str">
        <f>VLOOKUP($A10,'【随時メンテ】工事請負約款（原文）'!$B$2:$C$835,2,FALSE)&amp;""</f>
        <v>　負代金を支払うものとする。</v>
      </c>
    </row>
    <row r="11" spans="1:2" ht="18.75" customHeight="1">
      <c r="A11" s="93">
        <f t="shared" si="0"/>
        <v>7</v>
      </c>
      <c r="B11" s="93" t="str">
        <f>VLOOKUP($A11,'【随時メンテ】工事請負約款（原文）'!$B$2:$C$835,2,FALSE)&amp;""</f>
        <v>３　仮設、施工方法その他工事目的物を完成するために必要な一切の手段（以下「施工方法等」という。）については、この約</v>
      </c>
    </row>
    <row r="12" spans="1:2" ht="18.75" customHeight="1">
      <c r="A12" s="93">
        <f t="shared" si="0"/>
        <v>8</v>
      </c>
      <c r="B12" s="93" t="str">
        <f>VLOOKUP($A12,'【随時メンテ】工事請負約款（原文）'!$B$2:$C$835,2,FALSE)&amp;""</f>
        <v>　款及び設計図書に特別の定めがある場合を除き、受注者がその責任において定める。</v>
      </c>
    </row>
    <row r="13" spans="1:2" ht="18.75" customHeight="1">
      <c r="A13" s="93">
        <f t="shared" si="0"/>
        <v>9</v>
      </c>
      <c r="B13" s="93" t="str">
        <f>VLOOKUP($A13,'【随時メンテ】工事請負約款（原文）'!$B$2:$C$835,2,FALSE)&amp;""</f>
        <v>４　受注者は、この契約の履行に関して知り得た秘密を漏らしてはならない。</v>
      </c>
    </row>
    <row r="14" spans="1:2" ht="18.75" customHeight="1">
      <c r="A14" s="93">
        <f t="shared" si="0"/>
        <v>10</v>
      </c>
      <c r="B14" s="93" t="str">
        <f>VLOOKUP($A14,'【随時メンテ】工事請負約款（原文）'!$B$2:$C$835,2,FALSE)&amp;""</f>
        <v>５　この約款に定める催告、請求、通知、報告、申出、承諾及び解除は、書面により行わなければならない。</v>
      </c>
    </row>
    <row r="15" spans="1:2" ht="18.75" customHeight="1">
      <c r="A15" s="93">
        <f t="shared" si="0"/>
        <v>11</v>
      </c>
      <c r="B15" s="93" t="str">
        <f>VLOOKUP($A15,'【随時メンテ】工事請負約款（原文）'!$B$2:$C$835,2,FALSE)&amp;""</f>
        <v>６　この契約の履行に関して発注者と受注者との間で用いる言語は、日本語とする。</v>
      </c>
    </row>
    <row r="16" spans="1:2" ht="18.75" customHeight="1">
      <c r="A16" s="93">
        <f t="shared" si="0"/>
        <v>12</v>
      </c>
      <c r="B16" s="93" t="str">
        <f>VLOOKUP($A16,'【随時メンテ】工事請負約款（原文）'!$B$2:$C$835,2,FALSE)&amp;""</f>
        <v>７　この約款に定める金銭の支払に用いる通貨は、日本円とする。</v>
      </c>
    </row>
    <row r="17" spans="1:2" ht="18.75" customHeight="1">
      <c r="A17" s="93">
        <f t="shared" si="0"/>
        <v>13</v>
      </c>
      <c r="B17" s="93" t="str">
        <f>VLOOKUP($A17,'【随時メンテ】工事請負約款（原文）'!$B$2:$C$835,2,FALSE)&amp;""</f>
        <v>８　この契約の履行に関して発注者と受注者との間で用いる計量単位は、設計図書に特別の定めがある場合を除き、計量法（平</v>
      </c>
    </row>
    <row r="18" spans="1:2" ht="18.75" customHeight="1">
      <c r="A18" s="93">
        <f t="shared" si="0"/>
        <v>14</v>
      </c>
      <c r="B18" s="93" t="str">
        <f>VLOOKUP($A18,'【随時メンテ】工事請負約款（原文）'!$B$2:$C$835,2,FALSE)&amp;""</f>
        <v>　成４年法律第51号）に定めるものとする。</v>
      </c>
    </row>
    <row r="19" spans="1:2" ht="18.75" customHeight="1">
      <c r="A19" s="93">
        <f t="shared" si="0"/>
        <v>15</v>
      </c>
      <c r="B19" s="93" t="str">
        <f>VLOOKUP($A19,'【随時メンテ】工事請負約款（原文）'!$B$2:$C$835,2,FALSE)&amp;""</f>
        <v>９　この約款及び設計図書における期間の定めについては、民法（明治29年法律第89号）及び商法（明治32年法律第48号）の定</v>
      </c>
    </row>
    <row r="20" spans="1:2" ht="18.75" customHeight="1">
      <c r="A20" s="93">
        <f t="shared" si="0"/>
        <v>16</v>
      </c>
      <c r="B20" s="93" t="str">
        <f>VLOOKUP($A20,'【随時メンテ】工事請負約款（原文）'!$B$2:$C$835,2,FALSE)&amp;""</f>
        <v>　めるところによるものとする。</v>
      </c>
    </row>
    <row r="21" spans="1:2" ht="18.75" customHeight="1">
      <c r="A21" s="93">
        <f t="shared" si="0"/>
        <v>17</v>
      </c>
      <c r="B21" s="93" t="str">
        <f>VLOOKUP($A21,'【随時メンテ】工事請負約款（原文）'!$B$2:$C$835,2,FALSE)&amp;""</f>
        <v>10　この契約は、日本国の法令に準拠するものとする。</v>
      </c>
    </row>
    <row r="22" spans="1:2" ht="18.75" customHeight="1">
      <c r="A22" s="93">
        <f t="shared" si="0"/>
        <v>18</v>
      </c>
      <c r="B22" s="93" t="str">
        <f>VLOOKUP($A22,'【随時メンテ】工事請負約款（原文）'!$B$2:$C$835,2,FALSE)&amp;""</f>
        <v>11　この契約に係る訴訟については、日本国の裁判所をもって合意による専属的管轄裁判所とする。</v>
      </c>
    </row>
    <row r="23" spans="1:2" ht="18.75" customHeight="1">
      <c r="A23" s="93">
        <f t="shared" si="0"/>
        <v>19</v>
      </c>
      <c r="B23" s="93" t="str">
        <f>VLOOKUP($A23,'【随時メンテ】工事請負約款（原文）'!$B$2:$C$835,2,FALSE)&amp;""</f>
        <v>12　受注者が共同企業体を結成している場合においては、発注者は、この契約に基づく全ての行為を共同企業体の代表者に対し</v>
      </c>
    </row>
    <row r="24" spans="1:2" ht="18.75" customHeight="1">
      <c r="A24" s="93">
        <f t="shared" si="0"/>
        <v>20</v>
      </c>
      <c r="B24" s="93" t="str">
        <f>VLOOKUP($A24,'【随時メンテ】工事請負約款（原文）'!$B$2:$C$835,2,FALSE)&amp;""</f>
        <v>　て行うものとし、発注者が当該代表者に対して行ったこの契約に基づく全ての行為は、当該企業体の全ての構成員に対して行</v>
      </c>
    </row>
    <row r="25" spans="1:2" ht="18.75" customHeight="1">
      <c r="A25" s="93">
        <f t="shared" si="0"/>
        <v>21</v>
      </c>
      <c r="B25" s="93" t="str">
        <f>VLOOKUP($A25,'【随時メンテ】工事請負約款（原文）'!$B$2:$C$835,2,FALSE)&amp;""</f>
        <v>　ったものとみなし、また、受注者は、発注者に対して行うこの契約に基づく全ての行為について当該代表者を通じて行わなけ</v>
      </c>
    </row>
    <row r="26" spans="1:2" ht="18.75" customHeight="1">
      <c r="A26" s="93">
        <f t="shared" si="0"/>
        <v>22</v>
      </c>
      <c r="B26" s="93" t="str">
        <f>VLOOKUP($A26,'【随時メンテ】工事請負約款（原文）'!$B$2:$C$835,2,FALSE)&amp;""</f>
        <v>　ればならない。</v>
      </c>
    </row>
    <row r="27" spans="1:2" ht="18.75" customHeight="1">
      <c r="A27" s="93">
        <f t="shared" si="0"/>
        <v>23</v>
      </c>
      <c r="B27" s="93" t="str">
        <f>VLOOKUP($A27,'【随時メンテ】工事請負約款（原文）'!$B$2:$C$835,2,FALSE)&amp;""</f>
        <v/>
      </c>
    </row>
    <row r="28" spans="1:2" ht="18.75" customHeight="1">
      <c r="A28" s="93">
        <f t="shared" si="0"/>
        <v>24</v>
      </c>
      <c r="B28" s="93" t="str">
        <f>VLOOKUP($A28,'【随時メンテ】工事請負約款（原文）'!$B$2:$C$835,2,FALSE)&amp;""</f>
        <v>　（関連工事の調整）</v>
      </c>
    </row>
    <row r="29" spans="1:2" ht="18.75" customHeight="1">
      <c r="A29" s="93">
        <f t="shared" si="0"/>
        <v>25</v>
      </c>
      <c r="B29" s="93" t="str">
        <f>VLOOKUP($A29,'【随時メンテ】工事請負約款（原文）'!$B$2:$C$835,2,FALSE)&amp;""</f>
        <v>第２条　発注者は、受注者の施工する工事及び発注者の発注に係る第三者の施工する他の工事が施工上密接に関連する場合にお</v>
      </c>
    </row>
    <row r="30" spans="1:2" ht="18.75" customHeight="1">
      <c r="A30" s="93">
        <f t="shared" si="0"/>
        <v>26</v>
      </c>
      <c r="B30" s="93" t="str">
        <f>VLOOKUP($A30,'【随時メンテ】工事請負約款（原文）'!$B$2:$C$835,2,FALSE)&amp;""</f>
        <v>　いて、必要があるときは、その施工につき、調整を行うものとする。この場合においては、受注者は、発注者の調整に従い、</v>
      </c>
    </row>
    <row r="31" spans="1:2" ht="18.75" customHeight="1">
      <c r="A31" s="93">
        <f t="shared" si="0"/>
        <v>27</v>
      </c>
      <c r="B31" s="93" t="str">
        <f>VLOOKUP($A31,'【随時メンテ】工事請負約款（原文）'!$B$2:$C$835,2,FALSE)&amp;""</f>
        <v>　当該第三者の行う工事の円滑な施工に協力しなければならない。</v>
      </c>
    </row>
    <row r="32" spans="1:2" ht="18.75" customHeight="1">
      <c r="A32" s="93">
        <f t="shared" si="0"/>
        <v>28</v>
      </c>
      <c r="B32" s="93" t="str">
        <f>VLOOKUP($A32,'【随時メンテ】工事請負約款（原文）'!$B$2:$C$835,2,FALSE)&amp;""</f>
        <v>２　発注者は、受注者の施工する工事及び設計図書に示した他の機関の発注に係る他の工事が施工上密接に関連する場合におい</v>
      </c>
    </row>
    <row r="33" spans="1:2" ht="18.75" customHeight="1">
      <c r="A33" s="93">
        <f t="shared" si="0"/>
        <v>29</v>
      </c>
      <c r="B33" s="93" t="str">
        <f>VLOOKUP($A33,'【随時メンテ】工事請負約款（原文）'!$B$2:$C$835,2,FALSE)&amp;""</f>
        <v>　て、必要があるときは、その施工につき、当該他の機関と調整を行うものとする。この場合においては、受注者は、発注者の</v>
      </c>
    </row>
    <row r="34" spans="1:2" ht="18.75" customHeight="1">
      <c r="A34" s="93">
        <f t="shared" si="0"/>
        <v>30</v>
      </c>
      <c r="B34" s="93" t="str">
        <f>VLOOKUP($A34,'【随時メンテ】工事請負約款（原文）'!$B$2:$C$835,2,FALSE)&amp;""</f>
        <v>　調整に従い、当該他の機関の発注に係る工事の円滑な施工に協力しなければならない。</v>
      </c>
    </row>
    <row r="35" spans="1:2" ht="18.75" customHeight="1">
      <c r="A35" s="93">
        <f t="shared" si="0"/>
        <v>31</v>
      </c>
      <c r="B35" s="93" t="str">
        <f>VLOOKUP($A35,'【随時メンテ】工事請負約款（原文）'!$B$2:$C$835,2,FALSE)&amp;""</f>
        <v/>
      </c>
    </row>
    <row r="36" spans="1:2" ht="18.75" customHeight="1">
      <c r="A36" s="93">
        <f t="shared" si="0"/>
        <v>32</v>
      </c>
      <c r="B36" s="93" t="str">
        <f>VLOOKUP($A36,'【随時メンテ】工事請負約款（原文）'!$B$2:$C$835,2,FALSE)&amp;""</f>
        <v>　（請負代金内訳書及び工程表）</v>
      </c>
    </row>
    <row r="37" spans="1:2" ht="18.75" customHeight="1">
      <c r="A37" s="93">
        <f t="shared" si="0"/>
        <v>33</v>
      </c>
      <c r="B37" s="93" t="str">
        <f>VLOOKUP($A37,'【随時メンテ】工事請負約款（原文）'!$B$2:$C$835,2,FALSE)&amp;""</f>
        <v>第３条　受注者は、この契約締結後14日以内に設計図書に基づいて、請負代金内訳書（以下「内訳書」という。）及び工程表を</v>
      </c>
    </row>
    <row r="38" spans="1:2" ht="18.75" customHeight="1">
      <c r="A38" s="93">
        <f t="shared" si="0"/>
        <v>34</v>
      </c>
      <c r="B38" s="93" t="str">
        <f>VLOOKUP($A38,'【随時メンテ】工事請負約款（原文）'!$B$2:$C$835,2,FALSE)&amp;""</f>
        <v>　作成し、発注者に提出しなければならない。</v>
      </c>
    </row>
    <row r="39" spans="1:2" ht="18.75" customHeight="1">
      <c r="A39" s="93">
        <f t="shared" si="0"/>
        <v>35</v>
      </c>
      <c r="B39" s="93" t="str">
        <f>VLOOKUP($A39,'【随時メンテ】工事請負約款（原文）'!$B$2:$C$835,2,FALSE)&amp;""</f>
        <v>２　内訳書には、法定福利費（建設工事に従事する者の健康保険料等の事業主負担額をいう。）を明示するものとする。</v>
      </c>
    </row>
    <row r="40" spans="1:2" ht="18.75" customHeight="1">
      <c r="A40" s="93">
        <f t="shared" si="0"/>
        <v>36</v>
      </c>
      <c r="B40" s="93" t="str">
        <f>VLOOKUP($A40,'【随時メンテ】工事請負約款（原文）'!$B$2:$C$835,2,FALSE)&amp;""</f>
        <v>３　内訳書及び工程表は、発注者及び受注者を拘束するものではない。</v>
      </c>
    </row>
    <row r="41" spans="1:2" ht="18.75" customHeight="1">
      <c r="A41" s="93">
        <f t="shared" si="0"/>
        <v>37</v>
      </c>
      <c r="B41" s="93" t="str">
        <f>VLOOKUP($A41,'【随時メンテ】工事請負約款（原文）'!$B$2:$C$835,2,FALSE)&amp;""</f>
        <v/>
      </c>
    </row>
    <row r="42" spans="1:2" ht="18.75" customHeight="1">
      <c r="A42" s="93">
        <f t="shared" si="0"/>
        <v>38</v>
      </c>
      <c r="B42" s="93" t="str">
        <f>VLOOKUP($A42,'【随時メンテ】工事請負約款（原文）'!$B$2:$C$835,2,FALSE)&amp;""</f>
        <v>　（契約の保証）</v>
      </c>
    </row>
    <row r="43" spans="1:2" ht="18.75" customHeight="1">
      <c r="A43" s="93">
        <f t="shared" si="0"/>
        <v>39</v>
      </c>
      <c r="B43" s="93" t="str">
        <f>VLOOKUP($A43,'【随時メンテ】工事請負約款（原文）'!$B$2:$C$835,2,FALSE)&amp;""</f>
        <v>第４条（Ａ）　受注者は、この契約の締結と同時に、次の各号のいずれかに掲げる保証を付さなければならない。ただし、第５</v>
      </c>
    </row>
    <row r="44" spans="1:2" ht="18.75" customHeight="1">
      <c r="A44" s="93">
        <f t="shared" si="0"/>
        <v>40</v>
      </c>
      <c r="B44" s="93" t="str">
        <f>VLOOKUP($A44,'【随時メンテ】工事請負約款（原文）'!$B$2:$C$835,2,FALSE)&amp;""</f>
        <v>　号の場合においては、履行保証保険契約の締結後、直ちにその保険証券を発注者に寄託しなければならない。</v>
      </c>
    </row>
    <row r="45" spans="1:2" ht="18.75" customHeight="1">
      <c r="A45" s="93">
        <f t="shared" si="0"/>
        <v>41</v>
      </c>
      <c r="B45" s="93" t="str">
        <f>VLOOKUP($A45,'【随時メンテ】工事請負約款（原文）'!$B$2:$C$835,2,FALSE)&amp;""</f>
        <v>　一　契約保証金の納付</v>
      </c>
    </row>
    <row r="46" spans="1:2" ht="18.75" customHeight="1">
      <c r="A46" s="93">
        <f t="shared" si="0"/>
        <v>42</v>
      </c>
      <c r="B46" s="93" t="str">
        <f>VLOOKUP($A46,'【随時メンテ】工事請負約款（原文）'!$B$2:$C$835,2,FALSE)&amp;""</f>
        <v>　二　契約保証金に代わる担保となる有価証券等の提供</v>
      </c>
    </row>
    <row r="47" spans="1:2" ht="18.75" customHeight="1">
      <c r="A47" s="93">
        <f t="shared" si="0"/>
        <v>43</v>
      </c>
      <c r="B47" s="93" t="str">
        <f>VLOOKUP($A47,'【随時メンテ】工事請負約款（原文）'!$B$2:$C$835,2,FALSE)&amp;""</f>
        <v>　三　この契約による債務の不履行により生ずる損害金の支払を保証する銀行、発注者が確実と認める金融機関又は保証事業会</v>
      </c>
    </row>
    <row r="48" spans="1:2" ht="18.75" customHeight="1">
      <c r="A48" s="93">
        <f t="shared" si="0"/>
        <v>44</v>
      </c>
      <c r="B48" s="93" t="str">
        <f>VLOOKUP($A48,'【随時メンテ】工事請負約款（原文）'!$B$2:$C$835,2,FALSE)&amp;""</f>
        <v>　　社（公共工事の前払金保証事業に関する法律（昭和27年法律第184号）第２条第４項に規定する保証事業会社をいう。以下</v>
      </c>
    </row>
    <row r="49" spans="1:2" ht="18.75" customHeight="1">
      <c r="A49" s="93">
        <f t="shared" si="0"/>
        <v>45</v>
      </c>
      <c r="B49" s="93" t="str">
        <f>VLOOKUP($A49,'【随時メンテ】工事請負約款（原文）'!$B$2:$C$835,2,FALSE)&amp;""</f>
        <v>　　同じ。）の保証</v>
      </c>
    </row>
    <row r="50" spans="1:2" ht="18.75" customHeight="1">
      <c r="A50" s="93">
        <f t="shared" si="0"/>
        <v>46</v>
      </c>
      <c r="B50" s="93" t="str">
        <f>VLOOKUP($A50,'【随時メンテ】工事請負約款（原文）'!$B$2:$C$835,2,FALSE)&amp;""</f>
        <v>　四　この契約による債務の履行を保証する公共工事履行保証証券による保証</v>
      </c>
    </row>
    <row r="51" spans="1:2" ht="18.75" customHeight="1">
      <c r="A51" s="93">
        <f t="shared" si="0"/>
        <v>47</v>
      </c>
      <c r="B51" s="93" t="str">
        <f>VLOOKUP($A51,'【随時メンテ】工事請負約款（原文）'!$B$2:$C$835,2,FALSE)&amp;""</f>
        <v>　五　この契約による債務の不履行により生ずる損害を塡補する履行保証保険契約の締結</v>
      </c>
    </row>
    <row r="52" spans="1:2" ht="18.75" customHeight="1">
      <c r="A52" s="93">
        <f t="shared" si="0"/>
        <v>48</v>
      </c>
      <c r="B52" s="93" t="str">
        <f>VLOOKUP($A52,'【随時メンテ】工事請負約款（原文）'!$B$2:$C$835,2,FALSE)&amp;""</f>
        <v>２　受注者は、前項の規定による保険証券の寄託に代えて、電子情報処理組織を使用する方法その他の情報通信の技術を利用す</v>
      </c>
    </row>
    <row r="53" spans="1:2" ht="18.75" customHeight="1">
      <c r="A53" s="93">
        <f t="shared" si="0"/>
        <v>49</v>
      </c>
      <c r="B53" s="93" t="str">
        <f>VLOOKUP($A53,'【随時メンテ】工事請負約款（原文）'!$B$2:$C$835,2,FALSE)&amp;""</f>
        <v>　る方法（以下「電磁的方法」という｡ ）であって、当該履行保証保険契約の相手方が定め、発注者が認めた措置を講ずること</v>
      </c>
    </row>
    <row r="54" spans="1:2" ht="18.75" customHeight="1">
      <c r="A54" s="93">
        <f t="shared" si="0"/>
        <v>50</v>
      </c>
      <c r="B54" s="93" t="str">
        <f>VLOOKUP($A54,'【随時メンテ】工事請負約款（原文）'!$B$2:$C$835,2,FALSE)&amp;""</f>
        <v>　ができる。この場合において、受注者は、当該保険証券を寄託したものとみなす。</v>
      </c>
    </row>
    <row r="55" spans="1:2" ht="18.75" customHeight="1">
      <c r="A55" s="93">
        <f t="shared" si="0"/>
        <v>51</v>
      </c>
      <c r="B55" s="93" t="str">
        <f>VLOOKUP($A55,'【随時メンテ】工事請負約款（原文）'!$B$2:$C$835,2,FALSE)&amp;""</f>
        <v>３　第１項の保証に係る契約保証金の額、保証金額又は保険金額（第６項において「保証の額」という。）は、請負代金額の10</v>
      </c>
    </row>
    <row r="56" spans="1:2" ht="18.75" customHeight="1">
      <c r="A56" s="93">
        <f t="shared" si="0"/>
        <v>52</v>
      </c>
      <c r="B56" s="93" t="str">
        <f>VLOOKUP($A56,'【随時メンテ】工事請負約款（原文）'!$B$2:$C$835,2,FALSE)&amp;""</f>
        <v>　分の１以上としなければならない。</v>
      </c>
    </row>
    <row r="57" spans="1:2" ht="18.75" customHeight="1">
      <c r="A57" s="93">
        <f t="shared" si="0"/>
        <v>53</v>
      </c>
      <c r="B57" s="93" t="str">
        <f>VLOOKUP($A57,'【随時メンテ】工事請負約款（原文）'!$B$2:$C$835,2,FALSE)&amp;""</f>
        <v>４　受注者が第１項第３号から第５号までのいずれかに掲げる保証を付す場合は、当該保証は第56条第３項各号に規定する者に</v>
      </c>
    </row>
    <row r="58" spans="1:2" ht="18.75" customHeight="1">
      <c r="A58" s="93">
        <f t="shared" si="0"/>
        <v>54</v>
      </c>
      <c r="B58" s="93" t="str">
        <f>VLOOKUP($A58,'【随時メンテ】工事請負約款（原文）'!$B$2:$C$835,2,FALSE)&amp;""</f>
        <v>　よる契約の解除の場合についても保証するものでなければならない。</v>
      </c>
    </row>
    <row r="59" spans="1:2" ht="18.75" customHeight="1">
      <c r="A59" s="93">
        <f t="shared" si="0"/>
        <v>55</v>
      </c>
      <c r="B59" s="93" t="str">
        <f>VLOOKUP($A59,'【随時メンテ】工事請負約款（原文）'!$B$2:$C$835,2,FALSE)&amp;""</f>
        <v>５　第１項の規定により、受注者が同項第２号又は第３号に掲げる保証を付したときは、当該保証は契約保証金に代わる担保の</v>
      </c>
    </row>
    <row r="60" spans="1:2" ht="18.75" customHeight="1">
      <c r="A60" s="93">
        <f t="shared" si="0"/>
        <v>56</v>
      </c>
      <c r="B60" s="93" t="str">
        <f>VLOOKUP($A60,'【随時メンテ】工事請負約款（原文）'!$B$2:$C$835,2,FALSE)&amp;""</f>
        <v>　提供として行われたものとし、同項第４号又は第５号に掲げる保証を付したときは、契約保証金の納付を免除する。</v>
      </c>
    </row>
    <row r="61" spans="1:2" ht="18.75" customHeight="1">
      <c r="A61" s="93">
        <f t="shared" si="0"/>
        <v>57</v>
      </c>
      <c r="B61" s="93" t="str">
        <f>VLOOKUP($A61,'【随時メンテ】工事請負約款（原文）'!$B$2:$C$835,2,FALSE)&amp;""</f>
        <v>６　請負代金額の変更があった場合には、保証の額が変更後の請負代金額の10分の１に達するまで、発注者は、保証の額の増額</v>
      </c>
    </row>
    <row r="62" spans="1:2" ht="18.75" customHeight="1">
      <c r="A62" s="93">
        <f t="shared" si="0"/>
        <v>58</v>
      </c>
      <c r="B62" s="93" t="str">
        <f>VLOOKUP($A62,'【随時メンテ】工事請負約款（原文）'!$B$2:$C$835,2,FALSE)&amp;""</f>
        <v>　を請求することができ、受注者は、保証の額の減額を請求することができる。</v>
      </c>
    </row>
    <row r="63" spans="1:2" ht="18.75" customHeight="1">
      <c r="A63" s="93">
        <f t="shared" si="0"/>
        <v>59</v>
      </c>
      <c r="B63" s="93" t="str">
        <f>VLOOKUP($A63,'【随時メンテ】工事請負約款（原文）'!$B$2:$C$835,2,FALSE)&amp;""</f>
        <v/>
      </c>
    </row>
    <row r="64" spans="1:2" ht="18.75" customHeight="1">
      <c r="A64" s="93">
        <f t="shared" si="0"/>
        <v>60</v>
      </c>
      <c r="B64" s="93" t="str">
        <f>VLOOKUP($A64,'【随時メンテ】工事請負約款（原文）'!$B$2:$C$835,2,FALSE)&amp;""</f>
        <v>　（権利義務の譲渡等）</v>
      </c>
    </row>
    <row r="65" spans="1:2" ht="18.75" customHeight="1">
      <c r="A65" s="93">
        <f t="shared" si="0"/>
        <v>61</v>
      </c>
      <c r="B65" s="93" t="str">
        <f>VLOOKUP($A65,'【随時メンテ】工事請負約款（原文）'!$B$2:$C$835,2,FALSE)&amp;""</f>
        <v>第５条　受注者は、この契約により生ずる権利又は義務を第三者に譲渡し、又は承継させてはならない。ただし、あらかじめ、</v>
      </c>
    </row>
    <row r="66" spans="1:2" ht="18.75" customHeight="1">
      <c r="A66" s="93">
        <f t="shared" si="0"/>
        <v>62</v>
      </c>
      <c r="B66" s="93" t="str">
        <f>VLOOKUP($A66,'【随時メンテ】工事請負約款（原文）'!$B$2:$C$835,2,FALSE)&amp;""</f>
        <v>　発注者の承諾を得た場合は、この限りでない。</v>
      </c>
    </row>
    <row r="67" spans="1:2" ht="18.75" customHeight="1">
      <c r="A67" s="93">
        <f t="shared" si="0"/>
        <v>63</v>
      </c>
      <c r="B67" s="93" t="str">
        <f>VLOOKUP($A67,'【随時メンテ】工事請負約款（原文）'!$B$2:$C$835,2,FALSE)&amp;""</f>
        <v>２　受注者は、工事目的物並びに工事材料（工場製品を含む。以下同じ。）のうち第13条第２項の規定による検査に合格したも</v>
      </c>
    </row>
    <row r="68" spans="1:2" ht="18.75" customHeight="1">
      <c r="A68" s="93">
        <f t="shared" si="0"/>
        <v>64</v>
      </c>
      <c r="B68" s="93" t="str">
        <f>VLOOKUP($A68,'【随時メンテ】工事請負約款（原文）'!$B$2:$C$835,2,FALSE)&amp;""</f>
        <v>　の及び第38条第３項の規定による部分払のための確認を受けたものを第三者に譲渡し、貸与し、又は抵当権その他の担保の目</v>
      </c>
    </row>
    <row r="69" spans="1:2" ht="18.75" customHeight="1">
      <c r="A69" s="93">
        <f t="shared" si="0"/>
        <v>65</v>
      </c>
      <c r="B69" s="93" t="str">
        <f>VLOOKUP($A69,'【随時メンテ】工事請負約款（原文）'!$B$2:$C$835,2,FALSE)&amp;""</f>
        <v>　的に供してはならない。ただし、あらかじめ、発注者の承諾を得た場合は、この限りでない。</v>
      </c>
    </row>
    <row r="70" spans="1:2" ht="18.75" customHeight="1">
      <c r="A70" s="93">
        <f t="shared" si="0"/>
        <v>66</v>
      </c>
      <c r="B70" s="93" t="str">
        <f>VLOOKUP($A70,'【随時メンテ】工事請負約款（原文）'!$B$2:$C$835,2,FALSE)&amp;""</f>
        <v>３　受注者が前払金の使用や部分払等によってもなおこの契約の目的物に係る工事の施工に必要な資金が不足することを疎明し</v>
      </c>
    </row>
    <row r="71" spans="1:2" ht="18.75" customHeight="1">
      <c r="A71" s="93">
        <f t="shared" ref="A71:A134" si="1">ROW()-$A$2</f>
        <v>67</v>
      </c>
      <c r="B71" s="93" t="str">
        <f>VLOOKUP($A71,'【随時メンテ】工事請負約款（原文）'!$B$2:$C$835,2,FALSE)&amp;""</f>
        <v>　たときは、発注者は、特段の理由がある場合を除き、受注者の請負代金債権の譲渡について、第１項ただし書の承諾をしなけ</v>
      </c>
    </row>
    <row r="72" spans="1:2" ht="18.75" customHeight="1">
      <c r="A72" s="93">
        <f t="shared" si="1"/>
        <v>68</v>
      </c>
      <c r="B72" s="93" t="str">
        <f>VLOOKUP($A72,'【随時メンテ】工事請負約款（原文）'!$B$2:$C$835,2,FALSE)&amp;""</f>
        <v>　ればならない。</v>
      </c>
    </row>
    <row r="73" spans="1:2" ht="18.75" customHeight="1">
      <c r="A73" s="93">
        <f t="shared" si="1"/>
        <v>69</v>
      </c>
      <c r="B73" s="93" t="str">
        <f>VLOOKUP($A73,'【随時メンテ】工事請負約款（原文）'!$B$2:$C$835,2,FALSE)&amp;""</f>
        <v>４　受注者は、前項の規定により、第１項ただし書の承諾を受けた場合は、請負代金債権の譲渡により得た資金をこの契約の目</v>
      </c>
    </row>
    <row r="74" spans="1:2" ht="18.75" customHeight="1">
      <c r="A74" s="93">
        <f t="shared" si="1"/>
        <v>70</v>
      </c>
      <c r="B74" s="93" t="str">
        <f>VLOOKUP($A74,'【随時メンテ】工事請負約款（原文）'!$B$2:$C$835,2,FALSE)&amp;""</f>
        <v>　的物に係る工事の施工以外に使用してはならず、またその使途を疎明する書類を発注者に提出しなければならない。</v>
      </c>
    </row>
    <row r="75" spans="1:2" ht="18.75" customHeight="1">
      <c r="A75" s="93">
        <f t="shared" si="1"/>
        <v>71</v>
      </c>
      <c r="B75" s="93" t="str">
        <f>VLOOKUP($A75,'【随時メンテ】工事請負約款（原文）'!$B$2:$C$835,2,FALSE)&amp;""</f>
        <v/>
      </c>
    </row>
    <row r="76" spans="1:2" ht="18.75" customHeight="1">
      <c r="A76" s="93">
        <f t="shared" si="1"/>
        <v>72</v>
      </c>
      <c r="B76" s="93" t="str">
        <f>VLOOKUP($A76,'【随時メンテ】工事請負約款（原文）'!$B$2:$C$835,2,FALSE)&amp;""</f>
        <v>　（一括下請負等の禁止）</v>
      </c>
    </row>
    <row r="77" spans="1:2" ht="18.75" customHeight="1">
      <c r="A77" s="93">
        <f t="shared" si="1"/>
        <v>73</v>
      </c>
      <c r="B77" s="93" t="str">
        <f>VLOOKUP($A77,'【随時メンテ】工事請負約款（原文）'!$B$2:$C$835,2,FALSE)&amp;""</f>
        <v>第６条　受注者は、工事の全部若しくはその主たる部分又は他の部分から独立してその機能を発揮する工作物の工事を一括して</v>
      </c>
    </row>
    <row r="78" spans="1:2" ht="18.75" customHeight="1">
      <c r="A78" s="93">
        <f t="shared" si="1"/>
        <v>74</v>
      </c>
      <c r="B78" s="93" t="str">
        <f>VLOOKUP($A78,'【随時メンテ】工事請負約款（原文）'!$B$2:$C$835,2,FALSE)&amp;""</f>
        <v>　第三者に委任し、又は請け負わせてはならない。</v>
      </c>
    </row>
    <row r="79" spans="1:2" ht="18.75" customHeight="1">
      <c r="A79" s="93">
        <f t="shared" si="1"/>
        <v>75</v>
      </c>
      <c r="B79" s="93" t="str">
        <f>VLOOKUP($A79,'【随時メンテ】工事請負約款（原文）'!$B$2:$C$835,2,FALSE)&amp;""</f>
        <v>２　受注者は、第48条第11号イからホまでのいずれかに該当する者を、下請契約又は資材、原材料の購入契約その他の契約の相</v>
      </c>
    </row>
    <row r="80" spans="1:2" ht="18.75" customHeight="1">
      <c r="A80" s="93">
        <f t="shared" si="1"/>
        <v>76</v>
      </c>
      <c r="B80" s="93" t="str">
        <f>VLOOKUP($A80,'【随時メンテ】工事請負約款（原文）'!$B$2:$C$835,2,FALSE)&amp;""</f>
        <v>　手方としてはならない。</v>
      </c>
    </row>
    <row r="81" spans="1:2" ht="18.75" customHeight="1">
      <c r="A81" s="93">
        <f t="shared" si="1"/>
        <v>77</v>
      </c>
      <c r="B81" s="93" t="str">
        <f>VLOOKUP($A81,'【随時メンテ】工事請負約款（原文）'!$B$2:$C$835,2,FALSE)&amp;""</f>
        <v/>
      </c>
    </row>
    <row r="82" spans="1:2" ht="18.75" customHeight="1">
      <c r="A82" s="93">
        <f t="shared" si="1"/>
        <v>78</v>
      </c>
      <c r="B82" s="93" t="str">
        <f>VLOOKUP($A82,'【随時メンテ】工事請負約款（原文）'!$B$2:$C$835,2,FALSE)&amp;""</f>
        <v>　（下請負人の通知）</v>
      </c>
    </row>
    <row r="83" spans="1:2" ht="18.75" customHeight="1">
      <c r="A83" s="93">
        <f t="shared" si="1"/>
        <v>79</v>
      </c>
      <c r="B83" s="93" t="str">
        <f>VLOOKUP($A83,'【随時メンテ】工事請負約款（原文）'!$B$2:$C$835,2,FALSE)&amp;""</f>
        <v>第７条　発注者は、受注者に対して、下請負人の商号又は名称その他必要な事項の通知を請求することができる。</v>
      </c>
    </row>
    <row r="84" spans="1:2" ht="18.75" customHeight="1">
      <c r="A84" s="93">
        <f t="shared" si="1"/>
        <v>80</v>
      </c>
      <c r="B84" s="93" t="str">
        <f>VLOOKUP($A84,'【随時メンテ】工事請負約款（原文）'!$B$2:$C$835,2,FALSE)&amp;""</f>
        <v/>
      </c>
    </row>
    <row r="85" spans="1:2" ht="18.75" customHeight="1">
      <c r="A85" s="93">
        <f t="shared" si="1"/>
        <v>81</v>
      </c>
      <c r="B85" s="93" t="str">
        <f>VLOOKUP($A85,'【随時メンテ】工事請負約款（原文）'!$B$2:$C$835,2,FALSE)&amp;""</f>
        <v>　（下請負人の健康保険等加入義務等）</v>
      </c>
    </row>
    <row r="86" spans="1:2" ht="18.75" customHeight="1">
      <c r="A86" s="93">
        <f t="shared" si="1"/>
        <v>82</v>
      </c>
      <c r="B86" s="93" t="str">
        <f>VLOOKUP($A86,'【随時メンテ】工事請負約款（原文）'!$B$2:$C$835,2,FALSE)&amp;""</f>
        <v>第７条の２　受注者は、次の各号に掲げる届出をしていない建設業者（建設業法（昭和24年法律第100号）第２条第３項に定め</v>
      </c>
    </row>
    <row r="87" spans="1:2" ht="18.75" customHeight="1">
      <c r="A87" s="93">
        <f t="shared" si="1"/>
        <v>83</v>
      </c>
      <c r="B87" s="93" t="str">
        <f>VLOOKUP($A87,'【随時メンテ】工事請負約款（原文）'!$B$2:$C$835,2,FALSE)&amp;""</f>
        <v>　る建設業者をいい、当該届出の義務がない者を除く。以下「社会保険等未加入建設業者」という。）を下請契約（受注者が直</v>
      </c>
    </row>
    <row r="88" spans="1:2" ht="18.75" customHeight="1">
      <c r="A88" s="93">
        <f t="shared" si="1"/>
        <v>84</v>
      </c>
      <c r="B88" s="93" t="str">
        <f>VLOOKUP($A88,'【随時メンテ】工事請負約款（原文）'!$B$2:$C$835,2,FALSE)&amp;""</f>
        <v>　接締結する下請契約に限る。以下この条において同じ。）の相手方としてはならない。</v>
      </c>
    </row>
    <row r="89" spans="1:2" ht="18.75" customHeight="1">
      <c r="A89" s="93">
        <f t="shared" si="1"/>
        <v>85</v>
      </c>
      <c r="B89" s="93" t="str">
        <f>VLOOKUP($A89,'【随時メンテ】工事請負約款（原文）'!$B$2:$C$835,2,FALSE)&amp;""</f>
        <v>　一　健康保険法（大正11年法律第70号）第48条の規定による届出</v>
      </c>
    </row>
    <row r="90" spans="1:2" ht="18.75" customHeight="1">
      <c r="A90" s="93">
        <f t="shared" si="1"/>
        <v>86</v>
      </c>
      <c r="B90" s="93" t="str">
        <f>VLOOKUP($A90,'【随時メンテ】工事請負約款（原文）'!$B$2:$C$835,2,FALSE)&amp;""</f>
        <v>　二　厚生年金保険法（昭和29年法律第115号）第27条の規定による届出</v>
      </c>
    </row>
    <row r="91" spans="1:2" ht="18.75" customHeight="1">
      <c r="A91" s="93">
        <f t="shared" si="1"/>
        <v>87</v>
      </c>
      <c r="B91" s="93" t="str">
        <f>VLOOKUP($A91,'【随時メンテ】工事請負約款（原文）'!$B$2:$C$835,2,FALSE)&amp;""</f>
        <v>　三　雇用保険法（昭和49年法律第116号）第７条の規定による届出</v>
      </c>
    </row>
    <row r="92" spans="1:2" ht="18.75" customHeight="1">
      <c r="A92" s="93">
        <f t="shared" si="1"/>
        <v>88</v>
      </c>
      <c r="B92" s="93" t="str">
        <f>VLOOKUP($A92,'【随時メンテ】工事請負約款（原文）'!$B$2:$C$835,2,FALSE)&amp;""</f>
        <v>２　前項の規定にかかわらず、受注者は、当該建設業者と下請契約を締結しなければ工事の施工が困難となる場合その他の特別</v>
      </c>
    </row>
    <row r="93" spans="1:2" ht="18.75" customHeight="1">
      <c r="A93" s="93">
        <f t="shared" si="1"/>
        <v>89</v>
      </c>
      <c r="B93" s="93" t="str">
        <f>VLOOKUP($A93,'【随時メンテ】工事請負約款（原文）'!$B$2:$C$835,2,FALSE)&amp;""</f>
        <v>　の事情があると発注者が認める場合は、社会保険等未加入建設業者を下請契約の相手方とすることができる。この場合におい</v>
      </c>
    </row>
    <row r="94" spans="1:2" ht="18.75" customHeight="1">
      <c r="A94" s="93">
        <f t="shared" si="1"/>
        <v>90</v>
      </c>
      <c r="B94" s="93" t="str">
        <f>VLOOKUP($A94,'【随時メンテ】工事請負約款（原文）'!$B$2:$C$835,2,FALSE)&amp;""</f>
        <v>　て、受注者は、発注者の指定する期間内に、当該社会保険等未加入建設業者が前項各号に掲げる届出をし、当該事実を確認す</v>
      </c>
    </row>
    <row r="95" spans="1:2" ht="18.75" customHeight="1">
      <c r="A95" s="93">
        <f t="shared" si="1"/>
        <v>91</v>
      </c>
      <c r="B95" s="93" t="str">
        <f>VLOOKUP($A95,'【随時メンテ】工事請負約款（原文）'!$B$2:$C$835,2,FALSE)&amp;""</f>
        <v>　ることのできる書類（以下「確認書類」という。）を発注者に提出しなければならない。</v>
      </c>
    </row>
    <row r="96" spans="1:2" ht="18.75" customHeight="1">
      <c r="A96" s="93">
        <f t="shared" si="1"/>
        <v>92</v>
      </c>
      <c r="B96" s="93" t="str">
        <f>VLOOKUP($A96,'【随時メンテ】工事請負約款（原文）'!$B$2:$C$835,2,FALSE)&amp;""</f>
        <v/>
      </c>
    </row>
    <row r="97" spans="1:2" ht="18.75" customHeight="1">
      <c r="A97" s="93">
        <f t="shared" si="1"/>
        <v>93</v>
      </c>
      <c r="B97" s="93" t="str">
        <f>VLOOKUP($A97,'【随時メンテ】工事請負約款（原文）'!$B$2:$C$835,2,FALSE)&amp;""</f>
        <v>　（特許権等の使用）</v>
      </c>
    </row>
    <row r="98" spans="1:2" ht="18.75" customHeight="1">
      <c r="A98" s="93">
        <f t="shared" si="1"/>
        <v>94</v>
      </c>
      <c r="B98" s="93" t="str">
        <f>VLOOKUP($A98,'【随時メンテ】工事請負約款（原文）'!$B$2:$C$835,2,FALSE)&amp;""</f>
        <v>第８条　受注者は、特許権、実用新案権、意匠権、商標権その他日本国の法令に基づき保護される第三者の権利（以下「特許権</v>
      </c>
    </row>
    <row r="99" spans="1:2" ht="18.75" customHeight="1">
      <c r="A99" s="93">
        <f t="shared" si="1"/>
        <v>95</v>
      </c>
      <c r="B99" s="93" t="str">
        <f>VLOOKUP($A99,'【随時メンテ】工事請負約款（原文）'!$B$2:$C$835,2,FALSE)&amp;""</f>
        <v>　等」という。）の対象となっている工事材料、施工方法等を使用するときは、その使用に関する一切の責任を負わなければな</v>
      </c>
    </row>
    <row r="100" spans="1:2" ht="18.75" customHeight="1">
      <c r="A100" s="93">
        <f t="shared" si="1"/>
        <v>96</v>
      </c>
      <c r="B100" s="93" t="str">
        <f>VLOOKUP($A100,'【随時メンテ】工事請負約款（原文）'!$B$2:$C$835,2,FALSE)&amp;""</f>
        <v>　らない。ただし、発注者がその工事材料、施工方法等を指定した場合において、設計図書に特許権等の対象である旨の明示が</v>
      </c>
    </row>
    <row r="101" spans="1:2" ht="18.75" customHeight="1">
      <c r="A101" s="93">
        <f t="shared" si="1"/>
        <v>97</v>
      </c>
      <c r="B101" s="93" t="str">
        <f>VLOOKUP($A101,'【随時メンテ】工事請負約款（原文）'!$B$2:$C$835,2,FALSE)&amp;""</f>
        <v>　なく、かつ、受注者がその存在を知らなかったときは、発注者は、受注者がその使用に関して要した費用を負担しなければな</v>
      </c>
    </row>
    <row r="102" spans="1:2" ht="18.75" customHeight="1">
      <c r="A102" s="93">
        <f t="shared" si="1"/>
        <v>98</v>
      </c>
      <c r="B102" s="93" t="str">
        <f>VLOOKUP($A102,'【随時メンテ】工事請負約款（原文）'!$B$2:$C$835,2,FALSE)&amp;""</f>
        <v>　らない。</v>
      </c>
    </row>
    <row r="103" spans="1:2" ht="18.75" customHeight="1">
      <c r="A103" s="93">
        <f t="shared" si="1"/>
        <v>99</v>
      </c>
      <c r="B103" s="93" t="str">
        <f>VLOOKUP($A103,'【随時メンテ】工事請負約款（原文）'!$B$2:$C$835,2,FALSE)&amp;""</f>
        <v/>
      </c>
    </row>
    <row r="104" spans="1:2" ht="18.75" customHeight="1">
      <c r="A104" s="93">
        <f t="shared" si="1"/>
        <v>100</v>
      </c>
      <c r="B104" s="93" t="str">
        <f>VLOOKUP($A104,'【随時メンテ】工事請負約款（原文）'!$B$2:$C$835,2,FALSE)&amp;""</f>
        <v>　（監督員）</v>
      </c>
    </row>
    <row r="105" spans="1:2" ht="18.75" customHeight="1">
      <c r="A105" s="93">
        <f t="shared" si="1"/>
        <v>101</v>
      </c>
      <c r="B105" s="93" t="str">
        <f>VLOOKUP($A105,'【随時メンテ】工事請負約款（原文）'!$B$2:$C$835,2,FALSE)&amp;""</f>
        <v>第９条　発注者は、監督員を置いたときは、その氏名を受注者に通知しなければならない。監督員を変更したときも同様とする。</v>
      </c>
    </row>
    <row r="106" spans="1:2" ht="18.75" customHeight="1">
      <c r="A106" s="93">
        <f t="shared" si="1"/>
        <v>102</v>
      </c>
      <c r="B106" s="93" t="str">
        <f>VLOOKUP($A106,'【随時メンテ】工事請負約款（原文）'!$B$2:$C$835,2,FALSE)&amp;""</f>
        <v>２　監督員は、この約款の他の条項に定めるもの及びこの約款に基づく発注者の権限とされる事項のうち発注者が必要と認めて</v>
      </c>
    </row>
    <row r="107" spans="1:2" ht="18.75" customHeight="1">
      <c r="A107" s="93">
        <f t="shared" si="1"/>
        <v>103</v>
      </c>
      <c r="B107" s="93" t="str">
        <f>VLOOKUP($A107,'【随時メンテ】工事請負約款（原文）'!$B$2:$C$835,2,FALSE)&amp;""</f>
        <v>　監督員に委任したもののほか、設計図書に定めるところにより、次に掲げる権限を有する。</v>
      </c>
    </row>
    <row r="108" spans="1:2" ht="18.75" customHeight="1">
      <c r="A108" s="93">
        <f t="shared" si="1"/>
        <v>104</v>
      </c>
      <c r="B108" s="93" t="str">
        <f>VLOOKUP($A108,'【随時メンテ】工事請負約款（原文）'!$B$2:$C$835,2,FALSE)&amp;""</f>
        <v>　一　この契約の履行についての受注者又は受注者の現場代理人に対する指示、承諾又は協議</v>
      </c>
    </row>
    <row r="109" spans="1:2" ht="18.75" customHeight="1">
      <c r="A109" s="93">
        <f t="shared" si="1"/>
        <v>105</v>
      </c>
      <c r="B109" s="93" t="str">
        <f>VLOOKUP($A109,'【随時メンテ】工事請負約款（原文）'!$B$2:$C$835,2,FALSE)&amp;""</f>
        <v>　二　設計図書に基づく工事の施工のための詳細図等の作成及び交付又は受注者が作成した詳細図等の承諾</v>
      </c>
    </row>
    <row r="110" spans="1:2" ht="18.75" customHeight="1">
      <c r="A110" s="93">
        <f t="shared" si="1"/>
        <v>106</v>
      </c>
      <c r="B110" s="93" t="str">
        <f>VLOOKUP($A110,'【随時メンテ】工事請負約款（原文）'!$B$2:$C$835,2,FALSE)&amp;""</f>
        <v>　三　設計図書に基づく工程の管理、立会い、工事の施工状況の検査又は工事材料の試験若しくは検査（確認を含む。）</v>
      </c>
    </row>
    <row r="111" spans="1:2" ht="18.75" customHeight="1">
      <c r="A111" s="93">
        <f t="shared" si="1"/>
        <v>107</v>
      </c>
      <c r="B111" s="93" t="str">
        <f>VLOOKUP($A111,'【随時メンテ】工事請負約款（原文）'!$B$2:$C$835,2,FALSE)&amp;""</f>
        <v>３　発注者は、２名以上の監督員を置き、前項の権限を分担させたときにあってはそれぞれの監督員の有する権限の内容を、監</v>
      </c>
    </row>
    <row r="112" spans="1:2" ht="18.75" customHeight="1">
      <c r="A112" s="93">
        <f t="shared" si="1"/>
        <v>108</v>
      </c>
      <c r="B112" s="93" t="str">
        <f>VLOOKUP($A112,'【随時メンテ】工事請負約款（原文）'!$B$2:$C$835,2,FALSE)&amp;""</f>
        <v>　督員にこの約款に基づく発注者の権限の一部を委任したときにあっては当該委任した権限の内容を、受注者に通知しなければ</v>
      </c>
    </row>
    <row r="113" spans="1:2" ht="18.75" customHeight="1">
      <c r="A113" s="93">
        <f t="shared" si="1"/>
        <v>109</v>
      </c>
      <c r="B113" s="93" t="str">
        <f>VLOOKUP($A113,'【随時メンテ】工事請負約款（原文）'!$B$2:$C$835,2,FALSE)&amp;""</f>
        <v>　ならない。</v>
      </c>
    </row>
    <row r="114" spans="1:2" ht="18.75" customHeight="1">
      <c r="A114" s="93">
        <f t="shared" si="1"/>
        <v>110</v>
      </c>
      <c r="B114" s="93" t="str">
        <f>VLOOKUP($A114,'【随時メンテ】工事請負約款（原文）'!$B$2:$C$835,2,FALSE)&amp;""</f>
        <v>４　第２項の規定に基づく監督員の指示又は承諾は、原則として、書面により行わなければならない。</v>
      </c>
    </row>
    <row r="115" spans="1:2" ht="18.75" customHeight="1">
      <c r="A115" s="93">
        <f t="shared" si="1"/>
        <v>111</v>
      </c>
      <c r="B115" s="93" t="str">
        <f>VLOOKUP($A115,'【随時メンテ】工事請負約款（原文）'!$B$2:$C$835,2,FALSE)&amp;""</f>
        <v>５　発注者が監督員を置いたときは、この約款に定める催告、請求、通知、報告、申出、承諾及び解除については、設計図書に</v>
      </c>
    </row>
    <row r="116" spans="1:2" ht="18.75" customHeight="1">
      <c r="A116" s="93">
        <f t="shared" si="1"/>
        <v>112</v>
      </c>
      <c r="B116" s="93" t="str">
        <f>VLOOKUP($A116,'【随時メンテ】工事請負約款（原文）'!$B$2:$C$835,2,FALSE)&amp;""</f>
        <v>　定めるものを除き、監督員を経由して行うものとする。この場合においては、監督員に到達した日をもって発注者に到達した</v>
      </c>
    </row>
    <row r="117" spans="1:2" ht="18.75" customHeight="1">
      <c r="A117" s="93">
        <f t="shared" si="1"/>
        <v>113</v>
      </c>
      <c r="B117" s="93" t="str">
        <f>VLOOKUP($A117,'【随時メンテ】工事請負約款（原文）'!$B$2:$C$835,2,FALSE)&amp;""</f>
        <v>　ものとみなす。</v>
      </c>
    </row>
    <row r="118" spans="1:2" ht="18.75" customHeight="1">
      <c r="A118" s="93">
        <f t="shared" si="1"/>
        <v>114</v>
      </c>
      <c r="B118" s="93" t="str">
        <f>VLOOKUP($A118,'【随時メンテ】工事請負約款（原文）'!$B$2:$C$835,2,FALSE)&amp;""</f>
        <v>６　発注者が監督員を置かないときは、この約款に定める監督員の権限は、発注者に帰属する。</v>
      </c>
    </row>
    <row r="119" spans="1:2" ht="18.75" customHeight="1">
      <c r="A119" s="93">
        <f t="shared" si="1"/>
        <v>115</v>
      </c>
      <c r="B119" s="93" t="str">
        <f>VLOOKUP($A119,'【随時メンテ】工事請負約款（原文）'!$B$2:$C$835,2,FALSE)&amp;""</f>
        <v/>
      </c>
    </row>
    <row r="120" spans="1:2" ht="18.75" customHeight="1">
      <c r="A120" s="93">
        <f t="shared" si="1"/>
        <v>116</v>
      </c>
      <c r="B120" s="148" t="str">
        <f>VLOOKUP($A120,'【随時メンテ】工事請負約款（原文）'!$B$2:$C$835,2,FALSE)&amp;""</f>
        <v>　（現場代理人及び主任技術者等）</v>
      </c>
    </row>
    <row r="121" spans="1:2" ht="18.75" customHeight="1">
      <c r="A121" s="93">
        <f t="shared" si="1"/>
        <v>117</v>
      </c>
      <c r="B121" s="148" t="str">
        <f>VLOOKUP($A121,'【随時メンテ】工事請負約款（原文）'!$B$2:$C$835,2,FALSE)&amp;""</f>
        <v>第10条　受注者は、次の各号に掲げる者を定めて工事現場に設置し、設計図書に定めるところにより、その氏名その他必要な事</v>
      </c>
    </row>
    <row r="122" spans="1:2" ht="18.75" customHeight="1">
      <c r="A122" s="93">
        <f t="shared" si="1"/>
        <v>118</v>
      </c>
      <c r="B122" s="93" t="str">
        <f>VLOOKUP($A122,'【随時メンテ】工事請負約款（原文）'!$B$2:$C$835,2,FALSE)&amp;""</f>
        <v>　項を発注者に通知しなければならない。これらの者を変更したときも同様とする。</v>
      </c>
    </row>
    <row r="123" spans="1:2" ht="18.75" customHeight="1">
      <c r="A123" s="93">
        <f t="shared" si="1"/>
        <v>119</v>
      </c>
      <c r="B123" s="93" t="str">
        <f>VLOOKUP($A123,'【随時メンテ】工事請負約款（原文）'!$B$2:$C$835,2,FALSE)&amp;""</f>
        <v>　一　現場代理人</v>
      </c>
    </row>
    <row r="124" spans="1:2" ht="18.75" customHeight="1">
      <c r="A124" s="93">
        <f t="shared" si="1"/>
        <v>120</v>
      </c>
      <c r="B124" s="93" t="str">
        <f>VLOOKUP($A124,'【随時メンテ】工事請負約款（原文）'!$B$2:$C$835,2,FALSE)&amp;""</f>
        <v>　二 ［　　　　　　　　　　　　　　　　　　　　］主任技術者</v>
      </c>
    </row>
    <row r="125" spans="1:2" ht="18.75" customHeight="1">
      <c r="A125" s="93">
        <f t="shared" si="1"/>
        <v>121</v>
      </c>
      <c r="B125" s="93" t="str">
        <f>VLOOKUP($A125,'【随時メンテ】工事請負約款（原文）'!$B$2:$C$835,2,FALSE)&amp;""</f>
        <v xml:space="preserve"> 　　 削除</v>
      </c>
    </row>
    <row r="126" spans="1:2" ht="18.75" customHeight="1">
      <c r="A126" s="93">
        <f t="shared" si="1"/>
        <v>122</v>
      </c>
      <c r="B126" s="93" t="str">
        <f>VLOOKUP($A126,'【随時メンテ】工事請負約款（原文）'!$B$2:$C$835,2,FALSE)&amp;""</f>
        <v xml:space="preserve"> 　　 削除</v>
      </c>
    </row>
    <row r="127" spans="1:2" ht="18.75" customHeight="1">
      <c r="A127" s="93">
        <f t="shared" si="1"/>
        <v>123</v>
      </c>
      <c r="B127" s="93" t="str">
        <f>VLOOKUP($A127,'【随時メンテ】工事請負約款（原文）'!$B$2:$C$835,2,FALSE)&amp;""</f>
        <v>　三　専門技術者（建設業法（昭和24年法律第100号）第26条の２に規定する技術者をいう。以下同じ。）</v>
      </c>
    </row>
    <row r="128" spans="1:2" ht="18.75" customHeight="1">
      <c r="A128" s="93">
        <f t="shared" si="1"/>
        <v>124</v>
      </c>
      <c r="B128" s="93" t="str">
        <f>VLOOKUP($A128,'【随時メンテ】工事請負約款（原文）'!$B$2:$C$835,2,FALSE)&amp;""</f>
        <v>２　現場代理人は、この契約の履行に関し、工事現場に常駐し、その運営、取締りを行うほか、請負代金額の変更、請負代金の</v>
      </c>
    </row>
    <row r="129" spans="1:2" ht="18.75" customHeight="1">
      <c r="A129" s="93">
        <f t="shared" si="1"/>
        <v>125</v>
      </c>
      <c r="B129" s="93" t="str">
        <f>VLOOKUP($A129,'【随時メンテ】工事請負約款（原文）'!$B$2:$C$835,2,FALSE)&amp;""</f>
        <v>　請求及び受領、第12条第１項の請求の受理、同条第３項の決定及び通知並びにこの契約の解除に係る権限を除き、この契約に</v>
      </c>
    </row>
    <row r="130" spans="1:2" ht="18.75" customHeight="1">
      <c r="A130" s="93">
        <f t="shared" si="1"/>
        <v>126</v>
      </c>
      <c r="B130" s="93" t="str">
        <f>VLOOKUP($A130,'【随時メンテ】工事請負約款（原文）'!$B$2:$C$835,2,FALSE)&amp;""</f>
        <v>　基づく受注者の一切の権限を行使することができる。</v>
      </c>
    </row>
    <row r="131" spans="1:2" ht="18.75" customHeight="1">
      <c r="A131" s="93">
        <f t="shared" si="1"/>
        <v>127</v>
      </c>
      <c r="B131" s="93" t="str">
        <f>VLOOKUP($A131,'【随時メンテ】工事請負約款（原文）'!$B$2:$C$835,2,FALSE)&amp;""</f>
        <v>３　発注者は、前項の規定にかかわらず、現場代理人の工事現場における運営、取締り及び権限の行使に支障がなく、かつ、発</v>
      </c>
    </row>
    <row r="132" spans="1:2" ht="18.75" customHeight="1">
      <c r="A132" s="93">
        <f t="shared" si="1"/>
        <v>128</v>
      </c>
      <c r="B132" s="93" t="str">
        <f>VLOOKUP($A132,'【随時メンテ】工事請負約款（原文）'!$B$2:$C$835,2,FALSE)&amp;""</f>
        <v>　注者との連絡体制が確保されると認めた場合には、現場代理人について工事現場における常駐を要しないこととすることがで</v>
      </c>
    </row>
    <row r="133" spans="1:2" ht="18.75" customHeight="1">
      <c r="A133" s="93">
        <f t="shared" si="1"/>
        <v>129</v>
      </c>
      <c r="B133" s="93" t="str">
        <f>VLOOKUP($A133,'【随時メンテ】工事請負約款（原文）'!$B$2:$C$835,2,FALSE)&amp;""</f>
        <v>　きる。</v>
      </c>
    </row>
    <row r="134" spans="1:2" ht="18.75" customHeight="1">
      <c r="A134" s="93">
        <f t="shared" si="1"/>
        <v>130</v>
      </c>
      <c r="B134" s="93" t="str">
        <f>VLOOKUP($A134,'【随時メンテ】工事請負約款（原文）'!$B$2:$C$835,2,FALSE)&amp;""</f>
        <v>４　受注者は、第２項の規定にかかわらず、自己の有する権限のうち現場代理人に委任せず自ら行使しようとするものがあると</v>
      </c>
    </row>
    <row r="135" spans="1:2" ht="18.75" customHeight="1">
      <c r="A135" s="93">
        <f t="shared" ref="A135:A198" si="2">ROW()-$A$2</f>
        <v>131</v>
      </c>
      <c r="B135" s="93" t="str">
        <f>VLOOKUP($A135,'【随時メンテ】工事請負約款（原文）'!$B$2:$C$835,2,FALSE)&amp;""</f>
        <v>　きは、あらかじめ、当該権限の内容を発注者に通知しなければならない。</v>
      </c>
    </row>
    <row r="136" spans="1:2" ht="18.75" customHeight="1">
      <c r="A136" s="93">
        <f t="shared" si="2"/>
        <v>132</v>
      </c>
      <c r="B136" s="93" t="str">
        <f>VLOOKUP($A136,'【随時メンテ】工事請負約款（原文）'!$B$2:$C$835,2,FALSE)&amp;""</f>
        <v>５　現場代理人、監理技術者等（監理技術者、監理技術者補佐又は主任技術者をいう。以下同じ。）及び専門技術者は、これを</v>
      </c>
    </row>
    <row r="137" spans="1:2" ht="18.75" customHeight="1">
      <c r="A137" s="93">
        <f t="shared" si="2"/>
        <v>133</v>
      </c>
      <c r="B137" s="93" t="str">
        <f>VLOOKUP($A137,'【随時メンテ】工事請負約款（原文）'!$B$2:$C$835,2,FALSE)&amp;""</f>
        <v>　兼ねることができる。</v>
      </c>
    </row>
    <row r="138" spans="1:2" ht="18.75" customHeight="1">
      <c r="A138" s="93">
        <f t="shared" si="2"/>
        <v>134</v>
      </c>
      <c r="B138" s="93" t="str">
        <f>VLOOKUP($A138,'【随時メンテ】工事請負約款（原文）'!$B$2:$C$835,2,FALSE)&amp;""</f>
        <v/>
      </c>
    </row>
    <row r="139" spans="1:2" ht="18.75" customHeight="1">
      <c r="A139" s="93">
        <f t="shared" si="2"/>
        <v>135</v>
      </c>
      <c r="B139" s="93" t="str">
        <f>VLOOKUP($A139,'【随時メンテ】工事請負約款（原文）'!$B$2:$C$835,2,FALSE)&amp;""</f>
        <v>　（履行報告）</v>
      </c>
    </row>
    <row r="140" spans="1:2" ht="18.75" customHeight="1">
      <c r="A140" s="93">
        <f t="shared" si="2"/>
        <v>136</v>
      </c>
      <c r="B140" s="93" t="str">
        <f>VLOOKUP($A140,'【随時メンテ】工事請負約款（原文）'!$B$2:$C$835,2,FALSE)&amp;""</f>
        <v>第11条　受注者は、設計図書に定めるところにより、この契約の履行について発注者に報告しなければならない。</v>
      </c>
    </row>
    <row r="141" spans="1:2" ht="18.75" customHeight="1">
      <c r="A141" s="93">
        <f t="shared" si="2"/>
        <v>137</v>
      </c>
      <c r="B141" s="93" t="str">
        <f>VLOOKUP($A141,'【随時メンテ】工事請負約款（原文）'!$B$2:$C$835,2,FALSE)&amp;""</f>
        <v/>
      </c>
    </row>
    <row r="142" spans="1:2" ht="18.75" customHeight="1">
      <c r="A142" s="93">
        <f t="shared" si="2"/>
        <v>138</v>
      </c>
      <c r="B142" s="93" t="str">
        <f>VLOOKUP($A142,'【随時メンテ】工事請負約款（原文）'!$B$2:$C$835,2,FALSE)&amp;""</f>
        <v>　（工事関係者に関する措置請求）</v>
      </c>
    </row>
    <row r="143" spans="1:2" ht="18.75" customHeight="1">
      <c r="A143" s="93">
        <f t="shared" si="2"/>
        <v>139</v>
      </c>
      <c r="B143" s="93" t="str">
        <f>VLOOKUP($A143,'【随時メンテ】工事請負約款（原文）'!$B$2:$C$835,2,FALSE)&amp;""</f>
        <v>第12条　発注者は、現場代理人がその職務（監理技術者等又は専門技術者と兼任する現場代理人にあっては、それらの者の職務</v>
      </c>
    </row>
    <row r="144" spans="1:2" ht="18.75" customHeight="1">
      <c r="A144" s="93">
        <f t="shared" si="2"/>
        <v>140</v>
      </c>
      <c r="B144" s="93" t="str">
        <f>VLOOKUP($A144,'【随時メンテ】工事請負約款（原文）'!$B$2:$C$835,2,FALSE)&amp;""</f>
        <v>　を含む｡)の執行につき著しく不適当と認められるときは、受注者に対して、その理由を明示した書面により、必要な措置をと</v>
      </c>
    </row>
    <row r="145" spans="1:2" ht="18.75" customHeight="1">
      <c r="A145" s="93">
        <f t="shared" si="2"/>
        <v>141</v>
      </c>
      <c r="B145" s="93" t="str">
        <f>VLOOKUP($A145,'【随時メンテ】工事請負約款（原文）'!$B$2:$C$835,2,FALSE)&amp;""</f>
        <v>　るべきことを請求することができる。</v>
      </c>
    </row>
    <row r="146" spans="1:2" ht="18.75" customHeight="1">
      <c r="A146" s="93">
        <f t="shared" si="2"/>
        <v>142</v>
      </c>
      <c r="B146" s="93" t="str">
        <f>VLOOKUP($A146,'【随時メンテ】工事請負約款（原文）'!$B$2:$C$835,2,FALSE)&amp;""</f>
        <v>２　発注者又は監督員は、監理技術者等又は専門技術者（これらの者と現場代理人を兼任する者を除く｡)その他受注者が工事を</v>
      </c>
    </row>
    <row r="147" spans="1:2" ht="18.75" customHeight="1">
      <c r="A147" s="93">
        <f t="shared" si="2"/>
        <v>143</v>
      </c>
      <c r="B147" s="93" t="str">
        <f>VLOOKUP($A147,'【随時メンテ】工事請負約款（原文）'!$B$2:$C$835,2,FALSE)&amp;""</f>
        <v>　施工するために使用している下請負人、労働者等で工事の施工又は管理につき著しく不適当と認められるものがあるときは、</v>
      </c>
    </row>
    <row r="148" spans="1:2" ht="18.75" customHeight="1">
      <c r="A148" s="93">
        <f t="shared" si="2"/>
        <v>144</v>
      </c>
      <c r="B148" s="93" t="str">
        <f>VLOOKUP($A148,'【随時メンテ】工事請負約款（原文）'!$B$2:$C$835,2,FALSE)&amp;""</f>
        <v>　受注者に対して、その理由を明示した書面により、必要な措置をとるべきことを請求することができる。</v>
      </c>
    </row>
    <row r="149" spans="1:2" ht="18.75" customHeight="1">
      <c r="A149" s="93">
        <f t="shared" si="2"/>
        <v>145</v>
      </c>
      <c r="B149" s="93" t="str">
        <f>VLOOKUP($A149,'【随時メンテ】工事請負約款（原文）'!$B$2:$C$835,2,FALSE)&amp;""</f>
        <v>３　受注者は、前２項の規定による請求があったときは、当該請求に係る事項について決定し、その結果を請求を受けた日から</v>
      </c>
    </row>
    <row r="150" spans="1:2" ht="18.75" customHeight="1">
      <c r="A150" s="93">
        <f t="shared" si="2"/>
        <v>146</v>
      </c>
      <c r="B150" s="93" t="str">
        <f>VLOOKUP($A150,'【随時メンテ】工事請負約款（原文）'!$B$2:$C$835,2,FALSE)&amp;""</f>
        <v>　10日以内に発注者に通知しなければならない。</v>
      </c>
    </row>
    <row r="151" spans="1:2" ht="18.75" customHeight="1">
      <c r="A151" s="93">
        <f t="shared" si="2"/>
        <v>147</v>
      </c>
      <c r="B151" s="93" t="str">
        <f>VLOOKUP($A151,'【随時メンテ】工事請負約款（原文）'!$B$2:$C$835,2,FALSE)&amp;""</f>
        <v>４　受注者は、監督員がその職務の執行につき著しく不適当と認められるときは、発注者に対して、その理由を明示した書面に</v>
      </c>
    </row>
    <row r="152" spans="1:2" ht="18.75" customHeight="1">
      <c r="A152" s="93">
        <f t="shared" si="2"/>
        <v>148</v>
      </c>
      <c r="B152" s="93" t="str">
        <f>VLOOKUP($A152,'【随時メンテ】工事請負約款（原文）'!$B$2:$C$835,2,FALSE)&amp;""</f>
        <v>　より、必要な措置をとるべきことを請求することができる。</v>
      </c>
    </row>
    <row r="153" spans="1:2" ht="18.75" customHeight="1">
      <c r="A153" s="93">
        <f t="shared" si="2"/>
        <v>149</v>
      </c>
      <c r="B153" s="93" t="str">
        <f>VLOOKUP($A153,'【随時メンテ】工事請負約款（原文）'!$B$2:$C$835,2,FALSE)&amp;""</f>
        <v>５　発注者は、前項の規定による請求があったときは、当該請求に係る事項について決定し、その結果を請求を受けた日から10</v>
      </c>
    </row>
    <row r="154" spans="1:2" ht="18.75" customHeight="1">
      <c r="A154" s="93">
        <f t="shared" si="2"/>
        <v>150</v>
      </c>
      <c r="B154" s="93" t="str">
        <f>VLOOKUP($A154,'【随時メンテ】工事請負約款（原文）'!$B$2:$C$835,2,FALSE)&amp;""</f>
        <v>　日以内に受注者に通知しなければならない。</v>
      </c>
    </row>
    <row r="155" spans="1:2" ht="18.75" customHeight="1">
      <c r="A155" s="93">
        <f t="shared" si="2"/>
        <v>151</v>
      </c>
      <c r="B155" s="93" t="str">
        <f>VLOOKUP($A155,'【随時メンテ】工事請負約款（原文）'!$B$2:$C$835,2,FALSE)&amp;""</f>
        <v/>
      </c>
    </row>
    <row r="156" spans="1:2" ht="18.75" customHeight="1">
      <c r="A156" s="93">
        <f t="shared" si="2"/>
        <v>152</v>
      </c>
      <c r="B156" s="93" t="str">
        <f>VLOOKUP($A156,'【随時メンテ】工事請負約款（原文）'!$B$2:$C$835,2,FALSE)&amp;""</f>
        <v>　（工事材料の品質及び検査等）</v>
      </c>
    </row>
    <row r="157" spans="1:2" ht="18.75" customHeight="1">
      <c r="A157" s="93">
        <f t="shared" si="2"/>
        <v>153</v>
      </c>
      <c r="B157" s="93" t="str">
        <f>VLOOKUP($A157,'【随時メンテ】工事請負約款（原文）'!$B$2:$C$835,2,FALSE)&amp;""</f>
        <v>第13条　工事材料の品質については、設計図書に定めるところによる。設計図書にその品質が明示されていない場合にあっては、</v>
      </c>
    </row>
    <row r="158" spans="1:2" ht="18.75" customHeight="1">
      <c r="A158" s="93">
        <f t="shared" si="2"/>
        <v>154</v>
      </c>
      <c r="B158" s="93" t="str">
        <f>VLOOKUP($A158,'【随時メンテ】工事請負約款（原文）'!$B$2:$C$835,2,FALSE)&amp;""</f>
        <v>　中等の品質を有するものとする。</v>
      </c>
    </row>
    <row r="159" spans="1:2" ht="18.75" customHeight="1">
      <c r="A159" s="93">
        <f t="shared" si="2"/>
        <v>155</v>
      </c>
      <c r="B159" s="93" t="str">
        <f>VLOOKUP($A159,'【随時メンテ】工事請負約款（原文）'!$B$2:$C$835,2,FALSE)&amp;""</f>
        <v>２　受注者は、設計図書において監督員の検査（確認を含む。以下この条において同じ。）を受けて使用すべきものと指定され</v>
      </c>
    </row>
    <row r="160" spans="1:2" ht="18.75" customHeight="1">
      <c r="A160" s="93">
        <f t="shared" si="2"/>
        <v>156</v>
      </c>
      <c r="B160" s="93" t="str">
        <f>VLOOKUP($A160,'【随時メンテ】工事請負約款（原文）'!$B$2:$C$835,2,FALSE)&amp;""</f>
        <v>　た工事材料については、当該検査に合格したものを使用しなければならない。この場合において、当該検査に直接要する費用</v>
      </c>
    </row>
    <row r="161" spans="1:2" ht="18.75" customHeight="1">
      <c r="A161" s="93">
        <f t="shared" si="2"/>
        <v>157</v>
      </c>
      <c r="B161" s="93" t="str">
        <f>VLOOKUP($A161,'【随時メンテ】工事請負約款（原文）'!$B$2:$C$835,2,FALSE)&amp;""</f>
        <v>　は、受注者の負担とする。</v>
      </c>
    </row>
    <row r="162" spans="1:2" ht="18.75" customHeight="1">
      <c r="A162" s="93">
        <f t="shared" si="2"/>
        <v>158</v>
      </c>
      <c r="B162" s="93" t="str">
        <f>VLOOKUP($A162,'【随時メンテ】工事請負約款（原文）'!$B$2:$C$835,2,FALSE)&amp;""</f>
        <v>３　監督員は、受注者から前項の検査を請求されたときは、請求を受けた日から７日以内に応じなければならない。</v>
      </c>
    </row>
    <row r="163" spans="1:2" ht="18.75" customHeight="1">
      <c r="A163" s="93">
        <f t="shared" si="2"/>
        <v>159</v>
      </c>
      <c r="B163" s="93" t="str">
        <f>VLOOKUP($A163,'【随時メンテ】工事請負約款（原文）'!$B$2:$C$835,2,FALSE)&amp;""</f>
        <v>４　受注者は、工事現場内に搬入した工事材料を監督員の承諾を受けないで工事現場外に搬出してはならない。</v>
      </c>
    </row>
    <row r="164" spans="1:2" ht="18.75" customHeight="1">
      <c r="A164" s="93">
        <f t="shared" si="2"/>
        <v>160</v>
      </c>
      <c r="B164" s="93" t="str">
        <f>VLOOKUP($A164,'【随時メンテ】工事請負約款（原文）'!$B$2:$C$835,2,FALSE)&amp;""</f>
        <v>５　受注者は、前項の規定にかかわらず、第２項の検査の結果不合格と決定された工事材料については、当該決定を受けた日か</v>
      </c>
    </row>
    <row r="165" spans="1:2" ht="18.75" customHeight="1">
      <c r="A165" s="93">
        <f t="shared" si="2"/>
        <v>161</v>
      </c>
      <c r="B165" s="93" t="str">
        <f>VLOOKUP($A165,'【随時メンテ】工事請負約款（原文）'!$B$2:$C$835,2,FALSE)&amp;""</f>
        <v>　ら７日以内に工事現場外に搬出しなければならない。</v>
      </c>
    </row>
    <row r="166" spans="1:2" ht="18.75" customHeight="1">
      <c r="A166" s="93">
        <f t="shared" si="2"/>
        <v>162</v>
      </c>
      <c r="B166" s="93" t="str">
        <f>VLOOKUP($A166,'【随時メンテ】工事請負約款（原文）'!$B$2:$C$835,2,FALSE)&amp;""</f>
        <v/>
      </c>
    </row>
    <row r="167" spans="1:2" ht="18.75" customHeight="1">
      <c r="A167" s="93">
        <f t="shared" si="2"/>
        <v>163</v>
      </c>
      <c r="B167" s="93" t="str">
        <f>VLOOKUP($A167,'【随時メンテ】工事請負約款（原文）'!$B$2:$C$835,2,FALSE)&amp;""</f>
        <v>　（監督員の立会い及び工事記録の整備等）</v>
      </c>
    </row>
    <row r="168" spans="1:2" ht="18.75" customHeight="1">
      <c r="A168" s="93">
        <f t="shared" si="2"/>
        <v>164</v>
      </c>
      <c r="B168" s="93" t="str">
        <f>VLOOKUP($A168,'【随時メンテ】工事請負約款（原文）'!$B$2:$C$835,2,FALSE)&amp;""</f>
        <v>第14条　受注者は、設計図書において監督員の立会いの上調合し、又は調合について見本検査を受けるものと指定された工事材</v>
      </c>
    </row>
    <row r="169" spans="1:2" ht="18.75" customHeight="1">
      <c r="A169" s="93">
        <f t="shared" si="2"/>
        <v>165</v>
      </c>
      <c r="B169" s="93" t="str">
        <f>VLOOKUP($A169,'【随時メンテ】工事請負約款（原文）'!$B$2:$C$835,2,FALSE)&amp;""</f>
        <v>　料については、当該立会いを受けて調合し、又は当該見本検査に合格したものを使用しなければならない。</v>
      </c>
    </row>
    <row r="170" spans="1:2" ht="18.75" customHeight="1">
      <c r="A170" s="93">
        <f t="shared" si="2"/>
        <v>166</v>
      </c>
      <c r="B170" s="93" t="str">
        <f>VLOOKUP($A170,'【随時メンテ】工事請負約款（原文）'!$B$2:$C$835,2,FALSE)&amp;""</f>
        <v>２　受注者は、設計図書において監督員の立会いの上施工するものと指定された工事については、当該立会いを受けて施工しな</v>
      </c>
    </row>
    <row r="171" spans="1:2" ht="18.75" customHeight="1">
      <c r="A171" s="93">
        <f t="shared" si="2"/>
        <v>167</v>
      </c>
      <c r="B171" s="93" t="str">
        <f>VLOOKUP($A171,'【随時メンテ】工事請負約款（原文）'!$B$2:$C$835,2,FALSE)&amp;""</f>
        <v>　ければならない。</v>
      </c>
    </row>
    <row r="172" spans="1:2" ht="18.75" customHeight="1">
      <c r="A172" s="93">
        <f t="shared" si="2"/>
        <v>168</v>
      </c>
      <c r="B172" s="93" t="str">
        <f>VLOOKUP($A172,'【随時メンテ】工事請負約款（原文）'!$B$2:$C$835,2,FALSE)&amp;""</f>
        <v>３　受注者は、前２項に規定するほか、発注者が特に必要があると認めて設計図書において見本又は工事写真等の記録を整備す</v>
      </c>
    </row>
    <row r="173" spans="1:2" ht="18.75" customHeight="1">
      <c r="A173" s="93">
        <f t="shared" si="2"/>
        <v>169</v>
      </c>
      <c r="B173" s="93" t="str">
        <f>VLOOKUP($A173,'【随時メンテ】工事請負約款（原文）'!$B$2:$C$835,2,FALSE)&amp;""</f>
        <v>　べきものと指定した工事材料の調合又は工事の施工をするときは、設計図書に定めるところにより、当該見本又は工事写真等</v>
      </c>
    </row>
    <row r="174" spans="1:2" ht="18.75" customHeight="1">
      <c r="A174" s="93">
        <f t="shared" si="2"/>
        <v>170</v>
      </c>
      <c r="B174" s="93" t="str">
        <f>VLOOKUP($A174,'【随時メンテ】工事請負約款（原文）'!$B$2:$C$835,2,FALSE)&amp;""</f>
        <v>　の記録を整備し、監督員の請求があったときは、当該請求を受けた日から７日以内に提出しなければならない。</v>
      </c>
    </row>
    <row r="175" spans="1:2" ht="18.75" customHeight="1">
      <c r="A175" s="93">
        <f t="shared" si="2"/>
        <v>171</v>
      </c>
      <c r="B175" s="93" t="str">
        <f>VLOOKUP($A175,'【随時メンテ】工事請負約款（原文）'!$B$2:$C$835,2,FALSE)&amp;""</f>
        <v>４　監督員は、受注者から第１項又は第２項の立会い又は見本検査を請求されたときは、当該請求を受けた日から７日以内に応</v>
      </c>
    </row>
    <row r="176" spans="1:2" ht="18.75" customHeight="1">
      <c r="A176" s="93">
        <f t="shared" si="2"/>
        <v>172</v>
      </c>
      <c r="B176" s="93" t="str">
        <f>VLOOKUP($A176,'【随時メンテ】工事請負約款（原文）'!$B$2:$C$835,2,FALSE)&amp;""</f>
        <v>　じなければならない。</v>
      </c>
    </row>
    <row r="177" spans="1:2" ht="18.75" customHeight="1">
      <c r="A177" s="93">
        <f t="shared" si="2"/>
        <v>173</v>
      </c>
      <c r="B177" s="93" t="str">
        <f>VLOOKUP($A177,'【随時メンテ】工事請負約款（原文）'!$B$2:$C$835,2,FALSE)&amp;""</f>
        <v>５　前項の場合において、監督員が正当な理由なく受注者の請求に７日以内に応じないため、その後の工程に支障をきたすとき</v>
      </c>
    </row>
    <row r="178" spans="1:2" ht="18.75" customHeight="1">
      <c r="A178" s="93">
        <f t="shared" si="2"/>
        <v>174</v>
      </c>
      <c r="B178" s="93" t="str">
        <f>VLOOKUP($A178,'【随時メンテ】工事請負約款（原文）'!$B$2:$C$835,2,FALSE)&amp;""</f>
        <v>　は、受注者は、監督員に通知した上、当該立会い又は見本検査を受けることなく、工事材料を調合して使用し、又は工事を施</v>
      </c>
    </row>
    <row r="179" spans="1:2" ht="18.75" customHeight="1">
      <c r="A179" s="93">
        <f t="shared" si="2"/>
        <v>175</v>
      </c>
      <c r="B179" s="93" t="str">
        <f>VLOOKUP($A179,'【随時メンテ】工事請負約款（原文）'!$B$2:$C$835,2,FALSE)&amp;""</f>
        <v>　工することができる。この場合において、受注者は、当該工事材料の調合又は当該工事の施工を適切に行ったことを証する見</v>
      </c>
    </row>
    <row r="180" spans="1:2" ht="18.75" customHeight="1">
      <c r="A180" s="93">
        <f t="shared" si="2"/>
        <v>176</v>
      </c>
      <c r="B180" s="93" t="str">
        <f>VLOOKUP($A180,'【随時メンテ】工事請負約款（原文）'!$B$2:$C$835,2,FALSE)&amp;""</f>
        <v>　本又は工事写真等の記録を整備し、監督員の請求があったときは、当該請求を受けた日から７日以内に提出しなければならな</v>
      </c>
    </row>
    <row r="181" spans="1:2" ht="18.75" customHeight="1">
      <c r="A181" s="93">
        <f t="shared" si="2"/>
        <v>177</v>
      </c>
      <c r="B181" s="93" t="str">
        <f>VLOOKUP($A181,'【随時メンテ】工事請負約款（原文）'!$B$2:$C$835,2,FALSE)&amp;""</f>
        <v>　い。</v>
      </c>
    </row>
    <row r="182" spans="1:2" ht="18.75" customHeight="1">
      <c r="A182" s="93">
        <f t="shared" si="2"/>
        <v>178</v>
      </c>
      <c r="B182" s="93" t="str">
        <f>VLOOKUP($A182,'【随時メンテ】工事請負約款（原文）'!$B$2:$C$835,2,FALSE)&amp;""</f>
        <v>６　第１項、第３項又は前項の場合において、見本検査又は見本若しくは工事写真等の記録の整備に直接要する費用は、受注者</v>
      </c>
    </row>
    <row r="183" spans="1:2" ht="18.75" customHeight="1">
      <c r="A183" s="93">
        <f t="shared" si="2"/>
        <v>179</v>
      </c>
      <c r="B183" s="93" t="str">
        <f>VLOOKUP($A183,'【随時メンテ】工事請負約款（原文）'!$B$2:$C$835,2,FALSE)&amp;""</f>
        <v>　の負担とする。</v>
      </c>
    </row>
    <row r="184" spans="1:2" ht="18.75" customHeight="1">
      <c r="A184" s="93">
        <f t="shared" si="2"/>
        <v>180</v>
      </c>
      <c r="B184" s="93" t="str">
        <f>VLOOKUP($A184,'【随時メンテ】工事請負約款（原文）'!$B$2:$C$835,2,FALSE)&amp;""</f>
        <v/>
      </c>
    </row>
    <row r="185" spans="1:2" ht="18.75" customHeight="1">
      <c r="A185" s="93">
        <f t="shared" si="2"/>
        <v>181</v>
      </c>
      <c r="B185" s="93" t="str">
        <f>VLOOKUP($A185,'【随時メンテ】工事請負約款（原文）'!$B$2:$C$835,2,FALSE)&amp;""</f>
        <v>　（支給材料及び貸与品）</v>
      </c>
    </row>
    <row r="186" spans="1:2" ht="18.75" customHeight="1">
      <c r="A186" s="93">
        <f t="shared" si="2"/>
        <v>182</v>
      </c>
      <c r="B186" s="93" t="str">
        <f>VLOOKUP($A186,'【随時メンテ】工事請負約款（原文）'!$B$2:$C$835,2,FALSE)&amp;""</f>
        <v>第15条　発注者が受注者に支給する工事材料（以下「支給材料」という。）及び貸与する建設機械器具（以下「貸与品」とい</v>
      </c>
    </row>
    <row r="187" spans="1:2" ht="18.75" customHeight="1">
      <c r="A187" s="93">
        <f t="shared" si="2"/>
        <v>183</v>
      </c>
      <c r="B187" s="93" t="str">
        <f>VLOOKUP($A187,'【随時メンテ】工事請負約款（原文）'!$B$2:$C$835,2,FALSE)&amp;""</f>
        <v>　う。）の品名、数量、品質、規格又は性能、引渡場所及び引渡時期は、設計図書に定めるところによる。</v>
      </c>
    </row>
    <row r="188" spans="1:2" ht="18.75" customHeight="1">
      <c r="A188" s="93">
        <f t="shared" si="2"/>
        <v>184</v>
      </c>
      <c r="B188" s="93" t="str">
        <f>VLOOKUP($A188,'【随時メンテ】工事請負約款（原文）'!$B$2:$C$835,2,FALSE)&amp;""</f>
        <v>２　監督員は、支給材料又は貸与品の引渡しに当たっては、受注者の立会いの上、発注者の負担において、当該支給材料又は貸</v>
      </c>
    </row>
    <row r="189" spans="1:2" ht="18.75" customHeight="1">
      <c r="A189" s="93">
        <f t="shared" si="2"/>
        <v>185</v>
      </c>
      <c r="B189" s="93" t="str">
        <f>VLOOKUP($A189,'【随時メンテ】工事請負約款（原文）'!$B$2:$C$835,2,FALSE)&amp;""</f>
        <v>　与品を検査しなければならない。この場合において、当該検査の結果、その品名、数量、品質又は規格若しくは性能が設計図</v>
      </c>
    </row>
    <row r="190" spans="1:2" ht="18.75" customHeight="1">
      <c r="A190" s="93">
        <f t="shared" si="2"/>
        <v>186</v>
      </c>
      <c r="B190" s="93" t="str">
        <f>VLOOKUP($A190,'【随時メンテ】工事請負約款（原文）'!$B$2:$C$835,2,FALSE)&amp;""</f>
        <v>　書の定めと異なり、又は使用に適当でないと認めたときは、受注者は、その旨を直ちに発注者に通知しなければならない。</v>
      </c>
    </row>
    <row r="191" spans="1:2" ht="18.75" customHeight="1">
      <c r="A191" s="93">
        <f t="shared" si="2"/>
        <v>187</v>
      </c>
      <c r="B191" s="93" t="str">
        <f>VLOOKUP($A191,'【随時メンテ】工事請負約款（原文）'!$B$2:$C$835,2,FALSE)&amp;""</f>
        <v>３　受注者は、支給材料又は貸与品の引渡しを受けたときは、引渡しの日から７日以内に、発注者に受領書又は借用書を提出し</v>
      </c>
    </row>
    <row r="192" spans="1:2" ht="18.75" customHeight="1">
      <c r="A192" s="93">
        <f t="shared" si="2"/>
        <v>188</v>
      </c>
      <c r="B192" s="93" t="str">
        <f>VLOOKUP($A192,'【随時メンテ】工事請負約款（原文）'!$B$2:$C$835,2,FALSE)&amp;""</f>
        <v>　なければならない。</v>
      </c>
    </row>
    <row r="193" spans="1:2" ht="18.75" customHeight="1">
      <c r="A193" s="93">
        <f t="shared" si="2"/>
        <v>189</v>
      </c>
      <c r="B193" s="93" t="str">
        <f>VLOOKUP($A193,'【随時メンテ】工事請負約款（原文）'!$B$2:$C$835,2,FALSE)&amp;""</f>
        <v>４　受注者は、支給材料又は貸与品の引渡しを受けた後、当該支給材料又は貸与品に種類、品質又は数量に関しこの契約の内容</v>
      </c>
    </row>
    <row r="194" spans="1:2" ht="18.75" customHeight="1">
      <c r="A194" s="93">
        <f t="shared" si="2"/>
        <v>190</v>
      </c>
      <c r="B194" s="93" t="str">
        <f>VLOOKUP($A194,'【随時メンテ】工事請負約款（原文）'!$B$2:$C$835,2,FALSE)&amp;""</f>
        <v>　に適合しないこと（第２項の検査により発見することが困難であったものに限る。）などがあり使用に適当でないと認めたと</v>
      </c>
    </row>
    <row r="195" spans="1:2" ht="18.75" customHeight="1">
      <c r="A195" s="93">
        <f t="shared" si="2"/>
        <v>191</v>
      </c>
      <c r="B195" s="93" t="str">
        <f>VLOOKUP($A195,'【随時メンテ】工事請負約款（原文）'!$B$2:$C$835,2,FALSE)&amp;""</f>
        <v>　きは、その旨を直ちに発注者に通知しなければならない。</v>
      </c>
    </row>
    <row r="196" spans="1:2" ht="18.75" customHeight="1">
      <c r="A196" s="93">
        <f t="shared" si="2"/>
        <v>192</v>
      </c>
      <c r="B196" s="93" t="str">
        <f>VLOOKUP($A196,'【随時メンテ】工事請負約款（原文）'!$B$2:$C$835,2,FALSE)&amp;""</f>
        <v>５　発注者は、受注者から第２項後段又は前項の規定による通知を受けた場合において、必要があると認められるときは、当該</v>
      </c>
    </row>
    <row r="197" spans="1:2" ht="18.75" customHeight="1">
      <c r="A197" s="93">
        <f t="shared" si="2"/>
        <v>193</v>
      </c>
      <c r="B197" s="93" t="str">
        <f>VLOOKUP($A197,'【随時メンテ】工事請負約款（原文）'!$B$2:$C$835,2,FALSE)&amp;""</f>
        <v>　支給材料若しくは貸与品に代えて他の支給材料若しくは貸与品を引き渡し、支給材料若しくは貸与品の品名、数量、品質若し</v>
      </c>
    </row>
    <row r="198" spans="1:2" ht="18.75" customHeight="1">
      <c r="A198" s="93">
        <f t="shared" si="2"/>
        <v>194</v>
      </c>
      <c r="B198" s="93" t="str">
        <f>VLOOKUP($A198,'【随時メンテ】工事請負約款（原文）'!$B$2:$C$835,2,FALSE)&amp;""</f>
        <v>　くは規格若しくは性能を変更し、又は理由を明示した書面により、当該支給材料若しくは貸与品の使用を受注者に請求しなけ</v>
      </c>
    </row>
    <row r="199" spans="1:2" ht="18.75" customHeight="1">
      <c r="A199" s="93">
        <f t="shared" ref="A199:A262" si="3">ROW()-$A$2</f>
        <v>195</v>
      </c>
      <c r="B199" s="93" t="str">
        <f>VLOOKUP($A199,'【随時メンテ】工事請負約款（原文）'!$B$2:$C$835,2,FALSE)&amp;""</f>
        <v>　ればならない。</v>
      </c>
    </row>
    <row r="200" spans="1:2" ht="18.75" customHeight="1">
      <c r="A200" s="93">
        <f t="shared" si="3"/>
        <v>196</v>
      </c>
      <c r="B200" s="93" t="str">
        <f>VLOOKUP($A200,'【随時メンテ】工事請負約款（原文）'!$B$2:$C$835,2,FALSE)&amp;""</f>
        <v>６　発注者は、前項に規定するほか、必要があると認めるときは、支給材料又は貸与品の品名、数量、品質、規格若しくは性能、</v>
      </c>
    </row>
    <row r="201" spans="1:2" ht="18.75" customHeight="1">
      <c r="A201" s="93">
        <f t="shared" si="3"/>
        <v>197</v>
      </c>
      <c r="B201" s="93" t="str">
        <f>VLOOKUP($A201,'【随時メンテ】工事請負約款（原文）'!$B$2:$C$835,2,FALSE)&amp;""</f>
        <v>　引渡場所又は引渡時期を変更することができる。</v>
      </c>
    </row>
    <row r="202" spans="1:2" ht="18.75" customHeight="1">
      <c r="A202" s="93">
        <f t="shared" si="3"/>
        <v>198</v>
      </c>
      <c r="B202" s="93" t="str">
        <f>VLOOKUP($A202,'【随時メンテ】工事請負約款（原文）'!$B$2:$C$835,2,FALSE)&amp;""</f>
        <v>７　発注者は、前２項の場合において、必要があると認められるときは工期若しくは請負代金額を変更し、又は受注者に損害を</v>
      </c>
    </row>
    <row r="203" spans="1:2" ht="18.75" customHeight="1">
      <c r="A203" s="93">
        <f t="shared" si="3"/>
        <v>199</v>
      </c>
      <c r="B203" s="93" t="str">
        <f>VLOOKUP($A203,'【随時メンテ】工事請負約款（原文）'!$B$2:$C$835,2,FALSE)&amp;""</f>
        <v>　及ぼしたときは必要な費用を負担しなければならない。</v>
      </c>
    </row>
    <row r="204" spans="1:2" ht="18.75" customHeight="1">
      <c r="A204" s="93">
        <f t="shared" si="3"/>
        <v>200</v>
      </c>
      <c r="B204" s="93" t="str">
        <f>VLOOKUP($A204,'【随時メンテ】工事請負約款（原文）'!$B$2:$C$835,2,FALSE)&amp;""</f>
        <v>８　受注者は、支給材料及び貸与品を善良な管理者の注意をもって管理しなければならない。</v>
      </c>
    </row>
    <row r="205" spans="1:2" ht="18.75" customHeight="1">
      <c r="A205" s="93">
        <f t="shared" si="3"/>
        <v>201</v>
      </c>
      <c r="B205" s="93" t="str">
        <f>VLOOKUP($A205,'【随時メンテ】工事請負約款（原文）'!$B$2:$C$835,2,FALSE)&amp;""</f>
        <v>９　受注者は、設計図書に定めるところにより、工事の完成、設計図書の変更等によって不用となった支給材料又は貸与品を発</v>
      </c>
    </row>
    <row r="206" spans="1:2" ht="18.75" customHeight="1">
      <c r="A206" s="93">
        <f t="shared" si="3"/>
        <v>202</v>
      </c>
      <c r="B206" s="93" t="str">
        <f>VLOOKUP($A206,'【随時メンテ】工事請負約款（原文）'!$B$2:$C$835,2,FALSE)&amp;""</f>
        <v>　注者に返還しなければならない。</v>
      </c>
    </row>
    <row r="207" spans="1:2" ht="18.75" customHeight="1">
      <c r="A207" s="93">
        <f t="shared" si="3"/>
        <v>203</v>
      </c>
      <c r="B207" s="93" t="str">
        <f>VLOOKUP($A207,'【随時メンテ】工事請負約款（原文）'!$B$2:$C$835,2,FALSE)&amp;""</f>
        <v>10　受注者は、故意又は過失により支給材料又は貸与品が滅失若しくはき損し、又はその返還が不可能となったときは、発注者</v>
      </c>
    </row>
    <row r="208" spans="1:2" ht="18.75" customHeight="1">
      <c r="A208" s="93">
        <f t="shared" si="3"/>
        <v>204</v>
      </c>
      <c r="B208" s="93" t="str">
        <f>VLOOKUP($A208,'【随時メンテ】工事請負約款（原文）'!$B$2:$C$835,2,FALSE)&amp;""</f>
        <v>　の指定した期間内に代品を納め、若しくは原状に復して返還し、又は返還に代えて損害を賠償しなければならない。</v>
      </c>
    </row>
    <row r="209" spans="1:2" ht="18.75" customHeight="1">
      <c r="A209" s="93">
        <f t="shared" si="3"/>
        <v>205</v>
      </c>
      <c r="B209" s="93" t="str">
        <f>VLOOKUP($A209,'【随時メンテ】工事請負約款（原文）'!$B$2:$C$835,2,FALSE)&amp;""</f>
        <v>11　受注者は、支給材料又は貸与品の使用方法が設計図書に明示されていないときは、監督員の指示に従わなければならない。</v>
      </c>
    </row>
    <row r="210" spans="1:2" ht="18.75" customHeight="1">
      <c r="A210" s="93">
        <f t="shared" si="3"/>
        <v>206</v>
      </c>
      <c r="B210" s="93" t="str">
        <f>VLOOKUP($A210,'【随時メンテ】工事請負約款（原文）'!$B$2:$C$835,2,FALSE)&amp;""</f>
        <v/>
      </c>
    </row>
    <row r="211" spans="1:2" ht="18.75" customHeight="1">
      <c r="A211" s="93">
        <f t="shared" si="3"/>
        <v>207</v>
      </c>
      <c r="B211" s="93" t="str">
        <f>VLOOKUP($A211,'【随時メンテ】工事請負約款（原文）'!$B$2:$C$835,2,FALSE)&amp;""</f>
        <v>　（工事用地の確保等）</v>
      </c>
    </row>
    <row r="212" spans="1:2" ht="18.75" customHeight="1">
      <c r="A212" s="93">
        <f t="shared" si="3"/>
        <v>208</v>
      </c>
      <c r="B212" s="93" t="str">
        <f>VLOOKUP($A212,'【随時メンテ】工事請負約款（原文）'!$B$2:$C$835,2,FALSE)&amp;""</f>
        <v>第16条　発注者は、工事用地その他設計図書において定められた工事の施工上必要な用地（以下「工事用地等」という。）を受</v>
      </c>
    </row>
    <row r="213" spans="1:2" ht="18.75" customHeight="1">
      <c r="A213" s="93">
        <f t="shared" si="3"/>
        <v>209</v>
      </c>
      <c r="B213" s="93" t="str">
        <f>VLOOKUP($A213,'【随時メンテ】工事請負約款（原文）'!$B$2:$C$835,2,FALSE)&amp;""</f>
        <v>　注者が工事の施工上必要とする日（設計図書に特別の定めがあるときは、その定められた日）までに確保しなければならない。</v>
      </c>
    </row>
    <row r="214" spans="1:2" ht="18.75" customHeight="1">
      <c r="A214" s="93">
        <f t="shared" si="3"/>
        <v>210</v>
      </c>
      <c r="B214" s="93" t="str">
        <f>VLOOKUP($A214,'【随時メンテ】工事請負約款（原文）'!$B$2:$C$835,2,FALSE)&amp;""</f>
        <v>２　受注者は、確保された工事用地等を善良な管理者の注意をもって管理しなければならない。</v>
      </c>
    </row>
    <row r="215" spans="1:2" ht="18.75" customHeight="1">
      <c r="A215" s="93">
        <f t="shared" si="3"/>
        <v>211</v>
      </c>
      <c r="B215" s="93" t="str">
        <f>VLOOKUP($A215,'【随時メンテ】工事請負約款（原文）'!$B$2:$C$835,2,FALSE)&amp;""</f>
        <v>３　工事の完成、設計図書の変更等によって工事用地等が不用となった場合において、当該工事用地等に受注者が所有又は管理</v>
      </c>
    </row>
    <row r="216" spans="1:2" ht="18.75" customHeight="1">
      <c r="A216" s="93">
        <f t="shared" si="3"/>
        <v>212</v>
      </c>
      <c r="B216" s="93" t="str">
        <f>VLOOKUP($A216,'【随時メンテ】工事請負約款（原文）'!$B$2:$C$835,2,FALSE)&amp;""</f>
        <v>　する工事材料、建設機械器具、仮設物その他の物件（下請負人の所有又は管理するこれらの物件を含む。）があるときは、受</v>
      </c>
    </row>
    <row r="217" spans="1:2" ht="18.75" customHeight="1">
      <c r="A217" s="93">
        <f t="shared" si="3"/>
        <v>213</v>
      </c>
      <c r="B217" s="93" t="str">
        <f>VLOOKUP($A217,'【随時メンテ】工事請負約款（原文）'!$B$2:$C$835,2,FALSE)&amp;""</f>
        <v>　注者は、当該物件を撤去するとともに、当該工事用地等を修復し、取り片付けて、発注者に明け渡さなければならない。</v>
      </c>
    </row>
    <row r="218" spans="1:2" ht="18.75" customHeight="1">
      <c r="A218" s="93">
        <f t="shared" si="3"/>
        <v>214</v>
      </c>
      <c r="B218" s="93" t="str">
        <f>VLOOKUP($A218,'【随時メンテ】工事請負約款（原文）'!$B$2:$C$835,2,FALSE)&amp;""</f>
        <v>４　前項の場合において、受注者が正当な理由なく、相当の期間内に当該物件を撤去せず、又は工事用地等の修復若しくは取片</v>
      </c>
    </row>
    <row r="219" spans="1:2" ht="18.75" customHeight="1">
      <c r="A219" s="93">
        <f t="shared" si="3"/>
        <v>215</v>
      </c>
      <c r="B219" s="93" t="str">
        <f>VLOOKUP($A219,'【随時メンテ】工事請負約款（原文）'!$B$2:$C$835,2,FALSE)&amp;""</f>
        <v>　付けを行わないときは、発注者は、受注者に代わって当該物件を処分し、工事用地等の修復若しくは取片付けを行うことがで</v>
      </c>
    </row>
    <row r="220" spans="1:2" ht="18.75" customHeight="1">
      <c r="A220" s="93">
        <f t="shared" si="3"/>
        <v>216</v>
      </c>
      <c r="B220" s="93" t="str">
        <f>VLOOKUP($A220,'【随時メンテ】工事請負約款（原文）'!$B$2:$C$835,2,FALSE)&amp;""</f>
        <v>　きる。この場合においては、受注者は、発注者の処分又は修復若しくは取片付けについて異議を申し出ることができず、また、</v>
      </c>
    </row>
    <row r="221" spans="1:2" ht="18.75" customHeight="1">
      <c r="A221" s="93">
        <f t="shared" si="3"/>
        <v>217</v>
      </c>
      <c r="B221" s="93" t="str">
        <f>VLOOKUP($A221,'【随時メンテ】工事請負約款（原文）'!$B$2:$C$835,2,FALSE)&amp;""</f>
        <v>　発注者の処分又は修復若しくは取片付けに要した費用を負担しなければならない。</v>
      </c>
    </row>
    <row r="222" spans="1:2" ht="18.75" customHeight="1">
      <c r="A222" s="93">
        <f t="shared" si="3"/>
        <v>218</v>
      </c>
      <c r="B222" s="93" t="str">
        <f>VLOOKUP($A222,'【随時メンテ】工事請負約款（原文）'!$B$2:$C$835,2,FALSE)&amp;""</f>
        <v>５　第３項に規定する受注者のとるべき措置の期限、方法等については、発注者が受注者の意見を聴いて定める。</v>
      </c>
    </row>
    <row r="223" spans="1:2" ht="18.75" customHeight="1">
      <c r="A223" s="93">
        <f t="shared" si="3"/>
        <v>219</v>
      </c>
      <c r="B223" s="93" t="str">
        <f>VLOOKUP($A223,'【随時メンテ】工事請負約款（原文）'!$B$2:$C$835,2,FALSE)&amp;""</f>
        <v/>
      </c>
    </row>
    <row r="224" spans="1:2" ht="18.75" customHeight="1">
      <c r="A224" s="93">
        <f t="shared" si="3"/>
        <v>220</v>
      </c>
      <c r="B224" s="93" t="str">
        <f>VLOOKUP($A224,'【随時メンテ】工事請負約款（原文）'!$B$2:$C$835,2,FALSE)&amp;""</f>
        <v>　（設計図書不適合の場合の改造義務及び破壊検査等）</v>
      </c>
    </row>
    <row r="225" spans="1:2" ht="18.75" customHeight="1">
      <c r="A225" s="93">
        <f t="shared" si="3"/>
        <v>221</v>
      </c>
      <c r="B225" s="93" t="str">
        <f>VLOOKUP($A225,'【随時メンテ】工事請負約款（原文）'!$B$2:$C$835,2,FALSE)&amp;""</f>
        <v>第17条　受注者は、工事の施工部分が設計図書に適合しない場合において、監督員がその改造を請求したときは、当該請求に従</v>
      </c>
    </row>
    <row r="226" spans="1:2" ht="18.75" customHeight="1">
      <c r="A226" s="93">
        <f t="shared" si="3"/>
        <v>222</v>
      </c>
      <c r="B226" s="93" t="str">
        <f>VLOOKUP($A226,'【随時メンテ】工事請負約款（原文）'!$B$2:$C$835,2,FALSE)&amp;""</f>
        <v>　わなければならない。この場合において、当該不適合が監督員の指示によるときその他発注者の責めに帰すべき事由によると</v>
      </c>
    </row>
    <row r="227" spans="1:2" ht="18.75" customHeight="1">
      <c r="A227" s="93">
        <f t="shared" si="3"/>
        <v>223</v>
      </c>
      <c r="B227" s="93" t="str">
        <f>VLOOKUP($A227,'【随時メンテ】工事請負約款（原文）'!$B$2:$C$835,2,FALSE)&amp;""</f>
        <v>　きは、発注者は、必要があると認められるときは工期若しくは請負代金額を変更し、又は受注者に損害を及ぼしたときは必要</v>
      </c>
    </row>
    <row r="228" spans="1:2" ht="18.75" customHeight="1">
      <c r="A228" s="93">
        <f t="shared" si="3"/>
        <v>224</v>
      </c>
      <c r="B228" s="93" t="str">
        <f>VLOOKUP($A228,'【随時メンテ】工事請負約款（原文）'!$B$2:$C$835,2,FALSE)&amp;""</f>
        <v>　な費用を負担しなければならない。</v>
      </c>
    </row>
    <row r="229" spans="1:2" ht="18.75" customHeight="1">
      <c r="A229" s="93">
        <f t="shared" si="3"/>
        <v>225</v>
      </c>
      <c r="B229" s="93" t="str">
        <f>VLOOKUP($A229,'【随時メンテ】工事請負約款（原文）'!$B$2:$C$835,2,FALSE)&amp;""</f>
        <v>２　監督員は、受注者が第13条第２項又は第14条第１項から第３項までの規定に違反した場合において、必要があると認められ</v>
      </c>
    </row>
    <row r="230" spans="1:2" ht="18.75" customHeight="1">
      <c r="A230" s="93">
        <f t="shared" si="3"/>
        <v>226</v>
      </c>
      <c r="B230" s="93" t="str">
        <f>VLOOKUP($A230,'【随時メンテ】工事請負約款（原文）'!$B$2:$C$835,2,FALSE)&amp;""</f>
        <v>　るときは、工事の施工部分を破壊して検査することができる。</v>
      </c>
    </row>
    <row r="231" spans="1:2" ht="18.75" customHeight="1">
      <c r="A231" s="93">
        <f t="shared" si="3"/>
        <v>227</v>
      </c>
      <c r="B231" s="93" t="str">
        <f>VLOOKUP($A231,'【随時メンテ】工事請負約款（原文）'!$B$2:$C$835,2,FALSE)&amp;""</f>
        <v>３　前項に規定するほか、監督員は、工事の施工部分が設計図書に適合しないと認められる相当の理由がある場合において、必</v>
      </c>
    </row>
    <row r="232" spans="1:2" ht="18.75" customHeight="1">
      <c r="A232" s="93">
        <f t="shared" si="3"/>
        <v>228</v>
      </c>
      <c r="B232" s="93" t="str">
        <f>VLOOKUP($A232,'【随時メンテ】工事請負約款（原文）'!$B$2:$C$835,2,FALSE)&amp;""</f>
        <v>　要があると認められるときは、当該相当の理由を受注者に通知して、工事の施工部分を最小限度破壊して検査することができ</v>
      </c>
    </row>
    <row r="233" spans="1:2" ht="18.75" customHeight="1">
      <c r="A233" s="93">
        <f t="shared" si="3"/>
        <v>229</v>
      </c>
      <c r="B233" s="93" t="str">
        <f>VLOOKUP($A233,'【随時メンテ】工事請負約款（原文）'!$B$2:$C$835,2,FALSE)&amp;""</f>
        <v>　る。</v>
      </c>
    </row>
    <row r="234" spans="1:2" ht="18.75" customHeight="1">
      <c r="A234" s="93">
        <f t="shared" si="3"/>
        <v>230</v>
      </c>
      <c r="B234" s="93" t="str">
        <f>VLOOKUP($A234,'【随時メンテ】工事請負約款（原文）'!$B$2:$C$835,2,FALSE)&amp;""</f>
        <v>４　前２項の場合において、検査及び復旧に直接要する費用は受注者の負担とする。</v>
      </c>
    </row>
    <row r="235" spans="1:2" ht="18.75" customHeight="1">
      <c r="A235" s="93">
        <f t="shared" si="3"/>
        <v>231</v>
      </c>
      <c r="B235" s="93" t="str">
        <f>VLOOKUP($A235,'【随時メンテ】工事請負約款（原文）'!$B$2:$C$835,2,FALSE)&amp;""</f>
        <v/>
      </c>
    </row>
    <row r="236" spans="1:2" ht="18.75" customHeight="1">
      <c r="A236" s="93">
        <f t="shared" si="3"/>
        <v>232</v>
      </c>
      <c r="B236" s="93" t="str">
        <f>VLOOKUP($A236,'【随時メンテ】工事請負約款（原文）'!$B$2:$C$835,2,FALSE)&amp;""</f>
        <v>　（条件変更等）</v>
      </c>
    </row>
    <row r="237" spans="1:2" ht="18.75" customHeight="1">
      <c r="A237" s="93">
        <f t="shared" si="3"/>
        <v>233</v>
      </c>
      <c r="B237" s="93" t="str">
        <f>VLOOKUP($A237,'【随時メンテ】工事請負約款（原文）'!$B$2:$C$835,2,FALSE)&amp;""</f>
        <v>第18条　受注者は、工事の施工に当たり、次の各号のいずれかに該当する事実を発見したときは、その旨を直ちに監督員に通知</v>
      </c>
    </row>
    <row r="238" spans="1:2" ht="18.75" customHeight="1">
      <c r="A238" s="93">
        <f t="shared" si="3"/>
        <v>234</v>
      </c>
      <c r="B238" s="93" t="str">
        <f>VLOOKUP($A238,'【随時メンテ】工事請負約款（原文）'!$B$2:$C$835,2,FALSE)&amp;""</f>
        <v>　し、その確認を請求しなければならない。</v>
      </c>
    </row>
    <row r="239" spans="1:2" ht="18.75" customHeight="1">
      <c r="A239" s="93">
        <f t="shared" si="3"/>
        <v>235</v>
      </c>
      <c r="B239" s="93" t="str">
        <f>VLOOKUP($A239,'【随時メンテ】工事請負約款（原文）'!$B$2:$C$835,2,FALSE)&amp;""</f>
        <v>　一　図面、仕様書、現場説明書及び現場説明に対する質問回答書が一致しないこと（これらの優先順位が定められている場合</v>
      </c>
    </row>
    <row r="240" spans="1:2" ht="18.75" customHeight="1">
      <c r="A240" s="93">
        <f t="shared" si="3"/>
        <v>236</v>
      </c>
      <c r="B240" s="93" t="str">
        <f>VLOOKUP($A240,'【随時メンテ】工事請負約款（原文）'!$B$2:$C$835,2,FALSE)&amp;""</f>
        <v>　　を除く。）。</v>
      </c>
    </row>
    <row r="241" spans="1:2" ht="18.75" customHeight="1">
      <c r="A241" s="93">
        <f t="shared" si="3"/>
        <v>237</v>
      </c>
      <c r="B241" s="93" t="str">
        <f>VLOOKUP($A241,'【随時メンテ】工事請負約款（原文）'!$B$2:$C$835,2,FALSE)&amp;""</f>
        <v>　二　設計図書に誤謬又は脱漏があること。</v>
      </c>
    </row>
    <row r="242" spans="1:2" ht="18.75" customHeight="1">
      <c r="A242" s="93">
        <f t="shared" si="3"/>
        <v>238</v>
      </c>
      <c r="B242" s="93" t="str">
        <f>VLOOKUP($A242,'【随時メンテ】工事請負約款（原文）'!$B$2:$C$835,2,FALSE)&amp;""</f>
        <v>　三　設計図書の表示が明確でないこと。</v>
      </c>
    </row>
    <row r="243" spans="1:2" ht="18.75" customHeight="1">
      <c r="A243" s="93">
        <f t="shared" si="3"/>
        <v>239</v>
      </c>
      <c r="B243" s="93" t="str">
        <f>VLOOKUP($A243,'【随時メンテ】工事請負約款（原文）'!$B$2:$C$835,2,FALSE)&amp;""</f>
        <v>　四　工事現場の形状、地質、湧水等の状態、施工上の制約等設計図書に示された自然的又は人為的な施工条件と実際の工事現</v>
      </c>
    </row>
    <row r="244" spans="1:2" ht="18.75" customHeight="1">
      <c r="A244" s="93">
        <f t="shared" si="3"/>
        <v>240</v>
      </c>
      <c r="B244" s="93" t="str">
        <f>VLOOKUP($A244,'【随時メンテ】工事請負約款（原文）'!$B$2:$C$835,2,FALSE)&amp;""</f>
        <v>　　場が一致しないこと。</v>
      </c>
    </row>
    <row r="245" spans="1:2" ht="18.75" customHeight="1">
      <c r="A245" s="93">
        <f t="shared" si="3"/>
        <v>241</v>
      </c>
      <c r="B245" s="93" t="str">
        <f>VLOOKUP($A245,'【随時メンテ】工事請負約款（原文）'!$B$2:$C$835,2,FALSE)&amp;""</f>
        <v>　五　設計図書で明示されていない施工条件について予期することのできない特別な状態が生じたこと。</v>
      </c>
    </row>
    <row r="246" spans="1:2" ht="18.75" customHeight="1">
      <c r="A246" s="93">
        <f t="shared" si="3"/>
        <v>242</v>
      </c>
      <c r="B246" s="93" t="str">
        <f>VLOOKUP($A246,'【随時メンテ】工事請負約款（原文）'!$B$2:$C$835,2,FALSE)&amp;""</f>
        <v>２　監督員は、前項の規定による確認を請求されたとき又は自ら同項各号に掲げる事実を発見したときは、受注者の立会いの上、</v>
      </c>
    </row>
    <row r="247" spans="1:2" ht="18.75" customHeight="1">
      <c r="A247" s="93">
        <f t="shared" si="3"/>
        <v>243</v>
      </c>
      <c r="B247" s="93" t="str">
        <f>VLOOKUP($A247,'【随時メンテ】工事請負約款（原文）'!$B$2:$C$835,2,FALSE)&amp;""</f>
        <v>　直ちに調査を行わなければならない。ただし、受注者が立会いに応じない場合には、受注者の立会いを得ずに行うことができ</v>
      </c>
    </row>
    <row r="248" spans="1:2" ht="18.75" customHeight="1">
      <c r="A248" s="93">
        <f t="shared" si="3"/>
        <v>244</v>
      </c>
      <c r="B248" s="93" t="str">
        <f>VLOOKUP($A248,'【随時メンテ】工事請負約款（原文）'!$B$2:$C$835,2,FALSE)&amp;""</f>
        <v>　る。</v>
      </c>
    </row>
    <row r="249" spans="1:2" ht="18.75" customHeight="1">
      <c r="A249" s="93">
        <f t="shared" si="3"/>
        <v>245</v>
      </c>
      <c r="B249" s="93" t="str">
        <f>VLOOKUP($A249,'【随時メンテ】工事請負約款（原文）'!$B$2:$C$835,2,FALSE)&amp;""</f>
        <v>３　発注者は、受注者の意見を聴いて、調査の結果（これに対してとるべき措置を指示する必要があるときは、当該指示を含</v>
      </c>
    </row>
    <row r="250" spans="1:2" ht="18.75" customHeight="1">
      <c r="A250" s="93">
        <f t="shared" si="3"/>
        <v>246</v>
      </c>
      <c r="B250" s="93" t="str">
        <f>VLOOKUP($A250,'【随時メンテ】工事請負約款（原文）'!$B$2:$C$835,2,FALSE)&amp;""</f>
        <v>　む。）をとりまとめ、調査の終了後14日以内に、その結果を受注者に通知しなければならない。ただし、その期間内に通知で</v>
      </c>
    </row>
    <row r="251" spans="1:2" ht="18.75" customHeight="1">
      <c r="A251" s="93">
        <f t="shared" si="3"/>
        <v>247</v>
      </c>
      <c r="B251" s="93" t="str">
        <f>VLOOKUP($A251,'【随時メンテ】工事請負約款（原文）'!$B$2:$C$835,2,FALSE)&amp;""</f>
        <v>　きないやむを得ない理由があるときは、あらかじめ受注者の意見を聴いた上、当該期間を延長することができる。</v>
      </c>
    </row>
    <row r="252" spans="1:2" ht="18.75" customHeight="1">
      <c r="A252" s="93">
        <f t="shared" si="3"/>
        <v>248</v>
      </c>
      <c r="B252" s="93" t="str">
        <f>VLOOKUP($A252,'【随時メンテ】工事請負約款（原文）'!$B$2:$C$835,2,FALSE)&amp;""</f>
        <v>４　前項の調査の結果において第１項の事実が確認された場合において、必要があると認められるときは、次に掲げるところに</v>
      </c>
    </row>
    <row r="253" spans="1:2" ht="18.75" customHeight="1">
      <c r="A253" s="93">
        <f t="shared" si="3"/>
        <v>249</v>
      </c>
      <c r="B253" s="93" t="str">
        <f>VLOOKUP($A253,'【随時メンテ】工事請負約款（原文）'!$B$2:$C$835,2,FALSE)&amp;""</f>
        <v>　より、設計図書の訂正又は変更を行わなければならない。</v>
      </c>
    </row>
    <row r="254" spans="1:2" ht="18.75" customHeight="1">
      <c r="A254" s="93">
        <f t="shared" si="3"/>
        <v>250</v>
      </c>
      <c r="B254" s="93" t="str">
        <f>VLOOKUP($A254,'【随時メンテ】工事請負約款（原文）'!$B$2:$C$835,2,FALSE)&amp;""</f>
        <v>　一　第１項第１号から第３号までのいずれかに該当し設計図書を訂正する必要があるもの　発注者が行う。</v>
      </c>
    </row>
    <row r="255" spans="1:2" ht="18.75" customHeight="1">
      <c r="A255" s="93">
        <f t="shared" si="3"/>
        <v>251</v>
      </c>
      <c r="B255" s="93" t="str">
        <f>VLOOKUP($A255,'【随時メンテ】工事請負約款（原文）'!$B$2:$C$835,2,FALSE)&amp;""</f>
        <v>　二　第１項第４号又は第５号に該当し設計図書を変更する場合で工事目的物の変更を伴うもの　発注者が行う。</v>
      </c>
    </row>
    <row r="256" spans="1:2" ht="18.75" customHeight="1">
      <c r="A256" s="93">
        <f t="shared" si="3"/>
        <v>252</v>
      </c>
      <c r="B256" s="93" t="str">
        <f>VLOOKUP($A256,'【随時メンテ】工事請負約款（原文）'!$B$2:$C$835,2,FALSE)&amp;""</f>
        <v>　三　第１項第４号又は第５号に該当し設計図書を変更する場合で工事目的物の変更を伴わないもの　発注者と受注者とが協議</v>
      </c>
    </row>
    <row r="257" spans="1:2" ht="18.75" customHeight="1">
      <c r="A257" s="93">
        <f t="shared" si="3"/>
        <v>253</v>
      </c>
      <c r="B257" s="93" t="str">
        <f>VLOOKUP($A257,'【随時メンテ】工事請負約款（原文）'!$B$2:$C$835,2,FALSE)&amp;""</f>
        <v>　　して発注者が行う。</v>
      </c>
    </row>
    <row r="258" spans="1:2" ht="18.75" customHeight="1">
      <c r="A258" s="93">
        <f t="shared" si="3"/>
        <v>254</v>
      </c>
      <c r="B258" s="93" t="str">
        <f>VLOOKUP($A258,'【随時メンテ】工事請負約款（原文）'!$B$2:$C$835,2,FALSE)&amp;""</f>
        <v>５　前項の規定により設計図書の訂正又は変更が行われた場合において、発注者は、必要があると認められるときは工期若しく</v>
      </c>
    </row>
    <row r="259" spans="1:2" ht="18.75" customHeight="1">
      <c r="A259" s="93">
        <f t="shared" si="3"/>
        <v>255</v>
      </c>
      <c r="B259" s="93" t="str">
        <f>VLOOKUP($A259,'【随時メンテ】工事請負約款（原文）'!$B$2:$C$835,2,FALSE)&amp;""</f>
        <v>　は請負代金額を変更し、又は受注者に損害を及ぼしたときは必要な費用を負担しなければならない。</v>
      </c>
    </row>
    <row r="260" spans="1:2" ht="18.75" customHeight="1">
      <c r="A260" s="93">
        <f t="shared" si="3"/>
        <v>256</v>
      </c>
      <c r="B260" s="93" t="str">
        <f>VLOOKUP($A260,'【随時メンテ】工事請負約款（原文）'!$B$2:$C$835,2,FALSE)&amp;""</f>
        <v/>
      </c>
    </row>
    <row r="261" spans="1:2" ht="18.75" customHeight="1">
      <c r="A261" s="93">
        <f t="shared" si="3"/>
        <v>257</v>
      </c>
      <c r="B261" s="93" t="str">
        <f>VLOOKUP($A261,'【随時メンテ】工事請負約款（原文）'!$B$2:$C$835,2,FALSE)&amp;""</f>
        <v>　（設計図書の変更）</v>
      </c>
    </row>
    <row r="262" spans="1:2" ht="18.75" customHeight="1">
      <c r="A262" s="93">
        <f t="shared" si="3"/>
        <v>258</v>
      </c>
      <c r="B262" s="93" t="str">
        <f>VLOOKUP($A262,'【随時メンテ】工事請負約款（原文）'!$B$2:$C$835,2,FALSE)&amp;""</f>
        <v>第19条　発注者は、必要があると認めるときは、設計図書の変更内容を受注者に通知して、設計図書を変更することができる。</v>
      </c>
    </row>
    <row r="263" spans="1:2" ht="18.75" customHeight="1">
      <c r="A263" s="93">
        <f t="shared" ref="A263:A326" si="4">ROW()-$A$2</f>
        <v>259</v>
      </c>
      <c r="B263" s="93" t="str">
        <f>VLOOKUP($A263,'【随時メンテ】工事請負約款（原文）'!$B$2:$C$835,2,FALSE)&amp;""</f>
        <v>　この場合において、発注者は、必要があると認められるときは工期若しくは請負代金額を変更し、又は受注者に損害を及ぼし</v>
      </c>
    </row>
    <row r="264" spans="1:2" ht="18.75" customHeight="1">
      <c r="A264" s="93">
        <f t="shared" si="4"/>
        <v>260</v>
      </c>
      <c r="B264" s="93" t="str">
        <f>VLOOKUP($A264,'【随時メンテ】工事請負約款（原文）'!$B$2:$C$835,2,FALSE)&amp;""</f>
        <v>　たときは必要な費用を負担しなければならない。</v>
      </c>
    </row>
    <row r="265" spans="1:2" ht="18.75" customHeight="1">
      <c r="A265" s="93">
        <f t="shared" si="4"/>
        <v>261</v>
      </c>
      <c r="B265" s="93" t="str">
        <f>VLOOKUP($A265,'【随時メンテ】工事請負約款（原文）'!$B$2:$C$835,2,FALSE)&amp;""</f>
        <v/>
      </c>
    </row>
    <row r="266" spans="1:2" ht="18.75" customHeight="1">
      <c r="A266" s="93">
        <f t="shared" si="4"/>
        <v>262</v>
      </c>
      <c r="B266" s="93" t="str">
        <f>VLOOKUP($A266,'【随時メンテ】工事請負約款（原文）'!$B$2:$C$835,2,FALSE)&amp;""</f>
        <v>　（工事の中止）</v>
      </c>
    </row>
    <row r="267" spans="1:2" ht="18.75" customHeight="1">
      <c r="A267" s="93">
        <f t="shared" si="4"/>
        <v>263</v>
      </c>
      <c r="B267" s="93" t="str">
        <f>VLOOKUP($A267,'【随時メンテ】工事請負約款（原文）'!$B$2:$C$835,2,FALSE)&amp;""</f>
        <v>第20条　工事用地等の確保ができない等のため又は暴風、豪雨、洪水、高潮、地震、地すべり、落盤、火災、騒乱、暴動その他</v>
      </c>
    </row>
    <row r="268" spans="1:2" ht="18.75" customHeight="1">
      <c r="A268" s="93">
        <f t="shared" si="4"/>
        <v>264</v>
      </c>
      <c r="B268" s="93" t="str">
        <f>VLOOKUP($A268,'【随時メンテ】工事請負約款（原文）'!$B$2:$C$835,2,FALSE)&amp;""</f>
        <v>　の自然的若しくは人為的な事象（以下「天災等」という。）であって受注者の責めに帰すことができないものにより工事目的</v>
      </c>
    </row>
    <row r="269" spans="1:2" ht="18.75" customHeight="1">
      <c r="A269" s="93">
        <f t="shared" si="4"/>
        <v>265</v>
      </c>
      <c r="B269" s="93" t="str">
        <f>VLOOKUP($A269,'【随時メンテ】工事請負約款（原文）'!$B$2:$C$835,2,FALSE)&amp;""</f>
        <v>　物等に損害を生じ若しくは工事現場の状態が変動したため、受注者が工事を施工できないと認められるときは、発注者は、工</v>
      </c>
    </row>
    <row r="270" spans="1:2" ht="18.75" customHeight="1">
      <c r="A270" s="93">
        <f t="shared" si="4"/>
        <v>266</v>
      </c>
      <c r="B270" s="93" t="str">
        <f>VLOOKUP($A270,'【随時メンテ】工事請負約款（原文）'!$B$2:$C$835,2,FALSE)&amp;""</f>
        <v>　事の中止内容を直ちに受注者に通知して、工事の全部又は一部の施工を一時中止させなければならない。</v>
      </c>
    </row>
    <row r="271" spans="1:2" ht="18.75" customHeight="1">
      <c r="A271" s="93">
        <f t="shared" si="4"/>
        <v>267</v>
      </c>
      <c r="B271" s="93" t="str">
        <f>VLOOKUP($A271,'【随時メンテ】工事請負約款（原文）'!$B$2:$C$835,2,FALSE)&amp;""</f>
        <v>２　発注者は、前項の規定によるほか、必要があると認めるときは、工事の中止内容を受注者に通知して、工事の全部又は一部</v>
      </c>
    </row>
    <row r="272" spans="1:2" ht="18.75" customHeight="1">
      <c r="A272" s="93">
        <f t="shared" si="4"/>
        <v>268</v>
      </c>
      <c r="B272" s="93" t="str">
        <f>VLOOKUP($A272,'【随時メンテ】工事請負約款（原文）'!$B$2:$C$835,2,FALSE)&amp;""</f>
        <v>　の施工を一時中止させることができる。</v>
      </c>
    </row>
    <row r="273" spans="1:2" ht="18.75" customHeight="1">
      <c r="A273" s="93">
        <f t="shared" si="4"/>
        <v>269</v>
      </c>
      <c r="B273" s="93" t="str">
        <f>VLOOKUP($A273,'【随時メンテ】工事請負約款（原文）'!$B$2:$C$835,2,FALSE)&amp;""</f>
        <v>３　発注者は、前２項の規定により工事の施工を一時中止させた場合において、必要があると認められるときは工期若しくは請</v>
      </c>
    </row>
    <row r="274" spans="1:2" ht="18.75" customHeight="1">
      <c r="A274" s="93">
        <f t="shared" si="4"/>
        <v>270</v>
      </c>
      <c r="B274" s="93" t="str">
        <f>VLOOKUP($A274,'【随時メンテ】工事請負約款（原文）'!$B$2:$C$835,2,FALSE)&amp;""</f>
        <v>　負代金額を変更し、又は受注者が工事の続行に備え工事現場を維持し若しくは労働者、建設機械器具等を保持するための費用</v>
      </c>
    </row>
    <row r="275" spans="1:2" ht="18.75" customHeight="1">
      <c r="A275" s="93">
        <f t="shared" si="4"/>
        <v>271</v>
      </c>
      <c r="B275" s="93" t="str">
        <f>VLOOKUP($A275,'【随時メンテ】工事請負約款（原文）'!$B$2:$C$835,2,FALSE)&amp;""</f>
        <v>　その他の工事の施工の一時中止に伴う増加費用を必要とし若しくは受注者に損害を及ぼしたときは必要な費用を負担しなけれ</v>
      </c>
    </row>
    <row r="276" spans="1:2" ht="18.75" customHeight="1">
      <c r="A276" s="93">
        <f t="shared" si="4"/>
        <v>272</v>
      </c>
      <c r="B276" s="93" t="str">
        <f>VLOOKUP($A276,'【随時メンテ】工事請負約款（原文）'!$B$2:$C$835,2,FALSE)&amp;""</f>
        <v>　ばならない。</v>
      </c>
    </row>
    <row r="277" spans="1:2" ht="18.75" customHeight="1">
      <c r="A277" s="93">
        <f t="shared" si="4"/>
        <v>273</v>
      </c>
      <c r="B277" s="93" t="str">
        <f>VLOOKUP($A277,'【随時メンテ】工事請負約款（原文）'!$B$2:$C$835,2,FALSE)&amp;""</f>
        <v/>
      </c>
    </row>
    <row r="278" spans="1:2" ht="18.75" customHeight="1">
      <c r="A278" s="93">
        <f t="shared" si="4"/>
        <v>274</v>
      </c>
      <c r="B278" s="93" t="str">
        <f>VLOOKUP($A278,'【随時メンテ】工事請負約款（原文）'!$B$2:$C$835,2,FALSE)&amp;""</f>
        <v>　（著しく短い工期の禁止）</v>
      </c>
    </row>
    <row r="279" spans="1:2" ht="18.75" customHeight="1">
      <c r="A279" s="93">
        <f t="shared" si="4"/>
        <v>275</v>
      </c>
      <c r="B279" s="93" t="str">
        <f>VLOOKUP($A279,'【随時メンテ】工事請負約款（原文）'!$B$2:$C$835,2,FALSE)&amp;""</f>
        <v>第20条の２　発注者は、工期の延長又は短縮を行うときは、この工事に従事する者の労働時間その他の労働条件が適正に確保さ</v>
      </c>
    </row>
    <row r="280" spans="1:2" ht="18.75" customHeight="1">
      <c r="A280" s="93">
        <f t="shared" si="4"/>
        <v>276</v>
      </c>
      <c r="B280" s="93" t="str">
        <f>VLOOKUP($A280,'【随時メンテ】工事請負約款（原文）'!$B$2:$C$835,2,FALSE)&amp;""</f>
        <v>　れるよう、やむを得ない事由により工事等の実施が困難であると見込まれる日数等を考慮しなければならない。</v>
      </c>
    </row>
    <row r="281" spans="1:2" ht="18.75" customHeight="1">
      <c r="A281" s="93">
        <f t="shared" si="4"/>
        <v>277</v>
      </c>
      <c r="B281" s="93" t="str">
        <f>VLOOKUP($A281,'【随時メンテ】工事請負約款（原文）'!$B$2:$C$835,2,FALSE)&amp;""</f>
        <v/>
      </c>
    </row>
    <row r="282" spans="1:2" ht="18.75" customHeight="1">
      <c r="A282" s="93">
        <f t="shared" si="4"/>
        <v>278</v>
      </c>
      <c r="B282" s="93" t="str">
        <f>VLOOKUP($A282,'【随時メンテ】工事請負約款（原文）'!$B$2:$C$835,2,FALSE)&amp;""</f>
        <v>　（受注者の請求による工期の延長）</v>
      </c>
    </row>
    <row r="283" spans="1:2" ht="18.75" customHeight="1">
      <c r="A283" s="93">
        <f t="shared" si="4"/>
        <v>279</v>
      </c>
      <c r="B283" s="93" t="str">
        <f>VLOOKUP($A283,'【随時メンテ】工事請負約款（原文）'!$B$2:$C$835,2,FALSE)&amp;""</f>
        <v>第21条　受注者は、天候の不良、第２条の規定に基づく関連工事の調整への協力その他受注者の責めに帰すことができない事由</v>
      </c>
    </row>
    <row r="284" spans="1:2" ht="18.75" customHeight="1">
      <c r="A284" s="93">
        <f t="shared" si="4"/>
        <v>280</v>
      </c>
      <c r="B284" s="93" t="str">
        <f>VLOOKUP($A284,'【随時メンテ】工事請負約款（原文）'!$B$2:$C$835,2,FALSE)&amp;""</f>
        <v>　により工期内に工事を完成することができないときは、その理由を明示した書面により、発注者に工期の延長変更を請求する</v>
      </c>
    </row>
    <row r="285" spans="1:2" ht="18.75" customHeight="1">
      <c r="A285" s="93">
        <f t="shared" si="4"/>
        <v>281</v>
      </c>
      <c r="B285" s="93" t="str">
        <f>VLOOKUP($A285,'【随時メンテ】工事請負約款（原文）'!$B$2:$C$835,2,FALSE)&amp;""</f>
        <v>　ことができる。</v>
      </c>
    </row>
    <row r="286" spans="1:2" ht="18.75" customHeight="1">
      <c r="A286" s="93">
        <f t="shared" si="4"/>
        <v>282</v>
      </c>
      <c r="B286" s="93" t="str">
        <f>VLOOKUP($A286,'【随時メンテ】工事請負約款（原文）'!$B$2:$C$835,2,FALSE)&amp;""</f>
        <v>２　発注者は、前項の規定による請求があった場合において、必要があると認められるときは、工期を延長しなければならない。</v>
      </c>
    </row>
    <row r="287" spans="1:2" ht="18.75" customHeight="1">
      <c r="A287" s="93">
        <f t="shared" si="4"/>
        <v>283</v>
      </c>
      <c r="B287" s="93" t="str">
        <f>VLOOKUP($A287,'【随時メンテ】工事請負約款（原文）'!$B$2:$C$835,2,FALSE)&amp;""</f>
        <v>　発注者は、その工期の延長が発注者の責めに帰すべき事由による場合においては、請負代金額について必要と認められる変更</v>
      </c>
    </row>
    <row r="288" spans="1:2" ht="18.75" customHeight="1">
      <c r="A288" s="93">
        <f t="shared" si="4"/>
        <v>284</v>
      </c>
      <c r="B288" s="93" t="str">
        <f>VLOOKUP($A288,'【随時メンテ】工事請負約款（原文）'!$B$2:$C$835,2,FALSE)&amp;""</f>
        <v>　を行い、又は受注者に損害を及ぼしたときは必要な費用を負担しなければならない。</v>
      </c>
    </row>
    <row r="289" spans="1:2" ht="18.75" customHeight="1">
      <c r="A289" s="93">
        <f t="shared" si="4"/>
        <v>285</v>
      </c>
      <c r="B289" s="93" t="str">
        <f>VLOOKUP($A289,'【随時メンテ】工事請負約款（原文）'!$B$2:$C$835,2,FALSE)&amp;""</f>
        <v/>
      </c>
    </row>
    <row r="290" spans="1:2" ht="18.75" customHeight="1">
      <c r="A290" s="93">
        <f t="shared" si="4"/>
        <v>286</v>
      </c>
      <c r="B290" s="93" t="str">
        <f>VLOOKUP($A290,'【随時メンテ】工事請負約款（原文）'!$B$2:$C$835,2,FALSE)&amp;""</f>
        <v>　（発注者の請求による工期の短縮）</v>
      </c>
    </row>
    <row r="291" spans="1:2" ht="18.75" customHeight="1">
      <c r="A291" s="93">
        <f t="shared" si="4"/>
        <v>287</v>
      </c>
      <c r="B291" s="93" t="str">
        <f>VLOOKUP($A291,'【随時メンテ】工事請負約款（原文）'!$B$2:$C$835,2,FALSE)&amp;""</f>
        <v>第22条　発注者は、特別の理由により工期を短縮する必要があるときは、工期の短縮変更を受注者に請求することができる。</v>
      </c>
    </row>
    <row r="292" spans="1:2" ht="18.75" customHeight="1">
      <c r="A292" s="93">
        <f t="shared" si="4"/>
        <v>288</v>
      </c>
      <c r="B292" s="93" t="str">
        <f>VLOOKUP($A292,'【随時メンテ】工事請負約款（原文）'!$B$2:$C$835,2,FALSE)&amp;""</f>
        <v>２　発注者は、前項の場合において、必要があると認められるときは請負代金額を変更し、又は受注者に損害を及ぼしたときは</v>
      </c>
    </row>
    <row r="293" spans="1:2" ht="18.75" customHeight="1">
      <c r="A293" s="93">
        <f t="shared" si="4"/>
        <v>289</v>
      </c>
      <c r="B293" s="93" t="str">
        <f>VLOOKUP($A293,'【随時メンテ】工事請負約款（原文）'!$B$2:$C$835,2,FALSE)&amp;""</f>
        <v>　必要な費用を負担しなければならない。</v>
      </c>
    </row>
    <row r="294" spans="1:2" ht="18.75" customHeight="1">
      <c r="A294" s="93">
        <f t="shared" si="4"/>
        <v>290</v>
      </c>
      <c r="B294" s="93" t="str">
        <f>VLOOKUP($A294,'【随時メンテ】工事請負約款（原文）'!$B$2:$C$835,2,FALSE)&amp;""</f>
        <v/>
      </c>
    </row>
    <row r="295" spans="1:2" ht="18.75" customHeight="1">
      <c r="A295" s="93">
        <f t="shared" si="4"/>
        <v>291</v>
      </c>
      <c r="B295" s="93" t="str">
        <f>VLOOKUP($A295,'【随時メンテ】工事請負約款（原文）'!$B$2:$C$835,2,FALSE)&amp;""</f>
        <v>　（工期の変更方法）</v>
      </c>
    </row>
    <row r="296" spans="1:2" ht="18.75" customHeight="1">
      <c r="A296" s="93">
        <f t="shared" si="4"/>
        <v>292</v>
      </c>
      <c r="B296" s="93" t="str">
        <f>VLOOKUP($A296,'【随時メンテ】工事請負約款（原文）'!$B$2:$C$835,2,FALSE)&amp;""</f>
        <v>第23条　工期の変更については、発注者と受注者とが協議して定める。ただし、協議開始の日から14日以内に協議が整わない場</v>
      </c>
    </row>
    <row r="297" spans="1:2" ht="18.75" customHeight="1">
      <c r="A297" s="93">
        <f t="shared" si="4"/>
        <v>293</v>
      </c>
      <c r="B297" s="93" t="str">
        <f>VLOOKUP($A297,'【随時メンテ】工事請負約款（原文）'!$B$2:$C$835,2,FALSE)&amp;""</f>
        <v>　合には、発注者が定め、受注者に通知する。</v>
      </c>
    </row>
    <row r="298" spans="1:2" ht="18.75" customHeight="1">
      <c r="A298" s="93">
        <f t="shared" si="4"/>
        <v>294</v>
      </c>
      <c r="B298" s="93" t="str">
        <f>VLOOKUP($A298,'【随時メンテ】工事請負約款（原文）'!$B$2:$C$835,2,FALSE)&amp;""</f>
        <v>２　前項の協議開始の日については、発注者が受注者の意見を聴いて定め、受注者に通知するものとする。ただし、発注者が工</v>
      </c>
    </row>
    <row r="299" spans="1:2" ht="18.75" customHeight="1">
      <c r="A299" s="93">
        <f t="shared" si="4"/>
        <v>295</v>
      </c>
      <c r="B299" s="93" t="str">
        <f>VLOOKUP($A299,'【随時メンテ】工事請負約款（原文）'!$B$2:$C$835,2,FALSE)&amp;""</f>
        <v>　期の変更事由が生じた日（第21条の場合にあっては発注者が工期変更の請求を受けた日、前条の場合にあっては受注者が工期</v>
      </c>
    </row>
    <row r="300" spans="1:2" ht="18.75" customHeight="1">
      <c r="A300" s="93">
        <f t="shared" si="4"/>
        <v>296</v>
      </c>
      <c r="B300" s="93" t="str">
        <f>VLOOKUP($A300,'【随時メンテ】工事請負約款（原文）'!$B$2:$C$835,2,FALSE)&amp;""</f>
        <v>　変更の請求を受けた日）から７日以内に協議開始の日を通知しない場合には、受注者は、協議開始の日を定め、発注者に通知</v>
      </c>
    </row>
    <row r="301" spans="1:2" ht="18.75" customHeight="1">
      <c r="A301" s="93">
        <f t="shared" si="4"/>
        <v>297</v>
      </c>
      <c r="B301" s="93" t="str">
        <f>VLOOKUP($A301,'【随時メンテ】工事請負約款（原文）'!$B$2:$C$835,2,FALSE)&amp;""</f>
        <v>　することができる。</v>
      </c>
    </row>
    <row r="302" spans="1:2" ht="18.75" customHeight="1">
      <c r="A302" s="93">
        <f t="shared" si="4"/>
        <v>298</v>
      </c>
      <c r="B302" s="93" t="str">
        <f>VLOOKUP($A302,'【随時メンテ】工事請負約款（原文）'!$B$2:$C$835,2,FALSE)&amp;""</f>
        <v>３　発注者は、第一項の協議に当たっては、受注者からの意見の趣旨をできる限り勘案し十分な協議を行うように留意すると</v>
      </c>
    </row>
    <row r="303" spans="1:2" ht="18.75" customHeight="1">
      <c r="A303" s="93">
        <f t="shared" si="4"/>
        <v>299</v>
      </c>
      <c r="B303" s="93" t="str">
        <f>VLOOKUP($A303,'【随時メンテ】工事請負約款（原文）'!$B$2:$C$835,2,FALSE)&amp;""</f>
        <v>　ともに、受注者との間で協議が整わなかったこと又は当該協議に関して受注者が第62条に規定するあっせん若しくは調停</v>
      </c>
    </row>
    <row r="304" spans="1:2" ht="18.75" customHeight="1">
      <c r="A304" s="93">
        <f t="shared" si="4"/>
        <v>300</v>
      </c>
      <c r="B304" s="93" t="str">
        <f>VLOOKUP($A304,'【随時メンテ】工事請負約款（原文）'!$B$2:$C$835,2,FALSE)&amp;""</f>
        <v>　を請求したこと又は第63条に規定する仲裁を申請したことを理由として、不利益な取扱いをしてはならない。</v>
      </c>
    </row>
    <row r="305" spans="1:2" ht="18.75" customHeight="1">
      <c r="A305" s="93">
        <f t="shared" si="4"/>
        <v>301</v>
      </c>
      <c r="B305" s="93" t="str">
        <f>VLOOKUP($A305,'【随時メンテ】工事請負約款（原文）'!$B$2:$C$835,2,FALSE)&amp;""</f>
        <v/>
      </c>
    </row>
    <row r="306" spans="1:2" ht="18.75" customHeight="1">
      <c r="A306" s="93">
        <f t="shared" si="4"/>
        <v>302</v>
      </c>
      <c r="B306" s="93" t="str">
        <f>VLOOKUP($A306,'【随時メンテ】工事請負約款（原文）'!$B$2:$C$835,2,FALSE)&amp;""</f>
        <v>　（請負代金額の変更方法等）</v>
      </c>
    </row>
    <row r="307" spans="1:2" ht="18.75" customHeight="1">
      <c r="A307" s="93">
        <f t="shared" si="4"/>
        <v>303</v>
      </c>
      <c r="B307" s="93" t="str">
        <f>VLOOKUP($A307,'【随時メンテ】工事請負約款（原文）'!$B$2:$C$835,2,FALSE)&amp;""</f>
        <v>第24条　請負代金額の変更については、発注者と受注者とが協議して定める。ただし、協議開始の日から14日以内に協議が整わ</v>
      </c>
    </row>
    <row r="308" spans="1:2" ht="18.75" customHeight="1">
      <c r="A308" s="93">
        <f t="shared" si="4"/>
        <v>304</v>
      </c>
      <c r="B308" s="93" t="str">
        <f>VLOOKUP($A308,'【随時メンテ】工事請負約款（原文）'!$B$2:$C$835,2,FALSE)&amp;""</f>
        <v>　ない場合には、発注者が定め、受注者に通知する。</v>
      </c>
    </row>
    <row r="309" spans="1:2" ht="18.75" customHeight="1">
      <c r="A309" s="93">
        <f t="shared" si="4"/>
        <v>305</v>
      </c>
      <c r="B309" s="93" t="str">
        <f>VLOOKUP($A309,'【随時メンテ】工事請負約款（原文）'!$B$2:$C$835,2,FALSE)&amp;""</f>
        <v>２　前項の協議開始の日については、発注者が受注者の意見を聴いて定め、受注者に通知するものとする。ただし、請負代金額</v>
      </c>
    </row>
    <row r="310" spans="1:2" ht="18.75" customHeight="1">
      <c r="A310" s="93">
        <f t="shared" si="4"/>
        <v>306</v>
      </c>
      <c r="B310" s="93" t="str">
        <f>VLOOKUP($A310,'【随時メンテ】工事請負約款（原文）'!$B$2:$C$835,2,FALSE)&amp;""</f>
        <v>　の変更事由が生じた日から７日以内に協議開始の日を通知しない場合には、受注者は、協議開始の日を定め、発注者に通知す</v>
      </c>
    </row>
    <row r="311" spans="1:2" ht="18.75" customHeight="1">
      <c r="A311" s="93">
        <f t="shared" si="4"/>
        <v>307</v>
      </c>
      <c r="B311" s="93" t="str">
        <f>VLOOKUP($A311,'【随時メンテ】工事請負約款（原文）'!$B$2:$C$835,2,FALSE)&amp;""</f>
        <v>　ることができる。</v>
      </c>
    </row>
    <row r="312" spans="1:2" ht="18.75" customHeight="1">
      <c r="A312" s="93">
        <f t="shared" si="4"/>
        <v>308</v>
      </c>
      <c r="B312" s="93" t="str">
        <f>VLOOKUP($A312,'【随時メンテ】工事請負約款（原文）'!$B$2:$C$835,2,FALSE)&amp;""</f>
        <v>３　発注者は、第１項の協議に当たっては、受注者からの意見の趣旨をできる限り勘案し十分な協議を行うように留意するとと</v>
      </c>
    </row>
    <row r="313" spans="1:2" ht="18.75" customHeight="1">
      <c r="A313" s="93">
        <f t="shared" si="4"/>
        <v>309</v>
      </c>
      <c r="B313" s="93" t="str">
        <f>VLOOKUP($A313,'【随時メンテ】工事請負約款（原文）'!$B$2:$C$835,2,FALSE)&amp;""</f>
        <v>　もに、受注者との間で協議が整わなかったこと、当該協議に関して受注者が第62条に規定するあっせん若しくは調停を</v>
      </c>
    </row>
    <row r="314" spans="1:2" ht="18.75" customHeight="1">
      <c r="A314" s="93">
        <f t="shared" si="4"/>
        <v>310</v>
      </c>
      <c r="B314" s="93" t="str">
        <f>VLOOKUP($A314,'【随時メンテ】工事請負約款（原文）'!$B$2:$C$835,2,FALSE)&amp;""</f>
        <v>　請求したこと又は第63条に規定する仲裁を申請したことを理由として、不利益な取扱いをしてはならない。</v>
      </c>
    </row>
    <row r="315" spans="1:2" ht="18.75" customHeight="1">
      <c r="A315" s="93">
        <f t="shared" si="4"/>
        <v>311</v>
      </c>
      <c r="B315" s="93" t="str">
        <f>VLOOKUP($A315,'【随時メンテ】工事請負約款（原文）'!$B$2:$C$835,2,FALSE)&amp;""</f>
        <v>４　この約款の規定により、受注者が増加費用を必要とした場合又は損害を受けた場合に発注者が負担する必要な費用の額につ</v>
      </c>
    </row>
    <row r="316" spans="1:2" ht="18.75" customHeight="1">
      <c r="A316" s="93">
        <f t="shared" si="4"/>
        <v>312</v>
      </c>
      <c r="B316" s="93" t="str">
        <f>VLOOKUP($A316,'【随時メンテ】工事請負約款（原文）'!$B$2:$C$835,2,FALSE)&amp;""</f>
        <v>　いては、発注者と受注者とが協議して定める。</v>
      </c>
    </row>
    <row r="317" spans="1:2" ht="18.75" customHeight="1">
      <c r="A317" s="93">
        <f t="shared" si="4"/>
        <v>313</v>
      </c>
      <c r="B317" s="93" t="str">
        <f>VLOOKUP($A317,'【随時メンテ】工事請負約款（原文）'!$B$2:$C$835,2,FALSE)&amp;""</f>
        <v/>
      </c>
    </row>
    <row r="318" spans="1:2" ht="18.75" customHeight="1">
      <c r="A318" s="93">
        <f t="shared" si="4"/>
        <v>314</v>
      </c>
      <c r="B318" s="93" t="str">
        <f>VLOOKUP($A318,'【随時メンテ】工事請負約款（原文）'!$B$2:$C$835,2,FALSE)&amp;""</f>
        <v>　（賃金又は物価の変動に基づく請負代金額の変更）</v>
      </c>
    </row>
    <row r="319" spans="1:2" ht="18.75" customHeight="1">
      <c r="A319" s="93">
        <f t="shared" si="4"/>
        <v>315</v>
      </c>
      <c r="B319" s="93" t="str">
        <f>VLOOKUP($A319,'【随時メンテ】工事請負約款（原文）'!$B$2:$C$835,2,FALSE)&amp;""</f>
        <v>第25条　発注者又は受注者は、工期内で請負契約締結の日から12月を経過した後に日本国内における賃金水準又は物価水準の変</v>
      </c>
    </row>
    <row r="320" spans="1:2" ht="18.75" customHeight="1">
      <c r="A320" s="93">
        <f t="shared" si="4"/>
        <v>316</v>
      </c>
      <c r="B320" s="93" t="str">
        <f>VLOOKUP($A320,'【随時メンテ】工事請負約款（原文）'!$B$2:$C$835,2,FALSE)&amp;""</f>
        <v>　動により請負代金額が不適当となったと認めたときは、相手方に対して請負代金額の変更を請求することができる。</v>
      </c>
    </row>
    <row r="321" spans="1:2" ht="18.75" customHeight="1">
      <c r="A321" s="93">
        <f t="shared" si="4"/>
        <v>317</v>
      </c>
      <c r="B321" s="93" t="str">
        <f>VLOOKUP($A321,'【随時メンテ】工事請負約款（原文）'!$B$2:$C$835,2,FALSE)&amp;""</f>
        <v>２　発注者又は受注者は、前項の規定による請求があったときは、変動前残工事代金額（請負代金額から当該請求時の出来形部</v>
      </c>
    </row>
    <row r="322" spans="1:2" ht="18.75" customHeight="1">
      <c r="A322" s="93">
        <f t="shared" si="4"/>
        <v>318</v>
      </c>
      <c r="B322" s="93" t="str">
        <f>VLOOKUP($A322,'【随時メンテ】工事請負約款（原文）'!$B$2:$C$835,2,FALSE)&amp;""</f>
        <v>　分に相応する請負代金額を控除した額をいう。以下同じ。）と変動後残工事代金額（変動後の賃金又は物価を基礎として算出</v>
      </c>
    </row>
    <row r="323" spans="1:2" ht="18.75" customHeight="1">
      <c r="A323" s="93">
        <f t="shared" si="4"/>
        <v>319</v>
      </c>
      <c r="B323" s="93" t="str">
        <f>VLOOKUP($A323,'【随時メンテ】工事請負約款（原文）'!$B$2:$C$835,2,FALSE)&amp;""</f>
        <v>　した変動前残工事代金額に相応する額をいう。以下同じ。）との差額のうち変動前残工事代金額の1000分の15を超える額につ</v>
      </c>
    </row>
    <row r="324" spans="1:2" ht="18.75" customHeight="1">
      <c r="A324" s="93">
        <f t="shared" si="4"/>
        <v>320</v>
      </c>
      <c r="B324" s="93" t="str">
        <f>VLOOKUP($A324,'【随時メンテ】工事請負約款（原文）'!$B$2:$C$835,2,FALSE)&amp;""</f>
        <v>　き、請負代金額の変更に応じなければならない。</v>
      </c>
    </row>
    <row r="325" spans="1:2" ht="18.75" customHeight="1">
      <c r="A325" s="93">
        <f t="shared" si="4"/>
        <v>321</v>
      </c>
      <c r="B325" s="93" t="str">
        <f>VLOOKUP($A325,'【随時メンテ】工事請負約款（原文）'!$B$2:$C$835,2,FALSE)&amp;""</f>
        <v>３　変動前残工事代金額及び変動後残工事代金額は、請求のあった日を基準とし、物価指数等に基づき発注者と受注者とが協議</v>
      </c>
    </row>
    <row r="326" spans="1:2" ht="18.75" customHeight="1">
      <c r="A326" s="93">
        <f t="shared" si="4"/>
        <v>322</v>
      </c>
      <c r="B326" s="93" t="str">
        <f>VLOOKUP($A326,'【随時メンテ】工事請負約款（原文）'!$B$2:$C$835,2,FALSE)&amp;""</f>
        <v>　して定める。ただし、協議開始の日から14日以内に協議が整わない場合にあっては、発注者が定め、受注者に通知する。</v>
      </c>
    </row>
    <row r="327" spans="1:2" ht="18.75" customHeight="1">
      <c r="A327" s="93">
        <f t="shared" ref="A327:A390" si="5">ROW()-$A$2</f>
        <v>323</v>
      </c>
      <c r="B327" s="93" t="str">
        <f>VLOOKUP($A327,'【随時メンテ】工事請負約款（原文）'!$B$2:$C$835,2,FALSE)&amp;""</f>
        <v>４　第１項の規定による請求は、この条の規定により請負代金額の変更を行った後再度行うことができる。この場合においては、</v>
      </c>
    </row>
    <row r="328" spans="1:2" ht="18.75" customHeight="1">
      <c r="A328" s="93">
        <f t="shared" si="5"/>
        <v>324</v>
      </c>
      <c r="B328" s="93" t="str">
        <f>VLOOKUP($A328,'【随時メンテ】工事請負約款（原文）'!$B$2:$C$835,2,FALSE)&amp;""</f>
        <v>　同項中「請負契約締結の日」とあるのは、「直前のこの条に基づく請負代金額変更の基準とした日」とするものとする。</v>
      </c>
    </row>
    <row r="329" spans="1:2" ht="18.75" customHeight="1">
      <c r="A329" s="93">
        <f t="shared" si="5"/>
        <v>325</v>
      </c>
      <c r="B329" s="93" t="str">
        <f>VLOOKUP($A329,'【随時メンテ】工事請負約款（原文）'!$B$2:$C$835,2,FALSE)&amp;""</f>
        <v>５　特別な要因により工期内に主要な工事材料の日本国内における価格に著しい変動を生じ、請負代金額が不適当となったとき</v>
      </c>
    </row>
    <row r="330" spans="1:2" ht="18.75" customHeight="1">
      <c r="A330" s="93">
        <f t="shared" si="5"/>
        <v>326</v>
      </c>
      <c r="B330" s="93" t="str">
        <f>VLOOKUP($A330,'【随時メンテ】工事請負約款（原文）'!$B$2:$C$835,2,FALSE)&amp;""</f>
        <v>　は、発注者又は受注者は、前各項の規定によるほか、請負代金額の変更を請求することができる。</v>
      </c>
    </row>
    <row r="331" spans="1:2" ht="18.75" customHeight="1">
      <c r="A331" s="93">
        <f t="shared" si="5"/>
        <v>327</v>
      </c>
      <c r="B331" s="93" t="str">
        <f>VLOOKUP($A331,'【随時メンテ】工事請負約款（原文）'!$B$2:$C$835,2,FALSE)&amp;""</f>
        <v>６　予期することのできない特別の事情により、工期内に日本国内において急激なインフレーション又はデフレーションを生じ、</v>
      </c>
    </row>
    <row r="332" spans="1:2" ht="18.75" customHeight="1">
      <c r="A332" s="93">
        <f t="shared" si="5"/>
        <v>328</v>
      </c>
      <c r="B332" s="93" t="str">
        <f>VLOOKUP($A332,'【随時メンテ】工事請負約款（原文）'!$B$2:$C$835,2,FALSE)&amp;""</f>
        <v>　請負代金額が著しく不適当となったときは、発注者又は受注者は、前各項の規定にかかわらず、請負代金額の変更を請求する</v>
      </c>
    </row>
    <row r="333" spans="1:2" ht="18.75" customHeight="1">
      <c r="A333" s="93">
        <f t="shared" si="5"/>
        <v>329</v>
      </c>
      <c r="B333" s="93" t="str">
        <f>VLOOKUP($A333,'【随時メンテ】工事請負約款（原文）'!$B$2:$C$835,2,FALSE)&amp;""</f>
        <v>　ことができる。</v>
      </c>
    </row>
    <row r="334" spans="1:2" ht="18.75" customHeight="1">
      <c r="A334" s="93">
        <f t="shared" si="5"/>
        <v>330</v>
      </c>
      <c r="B334" s="93" t="str">
        <f>VLOOKUP($A334,'【随時メンテ】工事請負約款（原文）'!$B$2:$C$835,2,FALSE)&amp;""</f>
        <v>７　前２項の場合において、請負代金額の変更額については、発注者と受注者とが協議して定める。ただし、協議開始の日から</v>
      </c>
    </row>
    <row r="335" spans="1:2" ht="18.75" customHeight="1">
      <c r="A335" s="93">
        <f t="shared" si="5"/>
        <v>331</v>
      </c>
      <c r="B335" s="93" t="str">
        <f>VLOOKUP($A335,'【随時メンテ】工事請負約款（原文）'!$B$2:$C$835,2,FALSE)&amp;""</f>
        <v>　14日以内に協議が整わない場合にあっては、発注者が定め、受注者に通知する。</v>
      </c>
    </row>
    <row r="336" spans="1:2" ht="18.75" customHeight="1">
      <c r="A336" s="93">
        <f t="shared" si="5"/>
        <v>332</v>
      </c>
      <c r="B336" s="93" t="str">
        <f>VLOOKUP($A336,'【随時メンテ】工事請負約款（原文）'!$B$2:$C$835,2,FALSE)&amp;""</f>
        <v>８　第３項及び前項の協議開始の日については、発注者が受注者の意見を聴いて定め、受注者に通知しなければならない。ただ</v>
      </c>
    </row>
    <row r="337" spans="1:2" ht="18.75" customHeight="1">
      <c r="A337" s="93">
        <f t="shared" si="5"/>
        <v>333</v>
      </c>
      <c r="B337" s="93" t="str">
        <f>VLOOKUP($A337,'【随時メンテ】工事請負約款（原文）'!$B$2:$C$835,2,FALSE)&amp;""</f>
        <v>　し、発注者が第１項、第５項又は第６項の請求を行った日又は受けた日から７日以内に協議開始の日を通知しない場合には、</v>
      </c>
    </row>
    <row r="338" spans="1:2" ht="18.75" customHeight="1">
      <c r="A338" s="93">
        <f t="shared" si="5"/>
        <v>334</v>
      </c>
      <c r="B338" s="93" t="str">
        <f>VLOOKUP($A338,'【随時メンテ】工事請負約款（原文）'!$B$2:$C$835,2,FALSE)&amp;""</f>
        <v>　受注者は、協議開始の日を定め、発注者に通知することができる。</v>
      </c>
    </row>
    <row r="339" spans="1:2" ht="18.75" customHeight="1">
      <c r="A339" s="93">
        <f t="shared" si="5"/>
        <v>335</v>
      </c>
      <c r="B339" s="93" t="str">
        <f>VLOOKUP($A339,'【随時メンテ】工事請負約款（原文）'!$B$2:$C$835,2,FALSE)&amp;""</f>
        <v>９　発注者は、第３項又は第７項の協議に当たっては、受注者からの意見の趣旨をできる限り勘案し十分な協議を行うように</v>
      </c>
    </row>
    <row r="340" spans="1:2" ht="18.75" customHeight="1">
      <c r="A340" s="93">
        <f t="shared" si="5"/>
        <v>336</v>
      </c>
      <c r="B340" s="93" t="str">
        <f>VLOOKUP($A340,'【随時メンテ】工事請負約款（原文）'!$B$2:$C$835,2,FALSE)&amp;""</f>
        <v>　留意するとともに、受注者との間で協議が整わなかったこと、当該協議に関して受注者が第62条に規定するあっせん</v>
      </c>
    </row>
    <row r="341" spans="1:2" ht="18.75" customHeight="1">
      <c r="A341" s="93">
        <f t="shared" si="5"/>
        <v>337</v>
      </c>
      <c r="B341" s="93" t="str">
        <f>VLOOKUP($A341,'【随時メンテ】工事請負約款（原文）'!$B$2:$C$835,2,FALSE)&amp;""</f>
        <v>　若しくは調停を請求したこと又は第63条に規定する仲裁を申請したことを理由として、不利益な取扱いをしてはならない。　</v>
      </c>
    </row>
    <row r="342" spans="1:2" ht="18.75" customHeight="1">
      <c r="A342" s="93">
        <f t="shared" si="5"/>
        <v>338</v>
      </c>
      <c r="B342" s="93" t="str">
        <f>VLOOKUP($A342,'【随時メンテ】工事請負約款（原文）'!$B$2:$C$835,2,FALSE)&amp;""</f>
        <v/>
      </c>
    </row>
    <row r="343" spans="1:2" ht="18.75" customHeight="1">
      <c r="A343" s="93">
        <f t="shared" si="5"/>
        <v>339</v>
      </c>
      <c r="B343" s="93" t="str">
        <f>VLOOKUP($A343,'【随時メンテ】工事請負約款（原文）'!$B$2:$C$835,2,FALSE)&amp;""</f>
        <v>　（臨機の措置）</v>
      </c>
    </row>
    <row r="344" spans="1:2" ht="18.75" customHeight="1">
      <c r="A344" s="93">
        <f t="shared" si="5"/>
        <v>340</v>
      </c>
      <c r="B344" s="93" t="str">
        <f>VLOOKUP($A344,'【随時メンテ】工事請負約款（原文）'!$B$2:$C$835,2,FALSE)&amp;""</f>
        <v>第26条　受注者は、災害防止等のため必要があると認めるときは、臨機の措置をとらなければならない。この場合において、必</v>
      </c>
    </row>
    <row r="345" spans="1:2" ht="18.75" customHeight="1">
      <c r="A345" s="93">
        <f t="shared" si="5"/>
        <v>341</v>
      </c>
      <c r="B345" s="93" t="str">
        <f>VLOOKUP($A345,'【随時メンテ】工事請負約款（原文）'!$B$2:$C$835,2,FALSE)&amp;""</f>
        <v>　要があると認めるときは、受注者は、あらかじめ監督員の意見を聴かなければならない。ただし、緊急やむを得ない事情があ</v>
      </c>
    </row>
    <row r="346" spans="1:2" ht="18.75" customHeight="1">
      <c r="A346" s="93">
        <f t="shared" si="5"/>
        <v>342</v>
      </c>
      <c r="B346" s="93" t="str">
        <f>VLOOKUP($A346,'【随時メンテ】工事請負約款（原文）'!$B$2:$C$835,2,FALSE)&amp;""</f>
        <v>　るときは、この限りでない。</v>
      </c>
    </row>
    <row r="347" spans="1:2" ht="18.75" customHeight="1">
      <c r="A347" s="93">
        <f t="shared" si="5"/>
        <v>343</v>
      </c>
      <c r="B347" s="93" t="str">
        <f>VLOOKUP($A347,'【随時メンテ】工事請負約款（原文）'!$B$2:$C$835,2,FALSE)&amp;""</f>
        <v>２　前項の場合においては、受注者は、そのとった措置の内容を監督員に直ちに通知しなければならない。</v>
      </c>
    </row>
    <row r="348" spans="1:2" ht="18.75" customHeight="1">
      <c r="A348" s="93">
        <f t="shared" si="5"/>
        <v>344</v>
      </c>
      <c r="B348" s="93" t="str">
        <f>VLOOKUP($A348,'【随時メンテ】工事請負約款（原文）'!$B$2:$C$835,2,FALSE)&amp;""</f>
        <v>３　監督員は、災害防止その他工事の施工上特に必要があると認めるときは、受注者に対して臨機の措置をとることを請求する</v>
      </c>
    </row>
    <row r="349" spans="1:2" ht="18.75" customHeight="1">
      <c r="A349" s="93">
        <f t="shared" si="5"/>
        <v>345</v>
      </c>
      <c r="B349" s="93" t="str">
        <f>VLOOKUP($A349,'【随時メンテ】工事請負約款（原文）'!$B$2:$C$835,2,FALSE)&amp;""</f>
        <v>　ことができる。</v>
      </c>
    </row>
    <row r="350" spans="1:2" ht="18.75" customHeight="1">
      <c r="A350" s="93">
        <f t="shared" si="5"/>
        <v>346</v>
      </c>
      <c r="B350" s="93" t="str">
        <f>VLOOKUP($A350,'【随時メンテ】工事請負約款（原文）'!$B$2:$C$835,2,FALSE)&amp;""</f>
        <v>４　受注者が第１項又は前項の規定により臨機の措置をとった場合において、当該措置に要した費用のうち、受注者が請負代金</v>
      </c>
    </row>
    <row r="351" spans="1:2" ht="18.75" customHeight="1">
      <c r="A351" s="93">
        <f t="shared" si="5"/>
        <v>347</v>
      </c>
      <c r="B351" s="93" t="str">
        <f>VLOOKUP($A351,'【随時メンテ】工事請負約款（原文）'!$B$2:$C$835,2,FALSE)&amp;""</f>
        <v>　額の範囲において負担することが適当でないと認められる部分については、発注者が負担する。</v>
      </c>
    </row>
    <row r="352" spans="1:2" ht="18.75" customHeight="1">
      <c r="A352" s="93">
        <f t="shared" si="5"/>
        <v>348</v>
      </c>
      <c r="B352" s="93" t="str">
        <f>VLOOKUP($A352,'【随時メンテ】工事請負約款（原文）'!$B$2:$C$835,2,FALSE)&amp;""</f>
        <v/>
      </c>
    </row>
    <row r="353" spans="1:2" ht="18.75" customHeight="1">
      <c r="A353" s="93">
        <f t="shared" si="5"/>
        <v>349</v>
      </c>
      <c r="B353" s="93" t="str">
        <f>VLOOKUP($A353,'【随時メンテ】工事請負約款（原文）'!$B$2:$C$835,2,FALSE)&amp;""</f>
        <v>　（一般的損害）</v>
      </c>
    </row>
    <row r="354" spans="1:2" ht="18.75" customHeight="1">
      <c r="A354" s="93">
        <f t="shared" si="5"/>
        <v>350</v>
      </c>
      <c r="B354" s="93" t="str">
        <f>VLOOKUP($A354,'【随時メンテ】工事請負約款（原文）'!$B$2:$C$835,2,FALSE)&amp;""</f>
        <v>第27条　工事目的物の引渡し前に、工事目的物又は工事材料について生じた損害その他工事の施工に関して生じた損害（次条第</v>
      </c>
    </row>
    <row r="355" spans="1:2" ht="18.75" customHeight="1">
      <c r="A355" s="93">
        <f t="shared" si="5"/>
        <v>351</v>
      </c>
      <c r="B355" s="93" t="str">
        <f>VLOOKUP($A355,'【随時メンテ】工事請負約款（原文）'!$B$2:$C$835,2,FALSE)&amp;""</f>
        <v>　１項若しくは第２項又は第29条第１項に規定する損害を除く。）については、受注者がその費用を負担する。ただし、その損</v>
      </c>
    </row>
    <row r="356" spans="1:2" ht="18.75" customHeight="1">
      <c r="A356" s="93">
        <f t="shared" si="5"/>
        <v>352</v>
      </c>
      <c r="B356" s="93" t="str">
        <f>VLOOKUP($A356,'【随時メンテ】工事請負約款（原文）'!$B$2:$C$835,2,FALSE)&amp;""</f>
        <v>　害（第61条第１項の規定により付された保険等により塡補された部分を除く。）のうち発注者の責めに帰すべき事由により生</v>
      </c>
    </row>
    <row r="357" spans="1:2" ht="18.75" customHeight="1">
      <c r="A357" s="93">
        <f t="shared" si="5"/>
        <v>353</v>
      </c>
      <c r="B357" s="93" t="str">
        <f>VLOOKUP($A357,'【随時メンテ】工事請負約款（原文）'!$B$2:$C$835,2,FALSE)&amp;""</f>
        <v>　じたものについては、発注者が負担する。</v>
      </c>
    </row>
    <row r="358" spans="1:2" ht="18.75" customHeight="1">
      <c r="A358" s="93">
        <f t="shared" si="5"/>
        <v>354</v>
      </c>
      <c r="B358" s="93" t="str">
        <f>VLOOKUP($A358,'【随時メンテ】工事請負約款（原文）'!$B$2:$C$835,2,FALSE)&amp;""</f>
        <v/>
      </c>
    </row>
    <row r="359" spans="1:2" ht="18.75" customHeight="1">
      <c r="A359" s="93">
        <f t="shared" si="5"/>
        <v>355</v>
      </c>
      <c r="B359" s="93" t="str">
        <f>VLOOKUP($A359,'【随時メンテ】工事請負約款（原文）'!$B$2:$C$835,2,FALSE)&amp;""</f>
        <v>　（第三者に及ぼした損害）</v>
      </c>
    </row>
    <row r="360" spans="1:2" ht="18.75" customHeight="1">
      <c r="A360" s="93">
        <f t="shared" si="5"/>
        <v>356</v>
      </c>
      <c r="B360" s="93" t="str">
        <f>VLOOKUP($A360,'【随時メンテ】工事請負約款（原文）'!$B$2:$C$835,2,FALSE)&amp;""</f>
        <v>第28条　工事の施工について第三者に損害を及ぼしたときは、受注者がその損害を賠償しなければならない。ただし、その損害</v>
      </c>
    </row>
    <row r="361" spans="1:2" ht="18.75" customHeight="1">
      <c r="A361" s="93">
        <f t="shared" si="5"/>
        <v>357</v>
      </c>
      <c r="B361" s="93" t="str">
        <f>VLOOKUP($A361,'【随時メンテ】工事請負約款（原文）'!$B$2:$C$835,2,FALSE)&amp;""</f>
        <v>　（第61条第１項の規定により付された保険等により塡補された部分を除く。以下この条において同じ。）のうち発注者の責め</v>
      </c>
    </row>
    <row r="362" spans="1:2" ht="18.75" customHeight="1">
      <c r="A362" s="93">
        <f t="shared" si="5"/>
        <v>358</v>
      </c>
      <c r="B362" s="93" t="str">
        <f>VLOOKUP($A362,'【随時メンテ】工事請負約款（原文）'!$B$2:$C$835,2,FALSE)&amp;""</f>
        <v>　に帰すべき事由により生じたものについては、発注者が負担する。</v>
      </c>
    </row>
    <row r="363" spans="1:2" ht="18.75" customHeight="1">
      <c r="A363" s="93">
        <f t="shared" si="5"/>
        <v>359</v>
      </c>
      <c r="B363" s="93" t="str">
        <f>VLOOKUP($A363,'【随時メンテ】工事請負約款（原文）'!$B$2:$C$835,2,FALSE)&amp;""</f>
        <v>２　前項の規定にかかわらず、工事の施工に伴い通常避けることができない騒音、振動、地盤沈下、地下水の断絶等の理由によ</v>
      </c>
    </row>
    <row r="364" spans="1:2" ht="18.75" customHeight="1">
      <c r="A364" s="93">
        <f t="shared" si="5"/>
        <v>360</v>
      </c>
      <c r="B364" s="93" t="str">
        <f>VLOOKUP($A364,'【随時メンテ】工事請負約款（原文）'!$B$2:$C$835,2,FALSE)&amp;""</f>
        <v>　り第三者に損害を及ぼしたときは、発注者がその損害を負担しなければならない。ただし、その損害のうち工事の施工につき</v>
      </c>
    </row>
    <row r="365" spans="1:2" ht="18.75" customHeight="1">
      <c r="A365" s="93">
        <f t="shared" si="5"/>
        <v>361</v>
      </c>
      <c r="B365" s="93" t="str">
        <f>VLOOKUP($A365,'【随時メンテ】工事請負約款（原文）'!$B$2:$C$835,2,FALSE)&amp;""</f>
        <v>　受注者が善良な管理者の注意義務を怠ったことにより生じたものについては、受注者が負担する。</v>
      </c>
    </row>
    <row r="366" spans="1:2" ht="18.75" customHeight="1">
      <c r="A366" s="93">
        <f t="shared" si="5"/>
        <v>362</v>
      </c>
      <c r="B366" s="93" t="str">
        <f>VLOOKUP($A366,'【随時メンテ】工事請負約款（原文）'!$B$2:$C$835,2,FALSE)&amp;""</f>
        <v>３　前２項の場合その他工事の施工について第三者との間に紛争を生じた場合においては、発注者及び受注者は協力してその処</v>
      </c>
    </row>
    <row r="367" spans="1:2" ht="18.75" customHeight="1">
      <c r="A367" s="93">
        <f t="shared" si="5"/>
        <v>363</v>
      </c>
      <c r="B367" s="93" t="str">
        <f>VLOOKUP($A367,'【随時メンテ】工事請負約款（原文）'!$B$2:$C$835,2,FALSE)&amp;""</f>
        <v>　理解決に当たるものとする。</v>
      </c>
    </row>
    <row r="368" spans="1:2" ht="18.75" customHeight="1">
      <c r="A368" s="93">
        <f t="shared" si="5"/>
        <v>364</v>
      </c>
      <c r="B368" s="93" t="str">
        <f>VLOOKUP($A368,'【随時メンテ】工事請負約款（原文）'!$B$2:$C$835,2,FALSE)&amp;""</f>
        <v/>
      </c>
    </row>
    <row r="369" spans="1:2" ht="18.75" customHeight="1">
      <c r="A369" s="93">
        <f t="shared" si="5"/>
        <v>365</v>
      </c>
      <c r="B369" s="93" t="str">
        <f>VLOOKUP($A369,'【随時メンテ】工事請負約款（原文）'!$B$2:$C$835,2,FALSE)&amp;""</f>
        <v>　（不可抗力による損害）</v>
      </c>
    </row>
    <row r="370" spans="1:2" ht="18.75" customHeight="1">
      <c r="A370" s="93">
        <f t="shared" si="5"/>
        <v>366</v>
      </c>
      <c r="B370" s="93" t="str">
        <f>VLOOKUP($A370,'【随時メンテ】工事請負約款（原文）'!$B$2:$C$835,2,FALSE)&amp;""</f>
        <v>第29条　工事目的物の引渡し前に、天災等（設計図書で基準を定めたものにあっては、当該基準を超えるものに限る。）で発注</v>
      </c>
    </row>
    <row r="371" spans="1:2" ht="18.75" customHeight="1">
      <c r="A371" s="93">
        <f t="shared" si="5"/>
        <v>367</v>
      </c>
      <c r="B371" s="93" t="str">
        <f>VLOOKUP($A371,'【随時メンテ】工事請負約款（原文）'!$B$2:$C$835,2,FALSE)&amp;""</f>
        <v>　者と受注者のいずれの責めにも帰すことができないもの（以下この条において「不可抗力」という。）により、工事目的物、</v>
      </c>
    </row>
    <row r="372" spans="1:2" ht="18.75" customHeight="1">
      <c r="A372" s="93">
        <f t="shared" si="5"/>
        <v>368</v>
      </c>
      <c r="B372" s="93" t="str">
        <f>VLOOKUP($A372,'【随時メンテ】工事請負約款（原文）'!$B$2:$C$835,2,FALSE)&amp;""</f>
        <v>　仮設物又は工事現場に搬入済みの工事材料若しくは建設機械器具（以下この条において「工事目的物等」という。）に損害が</v>
      </c>
    </row>
    <row r="373" spans="1:2" ht="18.75" customHeight="1">
      <c r="A373" s="93">
        <f t="shared" si="5"/>
        <v>369</v>
      </c>
      <c r="B373" s="93" t="str">
        <f>VLOOKUP($A373,'【随時メンテ】工事請負約款（原文）'!$B$2:$C$835,2,FALSE)&amp;""</f>
        <v>　生じたときは、受注者は、その事実の発生後直ちにその状況を発注者に通知しなければならない。</v>
      </c>
    </row>
    <row r="374" spans="1:2" ht="18.75" customHeight="1">
      <c r="A374" s="93">
        <f t="shared" si="5"/>
        <v>370</v>
      </c>
      <c r="B374" s="93" t="str">
        <f>VLOOKUP($A374,'【随時メンテ】工事請負約款（原文）'!$B$2:$C$835,2,FALSE)&amp;""</f>
        <v>２　発注者は、前項の規定による通知を受けたときは、直ちに調査を行い、同項の損害（受注者が善良な管理者の注意義務を怠</v>
      </c>
    </row>
    <row r="375" spans="1:2" ht="18.75" customHeight="1">
      <c r="A375" s="93">
        <f t="shared" si="5"/>
        <v>371</v>
      </c>
      <c r="B375" s="93" t="str">
        <f>VLOOKUP($A375,'【随時メンテ】工事請負約款（原文）'!$B$2:$C$835,2,FALSE)&amp;""</f>
        <v>　ったことに基づくもの及び第61条第１項の規定により付された保険等により塡補された部分を除く。以下この条において「損</v>
      </c>
    </row>
    <row r="376" spans="1:2" ht="18.75" customHeight="1">
      <c r="A376" s="93">
        <f t="shared" si="5"/>
        <v>372</v>
      </c>
      <c r="B376" s="93" t="str">
        <f>VLOOKUP($A376,'【随時メンテ】工事請負約款（原文）'!$B$2:$C$835,2,FALSE)&amp;""</f>
        <v>　害」という。）の状況を確認し、その結果を受注者に通知しなければならない。</v>
      </c>
    </row>
    <row r="377" spans="1:2" ht="18.75" customHeight="1">
      <c r="A377" s="93">
        <f t="shared" si="5"/>
        <v>373</v>
      </c>
      <c r="B377" s="93" t="str">
        <f>VLOOKUP($A377,'【随時メンテ】工事請負約款（原文）'!$B$2:$C$835,2,FALSE)&amp;""</f>
        <v>３　受注者は、前項の規定により損害の状況が確認されたときは、損害による費用の負担を発注者に請求することができる。</v>
      </c>
    </row>
    <row r="378" spans="1:2" ht="18.75" customHeight="1">
      <c r="A378" s="93">
        <f t="shared" si="5"/>
        <v>374</v>
      </c>
      <c r="B378" s="93" t="str">
        <f>VLOOKUP($A378,'【随時メンテ】工事請負約款（原文）'!$B$2:$C$835,2,FALSE)&amp;""</f>
        <v>４　発注者は、前項の規定により受注者から損害による費用の負担の請求があったときは、当該損害の額（工事目的物等であっ</v>
      </c>
    </row>
    <row r="379" spans="1:2" ht="18.75" customHeight="1">
      <c r="A379" s="93">
        <f t="shared" si="5"/>
        <v>375</v>
      </c>
      <c r="B379" s="93" t="str">
        <f>VLOOKUP($A379,'【随時メンテ】工事請負約款（原文）'!$B$2:$C$835,2,FALSE)&amp;""</f>
        <v>　て第13条第２項、第14条第１項若しくは第２項又は第38条第３項の規定による検査、立会いその他受注者の工事に関する記録</v>
      </c>
    </row>
    <row r="380" spans="1:2" ht="18.75" customHeight="1">
      <c r="A380" s="93">
        <f t="shared" si="5"/>
        <v>376</v>
      </c>
      <c r="B380" s="93" t="str">
        <f>VLOOKUP($A380,'【随時メンテ】工事請負約款（原文）'!$B$2:$C$835,2,FALSE)&amp;""</f>
        <v>　等により確認することができるものに係る損害の額に限る。）及び当該損害の取片付けに要する費用の額の合計額（以下この</v>
      </c>
    </row>
    <row r="381" spans="1:2" ht="18.75" customHeight="1">
      <c r="A381" s="93">
        <f t="shared" si="5"/>
        <v>377</v>
      </c>
      <c r="B381" s="93" t="str">
        <f>VLOOKUP($A381,'【随時メンテ】工事請負約款（原文）'!$B$2:$C$835,2,FALSE)&amp;""</f>
        <v>　条において「損害合計額」という｡)のうち請負代金額の100分の１を超える額を負担しなければならない。ただし、災害応急</v>
      </c>
    </row>
    <row r="382" spans="1:2" ht="18.75" customHeight="1">
      <c r="A382" s="93">
        <f t="shared" si="5"/>
        <v>378</v>
      </c>
      <c r="B382" s="93" t="str">
        <f>VLOOKUP($A382,'【随時メンテ】工事請負約款（原文）'!$B$2:$C$835,2,FALSE)&amp;""</f>
        <v>　対策又は災害復旧に関する工事における損害については、発注者が損害合計額を負担するものとする。</v>
      </c>
    </row>
    <row r="383" spans="1:2" ht="18.75" customHeight="1">
      <c r="A383" s="93">
        <f t="shared" si="5"/>
        <v>379</v>
      </c>
      <c r="B383" s="93" t="str">
        <f>VLOOKUP($A383,'【随時メンテ】工事請負約款（原文）'!$B$2:$C$835,2,FALSE)&amp;""</f>
        <v>５　損害の額は、次の各号に掲げる損害につき、それぞれ当該各号に定めるところにより、算定する。</v>
      </c>
    </row>
    <row r="384" spans="1:2" ht="18.75" customHeight="1">
      <c r="A384" s="93">
        <f t="shared" si="5"/>
        <v>380</v>
      </c>
      <c r="B384" s="93" t="str">
        <f>VLOOKUP($A384,'【随時メンテ】工事請負約款（原文）'!$B$2:$C$835,2,FALSE)&amp;""</f>
        <v>　一　工事目的物に関する損害　損害を受けた工事目的物に相応する請負代金額とし、残存価値がある場合にはその評価額を差</v>
      </c>
    </row>
    <row r="385" spans="1:2" ht="18.75" customHeight="1">
      <c r="A385" s="93">
        <f t="shared" si="5"/>
        <v>381</v>
      </c>
      <c r="B385" s="93" t="str">
        <f>VLOOKUP($A385,'【随時メンテ】工事請負約款（原文）'!$B$2:$C$835,2,FALSE)&amp;""</f>
        <v>　　し引いた額とする。</v>
      </c>
    </row>
    <row r="386" spans="1:2" ht="18.75" customHeight="1">
      <c r="A386" s="93">
        <f t="shared" si="5"/>
        <v>382</v>
      </c>
      <c r="B386" s="93" t="str">
        <f>VLOOKUP($A386,'【随時メンテ】工事請負約款（原文）'!$B$2:$C$835,2,FALSE)&amp;""</f>
        <v>　二　工事材料に関する損害　損害を受けた工事材料で通常妥当と認められるものに相応する請負代金額とし、残存価値がある</v>
      </c>
    </row>
    <row r="387" spans="1:2" ht="18.75" customHeight="1">
      <c r="A387" s="93">
        <f t="shared" si="5"/>
        <v>383</v>
      </c>
      <c r="B387" s="93" t="str">
        <f>VLOOKUP($A387,'【随時メンテ】工事請負約款（原文）'!$B$2:$C$835,2,FALSE)&amp;""</f>
        <v>　　場合にはその評価額を差し引いた額とする。</v>
      </c>
    </row>
    <row r="388" spans="1:2" ht="18.75" customHeight="1">
      <c r="A388" s="93">
        <f t="shared" si="5"/>
        <v>384</v>
      </c>
      <c r="B388" s="93" t="str">
        <f>VLOOKUP($A388,'【随時メンテ】工事請負約款（原文）'!$B$2:$C$835,2,FALSE)&amp;""</f>
        <v>　三　仮設物又は建設機械器具に関する損害　損害を受けた仮設物又は建設機械器具で通常妥当と認められるものについて、当</v>
      </c>
    </row>
    <row r="389" spans="1:2" ht="18.75" customHeight="1">
      <c r="A389" s="93">
        <f t="shared" si="5"/>
        <v>385</v>
      </c>
      <c r="B389" s="93" t="str">
        <f>VLOOKUP($A389,'【随時メンテ】工事請負約款（原文）'!$B$2:$C$835,2,FALSE)&amp;""</f>
        <v>　　該工事で償却することとしている償却費の額から損害を受けた時点における工事目的物に相応する償却費の額を差し引いた</v>
      </c>
    </row>
    <row r="390" spans="1:2" ht="18.75" customHeight="1">
      <c r="A390" s="93">
        <f t="shared" si="5"/>
        <v>386</v>
      </c>
      <c r="B390" s="93" t="str">
        <f>VLOOKUP($A390,'【随時メンテ】工事請負約款（原文）'!$B$2:$C$835,2,FALSE)&amp;""</f>
        <v>　　額とする。ただし、修繕によりその機能を回復することができ、かつ、修繕費の額が上記の額より少額であるものについて</v>
      </c>
    </row>
    <row r="391" spans="1:2" ht="18.75" customHeight="1">
      <c r="A391" s="93">
        <f t="shared" ref="A391:A454" si="6">ROW()-$A$2</f>
        <v>387</v>
      </c>
      <c r="B391" s="93" t="str">
        <f>VLOOKUP($A391,'【随時メンテ】工事請負約款（原文）'!$B$2:$C$835,2,FALSE)&amp;""</f>
        <v>　　は、その修繕費の額とする。</v>
      </c>
    </row>
    <row r="392" spans="1:2" ht="18.75" customHeight="1">
      <c r="A392" s="93">
        <f t="shared" si="6"/>
        <v>388</v>
      </c>
      <c r="B392" s="93" t="str">
        <f>VLOOKUP($A392,'【随時メンテ】工事請負約款（原文）'!$B$2:$C$835,2,FALSE)&amp;""</f>
        <v>６　数次にわたる不可抗力により損害合計額が累積した場合における第２次以降の不可抗力による損害合計額の負担については、</v>
      </c>
    </row>
    <row r="393" spans="1:2" ht="18.75" customHeight="1">
      <c r="A393" s="93">
        <f t="shared" si="6"/>
        <v>389</v>
      </c>
      <c r="B393" s="93" t="str">
        <f>VLOOKUP($A393,'【随時メンテ】工事請負約款（原文）'!$B$2:$C$835,2,FALSE)&amp;""</f>
        <v>　第４項中「当該損害の額」とあるのは「損害の額の累計」と、「当該損害の取片付けに要する費用の額」とあるのは「損害の</v>
      </c>
    </row>
    <row r="394" spans="1:2" ht="18.75" customHeight="1">
      <c r="A394" s="93">
        <f t="shared" si="6"/>
        <v>390</v>
      </c>
      <c r="B394" s="93" t="str">
        <f>VLOOKUP($A394,'【随時メンテ】工事請負約款（原文）'!$B$2:$C$835,2,FALSE)&amp;""</f>
        <v>　取片付けに要する費用の額の累計」と、「請負代金額の100分の１を超える額」とあるのは「請負代金額の100分の１を超える</v>
      </c>
    </row>
    <row r="395" spans="1:2" ht="18.75" customHeight="1">
      <c r="A395" s="93">
        <f t="shared" si="6"/>
        <v>391</v>
      </c>
      <c r="B395" s="93" t="str">
        <f>VLOOKUP($A395,'【随時メンテ】工事請負約款（原文）'!$B$2:$C$835,2,FALSE)&amp;""</f>
        <v>　額から既に負担した額を差し引いた額」と、「損害合計額を」とあるのは「損害合計額から既に負担した額を差し引いた額</v>
      </c>
    </row>
    <row r="396" spans="1:2" ht="18.75" customHeight="1">
      <c r="A396" s="93">
        <f t="shared" si="6"/>
        <v>392</v>
      </c>
      <c r="B396" s="93" t="str">
        <f>VLOOKUP($A396,'【随時メンテ】工事請負約款（原文）'!$B$2:$C$835,2,FALSE)&amp;""</f>
        <v>　を」として同項を適用する。</v>
      </c>
    </row>
    <row r="397" spans="1:2" ht="18.75" customHeight="1">
      <c r="A397" s="93">
        <f t="shared" si="6"/>
        <v>393</v>
      </c>
      <c r="B397" s="93" t="str">
        <f>VLOOKUP($A397,'【随時メンテ】工事請負約款（原文）'!$B$2:$C$835,2,FALSE)&amp;""</f>
        <v/>
      </c>
    </row>
    <row r="398" spans="1:2" ht="18.75" customHeight="1">
      <c r="A398" s="93">
        <f t="shared" si="6"/>
        <v>394</v>
      </c>
      <c r="B398" s="93" t="str">
        <f>VLOOKUP($A398,'【随時メンテ】工事請負約款（原文）'!$B$2:$C$835,2,FALSE)&amp;""</f>
        <v>　（請負代金額の変更に代える設計図書の変更）</v>
      </c>
    </row>
    <row r="399" spans="1:2" ht="18.75" customHeight="1">
      <c r="A399" s="93">
        <f t="shared" si="6"/>
        <v>395</v>
      </c>
      <c r="B399" s="93" t="str">
        <f>VLOOKUP($A399,'【随時メンテ】工事請負約款（原文）'!$B$2:$C$835,2,FALSE)&amp;""</f>
        <v>第30条　発注者は、第８条、第15条、第17条から第22条まで、第25条から第27条まで、前条又は第33条の規定により請負代金額</v>
      </c>
    </row>
    <row r="400" spans="1:2" ht="18.75" customHeight="1">
      <c r="A400" s="93">
        <f t="shared" si="6"/>
        <v>396</v>
      </c>
      <c r="B400" s="93" t="str">
        <f>VLOOKUP($A400,'【随時メンテ】工事請負約款（原文）'!$B$2:$C$835,2,FALSE)&amp;""</f>
        <v>　を増額すべき場合又は費用を負担すべき場合において、特別の理由があるときは、請負代金額の増額又は負担額の全部若しく</v>
      </c>
    </row>
    <row r="401" spans="1:2" ht="18.75" customHeight="1">
      <c r="A401" s="93">
        <f t="shared" si="6"/>
        <v>397</v>
      </c>
      <c r="B401" s="93" t="str">
        <f>VLOOKUP($A401,'【随時メンテ】工事請負約款（原文）'!$B$2:$C$835,2,FALSE)&amp;""</f>
        <v>　は一部に代えて設計図書を変更することができる。この場合において、設計図書の変更内容は、発注者と受注者とが協議して</v>
      </c>
    </row>
    <row r="402" spans="1:2" ht="18.75" customHeight="1">
      <c r="A402" s="93">
        <f t="shared" si="6"/>
        <v>398</v>
      </c>
      <c r="B402" s="93" t="str">
        <f>VLOOKUP($A402,'【随時メンテ】工事請負約款（原文）'!$B$2:$C$835,2,FALSE)&amp;""</f>
        <v>　定める。ただし、協議開始の日から14日以内に協議が整わない場合には、発注者が定め、受注者に通知する。</v>
      </c>
    </row>
    <row r="403" spans="1:2" ht="18.75" customHeight="1">
      <c r="A403" s="93">
        <f t="shared" si="6"/>
        <v>399</v>
      </c>
      <c r="B403" s="93" t="str">
        <f>VLOOKUP($A403,'【随時メンテ】工事請負約款（原文）'!$B$2:$C$835,2,FALSE)&amp;""</f>
        <v>２　前項の協議開始の日については、発注者が受注者の意見を聴いて定め、受注者に通知しなければならない。ただし、発注者</v>
      </c>
    </row>
    <row r="404" spans="1:2" ht="18.75" customHeight="1">
      <c r="A404" s="93">
        <f t="shared" si="6"/>
        <v>400</v>
      </c>
      <c r="B404" s="93" t="str">
        <f>VLOOKUP($A404,'【随時メンテ】工事請負約款（原文）'!$B$2:$C$835,2,FALSE)&amp;""</f>
        <v>　が請負代金額を増額すべき事由又は費用を負担すべき事由が生じた日から７日以内に協議開始の日を通知しない場合には、受</v>
      </c>
    </row>
    <row r="405" spans="1:2" ht="18.75" customHeight="1">
      <c r="A405" s="93">
        <f t="shared" si="6"/>
        <v>401</v>
      </c>
      <c r="B405" s="93" t="str">
        <f>VLOOKUP($A405,'【随時メンテ】工事請負約款（原文）'!$B$2:$C$835,2,FALSE)&amp;""</f>
        <v>　注者は、協議開始の日を定め、発注者に通知することができる。</v>
      </c>
    </row>
    <row r="406" spans="1:2" ht="18.75" customHeight="1">
      <c r="A406" s="93">
        <f t="shared" si="6"/>
        <v>402</v>
      </c>
      <c r="B406" s="93" t="str">
        <f>VLOOKUP($A406,'【随時メンテ】工事請負約款（原文）'!$B$2:$C$835,2,FALSE)&amp;""</f>
        <v/>
      </c>
    </row>
    <row r="407" spans="1:2" ht="18.75" customHeight="1">
      <c r="A407" s="93">
        <f t="shared" si="6"/>
        <v>403</v>
      </c>
      <c r="B407" s="93" t="str">
        <f>VLOOKUP($A407,'【随時メンテ】工事請負約款（原文）'!$B$2:$C$835,2,FALSE)&amp;""</f>
        <v>　（検査及び引渡し）</v>
      </c>
    </row>
    <row r="408" spans="1:2" ht="18.75" customHeight="1">
      <c r="A408" s="93">
        <f t="shared" si="6"/>
        <v>404</v>
      </c>
      <c r="B408" s="93" t="str">
        <f>VLOOKUP($A408,'【随時メンテ】工事請負約款（原文）'!$B$2:$C$835,2,FALSE)&amp;""</f>
        <v>第31条　受注者は、工事を完成したときは、その旨を発注者に通知しなければならない。</v>
      </c>
    </row>
    <row r="409" spans="1:2" ht="18.75" customHeight="1">
      <c r="A409" s="93">
        <f t="shared" si="6"/>
        <v>405</v>
      </c>
      <c r="B409" s="93" t="str">
        <f>VLOOKUP($A409,'【随時メンテ】工事請負約款（原文）'!$B$2:$C$835,2,FALSE)&amp;""</f>
        <v>２　発注者は、前項の規定による通知を受けたときは、通知を受けた日から14日以内に受注者の立会いの上、設計図書に定める</v>
      </c>
    </row>
    <row r="410" spans="1:2" ht="18.75" customHeight="1">
      <c r="A410" s="93">
        <f t="shared" si="6"/>
        <v>406</v>
      </c>
      <c r="B410" s="93" t="str">
        <f>VLOOKUP($A410,'【随時メンテ】工事請負約款（原文）'!$B$2:$C$835,2,FALSE)&amp;""</f>
        <v>　ところにより、工事の完成を確認するための検査を完了し、当該検査の結果を受注者に通知しなければならない。この場合に</v>
      </c>
    </row>
    <row r="411" spans="1:2" ht="18.75" customHeight="1">
      <c r="A411" s="93">
        <f t="shared" si="6"/>
        <v>407</v>
      </c>
      <c r="B411" s="93" t="str">
        <f>VLOOKUP($A411,'【随時メンテ】工事請負約款（原文）'!$B$2:$C$835,2,FALSE)&amp;""</f>
        <v>　おいて、発注者は、必要があると認められるときは、その理由を受注者に通知して、工事目的物を最小限度破壊して検査する</v>
      </c>
    </row>
    <row r="412" spans="1:2" ht="18.75" customHeight="1">
      <c r="A412" s="93">
        <f t="shared" si="6"/>
        <v>408</v>
      </c>
      <c r="B412" s="93" t="str">
        <f>VLOOKUP($A412,'【随時メンテ】工事請負約款（原文）'!$B$2:$C$835,2,FALSE)&amp;""</f>
        <v>　ことができる。</v>
      </c>
    </row>
    <row r="413" spans="1:2" ht="18.75" customHeight="1">
      <c r="A413" s="93">
        <f t="shared" si="6"/>
        <v>409</v>
      </c>
      <c r="B413" s="93" t="str">
        <f>VLOOKUP($A413,'【随時メンテ】工事請負約款（原文）'!$B$2:$C$835,2,FALSE)&amp;""</f>
        <v>３　前項の場合において、検査又は復旧に直接要する費用は、受注者の負担とする。</v>
      </c>
    </row>
    <row r="414" spans="1:2" ht="18.75" customHeight="1">
      <c r="A414" s="93">
        <f t="shared" si="6"/>
        <v>410</v>
      </c>
      <c r="B414" s="93" t="str">
        <f>VLOOKUP($A414,'【随時メンテ】工事請負約款（原文）'!$B$2:$C$835,2,FALSE)&amp;""</f>
        <v>４　発注者は、第２項の検査によって工事の完成を確認した後、受注者が工事目的物の引渡しを申し出たときは、直ちに当該工</v>
      </c>
    </row>
    <row r="415" spans="1:2" ht="18.75" customHeight="1">
      <c r="A415" s="93">
        <f t="shared" si="6"/>
        <v>411</v>
      </c>
      <c r="B415" s="93" t="str">
        <f>VLOOKUP($A415,'【随時メンテ】工事請負約款（原文）'!$B$2:$C$835,2,FALSE)&amp;""</f>
        <v>　事目的物の引渡しを受けなければならない。</v>
      </c>
    </row>
    <row r="416" spans="1:2" ht="18.75" customHeight="1">
      <c r="A416" s="93">
        <f t="shared" si="6"/>
        <v>412</v>
      </c>
      <c r="B416" s="93" t="str">
        <f>VLOOKUP($A416,'【随時メンテ】工事請負約款（原文）'!$B$2:$C$835,2,FALSE)&amp;""</f>
        <v>５　発注者は、受注者が前項の申出を行わないときは、当該工事目的物の引渡しを請負代金の支払の完了と同時に行うことを請</v>
      </c>
    </row>
    <row r="417" spans="1:2" ht="18.75" customHeight="1">
      <c r="A417" s="93">
        <f t="shared" si="6"/>
        <v>413</v>
      </c>
      <c r="B417" s="93" t="str">
        <f>VLOOKUP($A417,'【随時メンテ】工事請負約款（原文）'!$B$2:$C$835,2,FALSE)&amp;""</f>
        <v>　求することができる。この場合においては、受注者は、当該請求に直ちに応じなければならない。</v>
      </c>
    </row>
    <row r="418" spans="1:2" ht="18.75" customHeight="1">
      <c r="A418" s="93">
        <f t="shared" si="6"/>
        <v>414</v>
      </c>
      <c r="B418" s="93" t="str">
        <f>VLOOKUP($A418,'【随時メンテ】工事請負約款（原文）'!$B$2:$C$835,2,FALSE)&amp;""</f>
        <v>６　受注者は、工事が第２項の検査に合格しないときは、直ちに修補して発注者の検査を受けなければならない。この場合にお</v>
      </c>
    </row>
    <row r="419" spans="1:2" ht="18.75" customHeight="1">
      <c r="A419" s="93">
        <f t="shared" si="6"/>
        <v>415</v>
      </c>
      <c r="B419" s="93" t="str">
        <f>VLOOKUP($A419,'【随時メンテ】工事請負約款（原文）'!$B$2:$C$835,2,FALSE)&amp;""</f>
        <v>　いては、修補の完了を工事の完成とみなして前各項の規定を適用する。</v>
      </c>
    </row>
    <row r="420" spans="1:2" ht="18.75" customHeight="1">
      <c r="A420" s="93">
        <f t="shared" si="6"/>
        <v>416</v>
      </c>
      <c r="B420" s="93" t="str">
        <f>VLOOKUP($A420,'【随時メンテ】工事請負約款（原文）'!$B$2:$C$835,2,FALSE)&amp;""</f>
        <v/>
      </c>
    </row>
    <row r="421" spans="1:2" ht="18.75" customHeight="1">
      <c r="A421" s="93">
        <f t="shared" si="6"/>
        <v>417</v>
      </c>
      <c r="B421" s="93" t="str">
        <f>VLOOKUP($A421,'【随時メンテ】工事請負約款（原文）'!$B$2:$C$835,2,FALSE)&amp;""</f>
        <v>　（請負代金の支払）</v>
      </c>
    </row>
    <row r="422" spans="1:2" ht="18.75" customHeight="1">
      <c r="A422" s="93">
        <f t="shared" si="6"/>
        <v>418</v>
      </c>
      <c r="B422" s="93" t="str">
        <f>VLOOKUP($A422,'【随時メンテ】工事請負約款（原文）'!$B$2:$C$835,2,FALSE)&amp;""</f>
        <v>第32条　受注者は、前条第２項の検査に合格したときは、請負代金の支払を請求することができる。</v>
      </c>
    </row>
    <row r="423" spans="1:2" ht="18.75" customHeight="1">
      <c r="A423" s="93">
        <f t="shared" si="6"/>
        <v>419</v>
      </c>
      <c r="B423" s="93" t="str">
        <f>VLOOKUP($A423,'【随時メンテ】工事請負約款（原文）'!$B$2:$C$835,2,FALSE)&amp;""</f>
        <v>２　発注者は、前項の規定による請求があったときは、請求を受けた日から40日以内に請負代金を支払わなければならない。</v>
      </c>
    </row>
    <row r="424" spans="1:2" ht="18.75" customHeight="1">
      <c r="A424" s="93">
        <f t="shared" si="6"/>
        <v>420</v>
      </c>
      <c r="B424" s="93" t="str">
        <f>VLOOKUP($A424,'【随時メンテ】工事請負約款（原文）'!$B$2:$C$835,2,FALSE)&amp;""</f>
        <v>３　発注者がその責めに帰すべき事由により前条第２項の期間内に検査をしないときは、その期限を経過した日から検査をした</v>
      </c>
    </row>
    <row r="425" spans="1:2" ht="18.75" customHeight="1">
      <c r="A425" s="93">
        <f t="shared" si="6"/>
        <v>421</v>
      </c>
      <c r="B425" s="93" t="str">
        <f>VLOOKUP($A425,'【随時メンテ】工事請負約款（原文）'!$B$2:$C$835,2,FALSE)&amp;""</f>
        <v>　日までの期間の日数は、前項の期間（以下この項において「約定期間」という。）の日数から差し引くものとする。この場合</v>
      </c>
    </row>
    <row r="426" spans="1:2" ht="18.75" customHeight="1">
      <c r="A426" s="93">
        <f t="shared" si="6"/>
        <v>422</v>
      </c>
      <c r="B426" s="93" t="str">
        <f>VLOOKUP($A426,'【随時メンテ】工事請負約款（原文）'!$B$2:$C$835,2,FALSE)&amp;""</f>
        <v>　において、その遅延日数が約定期間の日数を超えるときは、約定期間は、遅延日数が約定期間の日数を超えた日において満了</v>
      </c>
    </row>
    <row r="427" spans="1:2" ht="18.75" customHeight="1">
      <c r="A427" s="93">
        <f t="shared" si="6"/>
        <v>423</v>
      </c>
      <c r="B427" s="93" t="str">
        <f>VLOOKUP($A427,'【随時メンテ】工事請負約款（原文）'!$B$2:$C$835,2,FALSE)&amp;""</f>
        <v>　したものとみなす。</v>
      </c>
    </row>
    <row r="428" spans="1:2" ht="18.75" customHeight="1">
      <c r="A428" s="93">
        <f t="shared" si="6"/>
        <v>424</v>
      </c>
      <c r="B428" s="93" t="str">
        <f>VLOOKUP($A428,'【随時メンテ】工事請負約款（原文）'!$B$2:$C$835,2,FALSE)&amp;""</f>
        <v/>
      </c>
    </row>
    <row r="429" spans="1:2" ht="18.75" customHeight="1">
      <c r="A429" s="93">
        <f t="shared" si="6"/>
        <v>425</v>
      </c>
      <c r="B429" s="93" t="str">
        <f>VLOOKUP($A429,'【随時メンテ】工事請負約款（原文）'!$B$2:$C$835,2,FALSE)&amp;""</f>
        <v>　（部分使用）</v>
      </c>
    </row>
    <row r="430" spans="1:2" ht="18.75" customHeight="1">
      <c r="A430" s="93">
        <f t="shared" si="6"/>
        <v>426</v>
      </c>
      <c r="B430" s="93" t="str">
        <f>VLOOKUP($A430,'【随時メンテ】工事請負約款（原文）'!$B$2:$C$835,2,FALSE)&amp;""</f>
        <v>第33条　発注者は、第31条第４項又は第５項の規定による引渡し前においても、工事目的物の全部又は一部を受注者の承諾を得</v>
      </c>
    </row>
    <row r="431" spans="1:2" ht="18.75" customHeight="1">
      <c r="A431" s="93">
        <f t="shared" si="6"/>
        <v>427</v>
      </c>
      <c r="B431" s="93" t="str">
        <f>VLOOKUP($A431,'【随時メンテ】工事請負約款（原文）'!$B$2:$C$835,2,FALSE)&amp;""</f>
        <v>　て使用することができる。</v>
      </c>
    </row>
    <row r="432" spans="1:2" ht="18.75" customHeight="1">
      <c r="A432" s="93">
        <f t="shared" si="6"/>
        <v>428</v>
      </c>
      <c r="B432" s="93" t="str">
        <f>VLOOKUP($A432,'【随時メンテ】工事請負約款（原文）'!$B$2:$C$835,2,FALSE)&amp;""</f>
        <v>２　前項の場合においては、発注者は、その使用部分を善良な管理者の注意をもって使用しなければならない。</v>
      </c>
    </row>
    <row r="433" spans="1:2" ht="18.75" customHeight="1">
      <c r="A433" s="93">
        <f t="shared" si="6"/>
        <v>429</v>
      </c>
      <c r="B433" s="93" t="str">
        <f>VLOOKUP($A433,'【随時メンテ】工事請負約款（原文）'!$B$2:$C$835,2,FALSE)&amp;""</f>
        <v>３　発注者は、第１項の規定により工事目的物の全部又は一部を使用したことによって受注者に損害を及ぼしたときは、必要な</v>
      </c>
    </row>
    <row r="434" spans="1:2" ht="18.75" customHeight="1">
      <c r="A434" s="93">
        <f t="shared" si="6"/>
        <v>430</v>
      </c>
      <c r="B434" s="93" t="str">
        <f>VLOOKUP($A434,'【随時メンテ】工事請負約款（原文）'!$B$2:$C$835,2,FALSE)&amp;""</f>
        <v>　費用を負担しなければならない。</v>
      </c>
    </row>
    <row r="435" spans="1:2" ht="18.75" customHeight="1">
      <c r="A435" s="93">
        <f t="shared" si="6"/>
        <v>431</v>
      </c>
      <c r="B435" s="93" t="str">
        <f>VLOOKUP($A435,'【随時メンテ】工事請負約款（原文）'!$B$2:$C$835,2,FALSE)&amp;""</f>
        <v/>
      </c>
    </row>
    <row r="436" spans="1:2" ht="18.75" customHeight="1">
      <c r="A436" s="93">
        <f t="shared" si="6"/>
        <v>432</v>
      </c>
      <c r="B436" s="93" t="str">
        <f>VLOOKUP($A436,'【随時メンテ】工事請負約款（原文）'!$B$2:$C$835,2,FALSE)&amp;""</f>
        <v>　（前金払）</v>
      </c>
    </row>
    <row r="437" spans="1:2" ht="18.75" customHeight="1">
      <c r="A437" s="93">
        <f t="shared" si="6"/>
        <v>433</v>
      </c>
      <c r="B437" s="93" t="str">
        <f>VLOOKUP($A437,'【随時メンテ】工事請負約款（原文）'!$B$2:$C$835,2,FALSE)&amp;""</f>
        <v>第34条　受注者は、保証事業会社と、契約書記載の工事完成の時期を保証期限とする公共工事の前払金保証事業に関する法律第</v>
      </c>
    </row>
    <row r="438" spans="1:2" ht="18.75" customHeight="1">
      <c r="A438" s="93">
        <f t="shared" si="6"/>
        <v>434</v>
      </c>
      <c r="B438" s="93" t="str">
        <f>VLOOKUP($A438,'【随時メンテ】工事請負約款（原文）'!$B$2:$C$835,2,FALSE)&amp;""</f>
        <v>　２条第５項に規定する保証契約（以下「保証契約」という。）を締結し、その保証証書を発注者に寄託して、請負代金額の10</v>
      </c>
    </row>
    <row r="439" spans="1:2" ht="18.75" customHeight="1">
      <c r="A439" s="93">
        <f t="shared" si="6"/>
        <v>435</v>
      </c>
      <c r="B439" s="93" t="str">
        <f>VLOOKUP($A439,'【随時メンテ】工事請負約款（原文）'!$B$2:$C$835,2,FALSE)&amp;""</f>
        <v>　分の４以内の前払金の支払をこの契約締結の日から30日以内に発注者に請求することができる。</v>
      </c>
    </row>
    <row r="440" spans="1:2" ht="18.75" customHeight="1">
      <c r="A440" s="93">
        <f t="shared" si="6"/>
        <v>436</v>
      </c>
      <c r="B440" s="93" t="str">
        <f>VLOOKUP($A440,'【随時メンテ】工事請負約款（原文）'!$B$2:$C$835,2,FALSE)&amp;""</f>
        <v>２　受注者は、前項の規定による保証証書の寄託に代えて、電磁的方法であって、当該保証契約の相手方たる保証事業会社が定</v>
      </c>
    </row>
    <row r="441" spans="1:2" ht="18.75" customHeight="1">
      <c r="A441" s="93">
        <f t="shared" si="6"/>
        <v>437</v>
      </c>
      <c r="B441" s="93" t="str">
        <f>VLOOKUP($A441,'【随時メンテ】工事請負約款（原文）'!$B$2:$C$835,2,FALSE)&amp;""</f>
        <v>　め、発注者が認めた措置を講ずることができる。この場合において、受注者は、当該保証証書を寄託したものとみなす。</v>
      </c>
    </row>
    <row r="442" spans="1:2" ht="18.75" customHeight="1">
      <c r="A442" s="93">
        <f t="shared" si="6"/>
        <v>438</v>
      </c>
      <c r="B442" s="93" t="str">
        <f>VLOOKUP($A442,'【随時メンテ】工事請負約款（原文）'!$B$2:$C$835,2,FALSE)&amp;""</f>
        <v>３　発注者は、第１項の規定による請求があったときは、請求を受けた日から20日以内に前払金を支払わなければならない。</v>
      </c>
    </row>
    <row r="443" spans="1:2" ht="18.75" customHeight="1">
      <c r="A443" s="93">
        <f t="shared" si="6"/>
        <v>439</v>
      </c>
      <c r="B443" s="93" t="str">
        <f>VLOOKUP($A443,'【随時メンテ】工事請負約款（原文）'!$B$2:$C$835,2,FALSE)&amp;""</f>
        <v>４　受注者は、請負代金額が著しく増額された場合においては、その増額後の請負代金額の10分の４から受領済みの前払金額を</v>
      </c>
    </row>
    <row r="444" spans="1:2" ht="18.75" customHeight="1">
      <c r="A444" s="93">
        <f t="shared" si="6"/>
        <v>440</v>
      </c>
      <c r="B444" s="93" t="str">
        <f>VLOOKUP($A444,'【随時メンテ】工事請負約款（原文）'!$B$2:$C$835,2,FALSE)&amp;""</f>
        <v>　差し引いた額に相当する額の範囲内で前払金の支払を請求することができる。この場合においては、前項の規定を準用する。</v>
      </c>
    </row>
    <row r="445" spans="1:2" ht="18.75" customHeight="1">
      <c r="A445" s="93">
        <f t="shared" si="6"/>
        <v>441</v>
      </c>
      <c r="B445" s="93" t="str">
        <f>VLOOKUP($A445,'【随時メンテ】工事請負約款（原文）'!$B$2:$C$835,2,FALSE)&amp;""</f>
        <v>５　受注者は、請負代金額が著しく減額された場合において、受領済みの前払金額が減額後の請負代金額の10分の５を超えると</v>
      </c>
    </row>
    <row r="446" spans="1:2" ht="18.75" customHeight="1">
      <c r="A446" s="93">
        <f t="shared" si="6"/>
        <v>442</v>
      </c>
      <c r="B446" s="93" t="str">
        <f>VLOOKUP($A446,'【随時メンテ】工事請負約款（原文）'!$B$2:$C$835,2,FALSE)&amp;""</f>
        <v>　きは、請負代金額が減額された日から30日以内にその超過額を返還しなければならない。</v>
      </c>
    </row>
    <row r="447" spans="1:2" ht="18.75" customHeight="1">
      <c r="A447" s="93">
        <f t="shared" si="6"/>
        <v>443</v>
      </c>
      <c r="B447" s="93" t="str">
        <f>VLOOKUP($A447,'【随時メンテ】工事請負約款（原文）'!$B$2:$C$835,2,FALSE)&amp;""</f>
        <v>６　前項の超過額が相当の額に達し、返還することが前払金の使用状況からみて著しく不適当であると認められるときは、発注</v>
      </c>
    </row>
    <row r="448" spans="1:2" ht="18.75" customHeight="1">
      <c r="A448" s="93">
        <f t="shared" si="6"/>
        <v>444</v>
      </c>
      <c r="B448" s="93" t="str">
        <f>VLOOKUP($A448,'【随時メンテ】工事請負約款（原文）'!$B$2:$C$835,2,FALSE)&amp;""</f>
        <v>　者と受注者とが協議して返還すべき超過額を定める。ただし、請負代金額が減額された日から14日以内に協議が整わない場合</v>
      </c>
    </row>
    <row r="449" spans="1:2" ht="18.75" customHeight="1">
      <c r="A449" s="93">
        <f t="shared" si="6"/>
        <v>445</v>
      </c>
      <c r="B449" s="93" t="str">
        <f>VLOOKUP($A449,'【随時メンテ】工事請負約款（原文）'!$B$2:$C$835,2,FALSE)&amp;""</f>
        <v>　には、発注者が定め、受注者に通知する。</v>
      </c>
    </row>
    <row r="450" spans="1:2" ht="18.75" customHeight="1">
      <c r="A450" s="93">
        <f t="shared" si="6"/>
        <v>446</v>
      </c>
      <c r="B450" s="93" t="str">
        <f>VLOOKUP($A450,'【随時メンテ】工事請負約款（原文）'!$B$2:$C$835,2,FALSE)&amp;""</f>
        <v>７　発注者は、受注者が第５項の期間内に超過額を返還しなかったときは、その未返還額につき、同項の期間を経過した日から</v>
      </c>
    </row>
    <row r="451" spans="1:2" ht="18.75" customHeight="1">
      <c r="A451" s="93">
        <f t="shared" si="6"/>
        <v>447</v>
      </c>
      <c r="B451" s="93" t="str">
        <f>VLOOKUP($A451,'【随時メンテ】工事請負約款（原文）'!$B$2:$C$835,2,FALSE)&amp;""</f>
        <v>　返還をする日までの期間について、その日数に応じ、政府契約の支払遅延防止等に関する法律（昭和24年法律第256号）第８条</v>
      </c>
    </row>
    <row r="452" spans="1:2" ht="18.75" customHeight="1">
      <c r="A452" s="93">
        <f t="shared" si="6"/>
        <v>448</v>
      </c>
      <c r="B452" s="93" t="str">
        <f>VLOOKUP($A452,'【随時メンテ】工事請負約款（原文）'!$B$2:$C$835,2,FALSE)&amp;""</f>
        <v>　第１項の規定により財務大臣が決定する率（以下「財務大臣の決定する率」という。）の割合で計算した額の遅延利息の支払</v>
      </c>
    </row>
    <row r="453" spans="1:2" ht="18.75" customHeight="1">
      <c r="A453" s="93">
        <f t="shared" si="6"/>
        <v>449</v>
      </c>
      <c r="B453" s="93" t="str">
        <f>VLOOKUP($A453,'【随時メンテ】工事請負約款（原文）'!$B$2:$C$835,2,FALSE)&amp;""</f>
        <v>　を請求することができる。</v>
      </c>
    </row>
    <row r="454" spans="1:2" ht="18.75" customHeight="1">
      <c r="A454" s="93">
        <f t="shared" si="6"/>
        <v>450</v>
      </c>
      <c r="B454" s="93" t="str">
        <f>VLOOKUP($A454,'【随時メンテ】工事請負約款（原文）'!$B$2:$C$835,2,FALSE)&amp;""</f>
        <v/>
      </c>
    </row>
    <row r="455" spans="1:2" ht="18.75" customHeight="1">
      <c r="A455" s="93">
        <f t="shared" ref="A455:A518" si="7">ROW()-$A$2</f>
        <v>451</v>
      </c>
      <c r="B455" s="93" t="str">
        <f>VLOOKUP($A455,'【随時メンテ】工事請負約款（原文）'!$B$2:$C$835,2,FALSE)&amp;""</f>
        <v>　（中間前金払）</v>
      </c>
    </row>
    <row r="456" spans="1:2" ht="18.75" customHeight="1">
      <c r="A456" s="93">
        <f t="shared" si="7"/>
        <v>452</v>
      </c>
      <c r="B456" s="93" t="str">
        <f>VLOOKUP($A456,'【随時メンテ】工事請負約款（原文）'!$B$2:$C$835,2,FALSE)&amp;""</f>
        <v>第35条　受注者は、前条第１項の規定により前払金の支払を受けた後、保証事業会社と中間前払金に関し、契約書記載の工事完</v>
      </c>
    </row>
    <row r="457" spans="1:2" ht="18.75" customHeight="1">
      <c r="A457" s="93">
        <f t="shared" si="7"/>
        <v>453</v>
      </c>
      <c r="B457" s="93" t="str">
        <f>VLOOKUP($A457,'【随時メンテ】工事請負約款（原文）'!$B$2:$C$835,2,FALSE)&amp;""</f>
        <v>　成の時期を保証期限とする保証契約を締結し、その保証証書を発注者に寄託して、請負代金額の10分の２以内の中間前払金の</v>
      </c>
    </row>
    <row r="458" spans="1:2" ht="18.75" customHeight="1">
      <c r="A458" s="93">
        <f t="shared" si="7"/>
        <v>454</v>
      </c>
      <c r="B458" s="93" t="str">
        <f>VLOOKUP($A458,'【随時メンテ】工事請負約款（原文）'!$B$2:$C$835,2,FALSE)&amp;""</f>
        <v>　支払を発注者に請求することができる。この場合においては、前条第３項の規定を準用する。</v>
      </c>
    </row>
    <row r="459" spans="1:2" ht="18.75" customHeight="1">
      <c r="A459" s="93">
        <f t="shared" si="7"/>
        <v>455</v>
      </c>
      <c r="B459" s="93" t="str">
        <f>VLOOKUP($A459,'【随時メンテ】工事請負約款（原文）'!$B$2:$C$835,2,FALSE)&amp;""</f>
        <v>２　受注者は、前項の規定による保証証書の寄託に代えて、電磁的方法であって、当該保証契約の相手方たる保証事業会社が定</v>
      </c>
    </row>
    <row r="460" spans="1:2" ht="18.75" customHeight="1">
      <c r="A460" s="93">
        <f t="shared" si="7"/>
        <v>456</v>
      </c>
      <c r="B460" s="93" t="str">
        <f>VLOOKUP($A460,'【随時メンテ】工事請負約款（原文）'!$B$2:$C$835,2,FALSE)&amp;""</f>
        <v>　め、発注者が認めた措置を講ずることができる。この場合において、受注者は、当該保証証書を寄託したものとみなす。</v>
      </c>
    </row>
    <row r="461" spans="1:2" ht="18.75" customHeight="1">
      <c r="A461" s="93">
        <f t="shared" si="7"/>
        <v>457</v>
      </c>
      <c r="B461" s="93" t="str">
        <f>VLOOKUP($A461,'【随時メンテ】工事請負約款（原文）'!$B$2:$C$835,2,FALSE)&amp;""</f>
        <v>３　受注者は、第１項の中間前払金の支払を請求しようとするときは、あらかじめ、発注者又は発注者の指定する者の中間前金</v>
      </c>
    </row>
    <row r="462" spans="1:2" ht="18.75" customHeight="1">
      <c r="A462" s="93">
        <f t="shared" si="7"/>
        <v>458</v>
      </c>
      <c r="B462" s="93" t="str">
        <f>VLOOKUP($A462,'【随時メンテ】工事請負約款（原文）'!$B$2:$C$835,2,FALSE)&amp;""</f>
        <v>　払に係る認定を受けなければならない。この場合において、発注者又は発注者の指定する者は、受注者の請求があったときは、</v>
      </c>
    </row>
    <row r="463" spans="1:2" ht="18.75" customHeight="1">
      <c r="A463" s="93">
        <f t="shared" si="7"/>
        <v>459</v>
      </c>
      <c r="B463" s="93" t="str">
        <f>VLOOKUP($A463,'【随時メンテ】工事請負約款（原文）'!$B$2:$C$835,2,FALSE)&amp;""</f>
        <v>　直ちに認定を行い、当該認定の結果を受注者に通知しなければならない。</v>
      </c>
    </row>
    <row r="464" spans="1:2" ht="18.75" customHeight="1">
      <c r="A464" s="93">
        <f t="shared" si="7"/>
        <v>460</v>
      </c>
      <c r="B464" s="93" t="str">
        <f>VLOOKUP($A464,'【随時メンテ】工事請負約款（原文）'!$B$2:$C$835,2,FALSE)&amp;""</f>
        <v>４　前条第４項から第７項までの規定は、受注者が中間前払金の支払を受けた場合について準用する。この場合において、同条</v>
      </c>
    </row>
    <row r="465" spans="1:2" ht="18.75" customHeight="1">
      <c r="A465" s="93">
        <f t="shared" si="7"/>
        <v>461</v>
      </c>
      <c r="B465" s="93" t="str">
        <f>VLOOKUP($A465,'【随時メンテ】工事請負約款（原文）'!$B$2:$C$835,2,FALSE)&amp;""</f>
        <v>　第４項中「10分の４」とあるのは「10分の６」と、「前払金額」とあるのは「前払金額（中間前払金額を含む｡)」と、「前払</v>
      </c>
    </row>
    <row r="466" spans="1:2" ht="18.75" customHeight="1">
      <c r="A466" s="93">
        <f t="shared" si="7"/>
        <v>462</v>
      </c>
      <c r="B466" s="93" t="str">
        <f>VLOOKUP($A466,'【随時メンテ】工事請負約款（原文）'!$B$2:$C$835,2,FALSE)&amp;""</f>
        <v>　金」とあるのは「前払金（中間前払金を含む。）」と、同条第５項中「前払金額」とあるのは「前払金額（中間前払金額を含</v>
      </c>
    </row>
    <row r="467" spans="1:2" ht="18.75" customHeight="1">
      <c r="A467" s="93">
        <f t="shared" si="7"/>
        <v>463</v>
      </c>
      <c r="B467" s="93" t="str">
        <f>VLOOKUP($A467,'【随時メンテ】工事請負約款（原文）'!$B$2:$C$835,2,FALSE)&amp;""</f>
        <v>　む｡)」と、「10分の５」とあるのは「10分の６」と、同条第６項中「前払金」とあるのは「前払金（中間前払金を含む｡)」</v>
      </c>
    </row>
    <row r="468" spans="1:2" ht="18.75" customHeight="1">
      <c r="A468" s="93">
        <f t="shared" si="7"/>
        <v>464</v>
      </c>
      <c r="B468" s="93" t="str">
        <f>VLOOKUP($A468,'【随時メンテ】工事請負約款（原文）'!$B$2:$C$835,2,FALSE)&amp;""</f>
        <v>　と読み替えるものとする。</v>
      </c>
    </row>
    <row r="469" spans="1:2" ht="18.75" customHeight="1">
      <c r="A469" s="93">
        <f t="shared" si="7"/>
        <v>465</v>
      </c>
      <c r="B469" s="93" t="str">
        <f>VLOOKUP($A469,'【随時メンテ】工事請負約款（原文）'!$B$2:$C$835,2,FALSE)&amp;""</f>
        <v/>
      </c>
    </row>
    <row r="470" spans="1:2" ht="18.75" customHeight="1">
      <c r="A470" s="93">
        <f t="shared" si="7"/>
        <v>466</v>
      </c>
      <c r="B470" s="93" t="str">
        <f>VLOOKUP($A470,'【随時メンテ】工事請負約款（原文）'!$B$2:$C$835,2,FALSE)&amp;""</f>
        <v>　（保証契約の変更）</v>
      </c>
    </row>
    <row r="471" spans="1:2" ht="18.75" customHeight="1">
      <c r="A471" s="93">
        <f t="shared" si="7"/>
        <v>467</v>
      </c>
      <c r="B471" s="93" t="str">
        <f>VLOOKUP($A471,'【随時メンテ】工事請負約款（原文）'!$B$2:$C$835,2,FALSE)&amp;""</f>
        <v>第36条　受注者は、第34条第４項の規定により（前条第４項の規定により準用する場合を含む。）受領済みの前払金（中間前払</v>
      </c>
    </row>
    <row r="472" spans="1:2" ht="18.75" customHeight="1">
      <c r="A472" s="93">
        <f t="shared" si="7"/>
        <v>468</v>
      </c>
      <c r="B472" s="93" t="str">
        <f>VLOOKUP($A472,'【随時メンテ】工事請負約款（原文）'!$B$2:$C$835,2,FALSE)&amp;""</f>
        <v>　金を含む。以下同じ。）に追加してさらに前払金の支払を請求する場合には、あらかじめ、保証契約を変更し、変更後の保証</v>
      </c>
    </row>
    <row r="473" spans="1:2" ht="18.75" customHeight="1">
      <c r="A473" s="93">
        <f t="shared" si="7"/>
        <v>469</v>
      </c>
      <c r="B473" s="93" t="str">
        <f>VLOOKUP($A473,'【随時メンテ】工事請負約款（原文）'!$B$2:$C$835,2,FALSE)&amp;""</f>
        <v>　証書を発注者に寄託しなければならない。</v>
      </c>
    </row>
    <row r="474" spans="1:2" ht="18.75" customHeight="1">
      <c r="A474" s="93">
        <f t="shared" si="7"/>
        <v>470</v>
      </c>
      <c r="B474" s="93" t="str">
        <f>VLOOKUP($A474,'【随時メンテ】工事請負約款（原文）'!$B$2:$C$835,2,FALSE)&amp;""</f>
        <v>２　受注者は、前項に定める場合のほか、請負代金額が減額された場合において、保証契約を変更したときは、変更後の保証証</v>
      </c>
    </row>
    <row r="475" spans="1:2" ht="18.75" customHeight="1">
      <c r="A475" s="93">
        <f t="shared" si="7"/>
        <v>471</v>
      </c>
      <c r="B475" s="93" t="str">
        <f>VLOOKUP($A475,'【随時メンテ】工事請負約款（原文）'!$B$2:$C$835,2,FALSE)&amp;""</f>
        <v>　書を直ちに発注者に寄託しなければならない。</v>
      </c>
    </row>
    <row r="476" spans="1:2" ht="18.75" customHeight="1">
      <c r="A476" s="93">
        <f t="shared" si="7"/>
        <v>472</v>
      </c>
      <c r="B476" s="93" t="str">
        <f>VLOOKUP($A476,'【随時メンテ】工事請負約款（原文）'!$B$2:$C$835,2,FALSE)&amp;""</f>
        <v>３　受注者は、前２項の規定による保証証書の寄託に代えて、電磁的方法であって、当該保証契約の相手方たる保証事業会社が</v>
      </c>
    </row>
    <row r="477" spans="1:2" ht="18.75" customHeight="1">
      <c r="A477" s="93">
        <f t="shared" si="7"/>
        <v>473</v>
      </c>
      <c r="B477" s="93" t="str">
        <f>VLOOKUP($A477,'【随時メンテ】工事請負約款（原文）'!$B$2:$C$835,2,FALSE)&amp;""</f>
        <v>　定め、発注者が認めた措置を講ずることができる。この場合において、受注者は、当該保証証書を寄託したものとみなす。</v>
      </c>
    </row>
    <row r="478" spans="1:2" ht="18.75" customHeight="1">
      <c r="A478" s="93">
        <f t="shared" si="7"/>
        <v>474</v>
      </c>
      <c r="B478" s="93" t="str">
        <f>VLOOKUP($A478,'【随時メンテ】工事請負約款（原文）'!$B$2:$C$835,2,FALSE)&amp;""</f>
        <v>４　受注者は、前払金額（中間前払金額を含む。以下同じ。）の変更を伴わない工期の変更が行われた場合には、発注者に代わ</v>
      </c>
    </row>
    <row r="479" spans="1:2" ht="18.75" customHeight="1">
      <c r="A479" s="93">
        <f t="shared" si="7"/>
        <v>475</v>
      </c>
      <c r="B479" s="93" t="str">
        <f>VLOOKUP($A479,'【随時メンテ】工事請負約款（原文）'!$B$2:$C$835,2,FALSE)&amp;""</f>
        <v>　りその旨を保証事業会社に直ちに通知するものとする。</v>
      </c>
    </row>
    <row r="480" spans="1:2" ht="18.75" customHeight="1">
      <c r="A480" s="93">
        <f t="shared" si="7"/>
        <v>476</v>
      </c>
      <c r="B480" s="93" t="str">
        <f>VLOOKUP($A480,'【随時メンテ】工事請負約款（原文）'!$B$2:$C$835,2,FALSE)&amp;""</f>
        <v/>
      </c>
    </row>
    <row r="481" spans="1:2" ht="18.75" customHeight="1">
      <c r="A481" s="93">
        <f t="shared" si="7"/>
        <v>477</v>
      </c>
      <c r="B481" s="93" t="str">
        <f>VLOOKUP($A481,'【随時メンテ】工事請負約款（原文）'!$B$2:$C$835,2,FALSE)&amp;""</f>
        <v>　（前払金の使用等）</v>
      </c>
    </row>
    <row r="482" spans="1:2" ht="18.75" customHeight="1">
      <c r="A482" s="93">
        <f t="shared" si="7"/>
        <v>478</v>
      </c>
      <c r="B482" s="93" t="str">
        <f>VLOOKUP($A482,'【随時メンテ】工事請負約款（原文）'!$B$2:$C$835,2,FALSE)&amp;""</f>
        <v>第37条　受注者は、前払金をこの工事の材料費、労務費、機械器具の賃借料、機械購入費（この工事において償却される割合に</v>
      </c>
    </row>
    <row r="483" spans="1:2" ht="18.75" customHeight="1">
      <c r="A483" s="93">
        <f t="shared" si="7"/>
        <v>479</v>
      </c>
      <c r="B483" s="93" t="str">
        <f>VLOOKUP($A483,'【随時メンテ】工事請負約款（原文）'!$B$2:$C$835,2,FALSE)&amp;""</f>
        <v>　相当する額に限る｡)、動力費、支払運賃、修繕費、仮設費、労働者災害補償保険料及び保証料に相当する額として必要な経費</v>
      </c>
    </row>
    <row r="484" spans="1:2" ht="18.75" customHeight="1">
      <c r="A484" s="93">
        <f t="shared" si="7"/>
        <v>480</v>
      </c>
      <c r="B484" s="93" t="str">
        <f>VLOOKUP($A484,'【随時メンテ】工事請負約款（原文）'!$B$2:$C$835,2,FALSE)&amp;""</f>
        <v>　以外の支払に充当してはならない。ただし、前払金の100分の25を超える額及び中間前払金を除き、この工事の現場管理費及</v>
      </c>
    </row>
    <row r="485" spans="1:2" ht="18.75" customHeight="1">
      <c r="A485" s="93">
        <f t="shared" si="7"/>
        <v>481</v>
      </c>
      <c r="B485" s="93" t="str">
        <f>VLOOKUP($A485,'【随時メンテ】工事請負約款（原文）'!$B$2:$C$835,2,FALSE)&amp;""</f>
        <v>　び一般管理費等のうちこの工事の施工に要する費用に係る支払に充当することができる。</v>
      </c>
    </row>
    <row r="486" spans="1:2" ht="18.75" customHeight="1">
      <c r="A486" s="93">
        <f t="shared" si="7"/>
        <v>482</v>
      </c>
      <c r="B486" s="93" t="str">
        <f>VLOOKUP($A486,'【随時メンテ】工事請負約款（原文）'!$B$2:$C$835,2,FALSE)&amp;""</f>
        <v/>
      </c>
    </row>
    <row r="487" spans="1:2" ht="18.75" customHeight="1">
      <c r="A487" s="93">
        <f t="shared" si="7"/>
        <v>483</v>
      </c>
      <c r="B487" s="93" t="str">
        <f>VLOOKUP($A487,'【随時メンテ】工事請負約款（原文）'!$B$2:$C$835,2,FALSE)&amp;""</f>
        <v>　（部分払）</v>
      </c>
    </row>
    <row r="488" spans="1:2" ht="18.75" customHeight="1">
      <c r="A488" s="93">
        <f t="shared" si="7"/>
        <v>484</v>
      </c>
      <c r="B488" s="93" t="str">
        <f>VLOOKUP($A488,'【随時メンテ】工事請負約款（原文）'!$B$2:$C$835,2,FALSE)&amp;""</f>
        <v>第38条　受注者は、請負代金額が100万円以上の工事については、工事の完成前に、出来形部分並びに工事現場に搬入済みの</v>
      </c>
    </row>
    <row r="489" spans="1:2" ht="18.75" customHeight="1">
      <c r="A489" s="93">
        <f t="shared" si="7"/>
        <v>485</v>
      </c>
      <c r="B489" s="93" t="str">
        <f>VLOOKUP($A489,'【随時メンテ】工事請負約款（原文）'!$B$2:$C$835,2,FALSE)&amp;""</f>
        <v>　工事材料及び製造工場等にある工場製品（第13条第２項の規定により監督員の検査を要するものにあっては当該検査に合格</v>
      </c>
    </row>
    <row r="490" spans="1:2" ht="18.75" customHeight="1">
      <c r="A490" s="93">
        <f t="shared" si="7"/>
        <v>486</v>
      </c>
      <c r="B490" s="93" t="str">
        <f>VLOOKUP($A490,'【随時メンテ】工事請負約款（原文）'!$B$2:$C$835,2,FALSE)&amp;""</f>
        <v>　したもの、監督員の検査を要しないものにあっては設計図書で部分払の対象とすることを指定したものに限る。）に相応す</v>
      </c>
    </row>
    <row r="491" spans="1:2" ht="18.75" customHeight="1">
      <c r="A491" s="93">
        <f t="shared" si="7"/>
        <v>487</v>
      </c>
      <c r="B491" s="93" t="str">
        <f>VLOOKUP($A491,'【随時メンテ】工事請負約款（原文）'!$B$2:$C$835,2,FALSE)&amp;""</f>
        <v>　る請負代金相当額の10分の９以内の額について、次項から第７項までに定めるところにより部分払を請求することができる。</v>
      </c>
    </row>
    <row r="492" spans="1:2" ht="18.75" customHeight="1">
      <c r="A492" s="93">
        <f t="shared" si="7"/>
        <v>488</v>
      </c>
      <c r="B492" s="93" t="str">
        <f>VLOOKUP($A492,'【随時メンテ】工事請負約款（原文）'!$B$2:$C$835,2,FALSE)&amp;""</f>
        <v>　ただし、この請求は、工期中　　　　　　　　回を超えることができない。</v>
      </c>
    </row>
    <row r="493" spans="1:2" ht="18.75" customHeight="1">
      <c r="A493" s="93">
        <f t="shared" si="7"/>
        <v>489</v>
      </c>
      <c r="B493" s="93" t="str">
        <f>VLOOKUP($A493,'【随時メンテ】工事請負約款（原文）'!$B$2:$C$835,2,FALSE)&amp;""</f>
        <v>２　受注者は、部分払を請求しようとするときは、あらかじめ、当該請求に係る出来形部分又は工事現場に搬入済みの工事材料</v>
      </c>
    </row>
    <row r="494" spans="1:2" ht="18.75" customHeight="1">
      <c r="A494" s="93">
        <f t="shared" si="7"/>
        <v>490</v>
      </c>
      <c r="B494" s="93" t="str">
        <f>VLOOKUP($A494,'【随時メンテ】工事請負約款（原文）'!$B$2:$C$835,2,FALSE)&amp;""</f>
        <v>　若しくは製造工場等にある工場製品の確認を発注者に請求しなければならない。</v>
      </c>
    </row>
    <row r="495" spans="1:2" ht="18.75" customHeight="1">
      <c r="A495" s="93">
        <f t="shared" si="7"/>
        <v>491</v>
      </c>
      <c r="B495" s="93" t="str">
        <f>VLOOKUP($A495,'【随時メンテ】工事請負約款（原文）'!$B$2:$C$835,2,FALSE)&amp;""</f>
        <v>３　発注者は、前項の場合において、当該請求を受けた日から14日以内に、受注者の立会いの上、設計図書に定めるところによ</v>
      </c>
    </row>
    <row r="496" spans="1:2" ht="18.75" customHeight="1">
      <c r="A496" s="93">
        <f t="shared" si="7"/>
        <v>492</v>
      </c>
      <c r="B496" s="93" t="str">
        <f>VLOOKUP($A496,'【随時メンテ】工事請負約款（原文）'!$B$2:$C$835,2,FALSE)&amp;""</f>
        <v>　り、同項の確認をするための検査を行い、当該確認の結果を受注者に通知しなければならない。この場合において、発注者は、</v>
      </c>
    </row>
    <row r="497" spans="1:2" ht="18.75" customHeight="1">
      <c r="A497" s="93">
        <f t="shared" si="7"/>
        <v>493</v>
      </c>
      <c r="B497" s="93" t="str">
        <f>VLOOKUP($A497,'【随時メンテ】工事請負約款（原文）'!$B$2:$C$835,2,FALSE)&amp;""</f>
        <v>　必要があると認められるときは、その理由を受注者に通知して、出来形部分を最小限度破壊して検査することができる。</v>
      </c>
    </row>
    <row r="498" spans="1:2" ht="18.75" customHeight="1">
      <c r="A498" s="93">
        <f t="shared" si="7"/>
        <v>494</v>
      </c>
      <c r="B498" s="93" t="str">
        <f>VLOOKUP($A498,'【随時メンテ】工事請負約款（原文）'!$B$2:$C$835,2,FALSE)&amp;""</f>
        <v>４　前項の場合において、検査又は復旧に直接要する費用は、受注者の負担とする。</v>
      </c>
    </row>
    <row r="499" spans="1:2" ht="18.75" customHeight="1">
      <c r="A499" s="93">
        <f t="shared" si="7"/>
        <v>495</v>
      </c>
      <c r="B499" s="93" t="str">
        <f>VLOOKUP($A499,'【随時メンテ】工事請負約款（原文）'!$B$2:$C$835,2,FALSE)&amp;""</f>
        <v>５　受注者は、第３項の規定による確認があったときは、部分払を請求することができる。この場合においては、発注者は、当</v>
      </c>
    </row>
    <row r="500" spans="1:2" ht="18.75" customHeight="1">
      <c r="A500" s="93">
        <f t="shared" si="7"/>
        <v>496</v>
      </c>
      <c r="B500" s="93" t="str">
        <f>VLOOKUP($A500,'【随時メンテ】工事請負約款（原文）'!$B$2:$C$835,2,FALSE)&amp;""</f>
        <v>　該請求を受けた日から20日以内に部分払金を支払わなければならない。</v>
      </c>
    </row>
    <row r="501" spans="1:2" ht="18.75" customHeight="1">
      <c r="A501" s="93">
        <f t="shared" si="7"/>
        <v>497</v>
      </c>
      <c r="B501" s="93" t="str">
        <f>VLOOKUP($A501,'【随時メンテ】工事請負約款（原文）'!$B$2:$C$835,2,FALSE)&amp;""</f>
        <v>６　部分払金の額は、次の式により算定する。この場合において第１項の請負代金相当額は、発注者と受注者とが協議して定め</v>
      </c>
    </row>
    <row r="502" spans="1:2" ht="18.75" customHeight="1">
      <c r="A502" s="93">
        <f t="shared" si="7"/>
        <v>498</v>
      </c>
      <c r="B502" s="93" t="str">
        <f>VLOOKUP($A502,'【随時メンテ】工事請負約款（原文）'!$B$2:$C$835,2,FALSE)&amp;""</f>
        <v>　る。ただし、発注者が第３項前段の通知をした日から10日以内に協議が整わない場合には、発注者が定め、受注者に通知する。</v>
      </c>
    </row>
    <row r="503" spans="1:2" ht="18.75" customHeight="1">
      <c r="A503" s="93">
        <f t="shared" si="7"/>
        <v>499</v>
      </c>
      <c r="B503" s="93" t="str">
        <f>VLOOKUP($A503,'【随時メンテ】工事請負約款（原文）'!$B$2:$C$835,2,FALSE)&amp;""</f>
        <v>　　部分払金の額≦第１項の請負代金相当額×（（９／10）－（前払金額／請負代金額））</v>
      </c>
    </row>
    <row r="504" spans="1:2" ht="18.75" customHeight="1">
      <c r="A504" s="93">
        <f t="shared" si="7"/>
        <v>500</v>
      </c>
      <c r="B504" s="93" t="str">
        <f>VLOOKUP($A504,'【随時メンテ】工事請負約款（原文）'!$B$2:$C$835,2,FALSE)&amp;""</f>
        <v>７　第５項の規定により部分払金の支払があった後、再度部分払の請求をする場合においては、第１項及び前項中「請負代金相</v>
      </c>
    </row>
    <row r="505" spans="1:2" ht="18.75" customHeight="1">
      <c r="A505" s="93">
        <f t="shared" si="7"/>
        <v>501</v>
      </c>
      <c r="B505" s="93" t="str">
        <f>VLOOKUP($A505,'【随時メンテ】工事請負約款（原文）'!$B$2:$C$835,2,FALSE)&amp;""</f>
        <v>　当額」とあるのは「請負代金相当額から既に部分払の対象となった請負代金相当額を控除した額」とするものとする。</v>
      </c>
    </row>
    <row r="506" spans="1:2" ht="18.75" customHeight="1">
      <c r="A506" s="93">
        <f t="shared" si="7"/>
        <v>502</v>
      </c>
      <c r="B506" s="93" t="str">
        <f>VLOOKUP($A506,'【随時メンテ】工事請負約款（原文）'!$B$2:$C$835,2,FALSE)&amp;""</f>
        <v/>
      </c>
    </row>
    <row r="507" spans="1:2" ht="18.75" customHeight="1">
      <c r="A507" s="93">
        <f t="shared" si="7"/>
        <v>503</v>
      </c>
      <c r="B507" s="93" t="str">
        <f>VLOOKUP($A507,'【随時メンテ】工事請負約款（原文）'!$B$2:$C$835,2,FALSE)&amp;""</f>
        <v>　（部分引渡し）</v>
      </c>
    </row>
    <row r="508" spans="1:2" ht="18.75" customHeight="1">
      <c r="A508" s="93">
        <f t="shared" si="7"/>
        <v>504</v>
      </c>
      <c r="B508" s="93" t="str">
        <f>VLOOKUP($A508,'【随時メンテ】工事請負約款（原文）'!$B$2:$C$835,2,FALSE)&amp;""</f>
        <v>第39条　工事目的物について、発注者が設計図書において工事の完成に先だって引渡しを受けるべきことを指定した部分（以下</v>
      </c>
    </row>
    <row r="509" spans="1:2" ht="18.75" customHeight="1">
      <c r="A509" s="93">
        <f t="shared" si="7"/>
        <v>505</v>
      </c>
      <c r="B509" s="93" t="str">
        <f>VLOOKUP($A509,'【随時メンテ】工事請負約款（原文）'!$B$2:$C$835,2,FALSE)&amp;""</f>
        <v>　「指定部分」という。）がある場合において、当該指定部分の工事が完了したときについては、第31条中「工事」とあるのは</v>
      </c>
    </row>
    <row r="510" spans="1:2" ht="18.75" customHeight="1">
      <c r="A510" s="93">
        <f t="shared" si="7"/>
        <v>506</v>
      </c>
      <c r="B510" s="93" t="str">
        <f>VLOOKUP($A510,'【随時メンテ】工事請負約款（原文）'!$B$2:$C$835,2,FALSE)&amp;""</f>
        <v>　「指定部分に係る工事」と、「工事目的物」とあるのは「指定部分に係る工事目的物」と、同条第５項及び第32条中「請負代</v>
      </c>
    </row>
    <row r="511" spans="1:2" ht="18.75" customHeight="1">
      <c r="A511" s="93">
        <f t="shared" si="7"/>
        <v>507</v>
      </c>
      <c r="B511" s="93" t="str">
        <f>VLOOKUP($A511,'【随時メンテ】工事請負約款（原文）'!$B$2:$C$835,2,FALSE)&amp;""</f>
        <v>　金」とあるのは「部分引渡しに係る請負代金」と読み替えて、これらの規定を準用する。</v>
      </c>
    </row>
    <row r="512" spans="1:2" ht="18.75" customHeight="1">
      <c r="A512" s="93">
        <f t="shared" si="7"/>
        <v>508</v>
      </c>
      <c r="B512" s="93" t="str">
        <f>VLOOKUP($A512,'【随時メンテ】工事請負約款（原文）'!$B$2:$C$835,2,FALSE)&amp;""</f>
        <v>２　前項の規定により準用される第32条第１項の規定により請求することができる部分引渡しに係る請負代金の額は、次の式に</v>
      </c>
    </row>
    <row r="513" spans="1:2" ht="18.75" customHeight="1">
      <c r="A513" s="93">
        <f t="shared" si="7"/>
        <v>509</v>
      </c>
      <c r="B513" s="93" t="str">
        <f>VLOOKUP($A513,'【随時メンテ】工事請負約款（原文）'!$B$2:$C$835,2,FALSE)&amp;""</f>
        <v>　より算定する。この場合において、指定部分に相応する請負代金の額は、発注者と受注者とが協議して定める。ただし、発注</v>
      </c>
    </row>
    <row r="514" spans="1:2" ht="18.75" customHeight="1">
      <c r="A514" s="93">
        <f t="shared" si="7"/>
        <v>510</v>
      </c>
      <c r="B514" s="93" t="str">
        <f>VLOOKUP($A514,'【随時メンテ】工事請負約款（原文）'!$B$2:$C$835,2,FALSE)&amp;""</f>
        <v>　者が前項の規定により準用される第31条第２項前段の通知をした日から14日以内に協議が整わない場合には、発注者が定め、</v>
      </c>
    </row>
    <row r="515" spans="1:2" ht="18.75" customHeight="1">
      <c r="A515" s="93">
        <f t="shared" si="7"/>
        <v>511</v>
      </c>
      <c r="B515" s="93" t="str">
        <f>VLOOKUP($A515,'【随時メンテ】工事請負約款（原文）'!$B$2:$C$835,2,FALSE)&amp;""</f>
        <v>　受注者に通知する。</v>
      </c>
    </row>
    <row r="516" spans="1:2" ht="18.75" customHeight="1">
      <c r="A516" s="93">
        <f t="shared" si="7"/>
        <v>512</v>
      </c>
      <c r="B516" s="93" t="str">
        <f>VLOOKUP($A516,'【随時メンテ】工事請負約款（原文）'!$B$2:$C$835,2,FALSE)&amp;""</f>
        <v>　　部分引渡しに係る請負代金の額＝指定部分に相応する請負代金の額×（１－（前払金額／請負代金額））</v>
      </c>
    </row>
    <row r="517" spans="1:2" ht="18.75" customHeight="1">
      <c r="A517" s="93">
        <f t="shared" si="7"/>
        <v>513</v>
      </c>
      <c r="B517" s="93" t="str">
        <f>VLOOKUP($A517,'【随時メンテ】工事請負約款（原文）'!$B$2:$C$835,2,FALSE)&amp;""</f>
        <v/>
      </c>
    </row>
    <row r="518" spans="1:2" ht="18.75" customHeight="1">
      <c r="A518" s="93">
        <f t="shared" si="7"/>
        <v>514</v>
      </c>
      <c r="B518" s="93" t="str">
        <f>VLOOKUP($A518,'【随時メンテ】工事請負約款（原文）'!$B$2:$C$835,2,FALSE)&amp;""</f>
        <v>　（債務負担行為に係る契約の特則）</v>
      </c>
    </row>
    <row r="519" spans="1:2" ht="18.75" customHeight="1">
      <c r="A519" s="93">
        <f t="shared" ref="A519:A582" si="8">ROW()-$A$2</f>
        <v>515</v>
      </c>
      <c r="B519" s="93" t="str">
        <f>VLOOKUP($A519,'【随時メンテ】工事請負約款（原文）'!$B$2:$C$835,2,FALSE)&amp;""</f>
        <v>第40条　債務負担行為に係る契約において、各会計年度における請負代金の支払の限度額（以下「支払限度額」という。）は、</v>
      </c>
    </row>
    <row r="520" spans="1:2" ht="18.75" customHeight="1">
      <c r="A520" s="93">
        <f t="shared" si="8"/>
        <v>516</v>
      </c>
      <c r="B520" s="93" t="str">
        <f>VLOOKUP($A520,'【随時メンテ】工事請負約款（原文）'!$B$2:$C$835,2,FALSE)&amp;""</f>
        <v>　次のとおりとする。</v>
      </c>
    </row>
    <row r="521" spans="1:2" ht="18.75" customHeight="1">
      <c r="A521" s="93">
        <f t="shared" si="8"/>
        <v>517</v>
      </c>
      <c r="B521" s="93" t="str">
        <f>VLOOKUP($A521,'【随時メンテ】工事請負約款（原文）'!$B$2:$C$835,2,FALSE)&amp;""</f>
        <v>　　　　　　　　　　年度　　　　　　　　　　　　　　円</v>
      </c>
    </row>
    <row r="522" spans="1:2" ht="18.75" customHeight="1">
      <c r="A522" s="93">
        <f t="shared" si="8"/>
        <v>518</v>
      </c>
      <c r="B522" s="93" t="str">
        <f>VLOOKUP($A522,'【随時メンテ】工事請負約款（原文）'!$B$2:$C$835,2,FALSE)&amp;""</f>
        <v>　　　　　　　　　　年度　　　　　　　　　　　　　　円</v>
      </c>
    </row>
    <row r="523" spans="1:2" ht="18.75" customHeight="1">
      <c r="A523" s="93">
        <f t="shared" si="8"/>
        <v>519</v>
      </c>
      <c r="B523" s="93" t="str">
        <f>VLOOKUP($A523,'【随時メンテ】工事請負約款（原文）'!$B$2:$C$835,2,FALSE)&amp;""</f>
        <v>　　　　　　　　　　年度　　　　　　　　　　　　　　円</v>
      </c>
    </row>
    <row r="524" spans="1:2" ht="18.75" customHeight="1">
      <c r="A524" s="93">
        <f t="shared" si="8"/>
        <v>520</v>
      </c>
      <c r="B524" s="93" t="str">
        <f>VLOOKUP($A524,'【随時メンテ】工事請負約款（原文）'!$B$2:$C$835,2,FALSE)&amp;""</f>
        <v>２　支払限度額に対応する各会計年度の出来高予定額は、次のとおりである。</v>
      </c>
    </row>
    <row r="525" spans="1:2" ht="18.75" customHeight="1">
      <c r="A525" s="93">
        <f t="shared" si="8"/>
        <v>521</v>
      </c>
      <c r="B525" s="93" t="str">
        <f>VLOOKUP($A525,'【随時メンテ】工事請負約款（原文）'!$B$2:$C$835,2,FALSE)&amp;""</f>
        <v>　　　　　　　　　　年度　　　　　　　　　　　　　　円</v>
      </c>
    </row>
    <row r="526" spans="1:2" ht="18.75" customHeight="1">
      <c r="A526" s="93">
        <f t="shared" si="8"/>
        <v>522</v>
      </c>
      <c r="B526" s="93" t="str">
        <f>VLOOKUP($A526,'【随時メンテ】工事請負約款（原文）'!$B$2:$C$835,2,FALSE)&amp;""</f>
        <v>　　　　　　　　　　年度　　　　　　　　　　　　　　円</v>
      </c>
    </row>
    <row r="527" spans="1:2" ht="18.75" customHeight="1">
      <c r="A527" s="93">
        <f t="shared" si="8"/>
        <v>523</v>
      </c>
      <c r="B527" s="93" t="str">
        <f>VLOOKUP($A527,'【随時メンテ】工事請負約款（原文）'!$B$2:$C$835,2,FALSE)&amp;""</f>
        <v>　　　　　　　　　　年度　　　　　　　　　　　　　　円</v>
      </c>
    </row>
    <row r="528" spans="1:2" ht="18.75" customHeight="1">
      <c r="A528" s="93">
        <f t="shared" si="8"/>
        <v>524</v>
      </c>
      <c r="B528" s="93" t="str">
        <f>VLOOKUP($A528,'【随時メンテ】工事請負約款（原文）'!$B$2:$C$835,2,FALSE)&amp;""</f>
        <v>３　発注者は、予算上の都合その他の必要があるときは、第１項の支払限度額及び前項の出来高予定額を変更することができる。</v>
      </c>
    </row>
    <row r="529" spans="1:2" ht="18.75" customHeight="1">
      <c r="A529" s="93">
        <f t="shared" si="8"/>
        <v>525</v>
      </c>
      <c r="B529" s="93" t="str">
        <f>VLOOKUP($A529,'【随時メンテ】工事請負約款（原文）'!$B$2:$C$835,2,FALSE)&amp;""</f>
        <v/>
      </c>
    </row>
    <row r="530" spans="1:2" ht="18.75" customHeight="1">
      <c r="A530" s="93">
        <f t="shared" si="8"/>
        <v>526</v>
      </c>
      <c r="B530" s="93" t="str">
        <f>VLOOKUP($A530,'【随時メンテ】工事請負約款（原文）'!$B$2:$C$835,2,FALSE)&amp;""</f>
        <v>　（債務負担行為に係る契約の前金払の特則）</v>
      </c>
    </row>
    <row r="531" spans="1:2" ht="18.75" customHeight="1">
      <c r="A531" s="93">
        <f t="shared" si="8"/>
        <v>527</v>
      </c>
      <c r="B531" s="93" t="str">
        <f>VLOOKUP($A531,'【随時メンテ】工事請負約款（原文）'!$B$2:$C$835,2,FALSE)&amp;""</f>
        <v>第41条　債務負担行為に係る契約の前金払については、第34条及び第35条中「契約書記載の工事完成の時期」とあるのは「契約</v>
      </c>
    </row>
    <row r="532" spans="1:2" ht="18.75" customHeight="1">
      <c r="A532" s="93">
        <f t="shared" si="8"/>
        <v>528</v>
      </c>
      <c r="B532" s="93" t="str">
        <f>VLOOKUP($A532,'【随時メンテ】工事請負約款（原文）'!$B$2:$C$835,2,FALSE)&amp;""</f>
        <v>　書記載の工事完成の時期（最終の会計年度以外の会計年度にあっては、各会計年度末)｣と、「この契約締結の日」とあるのは</v>
      </c>
    </row>
    <row r="533" spans="1:2" ht="18.75" customHeight="1">
      <c r="A533" s="93">
        <f t="shared" si="8"/>
        <v>529</v>
      </c>
      <c r="B533" s="93" t="str">
        <f>VLOOKUP($A533,'【随時メンテ】工事請負約款（原文）'!$B$2:$C$835,2,FALSE)&amp;""</f>
        <v>　「この契約締結の日（この契約を締結した会計年度（以下「契約会計年度」という。）以外の会計年度においては、予算の執</v>
      </c>
    </row>
    <row r="534" spans="1:2" ht="18.75" customHeight="1">
      <c r="A534" s="93">
        <f t="shared" si="8"/>
        <v>530</v>
      </c>
      <c r="B534" s="93" t="str">
        <f>VLOOKUP($A534,'【随時メンテ】工事請負約款（原文）'!$B$2:$C$835,2,FALSE)&amp;""</f>
        <v>　行が可能となる日）」と、第34条、第35条及び第36条中「請負代金額」とあるのは「当該会計年度の出来高予定額（前会計年</v>
      </c>
    </row>
    <row r="535" spans="1:2" ht="18.75" customHeight="1">
      <c r="A535" s="93">
        <f t="shared" si="8"/>
        <v>531</v>
      </c>
      <c r="B535" s="93" t="str">
        <f>VLOOKUP($A535,'【随時メンテ】工事請負約款（原文）'!$B$2:$C$835,2,FALSE)&amp;""</f>
        <v>　度末における第38条第１項の請負代金相当額（以下この条及び次条において「請負代金相当額」という。）が前会計年度まで</v>
      </c>
    </row>
    <row r="536" spans="1:2" ht="18.75" customHeight="1">
      <c r="A536" s="93">
        <f t="shared" si="8"/>
        <v>532</v>
      </c>
      <c r="B536" s="93" t="str">
        <f>VLOOKUP($A536,'【随時メンテ】工事請負約款（原文）'!$B$2:$C$835,2,FALSE)&amp;""</f>
        <v>　の出来高予定額を超えた場合において、当該会計年度の当初に部分払をしたときは、当該超過額を控除した額）」と読み替え</v>
      </c>
    </row>
    <row r="537" spans="1:2" ht="18.75" customHeight="1">
      <c r="A537" s="93">
        <f t="shared" si="8"/>
        <v>533</v>
      </c>
      <c r="B537" s="93" t="str">
        <f>VLOOKUP($A537,'【随時メンテ】工事請負約款（原文）'!$B$2:$C$835,2,FALSE)&amp;""</f>
        <v>　て、これらの規定を準用する。</v>
      </c>
    </row>
    <row r="538" spans="1:2" ht="18.75" customHeight="1">
      <c r="A538" s="93">
        <f t="shared" si="8"/>
        <v>534</v>
      </c>
      <c r="B538" s="93" t="str">
        <f>VLOOKUP($A538,'【随時メンテ】工事請負約款（原文）'!$B$2:$C$835,2,FALSE)&amp;""</f>
        <v>２　前項の場合において、契約会計年度について前払金を支払わない旨が設計図書に定められているときには、同項の規定によ</v>
      </c>
    </row>
    <row r="539" spans="1:2" ht="18.75" customHeight="1">
      <c r="A539" s="93">
        <f t="shared" si="8"/>
        <v>535</v>
      </c>
      <c r="B539" s="93" t="str">
        <f>VLOOKUP($A539,'【随時メンテ】工事請負約款（原文）'!$B$2:$C$835,2,FALSE)&amp;""</f>
        <v>　り準用される第34条第１項及び第35条第１項の規定にかかわらず、受注者は、契約会計年度について前払金の支払を請求する</v>
      </c>
    </row>
    <row r="540" spans="1:2" ht="18.75" customHeight="1">
      <c r="A540" s="93">
        <f t="shared" si="8"/>
        <v>536</v>
      </c>
      <c r="B540" s="93" t="str">
        <f>VLOOKUP($A540,'【随時メンテ】工事請負約款（原文）'!$B$2:$C$835,2,FALSE)&amp;""</f>
        <v>　ことができない。</v>
      </c>
    </row>
    <row r="541" spans="1:2" ht="18.75" customHeight="1">
      <c r="A541" s="93">
        <f t="shared" si="8"/>
        <v>537</v>
      </c>
      <c r="B541" s="93" t="str">
        <f>VLOOKUP($A541,'【随時メンテ】工事請負約款（原文）'!$B$2:$C$835,2,FALSE)&amp;""</f>
        <v>３　第１項の場合において、契約会計年度に翌会計年度分の前払金を含めて支払う旨が設計図書に定められているときには、同</v>
      </c>
    </row>
    <row r="542" spans="1:2" ht="18.75" customHeight="1">
      <c r="A542" s="93">
        <f t="shared" si="8"/>
        <v>538</v>
      </c>
      <c r="B542" s="93" t="str">
        <f>VLOOKUP($A542,'【随時メンテ】工事請負約款（原文）'!$B$2:$C$835,2,FALSE)&amp;""</f>
        <v>　項の規定により準用される第34条第１項及び第35条第１項の規定にかかわらず、受注者は、契約会計年度に翌会計年度に支払</v>
      </c>
    </row>
    <row r="543" spans="1:2" ht="18.75" customHeight="1">
      <c r="A543" s="93">
        <f t="shared" si="8"/>
        <v>539</v>
      </c>
      <c r="B543" s="93" t="str">
        <f>VLOOKUP($A543,'【随時メンテ】工事請負約款（原文）'!$B$2:$C$835,2,FALSE)&amp;""</f>
        <v>　うべき前払金相当分（－円以内）を含めて前払金の支払を請求することができる。</v>
      </c>
    </row>
    <row r="544" spans="1:2" ht="18.75" customHeight="1">
      <c r="A544" s="93">
        <f t="shared" si="8"/>
        <v>540</v>
      </c>
      <c r="B544" s="93" t="str">
        <f>VLOOKUP($A544,'【随時メンテ】工事請負約款（原文）'!$B$2:$C$835,2,FALSE)&amp;""</f>
        <v>４　第１項の場合において、前会計年度末における請負代金相当額が前会計年度までの出来高予定額に達しないときには、同項</v>
      </c>
    </row>
    <row r="545" spans="1:2" ht="18.75" customHeight="1">
      <c r="A545" s="93">
        <f t="shared" si="8"/>
        <v>541</v>
      </c>
      <c r="B545" s="93" t="str">
        <f>VLOOKUP($A545,'【随時メンテ】工事請負約款（原文）'!$B$2:$C$835,2,FALSE)&amp;""</f>
        <v>　の規定により準用される第34条第１項及び第35条第１項の規定にかかわらず、受注者は、請負代金相当額が前会計年度までの</v>
      </c>
    </row>
    <row r="546" spans="1:2" ht="18.75" customHeight="1">
      <c r="A546" s="93">
        <f t="shared" si="8"/>
        <v>542</v>
      </c>
      <c r="B546" s="93" t="str">
        <f>VLOOKUP($A546,'【随時メンテ】工事請負約款（原文）'!$B$2:$C$835,2,FALSE)&amp;""</f>
        <v>　出来高予定額に達するまで当該会計年度の前払金の支払を請求することができない。</v>
      </c>
    </row>
    <row r="547" spans="1:2" ht="18.75" customHeight="1">
      <c r="A547" s="93">
        <f t="shared" si="8"/>
        <v>543</v>
      </c>
      <c r="B547" s="93" t="str">
        <f>VLOOKUP($A547,'【随時メンテ】工事請負約款（原文）'!$B$2:$C$835,2,FALSE)&amp;""</f>
        <v>５　第１項の場合において、前会計年度末における請負代金相当額が前会計年度までの出来高予定額に達しないときには、その</v>
      </c>
    </row>
    <row r="548" spans="1:2" ht="18.75" customHeight="1">
      <c r="A548" s="93">
        <f t="shared" si="8"/>
        <v>544</v>
      </c>
      <c r="B548" s="93" t="str">
        <f>VLOOKUP($A548,'【随時メンテ】工事請負約款（原文）'!$B$2:$C$835,2,FALSE)&amp;""</f>
        <v>　額が当該出来高予定額に達するまで前払金の保証期限を延長するものとする。この場合においては、第36条第４項の規定を準</v>
      </c>
    </row>
    <row r="549" spans="1:2" ht="18.75" customHeight="1">
      <c r="A549" s="93">
        <f t="shared" si="8"/>
        <v>545</v>
      </c>
      <c r="B549" s="93" t="str">
        <f>VLOOKUP($A549,'【随時メンテ】工事請負約款（原文）'!$B$2:$C$835,2,FALSE)&amp;""</f>
        <v>　用する。</v>
      </c>
    </row>
    <row r="550" spans="1:2" ht="18.75" customHeight="1">
      <c r="A550" s="93">
        <f t="shared" si="8"/>
        <v>546</v>
      </c>
      <c r="B550" s="93" t="str">
        <f>VLOOKUP($A550,'【随時メンテ】工事請負約款（原文）'!$B$2:$C$835,2,FALSE)&amp;""</f>
        <v/>
      </c>
    </row>
    <row r="551" spans="1:2" ht="18.75" customHeight="1">
      <c r="A551" s="93">
        <f t="shared" si="8"/>
        <v>547</v>
      </c>
      <c r="B551" s="93" t="str">
        <f>VLOOKUP($A551,'【随時メンテ】工事請負約款（原文）'!$B$2:$C$835,2,FALSE)&amp;""</f>
        <v>　（債務負担行為に係る契約の部分払の特則）</v>
      </c>
    </row>
    <row r="552" spans="1:2" ht="18.75" customHeight="1">
      <c r="A552" s="93">
        <f t="shared" si="8"/>
        <v>548</v>
      </c>
      <c r="B552" s="93" t="str">
        <f>VLOOKUP($A552,'【随時メンテ】工事請負約款（原文）'!$B$2:$C$835,2,FALSE)&amp;""</f>
        <v>第42条　債務負担行為に係る契約において、前会計年度末における請負代金相当額が前会計年度までの出来高予定額を超えた場</v>
      </c>
    </row>
    <row r="553" spans="1:2" ht="18.75" customHeight="1">
      <c r="A553" s="93">
        <f t="shared" si="8"/>
        <v>549</v>
      </c>
      <c r="B553" s="93" t="str">
        <f>VLOOKUP($A553,'【随時メンテ】工事請負約款（原文）'!$B$2:$C$835,2,FALSE)&amp;""</f>
        <v>　合においては、受注者は、当該会計年度の当初に、前会計年度末における請負代金相当額が前会計年度までの出来高予定額を</v>
      </c>
    </row>
    <row r="554" spans="1:2" ht="18.75" customHeight="1">
      <c r="A554" s="93">
        <f t="shared" si="8"/>
        <v>550</v>
      </c>
      <c r="B554" s="93" t="str">
        <f>VLOOKUP($A554,'【随時メンテ】工事請負約款（原文）'!$B$2:$C$835,2,FALSE)&amp;""</f>
        <v>　超えた額（以下「出来高超過額」という。）について部分払を請求することができる。ただし、契約会計年度以外の会計年度</v>
      </c>
    </row>
    <row r="555" spans="1:2" ht="18.75" customHeight="1">
      <c r="A555" s="93">
        <f t="shared" si="8"/>
        <v>551</v>
      </c>
      <c r="B555" s="93" t="str">
        <f>VLOOKUP($A555,'【随時メンテ】工事請負約款（原文）'!$B$2:$C$835,2,FALSE)&amp;""</f>
        <v>　においては、受注者は、予算の執行が可能となる時期以前に部分払の支払を請求することはできない。</v>
      </c>
    </row>
    <row r="556" spans="1:2" ht="18.75" customHeight="1">
      <c r="A556" s="93">
        <f t="shared" si="8"/>
        <v>552</v>
      </c>
      <c r="B556" s="93" t="str">
        <f>VLOOKUP($A556,'【随時メンテ】工事請負約款（原文）'!$B$2:$C$835,2,FALSE)&amp;""</f>
        <v>２　この契約において、前払金の支払を受けている場合の部分払金の額については、第38条第６項及び第７項の規定にかかわら</v>
      </c>
    </row>
    <row r="557" spans="1:2" ht="18.75" customHeight="1">
      <c r="A557" s="93">
        <f t="shared" si="8"/>
        <v>553</v>
      </c>
      <c r="B557" s="93" t="str">
        <f>VLOOKUP($A557,'【随時メンテ】工事請負約款（原文）'!$B$2:$C$835,2,FALSE)&amp;""</f>
        <v>　ず、次の式により算定する。</v>
      </c>
    </row>
    <row r="558" spans="1:2" ht="18.75" customHeight="1">
      <c r="A558" s="93">
        <f t="shared" si="8"/>
        <v>554</v>
      </c>
      <c r="B558" s="93" t="str">
        <f>VLOOKUP($A558,'【随時メンテ】工事請負約款（原文）'!$B$2:$C$835,2,FALSE)&amp;""</f>
        <v>　　部分払金の額≦請負代金相当額×（９／10）－（前会計年度までの支払金額＋当該会計年度の部分払金額）－{請負代金相当</v>
      </c>
    </row>
    <row r="559" spans="1:2" ht="18.75" customHeight="1">
      <c r="A559" s="93">
        <f t="shared" si="8"/>
        <v>555</v>
      </c>
      <c r="B559" s="93" t="str">
        <f>VLOOKUP($A559,'【随時メンテ】工事請負約款（原文）'!$B$2:$C$835,2,FALSE)&amp;""</f>
        <v>　　額－（前会計年度までの出来高予定額＋出来高超過額）}×（当該会計年度前払金額／当該会計年度の出来高予定額）</v>
      </c>
    </row>
    <row r="560" spans="1:2" ht="18.75" customHeight="1">
      <c r="A560" s="93">
        <f t="shared" si="8"/>
        <v>556</v>
      </c>
      <c r="B560" s="93" t="str">
        <f>VLOOKUP($A560,'【随時メンテ】工事請負約款（原文）'!$B$2:$C$835,2,FALSE)&amp;""</f>
        <v>３　各会計年度において、部分払を請求できる回数は、次のとおりとする。</v>
      </c>
    </row>
    <row r="561" spans="1:2" ht="18.75" customHeight="1">
      <c r="A561" s="93">
        <f t="shared" si="8"/>
        <v>557</v>
      </c>
      <c r="B561" s="93" t="str">
        <f>VLOOKUP($A561,'【随時メンテ】工事請負約款（原文）'!$B$2:$C$835,2,FALSE)&amp;""</f>
        <v>　　　　　　　　　　年度　　　　　　　　　　　　　　回</v>
      </c>
    </row>
    <row r="562" spans="1:2" ht="18.75" customHeight="1">
      <c r="A562" s="93">
        <f t="shared" si="8"/>
        <v>558</v>
      </c>
      <c r="B562" s="93" t="str">
        <f>VLOOKUP($A562,'【随時メンテ】工事請負約款（原文）'!$B$2:$C$835,2,FALSE)&amp;""</f>
        <v>　　　　　　　　　　年度　　　　　　　　　　　　　　回</v>
      </c>
    </row>
    <row r="563" spans="1:2" ht="18.75" customHeight="1">
      <c r="A563" s="93">
        <f t="shared" si="8"/>
        <v>559</v>
      </c>
      <c r="B563" s="93" t="str">
        <f>VLOOKUP($A563,'【随時メンテ】工事請負約款（原文）'!$B$2:$C$835,2,FALSE)&amp;""</f>
        <v>　　　　　　　　　　年度　　　　　　　　　　　　　　回</v>
      </c>
    </row>
    <row r="564" spans="1:2" ht="18.75" customHeight="1">
      <c r="A564" s="93">
        <f t="shared" si="8"/>
        <v>560</v>
      </c>
      <c r="B564" s="93" t="str">
        <f>VLOOKUP($A564,'【随時メンテ】工事請負約款（原文）'!$B$2:$C$835,2,FALSE)&amp;""</f>
        <v/>
      </c>
    </row>
    <row r="565" spans="1:2" ht="18.75" customHeight="1">
      <c r="A565" s="93">
        <f t="shared" si="8"/>
        <v>561</v>
      </c>
      <c r="B565" s="93" t="str">
        <f>VLOOKUP($A565,'【随時メンテ】工事請負約款（原文）'!$B$2:$C$835,2,FALSE)&amp;""</f>
        <v>　（第三者による代理受領）</v>
      </c>
    </row>
    <row r="566" spans="1:2" ht="18.75" customHeight="1">
      <c r="A566" s="93">
        <f t="shared" si="8"/>
        <v>562</v>
      </c>
      <c r="B566" s="93" t="str">
        <f>VLOOKUP($A566,'【随時メンテ】工事請負約款（原文）'!$B$2:$C$835,2,FALSE)&amp;""</f>
        <v>第43条　受注者は、発注者の承諾を得て請負代金の全部又は一部の受領につき、第三者を代理人とすることができる。</v>
      </c>
    </row>
    <row r="567" spans="1:2" ht="18.75" customHeight="1">
      <c r="A567" s="93">
        <f t="shared" si="8"/>
        <v>563</v>
      </c>
      <c r="B567" s="93" t="str">
        <f>VLOOKUP($A567,'【随時メンテ】工事請負約款（原文）'!$B$2:$C$835,2,FALSE)&amp;""</f>
        <v>２　発注者は、前項の規定により受注者が第三者を代理人とした場合において、受注者の提出する支払請求書に当該第三者が受</v>
      </c>
    </row>
    <row r="568" spans="1:2" ht="18.75" customHeight="1">
      <c r="A568" s="93">
        <f t="shared" si="8"/>
        <v>564</v>
      </c>
      <c r="B568" s="93" t="str">
        <f>VLOOKUP($A568,'【随時メンテ】工事請負約款（原文）'!$B$2:$C$835,2,FALSE)&amp;""</f>
        <v>　注者の代理人である旨の明記がなされているときは、当該第三者に対して第32条（第39条において準用する場合を含む。）又</v>
      </c>
    </row>
    <row r="569" spans="1:2" ht="18.75" customHeight="1">
      <c r="A569" s="93">
        <f t="shared" si="8"/>
        <v>565</v>
      </c>
      <c r="B569" s="93" t="str">
        <f>VLOOKUP($A569,'【随時メンテ】工事請負約款（原文）'!$B$2:$C$835,2,FALSE)&amp;""</f>
        <v>　は第38条の規定に基づく支払をしなければならない。</v>
      </c>
    </row>
    <row r="570" spans="1:2" ht="18.75" customHeight="1">
      <c r="A570" s="93">
        <f t="shared" si="8"/>
        <v>566</v>
      </c>
      <c r="B570" s="93" t="str">
        <f>VLOOKUP($A570,'【随時メンテ】工事請負約款（原文）'!$B$2:$C$835,2,FALSE)&amp;""</f>
        <v/>
      </c>
    </row>
    <row r="571" spans="1:2" ht="18.75" customHeight="1">
      <c r="A571" s="93">
        <f t="shared" si="8"/>
        <v>567</v>
      </c>
      <c r="B571" s="93" t="str">
        <f>VLOOKUP($A571,'【随時メンテ】工事請負約款（原文）'!$B$2:$C$835,2,FALSE)&amp;""</f>
        <v>　（前払金等の不払いに対する工事中止）</v>
      </c>
    </row>
    <row r="572" spans="1:2" ht="18.75" customHeight="1">
      <c r="A572" s="93">
        <f t="shared" si="8"/>
        <v>568</v>
      </c>
      <c r="B572" s="93" t="str">
        <f>VLOOKUP($A572,'【随時メンテ】工事請負約款（原文）'!$B$2:$C$835,2,FALSE)&amp;""</f>
        <v>第44条　受注者は、発注者が第34条、第35条、第38条又は第39条において準用される第32条の規定に基づく支払を遅延し、相当</v>
      </c>
    </row>
    <row r="573" spans="1:2" ht="18.75" customHeight="1">
      <c r="A573" s="93">
        <f t="shared" si="8"/>
        <v>569</v>
      </c>
      <c r="B573" s="93" t="str">
        <f>VLOOKUP($A573,'【随時メンテ】工事請負約款（原文）'!$B$2:$C$835,2,FALSE)&amp;""</f>
        <v>　の期間を定めてその支払を請求したにもかかわらず支払をしないときは、工事の全部又は一部の施工を一時中止することがで</v>
      </c>
    </row>
    <row r="574" spans="1:2" ht="18.75" customHeight="1">
      <c r="A574" s="93">
        <f t="shared" si="8"/>
        <v>570</v>
      </c>
      <c r="B574" s="93" t="str">
        <f>VLOOKUP($A574,'【随時メンテ】工事請負約款（原文）'!$B$2:$C$835,2,FALSE)&amp;""</f>
        <v>　きる。この場合においては、受注者は、その理由を明示した書面により、直ちにその旨を発注者に通知しなければならない。</v>
      </c>
    </row>
    <row r="575" spans="1:2" ht="18.75" customHeight="1">
      <c r="A575" s="93">
        <f t="shared" si="8"/>
        <v>571</v>
      </c>
      <c r="B575" s="93" t="str">
        <f>VLOOKUP($A575,'【随時メンテ】工事請負約款（原文）'!$B$2:$C$835,2,FALSE)&amp;""</f>
        <v>２　発注者は、前項の規定により受注者が工事の施工を中止した場合において、必要があると認められるときは工期若しくは請</v>
      </c>
    </row>
    <row r="576" spans="1:2" ht="18.75" customHeight="1">
      <c r="A576" s="93">
        <f t="shared" si="8"/>
        <v>572</v>
      </c>
      <c r="B576" s="93" t="str">
        <f>VLOOKUP($A576,'【随時メンテ】工事請負約款（原文）'!$B$2:$C$835,2,FALSE)&amp;""</f>
        <v>　負代金額を変更し、又は受注者が工事の続行に備え工事現場を維持し若しくは労働者、建設機械器具等を保持するための費用</v>
      </c>
    </row>
    <row r="577" spans="1:2" ht="18.75" customHeight="1">
      <c r="A577" s="93">
        <f t="shared" si="8"/>
        <v>573</v>
      </c>
      <c r="B577" s="93" t="str">
        <f>VLOOKUP($A577,'【随時メンテ】工事請負約款（原文）'!$B$2:$C$835,2,FALSE)&amp;""</f>
        <v>　その他の工事の施工の一時中止に伴う増加費用を必要とし若しくは受注者に損害を及ぼしたときは必要な費用を負担しなけれ</v>
      </c>
    </row>
    <row r="578" spans="1:2" ht="18.75" customHeight="1">
      <c r="A578" s="93">
        <f t="shared" si="8"/>
        <v>574</v>
      </c>
      <c r="B578" s="93" t="str">
        <f>VLOOKUP($A578,'【随時メンテ】工事請負約款（原文）'!$B$2:$C$835,2,FALSE)&amp;""</f>
        <v>　ばならない。</v>
      </c>
    </row>
    <row r="579" spans="1:2" ht="18.75" customHeight="1">
      <c r="A579" s="93">
        <f t="shared" si="8"/>
        <v>575</v>
      </c>
      <c r="B579" s="93" t="str">
        <f>VLOOKUP($A579,'【随時メンテ】工事請負約款（原文）'!$B$2:$C$835,2,FALSE)&amp;""</f>
        <v/>
      </c>
    </row>
    <row r="580" spans="1:2" ht="18.75" customHeight="1">
      <c r="A580" s="93">
        <f t="shared" si="8"/>
        <v>576</v>
      </c>
      <c r="B580" s="93" t="str">
        <f>VLOOKUP($A580,'【随時メンテ】工事請負約款（原文）'!$B$2:$C$835,2,FALSE)&amp;""</f>
        <v>　（契約不適合責任）</v>
      </c>
    </row>
    <row r="581" spans="1:2" ht="18.75" customHeight="1">
      <c r="A581" s="93">
        <f t="shared" si="8"/>
        <v>577</v>
      </c>
      <c r="B581" s="93" t="str">
        <f>VLOOKUP($A581,'【随時メンテ】工事請負約款（原文）'!$B$2:$C$835,2,FALSE)&amp;""</f>
        <v>第45条（Ａ）　発注者は、引き渡された工事目的物が種類又は品質に関して契約の内容に適合しないもの（以下「契約不適合」</v>
      </c>
    </row>
    <row r="582" spans="1:2" ht="18.75" customHeight="1">
      <c r="A582" s="93">
        <f t="shared" si="8"/>
        <v>578</v>
      </c>
      <c r="B582" s="93" t="str">
        <f>VLOOKUP($A582,'【随時メンテ】工事請負約款（原文）'!$B$2:$C$835,2,FALSE)&amp;""</f>
        <v>　という。）であるときは、受注者に対し、目的物の修補又は代替物の引渡しによる履行の追完を請求することができる。ただ</v>
      </c>
    </row>
    <row r="583" spans="1:2" ht="18.75" customHeight="1">
      <c r="A583" s="93">
        <f t="shared" ref="A583:A646" si="9">ROW()-$A$2</f>
        <v>579</v>
      </c>
      <c r="B583" s="93" t="str">
        <f>VLOOKUP($A583,'【随時メンテ】工事請負約款（原文）'!$B$2:$C$835,2,FALSE)&amp;""</f>
        <v>　し、その履行の追完に過分の費用を要するときは、発注者は履行の追完を請求することができない。</v>
      </c>
    </row>
    <row r="584" spans="1:2" ht="18.75" customHeight="1">
      <c r="A584" s="93">
        <f t="shared" si="9"/>
        <v>580</v>
      </c>
      <c r="B584" s="93" t="str">
        <f>VLOOKUP($A584,'【随時メンテ】工事請負約款（原文）'!$B$2:$C$835,2,FALSE)&amp;""</f>
        <v>２　前項の場合において、受注者は、発注者に不相当な負担を課するものでないときは、発注者が請求した方法と異なる方法に</v>
      </c>
    </row>
    <row r="585" spans="1:2" ht="18.75" customHeight="1">
      <c r="A585" s="93">
        <f t="shared" si="9"/>
        <v>581</v>
      </c>
      <c r="B585" s="93" t="str">
        <f>VLOOKUP($A585,'【随時メンテ】工事請負約款（原文）'!$B$2:$C$835,2,FALSE)&amp;""</f>
        <v>　よる履行の追完をすることができる。</v>
      </c>
    </row>
    <row r="586" spans="1:2" ht="18.75" customHeight="1">
      <c r="A586" s="93">
        <f t="shared" si="9"/>
        <v>582</v>
      </c>
      <c r="B586" s="93" t="str">
        <f>VLOOKUP($A586,'【随時メンテ】工事請負約款（原文）'!$B$2:$C$835,2,FALSE)&amp;""</f>
        <v>３　第１項の場合において、発注者が相当の期間を定めて履行の追完の催告をし、その期間内に履行の追完がないときは、発注</v>
      </c>
    </row>
    <row r="587" spans="1:2" ht="18.75" customHeight="1">
      <c r="A587" s="93">
        <f t="shared" si="9"/>
        <v>583</v>
      </c>
      <c r="B587" s="93" t="str">
        <f>VLOOKUP($A587,'【随時メンテ】工事請負約款（原文）'!$B$2:$C$835,2,FALSE)&amp;""</f>
        <v>　者は、その不適合の程度に応じて代金の減額を請求することができる。ただし、次の各号のいずれかに該当する場合は、催告</v>
      </c>
    </row>
    <row r="588" spans="1:2" ht="18.75" customHeight="1">
      <c r="A588" s="93">
        <f t="shared" si="9"/>
        <v>584</v>
      </c>
      <c r="B588" s="93" t="str">
        <f>VLOOKUP($A588,'【随時メンテ】工事請負約款（原文）'!$B$2:$C$835,2,FALSE)&amp;""</f>
        <v>　をすることなく、直ちに代金の減額を請求することができる。</v>
      </c>
    </row>
    <row r="589" spans="1:2" ht="18.75" customHeight="1">
      <c r="A589" s="93">
        <f t="shared" si="9"/>
        <v>585</v>
      </c>
      <c r="B589" s="93" t="str">
        <f>VLOOKUP($A589,'【随時メンテ】工事請負約款（原文）'!$B$2:$C$835,2,FALSE)&amp;""</f>
        <v>　一　履行の追完が不能であるとき。</v>
      </c>
    </row>
    <row r="590" spans="1:2" ht="18.75" customHeight="1">
      <c r="A590" s="93">
        <f t="shared" si="9"/>
        <v>586</v>
      </c>
      <c r="B590" s="93" t="str">
        <f>VLOOKUP($A590,'【随時メンテ】工事請負約款（原文）'!$B$2:$C$835,2,FALSE)&amp;""</f>
        <v>　二　受注者が履行の追完を拒絶する意思を明確に表示したとき。</v>
      </c>
    </row>
    <row r="591" spans="1:2" ht="18.75" customHeight="1">
      <c r="A591" s="93">
        <f t="shared" si="9"/>
        <v>587</v>
      </c>
      <c r="B591" s="93" t="str">
        <f>VLOOKUP($A591,'【随時メンテ】工事請負約款（原文）'!$B$2:$C$835,2,FALSE)&amp;""</f>
        <v>　三　工事目的物の性質又は当事者の意思表示により、特定の日時又は一定の期間内に履行しなければ契約をした目的を達する</v>
      </c>
    </row>
    <row r="592" spans="1:2" ht="18.75" customHeight="1">
      <c r="A592" s="93">
        <f t="shared" si="9"/>
        <v>588</v>
      </c>
      <c r="B592" s="93" t="str">
        <f>VLOOKUP($A592,'【随時メンテ】工事請負約款（原文）'!$B$2:$C$835,2,FALSE)&amp;""</f>
        <v>　　ことができない場合において、受注者が履行の追完をしないでその時期を経過したとき。</v>
      </c>
    </row>
    <row r="593" spans="1:2" ht="18.75" customHeight="1">
      <c r="A593" s="93">
        <f t="shared" si="9"/>
        <v>589</v>
      </c>
      <c r="B593" s="93" t="str">
        <f>VLOOKUP($A593,'【随時メンテ】工事請負約款（原文）'!$B$2:$C$835,2,FALSE)&amp;""</f>
        <v>　四　前３号に掲げる場合のほか、発注者がこの項の催告をしても履行の追完を受ける見込みがないことが明らかであるとき。</v>
      </c>
    </row>
    <row r="594" spans="1:2" ht="18.75" customHeight="1">
      <c r="A594" s="93">
        <f t="shared" si="9"/>
        <v>590</v>
      </c>
      <c r="B594" s="93" t="str">
        <f>VLOOKUP($A594,'【随時メンテ】工事請負約款（原文）'!$B$2:$C$835,2,FALSE)&amp;""</f>
        <v/>
      </c>
    </row>
    <row r="595" spans="1:2" ht="18.75" customHeight="1">
      <c r="A595" s="93">
        <f t="shared" si="9"/>
        <v>591</v>
      </c>
      <c r="B595" s="93" t="str">
        <f>VLOOKUP($A595,'【随時メンテ】工事請負約款（原文）'!$B$2:$C$835,2,FALSE)&amp;""</f>
        <v>　（発注者の任意解除権）</v>
      </c>
    </row>
    <row r="596" spans="1:2" ht="18.75" customHeight="1">
      <c r="A596" s="93">
        <f t="shared" si="9"/>
        <v>592</v>
      </c>
      <c r="B596" s="93" t="str">
        <f>VLOOKUP($A596,'【随時メンテ】工事請負約款（原文）'!$B$2:$C$835,2,FALSE)&amp;""</f>
        <v>第46条　発注者は、工事が完成するまでの間は、次条、第48条又は第49条第１項の規定によるほか、必要があるときは、この契</v>
      </c>
    </row>
    <row r="597" spans="1:2" ht="18.75" customHeight="1">
      <c r="A597" s="93">
        <f t="shared" si="9"/>
        <v>593</v>
      </c>
      <c r="B597" s="93" t="str">
        <f>VLOOKUP($A597,'【随時メンテ】工事請負約款（原文）'!$B$2:$C$835,2,FALSE)&amp;""</f>
        <v>　約を解除することができる。</v>
      </c>
    </row>
    <row r="598" spans="1:2" ht="18.75" customHeight="1">
      <c r="A598" s="93">
        <f t="shared" si="9"/>
        <v>594</v>
      </c>
      <c r="B598" s="93" t="str">
        <f>VLOOKUP($A598,'【随時メンテ】工事請負約款（原文）'!$B$2:$C$835,2,FALSE)&amp;""</f>
        <v>２　発注者は、前項の規定によりこの契約を解除した場合において、受注者に損害を及ぼしたときは、その損害を賠償しなけれ</v>
      </c>
    </row>
    <row r="599" spans="1:2" ht="18.75" customHeight="1">
      <c r="A599" s="93">
        <f t="shared" si="9"/>
        <v>595</v>
      </c>
      <c r="B599" s="93" t="str">
        <f>VLOOKUP($A599,'【随時メンテ】工事請負約款（原文）'!$B$2:$C$835,2,FALSE)&amp;""</f>
        <v>　ばならない。</v>
      </c>
    </row>
    <row r="600" spans="1:2" ht="18.75" customHeight="1">
      <c r="A600" s="93">
        <f t="shared" si="9"/>
        <v>596</v>
      </c>
      <c r="B600" s="93" t="str">
        <f>VLOOKUP($A600,'【随時メンテ】工事請負約款（原文）'!$B$2:$C$835,2,FALSE)&amp;""</f>
        <v/>
      </c>
    </row>
    <row r="601" spans="1:2" ht="18.75" customHeight="1">
      <c r="A601" s="93">
        <f t="shared" si="9"/>
        <v>597</v>
      </c>
      <c r="B601" s="93" t="str">
        <f>VLOOKUP($A601,'【随時メンテ】工事請負約款（原文）'!$B$2:$C$835,2,FALSE)&amp;""</f>
        <v>　（発注者の催告による解除権）</v>
      </c>
    </row>
    <row r="602" spans="1:2" ht="18.75" customHeight="1">
      <c r="A602" s="93">
        <f t="shared" si="9"/>
        <v>598</v>
      </c>
      <c r="B602" s="93" t="str">
        <f>VLOOKUP($A602,'【随時メンテ】工事請負約款（原文）'!$B$2:$C$835,2,FALSE)&amp;""</f>
        <v>第47条　発注者は、受注者が次の各号のいずれかに該当するときは相当の期間を定めてその履行の催告をし、その期間内に履行</v>
      </c>
    </row>
    <row r="603" spans="1:2" ht="18.75" customHeight="1">
      <c r="A603" s="93">
        <f t="shared" si="9"/>
        <v>599</v>
      </c>
      <c r="B603" s="93" t="str">
        <f>VLOOKUP($A603,'【随時メンテ】工事請負約款（原文）'!$B$2:$C$835,2,FALSE)&amp;""</f>
        <v>　がないときはこの契約を解除することができる。ただし、その期間を経過した時における債務の不履行がこの契約及び取引上</v>
      </c>
    </row>
    <row r="604" spans="1:2" ht="18.75" customHeight="1">
      <c r="A604" s="93">
        <f t="shared" si="9"/>
        <v>600</v>
      </c>
      <c r="B604" s="93" t="str">
        <f>VLOOKUP($A604,'【随時メンテ】工事請負約款（原文）'!$B$2:$C$835,2,FALSE)&amp;""</f>
        <v>　の社会通念に照らして軽微であるときは、この限りでない。</v>
      </c>
    </row>
    <row r="605" spans="1:2" ht="18.75" customHeight="1">
      <c r="A605" s="93">
        <f t="shared" si="9"/>
        <v>601</v>
      </c>
      <c r="B605" s="93" t="str">
        <f>VLOOKUP($A605,'【随時メンテ】工事請負約款（原文）'!$B$2:$C$835,2,FALSE)&amp;""</f>
        <v>　一　第５条第４項に規定する書類を提出せず、又は虚偽の記載をしてこれを提出したとき。</v>
      </c>
    </row>
    <row r="606" spans="1:2" ht="18.75" customHeight="1">
      <c r="A606" s="93">
        <f t="shared" si="9"/>
        <v>602</v>
      </c>
      <c r="B606" s="93" t="str">
        <f>VLOOKUP($A606,'【随時メンテ】工事請負約款（原文）'!$B$2:$C$835,2,FALSE)&amp;""</f>
        <v>　二　正当な理由なく、工事に着手すべき期日を過ぎても工事に着手しないとき。</v>
      </c>
    </row>
    <row r="607" spans="1:2" ht="18.75" customHeight="1">
      <c r="A607" s="93">
        <f t="shared" si="9"/>
        <v>603</v>
      </c>
      <c r="B607" s="93" t="str">
        <f>VLOOKUP($A607,'【随時メンテ】工事請負約款（原文）'!$B$2:$C$835,2,FALSE)&amp;""</f>
        <v>　三　工期内に完成しないとき又は工期経過後相当の期間内に工事を完成する見込みがないと認められるとき。</v>
      </c>
    </row>
    <row r="608" spans="1:2" ht="18.75" customHeight="1">
      <c r="A608" s="93">
        <f t="shared" si="9"/>
        <v>604</v>
      </c>
      <c r="B608" s="93" t="str">
        <f>VLOOKUP($A608,'【随時メンテ】工事請負約款（原文）'!$B$2:$C$835,2,FALSE)&amp;""</f>
        <v>　四　第10条第１項第２号に掲げる者を設置しなかったとき。</v>
      </c>
    </row>
    <row r="609" spans="1:2" ht="18.75" customHeight="1">
      <c r="A609" s="93">
        <f t="shared" si="9"/>
        <v>605</v>
      </c>
      <c r="B609" s="93" t="str">
        <f>VLOOKUP($A609,'【随時メンテ】工事請負約款（原文）'!$B$2:$C$835,2,FALSE)&amp;""</f>
        <v>　五　正当な理由なく、第45条第１項の履行の追完がなされないとき。</v>
      </c>
    </row>
    <row r="610" spans="1:2" ht="18.75" customHeight="1">
      <c r="A610" s="93">
        <f t="shared" si="9"/>
        <v>606</v>
      </c>
      <c r="B610" s="93" t="str">
        <f>VLOOKUP($A610,'【随時メンテ】工事請負約款（原文）'!$B$2:$C$835,2,FALSE)&amp;""</f>
        <v>　六　前各号に掲げる場合のほか、この契約に違反したとき。</v>
      </c>
    </row>
    <row r="611" spans="1:2" ht="18.75" customHeight="1">
      <c r="A611" s="93">
        <f t="shared" si="9"/>
        <v>607</v>
      </c>
      <c r="B611" s="93" t="str">
        <f>VLOOKUP($A611,'【随時メンテ】工事請負約款（原文）'!$B$2:$C$835,2,FALSE)&amp;""</f>
        <v/>
      </c>
    </row>
    <row r="612" spans="1:2" ht="18.75" customHeight="1">
      <c r="A612" s="93">
        <f t="shared" si="9"/>
        <v>608</v>
      </c>
      <c r="B612" s="93" t="str">
        <f>VLOOKUP($A612,'【随時メンテ】工事請負約款（原文）'!$B$2:$C$835,2,FALSE)&amp;""</f>
        <v>　（発注者の催告によらない解除権）</v>
      </c>
    </row>
    <row r="613" spans="1:2" ht="18.75" customHeight="1">
      <c r="A613" s="93">
        <f t="shared" si="9"/>
        <v>609</v>
      </c>
      <c r="B613" s="93" t="str">
        <f>VLOOKUP($A613,'【随時メンテ】工事請負約款（原文）'!$B$2:$C$835,2,FALSE)&amp;""</f>
        <v>第48条　発注者は、受注者が次の各号のいずれかに該当するときは、直ちにこの契約を解除することができる。</v>
      </c>
    </row>
    <row r="614" spans="1:2" ht="18.75" customHeight="1">
      <c r="A614" s="93">
        <f t="shared" si="9"/>
        <v>610</v>
      </c>
      <c r="B614" s="93" t="str">
        <f>VLOOKUP($A614,'【随時メンテ】工事請負約款（原文）'!$B$2:$C$835,2,FALSE)&amp;""</f>
        <v>　一　第５条第１項の規定に違反して請負代金債権を譲渡したとき。</v>
      </c>
    </row>
    <row r="615" spans="1:2" ht="18.75" customHeight="1">
      <c r="A615" s="93">
        <f t="shared" si="9"/>
        <v>611</v>
      </c>
      <c r="B615" s="93" t="str">
        <f>VLOOKUP($A615,'【随時メンテ】工事請負約款（原文）'!$B$2:$C$835,2,FALSE)&amp;""</f>
        <v>　二　第５条第４項の規定に違反して譲渡により得た資金を当該工事の施工以外に使用したとき。</v>
      </c>
    </row>
    <row r="616" spans="1:2" ht="18.75" customHeight="1">
      <c r="A616" s="93">
        <f t="shared" si="9"/>
        <v>612</v>
      </c>
      <c r="B616" s="93" t="str">
        <f>VLOOKUP($A616,'【随時メンテ】工事請負約款（原文）'!$B$2:$C$835,2,FALSE)&amp;""</f>
        <v>　三　この契約の目的物を完成させることができないことが明らかであるとき。</v>
      </c>
    </row>
    <row r="617" spans="1:2" ht="18.75" customHeight="1">
      <c r="A617" s="93">
        <f t="shared" si="9"/>
        <v>613</v>
      </c>
      <c r="B617" s="93" t="str">
        <f>VLOOKUP($A617,'【随時メンテ】工事請負約款（原文）'!$B$2:$C$835,2,FALSE)&amp;""</f>
        <v>　四　引き渡された工事目的物に契約不適合がある場合において、その不適合が目的物を除却した上で再び建設しなければ、契</v>
      </c>
    </row>
    <row r="618" spans="1:2" ht="18.75" customHeight="1">
      <c r="A618" s="93">
        <f t="shared" si="9"/>
        <v>614</v>
      </c>
      <c r="B618" s="93" t="str">
        <f>VLOOKUP($A618,'【随時メンテ】工事請負約款（原文）'!$B$2:$C$835,2,FALSE)&amp;""</f>
        <v>　　約の目的を達成することができないものであるとき。</v>
      </c>
    </row>
    <row r="619" spans="1:2" ht="18.75" customHeight="1">
      <c r="A619" s="93">
        <f t="shared" si="9"/>
        <v>615</v>
      </c>
      <c r="B619" s="93" t="str">
        <f>VLOOKUP($A619,'【随時メンテ】工事請負約款（原文）'!$B$2:$C$835,2,FALSE)&amp;""</f>
        <v>　五　受注者がこの契約の目的物の完成の債務の履行を拒絶する意思を明確に表示したとき。</v>
      </c>
    </row>
    <row r="620" spans="1:2" ht="18.75" customHeight="1">
      <c r="A620" s="93">
        <f t="shared" si="9"/>
        <v>616</v>
      </c>
      <c r="B620" s="93" t="str">
        <f>VLOOKUP($A620,'【随時メンテ】工事請負約款（原文）'!$B$2:$C$835,2,FALSE)&amp;""</f>
        <v>　六　受注者の債務の一部の履行が不能である場合又は受注者がその債務の一部の履行を拒絶する意思を明確に表示した場合に</v>
      </c>
    </row>
    <row r="621" spans="1:2" ht="18.75" customHeight="1">
      <c r="A621" s="93">
        <f t="shared" si="9"/>
        <v>617</v>
      </c>
      <c r="B621" s="93" t="str">
        <f>VLOOKUP($A621,'【随時メンテ】工事請負約款（原文）'!$B$2:$C$835,2,FALSE)&amp;""</f>
        <v>　　おいて、残存する部分のみでは契約をした目的を達することができないとき。</v>
      </c>
    </row>
    <row r="622" spans="1:2" ht="18.75" customHeight="1">
      <c r="A622" s="93">
        <f t="shared" si="9"/>
        <v>618</v>
      </c>
      <c r="B622" s="93" t="str">
        <f>VLOOKUP($A622,'【随時メンテ】工事請負約款（原文）'!$B$2:$C$835,2,FALSE)&amp;""</f>
        <v>　七　契約の目的物の性質や当事者の意思表示により、特定の日時又は一定の期間内に履行しなければ契約をした目的を達する</v>
      </c>
    </row>
    <row r="623" spans="1:2" ht="18.75" customHeight="1">
      <c r="A623" s="93">
        <f t="shared" si="9"/>
        <v>619</v>
      </c>
      <c r="B623" s="93" t="str">
        <f>VLOOKUP($A623,'【随時メンテ】工事請負約款（原文）'!$B$2:$C$835,2,FALSE)&amp;""</f>
        <v>　　ことができない場合において、受注者が履行をしないでその時期を経過したとき。</v>
      </c>
    </row>
    <row r="624" spans="1:2" ht="18.75" customHeight="1">
      <c r="A624" s="93">
        <f t="shared" si="9"/>
        <v>620</v>
      </c>
      <c r="B624" s="93" t="str">
        <f>VLOOKUP($A624,'【随時メンテ】工事請負約款（原文）'!$B$2:$C$835,2,FALSE)&amp;""</f>
        <v>　八　前各号に掲げる場合のほか、受注者がその債務の履行をせず、発注者が前条の催告をしても契約をした目的を達するのに</v>
      </c>
    </row>
    <row r="625" spans="1:2" ht="18.75" customHeight="1">
      <c r="A625" s="93">
        <f t="shared" si="9"/>
        <v>621</v>
      </c>
      <c r="B625" s="93" t="str">
        <f>VLOOKUP($A625,'【随時メンテ】工事請負約款（原文）'!$B$2:$C$835,2,FALSE)&amp;""</f>
        <v>　　足りる履行がされる見込みがないことが明らかであるとき。</v>
      </c>
    </row>
    <row r="626" spans="1:2" ht="18.75" customHeight="1">
      <c r="A626" s="93">
        <f t="shared" si="9"/>
        <v>622</v>
      </c>
      <c r="B626" s="93" t="str">
        <f>VLOOKUP($A626,'【随時メンテ】工事請負約款（原文）'!$B$2:$C$835,2,FALSE)&amp;""</f>
        <v>　九　暴力団（暴力団員による不当な行為の防止等に関する法律（平成３年法律第77号）第２条第２号に規定する暴力団をいう。</v>
      </c>
    </row>
    <row r="627" spans="1:2" ht="18.75" customHeight="1">
      <c r="A627" s="93">
        <f t="shared" si="9"/>
        <v>623</v>
      </c>
      <c r="B627" s="93" t="str">
        <f>VLOOKUP($A627,'【随時メンテ】工事請負約款（原文）'!$B$2:$C$835,2,FALSE)&amp;""</f>
        <v>　　以下この条において同じ。）又は暴力団員（暴力団員による不当な行為の防止等に関する法律第２条第６号に規定する暴力</v>
      </c>
    </row>
    <row r="628" spans="1:2" ht="18.75" customHeight="1">
      <c r="A628" s="93">
        <f t="shared" si="9"/>
        <v>624</v>
      </c>
      <c r="B628" s="93" t="str">
        <f>VLOOKUP($A628,'【随時メンテ】工事請負約款（原文）'!$B$2:$C$835,2,FALSE)&amp;""</f>
        <v>　　団員をいう。以下この条において同じ。）が経営に実質的に関与していると認められる者に請負代金債権を譲渡したとき。</v>
      </c>
    </row>
    <row r="629" spans="1:2" ht="18.75" customHeight="1">
      <c r="A629" s="93">
        <f t="shared" si="9"/>
        <v>625</v>
      </c>
      <c r="B629" s="93" t="str">
        <f>VLOOKUP($A629,'【随時メンテ】工事請負約款（原文）'!$B$2:$C$835,2,FALSE)&amp;""</f>
        <v>　十　第52条又は第53条の規定によらないでこの契約の解除を申し出たとき。</v>
      </c>
    </row>
    <row r="630" spans="1:2" ht="18.75" customHeight="1">
      <c r="A630" s="93">
        <f t="shared" si="9"/>
        <v>626</v>
      </c>
      <c r="B630" s="93" t="str">
        <f>VLOOKUP($A630,'【随時メンテ】工事請負約款（原文）'!$B$2:$C$835,2,FALSE)&amp;""</f>
        <v>　十一　受注者（受注者が共同企業体であるときは、その構成員のいずれかの者。以下この号において同じ。）が次のいずれか</v>
      </c>
    </row>
    <row r="631" spans="1:2" ht="18.75" customHeight="1">
      <c r="A631" s="93">
        <f t="shared" si="9"/>
        <v>627</v>
      </c>
      <c r="B631" s="93" t="str">
        <f>VLOOKUP($A631,'【随時メンテ】工事請負約款（原文）'!$B$2:$C$835,2,FALSE)&amp;""</f>
        <v>　　に該当するとき。</v>
      </c>
    </row>
    <row r="632" spans="1:2" ht="18.75" customHeight="1">
      <c r="A632" s="93">
        <f t="shared" si="9"/>
        <v>628</v>
      </c>
      <c r="B632" s="93" t="str">
        <f>VLOOKUP($A632,'【随時メンテ】工事請負約款（原文）'!$B$2:$C$835,2,FALSE)&amp;""</f>
        <v>　　イ　役員等（受注者が個人である場合にはその者その他経営に実質的に関与している者を、受注者が法人である場合にはそ</v>
      </c>
    </row>
    <row r="633" spans="1:2" ht="18.75" customHeight="1">
      <c r="A633" s="93">
        <f t="shared" si="9"/>
        <v>629</v>
      </c>
      <c r="B633" s="93" t="str">
        <f>VLOOKUP($A633,'【随時メンテ】工事請負約款（原文）'!$B$2:$C$835,2,FALSE)&amp;""</f>
        <v>　　　の役員、その支店又は常時建設工事の請負契約を締結する事務所の代表者その他経営に実質的に関与している者をいう。</v>
      </c>
    </row>
    <row r="634" spans="1:2" ht="18.75" customHeight="1">
      <c r="A634" s="93">
        <f t="shared" si="9"/>
        <v>630</v>
      </c>
      <c r="B634" s="93" t="str">
        <f>VLOOKUP($A634,'【随時メンテ】工事請負約款（原文）'!$B$2:$C$835,2,FALSE)&amp;""</f>
        <v>　　　以下この号において同じ。）が、暴力団又は暴力団員であると認められるとき。</v>
      </c>
    </row>
    <row r="635" spans="1:2" ht="18.75" customHeight="1">
      <c r="A635" s="93">
        <f t="shared" si="9"/>
        <v>631</v>
      </c>
      <c r="B635" s="93" t="str">
        <f>VLOOKUP($A635,'【随時メンテ】工事請負約款（原文）'!$B$2:$C$835,2,FALSE)&amp;""</f>
        <v>　　ロ　役員等が、自己、自社若しくは第三者の不正の利益を図る目的又は第三者に損害を加える目的をもって、暴力団又は暴</v>
      </c>
    </row>
    <row r="636" spans="1:2" ht="18.75" customHeight="1">
      <c r="A636" s="93">
        <f t="shared" si="9"/>
        <v>632</v>
      </c>
      <c r="B636" s="93" t="str">
        <f>VLOOKUP($A636,'【随時メンテ】工事請負約款（原文）'!$B$2:$C$835,2,FALSE)&amp;""</f>
        <v>　　　力団員を利用するなどしていると認められるとき。</v>
      </c>
    </row>
    <row r="637" spans="1:2" ht="18.75" customHeight="1">
      <c r="A637" s="93">
        <f t="shared" si="9"/>
        <v>633</v>
      </c>
      <c r="B637" s="93" t="str">
        <f>VLOOKUP($A637,'【随時メンテ】工事請負約款（原文）'!$B$2:$C$835,2,FALSE)&amp;""</f>
        <v>　　ハ　役員等が、暴力団又は暴力団員に対して資金等を供給し、又は便宜を供与するなど直接的あるいは積極的に暴力団の維</v>
      </c>
    </row>
    <row r="638" spans="1:2" ht="18.75" customHeight="1">
      <c r="A638" s="93">
        <f t="shared" si="9"/>
        <v>634</v>
      </c>
      <c r="B638" s="93" t="str">
        <f>VLOOKUP($A638,'【随時メンテ】工事請負約款（原文）'!$B$2:$C$835,2,FALSE)&amp;""</f>
        <v>　　　持、運営に協力し、若しくは関与していると認められるとき。</v>
      </c>
    </row>
    <row r="639" spans="1:2" ht="18.75" customHeight="1">
      <c r="A639" s="93">
        <f t="shared" si="9"/>
        <v>635</v>
      </c>
      <c r="B639" s="93" t="str">
        <f>VLOOKUP($A639,'【随時メンテ】工事請負約款（原文）'!$B$2:$C$835,2,FALSE)&amp;""</f>
        <v>　　ニ　役員等が、暴力団又は暴力団員であることを知りながらこれを不当に利用するなどしていると認められるとき。</v>
      </c>
    </row>
    <row r="640" spans="1:2" ht="18.75" customHeight="1">
      <c r="A640" s="93">
        <f t="shared" si="9"/>
        <v>636</v>
      </c>
      <c r="B640" s="93" t="str">
        <f>VLOOKUP($A640,'【随時メンテ】工事請負約款（原文）'!$B$2:$C$835,2,FALSE)&amp;""</f>
        <v>　　ホ　役員等が、暴力団又は暴力団員と社会的に非難されるべき関係を有していると認められるとき。</v>
      </c>
    </row>
    <row r="641" spans="1:2" ht="18.75" customHeight="1">
      <c r="A641" s="93">
        <f t="shared" si="9"/>
        <v>637</v>
      </c>
      <c r="B641" s="93" t="str">
        <f>VLOOKUP($A641,'【随時メンテ】工事請負約款（原文）'!$B$2:$C$835,2,FALSE)&amp;""</f>
        <v>　　ヘ　下請契約又は資材、原材料の購入契約その他の契約に当たり、その相手方がイからホまでのいずれかに該当することを</v>
      </c>
    </row>
    <row r="642" spans="1:2" ht="18.75" customHeight="1">
      <c r="A642" s="93">
        <f t="shared" si="9"/>
        <v>638</v>
      </c>
      <c r="B642" s="93" t="str">
        <f>VLOOKUP($A642,'【随時メンテ】工事請負約款（原文）'!$B$2:$C$835,2,FALSE)&amp;""</f>
        <v>　　　知りながら、当該者と契約を締結したと認められるとき。</v>
      </c>
    </row>
    <row r="643" spans="1:2" ht="18.75" customHeight="1">
      <c r="A643" s="93">
        <f t="shared" si="9"/>
        <v>639</v>
      </c>
      <c r="B643" s="93" t="str">
        <f>VLOOKUP($A643,'【随時メンテ】工事請負約款（原文）'!$B$2:$C$835,2,FALSE)&amp;""</f>
        <v>　　ト　受注者が、イからホまでのいずれかに該当する者を下請契約又は資材、原材料の購入契約その他の契約の相手方として</v>
      </c>
    </row>
    <row r="644" spans="1:2" ht="18.75" customHeight="1">
      <c r="A644" s="93">
        <f t="shared" si="9"/>
        <v>640</v>
      </c>
      <c r="B644" s="93" t="str">
        <f>VLOOKUP($A644,'【随時メンテ】工事請負約款（原文）'!$B$2:$C$835,2,FALSE)&amp;""</f>
        <v>　　　いた場合（へに該当する場合を除く｡)に、発注者が受注者に対して当該契約の解除を求め、受注者がこれに従わなかった</v>
      </c>
    </row>
    <row r="645" spans="1:2" ht="18.75" customHeight="1">
      <c r="A645" s="93">
        <f t="shared" si="9"/>
        <v>641</v>
      </c>
      <c r="B645" s="93" t="str">
        <f>VLOOKUP($A645,'【随時メンテ】工事請負約款（原文）'!$B$2:$C$835,2,FALSE)&amp;""</f>
        <v>　　　とき。</v>
      </c>
    </row>
    <row r="646" spans="1:2" ht="18.75" customHeight="1">
      <c r="A646" s="93">
        <f t="shared" si="9"/>
        <v>642</v>
      </c>
      <c r="B646" s="93" t="str">
        <f>VLOOKUP($A646,'【随時メンテ】工事請負約款（原文）'!$B$2:$C$835,2,FALSE)&amp;""</f>
        <v/>
      </c>
    </row>
    <row r="647" spans="1:2" ht="18.75" customHeight="1">
      <c r="A647" s="93">
        <f t="shared" ref="A647:A710" si="10">ROW()-$A$2</f>
        <v>643</v>
      </c>
      <c r="B647" s="93" t="str">
        <f>VLOOKUP($A647,'【随時メンテ】工事請負約款（原文）'!$B$2:$C$835,2,FALSE)&amp;""</f>
        <v>　（談合等不正行為による解除権）</v>
      </c>
    </row>
    <row r="648" spans="1:2" ht="18.75" customHeight="1">
      <c r="A648" s="93">
        <f t="shared" si="10"/>
        <v>644</v>
      </c>
      <c r="B648" s="93" t="str">
        <f>VLOOKUP($A648,'【随時メンテ】工事請負約款（原文）'!$B$2:$C$835,2,FALSE)&amp;""</f>
        <v>第49条　発注者は、受注者が次の各号のいずれかに該当するときは、この契約を解除することができる。</v>
      </c>
    </row>
    <row r="649" spans="1:2" ht="18.75" customHeight="1">
      <c r="A649" s="93">
        <f t="shared" si="10"/>
        <v>645</v>
      </c>
      <c r="B649" s="93" t="str">
        <f>VLOOKUP($A649,'【随時メンテ】工事請負約款（原文）'!$B$2:$C$835,2,FALSE)&amp;""</f>
        <v>　一　この契約に関し、受注者が私的独占の禁止及び公正取引の確保に関する法律（昭和22年法律第54号。以下「独占禁止法」</v>
      </c>
    </row>
    <row r="650" spans="1:2" ht="18.75" customHeight="1">
      <c r="A650" s="93">
        <f t="shared" si="10"/>
        <v>646</v>
      </c>
      <c r="B650" s="93" t="str">
        <f>VLOOKUP($A650,'【随時メンテ】工事請負約款（原文）'!$B$2:$C$835,2,FALSE)&amp;""</f>
        <v>　　という。）第３条若しくは第19条の規定に違反し、又は受注者が構成事業者である事業者団体が独占禁止法第８条第１号の</v>
      </c>
    </row>
    <row r="651" spans="1:2" ht="18.75" customHeight="1">
      <c r="A651" s="93">
        <f t="shared" si="10"/>
        <v>647</v>
      </c>
      <c r="B651" s="93" t="str">
        <f>VLOOKUP($A651,'【随時メンテ】工事請負約款（原文）'!$B$2:$C$835,2,FALSE)&amp;""</f>
        <v>　　規定に違反したことにより、公正取引委員会が受注者に対し、独占禁止法第７条の２第１項（独占禁止法第８条の３におい</v>
      </c>
    </row>
    <row r="652" spans="1:2" ht="18.75" customHeight="1">
      <c r="A652" s="93">
        <f t="shared" si="10"/>
        <v>648</v>
      </c>
      <c r="B652" s="93" t="str">
        <f>VLOOKUP($A652,'【随時メンテ】工事請負約款（原文）'!$B$2:$C$835,2,FALSE)&amp;""</f>
        <v>　　て準用する場合を含む｡)又は第20条の２から第20条の６の規定に基づく課徴金の納付命令（以下「納付命令」という｡)を</v>
      </c>
    </row>
    <row r="653" spans="1:2" ht="18.75" customHeight="1">
      <c r="A653" s="93">
        <f t="shared" si="10"/>
        <v>649</v>
      </c>
      <c r="B653" s="93" t="str">
        <f>VLOOKUP($A653,'【随時メンテ】工事請負約款（原文）'!$B$2:$C$835,2,FALSE)&amp;""</f>
        <v>　　行い、当該納付命令が確定したとき（確定した当該納付命令が独占禁止法第63条第２項の規定により取り消された場合を含</v>
      </c>
    </row>
    <row r="654" spans="1:2" ht="18.75" customHeight="1">
      <c r="A654" s="93">
        <f t="shared" si="10"/>
        <v>650</v>
      </c>
      <c r="B654" s="93" t="str">
        <f>VLOOKUP($A654,'【随時メンテ】工事請負約款（原文）'!$B$2:$C$835,2,FALSE)&amp;""</f>
        <v>　　む。）。</v>
      </c>
    </row>
    <row r="655" spans="1:2" ht="18.75" customHeight="1">
      <c r="A655" s="93">
        <f t="shared" si="10"/>
        <v>651</v>
      </c>
      <c r="B655" s="93" t="str">
        <f>VLOOKUP($A655,'【随時メンテ】工事請負約款（原文）'!$B$2:$C$835,2,FALSE)&amp;""</f>
        <v>　二　納付命令又は独占禁止法第７条、第８条の２若しくは第20条の規定に基づく排除措置命令（これらの命令が受注者又は受</v>
      </c>
    </row>
    <row r="656" spans="1:2" ht="18.75" customHeight="1">
      <c r="A656" s="93">
        <f t="shared" si="10"/>
        <v>652</v>
      </c>
      <c r="B656" s="93" t="str">
        <f>VLOOKUP($A656,'【随時メンテ】工事請負約款（原文）'!$B$2:$C$835,2,FALSE)&amp;""</f>
        <v>　　注者が構成事業者である事業者団体（以下「受注者等」という。）に対して行われたときは受注者等に対する命令で確定し</v>
      </c>
    </row>
    <row r="657" spans="1:2" ht="18.75" customHeight="1">
      <c r="A657" s="93">
        <f t="shared" si="10"/>
        <v>653</v>
      </c>
      <c r="B657" s="93" t="str">
        <f>VLOOKUP($A657,'【随時メンテ】工事請負約款（原文）'!$B$2:$C$835,2,FALSE)&amp;""</f>
        <v>　　たものをいい、受注者等に対して行われていないときは各名宛人に対する命令全てが確定した場合における当該命令をいう。</v>
      </c>
    </row>
    <row r="658" spans="1:2" ht="18.75" customHeight="1">
      <c r="A658" s="93">
        <f t="shared" si="10"/>
        <v>654</v>
      </c>
      <c r="B658" s="93" t="str">
        <f>VLOOKUP($A658,'【随時メンテ】工事請負約款（原文）'!$B$2:$C$835,2,FALSE)&amp;""</f>
        <v>　　次号において「納付命令又は排除措置命令」という。）において、この契約に関し、独占禁止法第３条、第８条第１号若し</v>
      </c>
    </row>
    <row r="659" spans="1:2" ht="18.75" customHeight="1">
      <c r="A659" s="93">
        <f t="shared" si="10"/>
        <v>655</v>
      </c>
      <c r="B659" s="93" t="str">
        <f>VLOOKUP($A659,'【随時メンテ】工事請負約款（原文）'!$B$2:$C$835,2,FALSE)&amp;""</f>
        <v>　　くは第５号又は第19条の規定に違反する行為の実行としての事業活動があったとされたとき。</v>
      </c>
    </row>
    <row r="660" spans="1:2" ht="18.75" customHeight="1">
      <c r="A660" s="93">
        <f t="shared" si="10"/>
        <v>656</v>
      </c>
      <c r="B660" s="93" t="str">
        <f>VLOOKUP($A660,'【随時メンテ】工事請負約款（原文）'!$B$2:$C$835,2,FALSE)&amp;""</f>
        <v>　三　納付命令又は排除措置命令により、受注者等に独占禁止法第３条又は第８条第１号の規定に違反する行為があったとされ</v>
      </c>
    </row>
    <row r="661" spans="1:2" ht="18.75" customHeight="1">
      <c r="A661" s="93">
        <f t="shared" si="10"/>
        <v>657</v>
      </c>
      <c r="B661" s="93" t="str">
        <f>VLOOKUP($A661,'【随時メンテ】工事請負約款（原文）'!$B$2:$C$835,2,FALSE)&amp;""</f>
        <v>　　た期間及び当該違反する行為の対象となった取引分野が示された場合において、この契約が、当該期間（これらの命令に係</v>
      </c>
    </row>
    <row r="662" spans="1:2" ht="18.75" customHeight="1">
      <c r="A662" s="93">
        <f t="shared" si="10"/>
        <v>658</v>
      </c>
      <c r="B662" s="93" t="str">
        <f>VLOOKUP($A662,'【随時メンテ】工事請負約款（原文）'!$B$2:$C$835,2,FALSE)&amp;""</f>
        <v>　　る事件について、公正取引委員会が受注者に対し納付命令を行い、これが確定したときは、当該納付命令における課徴金の</v>
      </c>
    </row>
    <row r="663" spans="1:2" ht="18.75" customHeight="1">
      <c r="A663" s="93">
        <f t="shared" si="10"/>
        <v>659</v>
      </c>
      <c r="B663" s="93" t="str">
        <f>VLOOKUP($A663,'【随時メンテ】工事請負約款（原文）'!$B$2:$C$835,2,FALSE)&amp;""</f>
        <v>　　計算の基礎である当該違反する行為の実行期間を除く｡)に入札（見積書の提出を含む｡)が行われたものであり、かつ、当該</v>
      </c>
    </row>
    <row r="664" spans="1:2" ht="18.75" customHeight="1">
      <c r="A664" s="93">
        <f t="shared" si="10"/>
        <v>660</v>
      </c>
      <c r="B664" s="93" t="str">
        <f>VLOOKUP($A664,'【随時メンテ】工事請負約款（原文）'!$B$2:$C$835,2,FALSE)&amp;""</f>
        <v>　　取引分野に該当するものであるとき。</v>
      </c>
    </row>
    <row r="665" spans="1:2" ht="18.75" customHeight="1">
      <c r="A665" s="93">
        <f t="shared" si="10"/>
        <v>661</v>
      </c>
      <c r="B665" s="93" t="str">
        <f>VLOOKUP($A665,'【随時メンテ】工事請負約款（原文）'!$B$2:$C$835,2,FALSE)&amp;""</f>
        <v>　四　この契約に関し、受注者（法人の場合にあっては、その役員又は使用人を含む。）の刑法（明治40年法律第45号）第96条</v>
      </c>
    </row>
    <row r="666" spans="1:2" ht="18.75" customHeight="1">
      <c r="A666" s="93">
        <f t="shared" si="10"/>
        <v>662</v>
      </c>
      <c r="B666" s="93" t="str">
        <f>VLOOKUP($A666,'【随時メンテ】工事請負約款（原文）'!$B$2:$C$835,2,FALSE)&amp;""</f>
        <v>　　の６若しくは第198条又は独占禁止法第89条第１項若しくは第95条第１項第１号に規定する刑が確定したとき。</v>
      </c>
    </row>
    <row r="667" spans="1:2" ht="18.75" customHeight="1">
      <c r="A667" s="93">
        <f t="shared" si="10"/>
        <v>663</v>
      </c>
      <c r="B667" s="93" t="str">
        <f>VLOOKUP($A667,'【随時メンテ】工事請負約款（原文）'!$B$2:$C$835,2,FALSE)&amp;""</f>
        <v>２　前項の規定によりこの契約が解除された場合において、第４条の規定により契約保証金の納付又はこれに代わる担保の提供</v>
      </c>
    </row>
    <row r="668" spans="1:2" ht="18.75" customHeight="1">
      <c r="A668" s="93">
        <f t="shared" si="10"/>
        <v>664</v>
      </c>
      <c r="B668" s="93" t="str">
        <f>VLOOKUP($A668,'【随時メンテ】工事請負約款（原文）'!$B$2:$C$835,2,FALSE)&amp;""</f>
        <v>　が行われているときは、発注者は、当該保証金又は担保をもって、第57条第１項に規定する賠償金に充当することができる。</v>
      </c>
    </row>
    <row r="669" spans="1:2" ht="18.75" customHeight="1">
      <c r="A669" s="93">
        <f t="shared" si="10"/>
        <v>665</v>
      </c>
      <c r="B669" s="93" t="str">
        <f>VLOOKUP($A669,'【随時メンテ】工事請負約款（原文）'!$B$2:$C$835,2,FALSE)&amp;""</f>
        <v/>
      </c>
    </row>
    <row r="670" spans="1:2" ht="18.75" customHeight="1">
      <c r="A670" s="93">
        <f t="shared" si="10"/>
        <v>666</v>
      </c>
      <c r="B670" s="93" t="str">
        <f>VLOOKUP($A670,'【随時メンテ】工事請負約款（原文）'!$B$2:$C$835,2,FALSE)&amp;""</f>
        <v>　（発注者の責めに帰すべき事由による場合の解除の制限）</v>
      </c>
    </row>
    <row r="671" spans="1:2" ht="18.75" customHeight="1">
      <c r="A671" s="93">
        <f t="shared" si="10"/>
        <v>667</v>
      </c>
      <c r="B671" s="93" t="str">
        <f>VLOOKUP($A671,'【随時メンテ】工事請負約款（原文）'!$B$2:$C$835,2,FALSE)&amp;""</f>
        <v>第50条　第47条各号、第48条各号又は前条第１項各号に定める場合が発注者の責めに帰すべき事由によるものであるときは、発</v>
      </c>
    </row>
    <row r="672" spans="1:2" ht="18.75" customHeight="1">
      <c r="A672" s="93">
        <f t="shared" si="10"/>
        <v>668</v>
      </c>
      <c r="B672" s="93" t="str">
        <f>VLOOKUP($A672,'【随時メンテ】工事請負約款（原文）'!$B$2:$C$835,2,FALSE)&amp;""</f>
        <v>　注者は、前３条の規定による契約の解除をすることができない。</v>
      </c>
    </row>
    <row r="673" spans="1:2" ht="18.75" customHeight="1">
      <c r="A673" s="93">
        <f t="shared" si="10"/>
        <v>669</v>
      </c>
      <c r="B673" s="93" t="str">
        <f>VLOOKUP($A673,'【随時メンテ】工事請負約款（原文）'!$B$2:$C$835,2,FALSE)&amp;""</f>
        <v/>
      </c>
    </row>
    <row r="674" spans="1:2" ht="18.75" customHeight="1">
      <c r="A674" s="93">
        <f t="shared" si="10"/>
        <v>670</v>
      </c>
      <c r="B674" s="93" t="str">
        <f>VLOOKUP($A674,'【随時メンテ】工事請負約款（原文）'!$B$2:$C$835,2,FALSE)&amp;""</f>
        <v>　（公共工事履行保証証券による保証の請求）</v>
      </c>
    </row>
    <row r="675" spans="1:2" ht="18.75" customHeight="1">
      <c r="A675" s="93">
        <f t="shared" si="10"/>
        <v>671</v>
      </c>
      <c r="B675" s="93" t="str">
        <f>VLOOKUP($A675,'【随時メンテ】工事請負約款（原文）'!$B$2:$C$835,2,FALSE)&amp;""</f>
        <v>第51条　削除</v>
      </c>
    </row>
    <row r="676" spans="1:2" ht="18.75" customHeight="1">
      <c r="A676" s="93">
        <f t="shared" si="10"/>
        <v>672</v>
      </c>
      <c r="B676" s="93" t="str">
        <f>VLOOKUP($A676,'【随時メンテ】工事請負約款（原文）'!$B$2:$C$835,2,FALSE)&amp;""</f>
        <v/>
      </c>
    </row>
    <row r="677" spans="1:2" ht="18.75" customHeight="1">
      <c r="A677" s="93">
        <f t="shared" si="10"/>
        <v>673</v>
      </c>
      <c r="B677" s="93" t="str">
        <f>VLOOKUP($A677,'【随時メンテ】工事請負約款（原文）'!$B$2:$C$835,2,FALSE)&amp;""</f>
        <v>　（受注者の催告による解除権）</v>
      </c>
    </row>
    <row r="678" spans="1:2" ht="18.75" customHeight="1">
      <c r="A678" s="93">
        <f t="shared" si="10"/>
        <v>674</v>
      </c>
      <c r="B678" s="93" t="str">
        <f>VLOOKUP($A678,'【随時メンテ】工事請負約款（原文）'!$B$2:$C$835,2,FALSE)&amp;""</f>
        <v>第52条　受注者は、発注者がこの契約に違反したときは、相当の期間を定めてその履行の催告をし、その期間内に履行がないと</v>
      </c>
    </row>
    <row r="679" spans="1:2" ht="18.75" customHeight="1">
      <c r="A679" s="93">
        <f t="shared" si="10"/>
        <v>675</v>
      </c>
      <c r="B679" s="93" t="str">
        <f>VLOOKUP($A679,'【随時メンテ】工事請負約款（原文）'!$B$2:$C$835,2,FALSE)&amp;""</f>
        <v>　きは、この契約を解除することができる。ただし、その期間を経過した時における債務の不履行がこの契約及び取引上の社会</v>
      </c>
    </row>
    <row r="680" spans="1:2" ht="18.75" customHeight="1">
      <c r="A680" s="93">
        <f t="shared" si="10"/>
        <v>676</v>
      </c>
      <c r="B680" s="93" t="str">
        <f>VLOOKUP($A680,'【随時メンテ】工事請負約款（原文）'!$B$2:$C$835,2,FALSE)&amp;""</f>
        <v>　通念に照らして軽微であるときは、この限りでない。</v>
      </c>
    </row>
    <row r="681" spans="1:2" ht="18.75" customHeight="1">
      <c r="A681" s="93">
        <f t="shared" si="10"/>
        <v>677</v>
      </c>
      <c r="B681" s="93" t="str">
        <f>VLOOKUP($A681,'【随時メンテ】工事請負約款（原文）'!$B$2:$C$835,2,FALSE)&amp;""</f>
        <v/>
      </c>
    </row>
    <row r="682" spans="1:2" ht="18.75" customHeight="1">
      <c r="A682" s="93">
        <f t="shared" si="10"/>
        <v>678</v>
      </c>
      <c r="B682" s="93" t="str">
        <f>VLOOKUP($A682,'【随時メンテ】工事請負約款（原文）'!$B$2:$C$835,2,FALSE)&amp;""</f>
        <v>　（受注者の催告によらない解除権）</v>
      </c>
    </row>
    <row r="683" spans="1:2" ht="18.75" customHeight="1">
      <c r="A683" s="93">
        <f t="shared" si="10"/>
        <v>679</v>
      </c>
      <c r="B683" s="93" t="str">
        <f>VLOOKUP($A683,'【随時メンテ】工事請負約款（原文）'!$B$2:$C$835,2,FALSE)&amp;""</f>
        <v>第53条　受注者は、次の各号のいずれかに該当するときは、直ちにこの契約を解除することができる。</v>
      </c>
    </row>
    <row r="684" spans="1:2" ht="18.75" customHeight="1">
      <c r="A684" s="93">
        <f t="shared" si="10"/>
        <v>680</v>
      </c>
      <c r="B684" s="93" t="str">
        <f>VLOOKUP($A684,'【随時メンテ】工事請負約款（原文）'!$B$2:$C$835,2,FALSE)&amp;""</f>
        <v>　一　第19条の規定により設計図書を変更したため請負代金額が３分の２以上減少したとき。</v>
      </c>
    </row>
    <row r="685" spans="1:2" ht="18.75" customHeight="1">
      <c r="A685" s="93">
        <f t="shared" si="10"/>
        <v>681</v>
      </c>
      <c r="B685" s="93" t="str">
        <f>VLOOKUP($A685,'【随時メンテ】工事請負約款（原文）'!$B$2:$C$835,2,FALSE)&amp;""</f>
        <v>　二　第20条の規定による工事の施工の中止期間が工期の10分の５（工期の10分の５が６月を超えるときは、６月）を超えたと</v>
      </c>
    </row>
    <row r="686" spans="1:2" ht="18.75" customHeight="1">
      <c r="A686" s="93">
        <f t="shared" si="10"/>
        <v>682</v>
      </c>
      <c r="B686" s="93" t="str">
        <f>VLOOKUP($A686,'【随時メンテ】工事請負約款（原文）'!$B$2:$C$835,2,FALSE)&amp;""</f>
        <v>　　き。ただし、中止が工事の一部のみの場合は、その一部を除いた他の部分の工事が完了した後３月を経過しても、なおその</v>
      </c>
    </row>
    <row r="687" spans="1:2" ht="18.75" customHeight="1">
      <c r="A687" s="93">
        <f t="shared" si="10"/>
        <v>683</v>
      </c>
      <c r="B687" s="93" t="str">
        <f>VLOOKUP($A687,'【随時メンテ】工事請負約款（原文）'!$B$2:$C$835,2,FALSE)&amp;""</f>
        <v>　　中止が解除されないとき。</v>
      </c>
    </row>
    <row r="688" spans="1:2" ht="18.75" customHeight="1">
      <c r="A688" s="93">
        <f t="shared" si="10"/>
        <v>684</v>
      </c>
      <c r="B688" s="93" t="str">
        <f>VLOOKUP($A688,'【随時メンテ】工事請負約款（原文）'!$B$2:$C$835,2,FALSE)&amp;""</f>
        <v/>
      </c>
    </row>
    <row r="689" spans="1:2" ht="18.75" customHeight="1">
      <c r="A689" s="93">
        <f t="shared" si="10"/>
        <v>685</v>
      </c>
      <c r="B689" s="93" t="str">
        <f>VLOOKUP($A689,'【随時メンテ】工事請負約款（原文）'!$B$2:$C$835,2,FALSE)&amp;""</f>
        <v>　（受注者の責めに帰すべき事由による場合の解除の制限）</v>
      </c>
    </row>
    <row r="690" spans="1:2" ht="18.75" customHeight="1">
      <c r="A690" s="93">
        <f t="shared" si="10"/>
        <v>686</v>
      </c>
      <c r="B690" s="93" t="str">
        <f>VLOOKUP($A690,'【随時メンテ】工事請負約款（原文）'!$B$2:$C$835,2,FALSE)&amp;""</f>
        <v>第54条　第52条又は前条各号に定める場合が受注者の責めに帰すべき事由によるものであるときは、受注者は、前２条の規定に</v>
      </c>
    </row>
    <row r="691" spans="1:2" ht="18.75" customHeight="1">
      <c r="A691" s="93">
        <f t="shared" si="10"/>
        <v>687</v>
      </c>
      <c r="B691" s="93" t="str">
        <f>VLOOKUP($A691,'【随時メンテ】工事請負約款（原文）'!$B$2:$C$835,2,FALSE)&amp;""</f>
        <v>　よる契約の解除をすることができない。</v>
      </c>
    </row>
    <row r="692" spans="1:2" ht="18.75" customHeight="1">
      <c r="A692" s="93">
        <f t="shared" si="10"/>
        <v>688</v>
      </c>
      <c r="B692" s="93" t="str">
        <f>VLOOKUP($A692,'【随時メンテ】工事請負約款（原文）'!$B$2:$C$835,2,FALSE)&amp;""</f>
        <v/>
      </c>
    </row>
    <row r="693" spans="1:2" ht="18.75" customHeight="1">
      <c r="A693" s="93">
        <f t="shared" si="10"/>
        <v>689</v>
      </c>
      <c r="B693" s="93" t="str">
        <f>VLOOKUP($A693,'【随時メンテ】工事請負約款（原文）'!$B$2:$C$835,2,FALSE)&amp;""</f>
        <v>　（解除に伴う措置）</v>
      </c>
    </row>
    <row r="694" spans="1:2" ht="18.75" customHeight="1">
      <c r="A694" s="93">
        <f t="shared" si="10"/>
        <v>690</v>
      </c>
      <c r="B694" s="93" t="str">
        <f>VLOOKUP($A694,'【随時メンテ】工事請負約款（原文）'!$B$2:$C$835,2,FALSE)&amp;""</f>
        <v>第55条　発注者は、この契約が工事の完成前に解除された場合においては、出来形部分を検査の上、当該検査に合格した部分及</v>
      </c>
    </row>
    <row r="695" spans="1:2" ht="18.75" customHeight="1">
      <c r="A695" s="93">
        <f t="shared" si="10"/>
        <v>691</v>
      </c>
      <c r="B695" s="93" t="str">
        <f>VLOOKUP($A695,'【随時メンテ】工事請負約款（原文）'!$B$2:$C$835,2,FALSE)&amp;""</f>
        <v>　び部分払の対象となった工事材料の引渡しを受けるものとし、当該引渡しを受けたときは、当該引渡しを受けた出来形部分に</v>
      </c>
    </row>
    <row r="696" spans="1:2" ht="18.75" customHeight="1">
      <c r="A696" s="93">
        <f t="shared" si="10"/>
        <v>692</v>
      </c>
      <c r="B696" s="93" t="str">
        <f>VLOOKUP($A696,'【随時メンテ】工事請負約款（原文）'!$B$2:$C$835,2,FALSE)&amp;""</f>
        <v>　相応する請負代金を受注者に支払わなければならない。この場合において、発注者は、必要があると認められるときは、その</v>
      </c>
    </row>
    <row r="697" spans="1:2" ht="18.75" customHeight="1">
      <c r="A697" s="93">
        <f t="shared" si="10"/>
        <v>693</v>
      </c>
      <c r="B697" s="93" t="str">
        <f>VLOOKUP($A697,'【随時メンテ】工事請負約款（原文）'!$B$2:$C$835,2,FALSE)&amp;""</f>
        <v>　理由を受注者に通知して、出来形部分を最小限度破壊して検査することができる。</v>
      </c>
    </row>
    <row r="698" spans="1:2" ht="18.75" customHeight="1">
      <c r="A698" s="93">
        <f t="shared" si="10"/>
        <v>694</v>
      </c>
      <c r="B698" s="93" t="str">
        <f>VLOOKUP($A698,'【随時メンテ】工事請負約款（原文）'!$B$2:$C$835,2,FALSE)&amp;""</f>
        <v>２　前項の場合において、検査又は復旧に直接要する費用は、受注者の負担とする。</v>
      </c>
    </row>
    <row r="699" spans="1:2" ht="18.75" customHeight="1">
      <c r="A699" s="93">
        <f t="shared" si="10"/>
        <v>695</v>
      </c>
      <c r="B699" s="93" t="str">
        <f>VLOOKUP($A699,'【随時メンテ】工事請負約款（原文）'!$B$2:$C$835,2,FALSE)&amp;""</f>
        <v>３　第１項の場合において、第34条及び第35条（第41条において準用する場合を含む。）の規定による前払金があったときは、</v>
      </c>
    </row>
    <row r="700" spans="1:2" ht="18.75" customHeight="1">
      <c r="A700" s="93">
        <f t="shared" si="10"/>
        <v>696</v>
      </c>
      <c r="B700" s="93" t="str">
        <f>VLOOKUP($A700,'【随時メンテ】工事請負約款（原文）'!$B$2:$C$835,2,FALSE)&amp;""</f>
        <v>　当該前払金の額（第38条及び第42条の規定による部分払をしているときは、その部分払において償却した前払金の額を控除し</v>
      </c>
    </row>
    <row r="701" spans="1:2" ht="18.75" customHeight="1">
      <c r="A701" s="93">
        <f t="shared" si="10"/>
        <v>697</v>
      </c>
      <c r="B701" s="93" t="str">
        <f>VLOOKUP($A701,'【随時メンテ】工事請負約款（原文）'!$B$2:$C$835,2,FALSE)&amp;""</f>
        <v>　た額）を同項前段の出来形部分に相応する請負代金額から控除する。この場合において、受領済みの前払金額になお余剰があ</v>
      </c>
    </row>
    <row r="702" spans="1:2" ht="18.75" customHeight="1">
      <c r="A702" s="93">
        <f t="shared" si="10"/>
        <v>698</v>
      </c>
      <c r="B702" s="93" t="str">
        <f>VLOOKUP($A702,'【随時メンテ】工事請負約款（原文）'!$B$2:$C$835,2,FALSE)&amp;""</f>
        <v>　るときは、受注者は、解除が第47条、第48条、第49条第１項又は次条第３項の規定によるときにあっては、その余剰額に前払</v>
      </c>
    </row>
    <row r="703" spans="1:2" ht="18.75" customHeight="1">
      <c r="A703" s="93">
        <f t="shared" si="10"/>
        <v>699</v>
      </c>
      <c r="B703" s="93" t="str">
        <f>VLOOKUP($A703,'【随時メンテ】工事請負約款（原文）'!$B$2:$C$835,2,FALSE)&amp;""</f>
        <v>　金の支払の日から返還の日までの日数に応じ財務大臣の決定する率の割合で計算した額の利息を付した額を、解除が第46条、</v>
      </c>
    </row>
    <row r="704" spans="1:2" ht="18.75" customHeight="1">
      <c r="A704" s="93">
        <f t="shared" si="10"/>
        <v>700</v>
      </c>
      <c r="B704" s="93" t="str">
        <f>VLOOKUP($A704,'【随時メンテ】工事請負約款（原文）'!$B$2:$C$835,2,FALSE)&amp;""</f>
        <v>　第52条又は第53条の規定によるときにあっては、その余剰額を発注者に返還しなければならない。</v>
      </c>
    </row>
    <row r="705" spans="1:2" ht="18.75" customHeight="1">
      <c r="A705" s="93">
        <f t="shared" si="10"/>
        <v>701</v>
      </c>
      <c r="B705" s="93" t="str">
        <f>VLOOKUP($A705,'【随時メンテ】工事請負約款（原文）'!$B$2:$C$835,2,FALSE)&amp;""</f>
        <v>４　受注者は、この契約が工事の完成前に解除された場合において、支給材料があるときは、第１項の出来形部分の検査に合格</v>
      </c>
    </row>
    <row r="706" spans="1:2" ht="18.75" customHeight="1">
      <c r="A706" s="93">
        <f t="shared" si="10"/>
        <v>702</v>
      </c>
      <c r="B706" s="93" t="str">
        <f>VLOOKUP($A706,'【随時メンテ】工事請負約款（原文）'!$B$2:$C$835,2,FALSE)&amp;""</f>
        <v>　した部分に使用されているものを除き、発注者に返還しなければならない。この場合において、当該支給材料が受注者の故意</v>
      </c>
    </row>
    <row r="707" spans="1:2" ht="18.75" customHeight="1">
      <c r="A707" s="93">
        <f t="shared" si="10"/>
        <v>703</v>
      </c>
      <c r="B707" s="93" t="str">
        <f>VLOOKUP($A707,'【随時メンテ】工事請負約款（原文）'!$B$2:$C$835,2,FALSE)&amp;""</f>
        <v>　若しくは過失により滅失若しくは毀損したとき、又は出来形部分の検査に合格しなかった部分に使用されているときは、代品</v>
      </c>
    </row>
    <row r="708" spans="1:2" ht="18.75" customHeight="1">
      <c r="A708" s="93">
        <f t="shared" si="10"/>
        <v>704</v>
      </c>
      <c r="B708" s="93" t="str">
        <f>VLOOKUP($A708,'【随時メンテ】工事請負約款（原文）'!$B$2:$C$835,2,FALSE)&amp;""</f>
        <v>　を納め、若しくは原状に復して返還し、又は返還に代えてその損害を賠償しなければならない。</v>
      </c>
    </row>
    <row r="709" spans="1:2" ht="18.75" customHeight="1">
      <c r="A709" s="93">
        <f t="shared" si="10"/>
        <v>705</v>
      </c>
      <c r="B709" s="93" t="str">
        <f>VLOOKUP($A709,'【随時メンテ】工事請負約款（原文）'!$B$2:$C$835,2,FALSE)&amp;""</f>
        <v>５　受注者は、この契約が工事の完成前に解除された場合において、貸与品があるときは、当該貸与品を発注者に返還しなけれ</v>
      </c>
    </row>
    <row r="710" spans="1:2" ht="18.75" customHeight="1">
      <c r="A710" s="93">
        <f t="shared" si="10"/>
        <v>706</v>
      </c>
      <c r="B710" s="93" t="str">
        <f>VLOOKUP($A710,'【随時メンテ】工事請負約款（原文）'!$B$2:$C$835,2,FALSE)&amp;""</f>
        <v>　ばならない。この場合において、当該貸与品が受注者の故意又は過失により滅失又は毀損したときは、代品を納め、若しくは</v>
      </c>
    </row>
    <row r="711" spans="1:2" ht="18.75" customHeight="1">
      <c r="A711" s="93">
        <f t="shared" ref="A711:A774" si="11">ROW()-$A$2</f>
        <v>707</v>
      </c>
      <c r="B711" s="93" t="str">
        <f>VLOOKUP($A711,'【随時メンテ】工事請負約款（原文）'!$B$2:$C$835,2,FALSE)&amp;""</f>
        <v>　原状に復して返還し、又は返還に代えてその損害を賠償しなければならない。</v>
      </c>
    </row>
    <row r="712" spans="1:2" ht="18.75" customHeight="1">
      <c r="A712" s="93">
        <f t="shared" si="11"/>
        <v>708</v>
      </c>
      <c r="B712" s="93" t="str">
        <f>VLOOKUP($A712,'【随時メンテ】工事請負約款（原文）'!$B$2:$C$835,2,FALSE)&amp;""</f>
        <v>６　受注者は、この契約が工事の完成前に解除された場合において、工事用地等に受注者が所有又は管理する工事材料、建設機</v>
      </c>
    </row>
    <row r="713" spans="1:2" ht="18.75" customHeight="1">
      <c r="A713" s="93">
        <f t="shared" si="11"/>
        <v>709</v>
      </c>
      <c r="B713" s="93" t="str">
        <f>VLOOKUP($A713,'【随時メンテ】工事請負約款（原文）'!$B$2:$C$835,2,FALSE)&amp;""</f>
        <v>　械器具、仮設物その他の物件（下請負人の所有又は管理するこれらの物件を含む。）があるときは、受注者は、当該物件を撤</v>
      </c>
    </row>
    <row r="714" spans="1:2" ht="18.75" customHeight="1">
      <c r="A714" s="93">
        <f t="shared" si="11"/>
        <v>710</v>
      </c>
      <c r="B714" s="93" t="str">
        <f>VLOOKUP($A714,'【随時メンテ】工事請負約款（原文）'!$B$2:$C$835,2,FALSE)&amp;""</f>
        <v>　去するとともに、工事用地等を修復し、取片付けて、発注者に明け渡さなければならない。</v>
      </c>
    </row>
    <row r="715" spans="1:2" ht="18.75" customHeight="1">
      <c r="A715" s="93">
        <f t="shared" si="11"/>
        <v>711</v>
      </c>
      <c r="B715" s="93" t="str">
        <f>VLOOKUP($A715,'【随時メンテ】工事請負約款（原文）'!$B$2:$C$835,2,FALSE)&amp;""</f>
        <v>７　前項の場合において、受注者が正当な理由なく、相当の期間内に当該物件を撤去せず、又は工事用地等の修復若しくは取片</v>
      </c>
    </row>
    <row r="716" spans="1:2" ht="18.75" customHeight="1">
      <c r="A716" s="93">
        <f t="shared" si="11"/>
        <v>712</v>
      </c>
      <c r="B716" s="93" t="str">
        <f>VLOOKUP($A716,'【随時メンテ】工事請負約款（原文）'!$B$2:$C$835,2,FALSE)&amp;""</f>
        <v>　付けを行わないときは、発注者は、受注者に代わって当該物件を処分し、工事用地等を修復若しくは取片付けを行うことがで</v>
      </c>
    </row>
    <row r="717" spans="1:2" ht="18.75" customHeight="1">
      <c r="A717" s="93">
        <f t="shared" si="11"/>
        <v>713</v>
      </c>
      <c r="B717" s="93" t="str">
        <f>VLOOKUP($A717,'【随時メンテ】工事請負約款（原文）'!$B$2:$C$835,2,FALSE)&amp;""</f>
        <v>　きる。この場合においては、受注者は、発注者の処分又は修復若しくは取片付けについて異議を申し出ることができず、また、</v>
      </c>
    </row>
    <row r="718" spans="1:2" ht="18.75" customHeight="1">
      <c r="A718" s="93">
        <f t="shared" si="11"/>
        <v>714</v>
      </c>
      <c r="B718" s="93" t="str">
        <f>VLOOKUP($A718,'【随時メンテ】工事請負約款（原文）'!$B$2:$C$835,2,FALSE)&amp;""</f>
        <v>　発注者の処分又は修復若しくは取片付けに要した費用を負担しなければならない。</v>
      </c>
    </row>
    <row r="719" spans="1:2" ht="18.75" customHeight="1">
      <c r="A719" s="93">
        <f t="shared" si="11"/>
        <v>715</v>
      </c>
      <c r="B719" s="93" t="str">
        <f>VLOOKUP($A719,'【随時メンテ】工事請負約款（原文）'!$B$2:$C$835,2,FALSE)&amp;""</f>
        <v>８　第４項前段及び第５項前段に規定する受注者のとるべき措置の期限、方法等については、この契約の解除が第47条、第48条、</v>
      </c>
    </row>
    <row r="720" spans="1:2" ht="18.75" customHeight="1">
      <c r="A720" s="93">
        <f t="shared" si="11"/>
        <v>716</v>
      </c>
      <c r="B720" s="93" t="str">
        <f>VLOOKUP($A720,'【随時メンテ】工事請負約款（原文）'!$B$2:$C$835,2,FALSE)&amp;""</f>
        <v>　第49条第１項又は次条第３項の規定によるときは発注者が定め、第46条、第52条又は第53条の規定によるときは受注者が発注</v>
      </c>
    </row>
    <row r="721" spans="1:2" ht="18.75" customHeight="1">
      <c r="A721" s="93">
        <f t="shared" si="11"/>
        <v>717</v>
      </c>
      <c r="B721" s="93" t="str">
        <f>VLOOKUP($A721,'【随時メンテ】工事請負約款（原文）'!$B$2:$C$835,2,FALSE)&amp;""</f>
        <v>　者の意見を聴いて定めるものとし、第４項後段、第５項後段及び第６項に規定する受注者のとるべき措置の期限、方法等につ</v>
      </c>
    </row>
    <row r="722" spans="1:2" ht="18.75" customHeight="1">
      <c r="A722" s="93">
        <f t="shared" si="11"/>
        <v>718</v>
      </c>
      <c r="B722" s="93" t="str">
        <f>VLOOKUP($A722,'【随時メンテ】工事請負約款（原文）'!$B$2:$C$835,2,FALSE)&amp;""</f>
        <v>　いては、発注者が受注者の意見を聴いて定めるものとする。</v>
      </c>
    </row>
    <row r="723" spans="1:2" ht="18.75" customHeight="1">
      <c r="A723" s="93">
        <f t="shared" si="11"/>
        <v>719</v>
      </c>
      <c r="B723" s="93" t="str">
        <f>VLOOKUP($A723,'【随時メンテ】工事請負約款（原文）'!$B$2:$C$835,2,FALSE)&amp;""</f>
        <v>９　工事の完成後にこの契約が解除された場合は、解除に伴い生じる事項の処理については発注者及び受注者が民法の規定に従</v>
      </c>
    </row>
    <row r="724" spans="1:2" ht="18.75" customHeight="1">
      <c r="A724" s="93">
        <f t="shared" si="11"/>
        <v>720</v>
      </c>
      <c r="B724" s="93" t="str">
        <f>VLOOKUP($A724,'【随時メンテ】工事請負約款（原文）'!$B$2:$C$835,2,FALSE)&amp;""</f>
        <v>　って協議して決める。</v>
      </c>
    </row>
    <row r="725" spans="1:2" ht="18.75" customHeight="1">
      <c r="A725" s="93">
        <f t="shared" si="11"/>
        <v>721</v>
      </c>
      <c r="B725" s="93" t="str">
        <f>VLOOKUP($A725,'【随時メンテ】工事請負約款（原文）'!$B$2:$C$835,2,FALSE)&amp;""</f>
        <v/>
      </c>
    </row>
    <row r="726" spans="1:2" ht="18.75" customHeight="1">
      <c r="A726" s="93">
        <f t="shared" si="11"/>
        <v>722</v>
      </c>
      <c r="B726" s="93" t="str">
        <f>VLOOKUP($A726,'【随時メンテ】工事請負約款（原文）'!$B$2:$C$835,2,FALSE)&amp;""</f>
        <v>　（発注者の損害賠償請求等）</v>
      </c>
    </row>
    <row r="727" spans="1:2" ht="18.75" customHeight="1">
      <c r="A727" s="93">
        <f t="shared" si="11"/>
        <v>723</v>
      </c>
      <c r="B727" s="93" t="str">
        <f>VLOOKUP($A727,'【随時メンテ】工事請負約款（原文）'!$B$2:$C$835,2,FALSE)&amp;""</f>
        <v>第56条　発注者は、受注者が次の各号のいずれかに該当するときは、これによって生じた損害の賠償を請求することができる。</v>
      </c>
    </row>
    <row r="728" spans="1:2" ht="18.75" customHeight="1">
      <c r="A728" s="93">
        <f t="shared" si="11"/>
        <v>724</v>
      </c>
      <c r="B728" s="93" t="str">
        <f>VLOOKUP($A728,'【随時メンテ】工事請負約款（原文）'!$B$2:$C$835,2,FALSE)&amp;""</f>
        <v>　一　工期内に工事を完成することができないとき。</v>
      </c>
    </row>
    <row r="729" spans="1:2" ht="18.75" customHeight="1">
      <c r="A729" s="93">
        <f t="shared" si="11"/>
        <v>725</v>
      </c>
      <c r="B729" s="93" t="str">
        <f>VLOOKUP($A729,'【随時メンテ】工事請負約款（原文）'!$B$2:$C$835,2,FALSE)&amp;""</f>
        <v>　二　この工事目的物に契約不適合があるとき。</v>
      </c>
    </row>
    <row r="730" spans="1:2" ht="18.75" customHeight="1">
      <c r="A730" s="93">
        <f t="shared" si="11"/>
        <v>726</v>
      </c>
      <c r="B730" s="93" t="str">
        <f>VLOOKUP($A730,'【随時メンテ】工事請負約款（原文）'!$B$2:$C$835,2,FALSE)&amp;""</f>
        <v>　三　第47条、第48条又は第49条第１項の規定により、工事目的物の完成後にこの契約が解除されたとき。</v>
      </c>
    </row>
    <row r="731" spans="1:2" ht="18.75" customHeight="1">
      <c r="A731" s="93">
        <f t="shared" si="11"/>
        <v>727</v>
      </c>
      <c r="B731" s="93" t="str">
        <f>VLOOKUP($A731,'【随時メンテ】工事請負約款（原文）'!$B$2:$C$835,2,FALSE)&amp;""</f>
        <v>　四　前３号に掲げる場合のほか、債務の本旨に従った履行をしないとき又は債務の履行が不能であるとき。</v>
      </c>
    </row>
    <row r="732" spans="1:2" ht="18.75" customHeight="1">
      <c r="A732" s="93">
        <f t="shared" si="11"/>
        <v>728</v>
      </c>
      <c r="B732" s="93" t="str">
        <f>VLOOKUP($A732,'【随時メンテ】工事請負約款（原文）'!$B$2:$C$835,2,FALSE)&amp;""</f>
        <v>２　次の各号のいずれかに該当するときは、前項の損害賠償に代えて、受注者は、請負代金額の10分の１に相当する額を違約金</v>
      </c>
    </row>
    <row r="733" spans="1:2" ht="18.75" customHeight="1">
      <c r="A733" s="93">
        <f t="shared" si="11"/>
        <v>729</v>
      </c>
      <c r="B733" s="93" t="str">
        <f>VLOOKUP($A733,'【随時メンテ】工事請負約款（原文）'!$B$2:$C$835,2,FALSE)&amp;""</f>
        <v>　として発注者の指定する期間内に支払わなければならない。</v>
      </c>
    </row>
    <row r="734" spans="1:2" ht="18.75" customHeight="1">
      <c r="A734" s="93">
        <f t="shared" si="11"/>
        <v>730</v>
      </c>
      <c r="B734" s="93" t="str">
        <f>VLOOKUP($A734,'【随時メンテ】工事請負約款（原文）'!$B$2:$C$835,2,FALSE)&amp;""</f>
        <v>　一　第47条、第48条又は第49条第１項の規定により工事目的物の完成前にこの契約が解除されたとき。</v>
      </c>
    </row>
    <row r="735" spans="1:2" ht="18.75" customHeight="1">
      <c r="A735" s="93">
        <f t="shared" si="11"/>
        <v>731</v>
      </c>
      <c r="B735" s="93" t="str">
        <f>VLOOKUP($A735,'【随時メンテ】工事請負約款（原文）'!$B$2:$C$835,2,FALSE)&amp;""</f>
        <v>　二　工事目的物の完成前に、受注者がその債務の履行を拒否し、又は受注者の責めに帰すべき事由によって受注者の債務につ</v>
      </c>
    </row>
    <row r="736" spans="1:2" ht="18.75" customHeight="1">
      <c r="A736" s="93">
        <f t="shared" si="11"/>
        <v>732</v>
      </c>
      <c r="B736" s="93" t="str">
        <f>VLOOKUP($A736,'【随時メンテ】工事請負約款（原文）'!$B$2:$C$835,2,FALSE)&amp;""</f>
        <v>　　いて履行不能となったとき。</v>
      </c>
    </row>
    <row r="737" spans="1:2" ht="18.75" customHeight="1">
      <c r="A737" s="93">
        <f t="shared" si="11"/>
        <v>733</v>
      </c>
      <c r="B737" s="93" t="str">
        <f>VLOOKUP($A737,'【随時メンテ】工事請負約款（原文）'!$B$2:$C$835,2,FALSE)&amp;""</f>
        <v>３　次に掲げる者がこの契約を解除した場合は、前項第２号に該当する場合とみなす。</v>
      </c>
    </row>
    <row r="738" spans="1:2" ht="18.75" customHeight="1">
      <c r="A738" s="93">
        <f t="shared" si="11"/>
        <v>734</v>
      </c>
      <c r="B738" s="93" t="str">
        <f>VLOOKUP($A738,'【随時メンテ】工事請負約款（原文）'!$B$2:$C$835,2,FALSE)&amp;""</f>
        <v>　一　受注者について破産手続開始の決定があった場合において、破産法(平成16年法律第75号)の規定により選任された破産管</v>
      </c>
    </row>
    <row r="739" spans="1:2" ht="18.75" customHeight="1">
      <c r="A739" s="93">
        <f t="shared" si="11"/>
        <v>735</v>
      </c>
      <c r="B739" s="93" t="str">
        <f>VLOOKUP($A739,'【随時メンテ】工事請負約款（原文）'!$B$2:$C$835,2,FALSE)&amp;""</f>
        <v>　　財人</v>
      </c>
    </row>
    <row r="740" spans="1:2" ht="18.75" customHeight="1">
      <c r="A740" s="93">
        <f t="shared" si="11"/>
        <v>736</v>
      </c>
      <c r="B740" s="93" t="str">
        <f>VLOOKUP($A740,'【随時メンテ】工事請負約款（原文）'!$B$2:$C$835,2,FALSE)&amp;""</f>
        <v>　二　受注者について更生手続開始の決定があった場合において、会社更生法（平成14年法律第154号）の規定により選任され</v>
      </c>
    </row>
    <row r="741" spans="1:2" ht="18.75" customHeight="1">
      <c r="A741" s="93">
        <f t="shared" si="11"/>
        <v>737</v>
      </c>
      <c r="B741" s="93" t="str">
        <f>VLOOKUP($A741,'【随時メンテ】工事請負約款（原文）'!$B$2:$C$835,2,FALSE)&amp;""</f>
        <v>　　た管財人</v>
      </c>
    </row>
    <row r="742" spans="1:2" ht="18.75" customHeight="1">
      <c r="A742" s="93">
        <f t="shared" si="11"/>
        <v>738</v>
      </c>
      <c r="B742" s="93" t="str">
        <f>VLOOKUP($A742,'【随時メンテ】工事請負約款（原文）'!$B$2:$C$835,2,FALSE)&amp;""</f>
        <v>　三　受注者について再生手続開始の決定があった場合において、民事再生法（平成11年法律第225号）の規定により選任され</v>
      </c>
    </row>
    <row r="743" spans="1:2" ht="18.75" customHeight="1">
      <c r="A743" s="93">
        <f t="shared" si="11"/>
        <v>739</v>
      </c>
      <c r="B743" s="93" t="str">
        <f>VLOOKUP($A743,'【随時メンテ】工事請負約款（原文）'!$B$2:$C$835,2,FALSE)&amp;""</f>
        <v>　　た再生債務者等</v>
      </c>
    </row>
    <row r="744" spans="1:2" ht="18.75" customHeight="1">
      <c r="A744" s="93">
        <f t="shared" si="11"/>
        <v>740</v>
      </c>
      <c r="B744" s="93" t="str">
        <f>VLOOKUP($A744,'【随時メンテ】工事請負約款（原文）'!$B$2:$C$835,2,FALSE)&amp;""</f>
        <v>４　第１項各号又は第２項各号に定める場合（前項の規定により第２項第２号に該当する場合とみなされる場合を除く。）がこ</v>
      </c>
    </row>
    <row r="745" spans="1:2" ht="18.75" customHeight="1">
      <c r="A745" s="93">
        <f t="shared" si="11"/>
        <v>741</v>
      </c>
      <c r="B745" s="93" t="str">
        <f>VLOOKUP($A745,'【随時メンテ】工事請負約款（原文）'!$B$2:$C$835,2,FALSE)&amp;""</f>
        <v>　の契約及び取引上の社会通念に照らして受注者の責めに帰することができない事由によるものであるときは、第１項及び第２</v>
      </c>
    </row>
    <row r="746" spans="1:2" ht="18.75" customHeight="1">
      <c r="A746" s="93">
        <f t="shared" si="11"/>
        <v>742</v>
      </c>
      <c r="B746" s="93" t="str">
        <f>VLOOKUP($A746,'【随時メンテ】工事請負約款（原文）'!$B$2:$C$835,2,FALSE)&amp;""</f>
        <v>　項の規定は適用しない。</v>
      </c>
    </row>
    <row r="747" spans="1:2" ht="18.75" customHeight="1">
      <c r="A747" s="93">
        <f t="shared" si="11"/>
        <v>743</v>
      </c>
      <c r="B747" s="93" t="str">
        <f>VLOOKUP($A747,'【随時メンテ】工事請負約款（原文）'!$B$2:$C$835,2,FALSE)&amp;""</f>
        <v>５　第１項第１号に該当し、発注者が損害の賠償を請求する場合の請求額は、請負代金額から部分引渡しを受けた部分に相応す</v>
      </c>
    </row>
    <row r="748" spans="1:2" ht="18.75" customHeight="1">
      <c r="A748" s="93">
        <f t="shared" si="11"/>
        <v>744</v>
      </c>
      <c r="B748" s="93" t="str">
        <f>VLOOKUP($A748,'【随時メンテ】工事請負約款（原文）'!$B$2:$C$835,2,FALSE)&amp;""</f>
        <v>　る請負代金額を控除した額につき、遅延日数に応じ、財務大臣の決定する率の割合で計算した額とする。</v>
      </c>
    </row>
    <row r="749" spans="1:2" ht="18.75" customHeight="1">
      <c r="A749" s="93">
        <f t="shared" si="11"/>
        <v>745</v>
      </c>
      <c r="B749" s="93" t="str">
        <f>VLOOKUP($A749,'【随時メンテ】工事請負約款（原文）'!$B$2:$C$835,2,FALSE)&amp;""</f>
        <v>６　第２項の場合（第48条第９号及び第11号の規定により、この契約が解除された場合を除く。）において、第４条の規定によ</v>
      </c>
    </row>
    <row r="750" spans="1:2" ht="18.75" customHeight="1">
      <c r="A750" s="93">
        <f t="shared" si="11"/>
        <v>746</v>
      </c>
      <c r="B750" s="93" t="str">
        <f>VLOOKUP($A750,'【随時メンテ】工事請負約款（原文）'!$B$2:$C$835,2,FALSE)&amp;""</f>
        <v>　り契約保証金の納付又はこれに代わる担保の提供が行われているときは、発注者は、当該契約保証金又は担保をもって同項の</v>
      </c>
    </row>
    <row r="751" spans="1:2" ht="18.75" customHeight="1">
      <c r="A751" s="93">
        <f t="shared" si="11"/>
        <v>747</v>
      </c>
      <c r="B751" s="93" t="str">
        <f>VLOOKUP($A751,'【随時メンテ】工事請負約款（原文）'!$B$2:$C$835,2,FALSE)&amp;""</f>
        <v>　違約金に充当することができる。</v>
      </c>
    </row>
    <row r="752" spans="1:2" ht="18.75" customHeight="1">
      <c r="A752" s="93">
        <f t="shared" si="11"/>
        <v>748</v>
      </c>
      <c r="B752" s="93" t="str">
        <f>VLOOKUP($A752,'【随時メンテ】工事請負約款（原文）'!$B$2:$C$835,2,FALSE)&amp;""</f>
        <v/>
      </c>
    </row>
    <row r="753" spans="1:2" ht="18.75" customHeight="1">
      <c r="A753" s="93">
        <f t="shared" si="11"/>
        <v>749</v>
      </c>
      <c r="B753" s="93" t="str">
        <f>VLOOKUP($A753,'【随時メンテ】工事請負約款（原文）'!$B$2:$C$835,2,FALSE)&amp;""</f>
        <v>　（賠償の予約）</v>
      </c>
    </row>
    <row r="754" spans="1:2" ht="18.75" customHeight="1">
      <c r="A754" s="93">
        <f t="shared" si="11"/>
        <v>750</v>
      </c>
      <c r="B754" s="93" t="str">
        <f>VLOOKUP($A754,'【随時メンテ】工事請負約款（原文）'!$B$2:$C$835,2,FALSE)&amp;""</f>
        <v>第57条　受注者は、第49条第１項各号（同項第４号に規定する刑法第198条に規定する刑が確定したときを除く｡)のいずれかに</v>
      </c>
    </row>
    <row r="755" spans="1:2" ht="18.75" customHeight="1">
      <c r="A755" s="93">
        <f t="shared" si="11"/>
        <v>751</v>
      </c>
      <c r="B755" s="93" t="str">
        <f>VLOOKUP($A755,'【随時メンテ】工事請負約款（原文）'!$B$2:$C$835,2,FALSE)&amp;""</f>
        <v>　該当するときは、発注者がこの契約を解除するか否かにかかわらず、賠償金として、この契約による請負代金額の10分の２に</v>
      </c>
    </row>
    <row r="756" spans="1:2" ht="18.75" customHeight="1">
      <c r="A756" s="93">
        <f t="shared" si="11"/>
        <v>752</v>
      </c>
      <c r="B756" s="93" t="str">
        <f>VLOOKUP($A756,'【随時メンテ】工事請負約款（原文）'!$B$2:$C$835,2,FALSE)&amp;""</f>
        <v>　相当する額を発注者が指定する期間内に支払わなければならない。工事が完成した後においても同様とする。</v>
      </c>
    </row>
    <row r="757" spans="1:2" ht="18.75" customHeight="1">
      <c r="A757" s="93">
        <f t="shared" si="11"/>
        <v>753</v>
      </c>
      <c r="B757" s="93" t="str">
        <f>VLOOKUP($A757,'【随時メンテ】工事請負約款（原文）'!$B$2:$C$835,2,FALSE)&amp;""</f>
        <v>２　発注者は、前項の場合において、受注者が共同企業体で既に解散しているときは、当該共同企業体の構成員であった全ての</v>
      </c>
    </row>
    <row r="758" spans="1:2" ht="18.75" customHeight="1">
      <c r="A758" s="93">
        <f t="shared" si="11"/>
        <v>754</v>
      </c>
      <c r="B758" s="93" t="str">
        <f>VLOOKUP($A758,'【随時メンテ】工事請負約款（原文）'!$B$2:$C$835,2,FALSE)&amp;""</f>
        <v>　者に対して同項に定める額の賠償金の支払を請求することができる。この場合において、請求を受けた者はその額を連帯して</v>
      </c>
    </row>
    <row r="759" spans="1:2" ht="18.75" customHeight="1">
      <c r="A759" s="93">
        <f t="shared" si="11"/>
        <v>755</v>
      </c>
      <c r="B759" s="93" t="str">
        <f>VLOOKUP($A759,'【随時メンテ】工事請負約款（原文）'!$B$2:$C$835,2,FALSE)&amp;""</f>
        <v>　発注者に支払わなければならない。</v>
      </c>
    </row>
    <row r="760" spans="1:2" ht="18.75" customHeight="1">
      <c r="A760" s="93">
        <f t="shared" si="11"/>
        <v>756</v>
      </c>
      <c r="B760" s="93" t="str">
        <f>VLOOKUP($A760,'【随時メンテ】工事請負約款（原文）'!$B$2:$C$835,2,FALSE)&amp;""</f>
        <v>３　第１項の規定は、発注者に生じた損害額が同項に規定する賠償金の額を超える場合において、その超過分について賠償を請</v>
      </c>
    </row>
    <row r="761" spans="1:2" ht="18.75" customHeight="1">
      <c r="A761" s="93">
        <f t="shared" si="11"/>
        <v>757</v>
      </c>
      <c r="B761" s="93" t="str">
        <f>VLOOKUP($A761,'【随時メンテ】工事請負約款（原文）'!$B$2:$C$835,2,FALSE)&amp;""</f>
        <v>　求することを妨げるものではない。</v>
      </c>
    </row>
    <row r="762" spans="1:2" ht="18.75" customHeight="1">
      <c r="A762" s="93">
        <f t="shared" si="11"/>
        <v>758</v>
      </c>
      <c r="B762" s="93" t="str">
        <f>VLOOKUP($A762,'【随時メンテ】工事請負約款（原文）'!$B$2:$C$835,2,FALSE)&amp;""</f>
        <v/>
      </c>
    </row>
    <row r="763" spans="1:2" ht="18.75" customHeight="1">
      <c r="A763" s="93">
        <f t="shared" si="11"/>
        <v>759</v>
      </c>
      <c r="B763" s="93" t="str">
        <f>VLOOKUP($A763,'【随時メンテ】工事請負約款（原文）'!$B$2:$C$835,2,FALSE)&amp;""</f>
        <v>　（相殺）</v>
      </c>
    </row>
    <row r="764" spans="1:2" ht="18.75" customHeight="1">
      <c r="A764" s="93">
        <f t="shared" si="11"/>
        <v>760</v>
      </c>
      <c r="B764" s="93" t="str">
        <f>VLOOKUP($A764,'【随時メンテ】工事請負約款（原文）'!$B$2:$C$835,2,FALSE)&amp;""</f>
        <v>第58条　発注者は、受注者に対して有する金銭債権があるときは、受注者が発注者に対して有する保証金返還請求権、請負代金</v>
      </c>
    </row>
    <row r="765" spans="1:2" ht="18.75" customHeight="1">
      <c r="A765" s="93">
        <f t="shared" si="11"/>
        <v>761</v>
      </c>
      <c r="B765" s="93" t="str">
        <f>VLOOKUP($A765,'【随時メンテ】工事請負約款（原文）'!$B$2:$C$835,2,FALSE)&amp;""</f>
        <v>　請求権その他の債権と相殺することができる。</v>
      </c>
    </row>
    <row r="766" spans="1:2" ht="18.75" customHeight="1">
      <c r="A766" s="93">
        <f t="shared" si="11"/>
        <v>762</v>
      </c>
      <c r="B766" s="93" t="str">
        <f>VLOOKUP($A766,'【随時メンテ】工事請負約款（原文）'!$B$2:$C$835,2,FALSE)&amp;""</f>
        <v>２　前項の場合において、相殺して、なお不足があるときは、受注者は、発注者の指定する期間内に当該不足額を支払わなけれ</v>
      </c>
    </row>
    <row r="767" spans="1:2" ht="18.75" customHeight="1">
      <c r="A767" s="93">
        <f t="shared" si="11"/>
        <v>763</v>
      </c>
      <c r="B767" s="93" t="str">
        <f>VLOOKUP($A767,'【随時メンテ】工事請負約款（原文）'!$B$2:$C$835,2,FALSE)&amp;""</f>
        <v>　ばならない。</v>
      </c>
    </row>
    <row r="768" spans="1:2" ht="18.75" customHeight="1">
      <c r="A768" s="93">
        <f t="shared" si="11"/>
        <v>764</v>
      </c>
      <c r="B768" s="93" t="str">
        <f>VLOOKUP($A768,'【随時メンテ】工事請負約款（原文）'!$B$2:$C$835,2,FALSE)&amp;""</f>
        <v>３　第１項の場合において、充当する金銭債権の順序は発注者が指定する。</v>
      </c>
    </row>
    <row r="769" spans="1:2" ht="18.75" customHeight="1">
      <c r="A769" s="93">
        <f t="shared" si="11"/>
        <v>765</v>
      </c>
      <c r="B769" s="93" t="str">
        <f>VLOOKUP($A769,'【随時メンテ】工事請負約款（原文）'!$B$2:$C$835,2,FALSE)&amp;""</f>
        <v/>
      </c>
    </row>
    <row r="770" spans="1:2" ht="18.75" customHeight="1">
      <c r="A770" s="93">
        <f t="shared" si="11"/>
        <v>766</v>
      </c>
      <c r="B770" s="93" t="str">
        <f>VLOOKUP($A770,'【随時メンテ】工事請負約款（原文）'!$B$2:$C$835,2,FALSE)&amp;""</f>
        <v>　（受注者の損害賠償請求等）</v>
      </c>
    </row>
    <row r="771" spans="1:2" ht="18.75" customHeight="1">
      <c r="A771" s="93">
        <f t="shared" si="11"/>
        <v>767</v>
      </c>
      <c r="B771" s="93" t="str">
        <f>VLOOKUP($A771,'【随時メンテ】工事請負約款（原文）'!$B$2:$C$835,2,FALSE)&amp;""</f>
        <v>第59条　受注者は、発注者が次の各号のいずれかに該当する場合はこれによって生じた損害の賠償を請求することができる。た</v>
      </c>
    </row>
    <row r="772" spans="1:2" ht="18.75" customHeight="1">
      <c r="A772" s="93">
        <f t="shared" si="11"/>
        <v>768</v>
      </c>
      <c r="B772" s="93" t="str">
        <f>VLOOKUP($A772,'【随時メンテ】工事請負約款（原文）'!$B$2:$C$835,2,FALSE)&amp;""</f>
        <v>　だし、当該各号に定める場合がこの契約及び取引上の社会通念に照らして発注者の責めに帰することができない事由によるも</v>
      </c>
    </row>
    <row r="773" spans="1:2" ht="18.75" customHeight="1">
      <c r="A773" s="93">
        <f t="shared" si="11"/>
        <v>769</v>
      </c>
      <c r="B773" s="93" t="str">
        <f>VLOOKUP($A773,'【随時メンテ】工事請負約款（原文）'!$B$2:$C$835,2,FALSE)&amp;""</f>
        <v>　のであるときは、この限りでない。</v>
      </c>
    </row>
    <row r="774" spans="1:2" ht="18.75" customHeight="1">
      <c r="A774" s="93">
        <f t="shared" si="11"/>
        <v>770</v>
      </c>
      <c r="B774" s="93" t="str">
        <f>VLOOKUP($A774,'【随時メンテ】工事請負約款（原文）'!$B$2:$C$835,2,FALSE)&amp;""</f>
        <v>　一　第52条又は第53条の規定によりこの契約が解除されたとき。</v>
      </c>
    </row>
    <row r="775" spans="1:2" ht="18.75" customHeight="1">
      <c r="A775" s="93">
        <f t="shared" ref="A775:A838" si="12">ROW()-$A$2</f>
        <v>771</v>
      </c>
      <c r="B775" s="93" t="str">
        <f>VLOOKUP($A775,'【随時メンテ】工事請負約款（原文）'!$B$2:$C$835,2,FALSE)&amp;""</f>
        <v>　二　前号に掲げる場合のほか、債務の本旨に従った履行をしないとき又は債務の履行が不能であるとき。</v>
      </c>
    </row>
    <row r="776" spans="1:2" ht="18.75" customHeight="1">
      <c r="A776" s="93">
        <f t="shared" si="12"/>
        <v>772</v>
      </c>
      <c r="B776" s="93" t="str">
        <f>VLOOKUP($A776,'【随時メンテ】工事請負約款（原文）'!$B$2:$C$835,2,FALSE)&amp;""</f>
        <v>２　第32条第２項（第39条において準用する場合を含む。）の規定による請負代金の支払が遅れた場合においては、受注者は、</v>
      </c>
    </row>
    <row r="777" spans="1:2" ht="18.75" customHeight="1">
      <c r="A777" s="93">
        <f t="shared" si="12"/>
        <v>773</v>
      </c>
      <c r="B777" s="93" t="str">
        <f>VLOOKUP($A777,'【随時メンテ】工事請負約款（原文）'!$B$2:$C$835,2,FALSE)&amp;""</f>
        <v>　未受領金額につき、遅延日数に応じ、財務大臣の決定する率の割合で計算した額の遅延利息の支払を発注者に請求することが</v>
      </c>
    </row>
    <row r="778" spans="1:2" ht="18.75" customHeight="1">
      <c r="A778" s="93">
        <f t="shared" si="12"/>
        <v>774</v>
      </c>
      <c r="B778" s="93" t="str">
        <f>VLOOKUP($A778,'【随時メンテ】工事請負約款（原文）'!$B$2:$C$835,2,FALSE)&amp;""</f>
        <v>　できる。</v>
      </c>
    </row>
    <row r="779" spans="1:2" ht="18.75" customHeight="1">
      <c r="A779" s="93">
        <f t="shared" si="12"/>
        <v>775</v>
      </c>
      <c r="B779" s="93" t="str">
        <f>VLOOKUP($A779,'【随時メンテ】工事請負約款（原文）'!$B$2:$C$835,2,FALSE)&amp;""</f>
        <v/>
      </c>
    </row>
    <row r="780" spans="1:2" ht="18.75" customHeight="1">
      <c r="A780" s="93">
        <f t="shared" si="12"/>
        <v>776</v>
      </c>
      <c r="B780" s="93" t="str">
        <f>VLOOKUP($A780,'【随時メンテ】工事請負約款（原文）'!$B$2:$C$835,2,FALSE)&amp;""</f>
        <v>　（契約不適合責任期間等）</v>
      </c>
    </row>
    <row r="781" spans="1:2" ht="18.75" customHeight="1">
      <c r="A781" s="93">
        <f t="shared" si="12"/>
        <v>777</v>
      </c>
      <c r="B781" s="93" t="str">
        <f>VLOOKUP($A781,'【随時メンテ】工事請負約款（原文）'!$B$2:$C$835,2,FALSE)&amp;""</f>
        <v>第60条　発注者は、引き渡された工事目的物に関し、第31条第４項又は第５項（第39条においてこれらの規定を準用する場合を</v>
      </c>
    </row>
    <row r="782" spans="1:2" ht="18.75" customHeight="1">
      <c r="A782" s="93">
        <f t="shared" si="12"/>
        <v>778</v>
      </c>
      <c r="B782" s="93" t="str">
        <f>VLOOKUP($A782,'【随時メンテ】工事請負約款（原文）'!$B$2:$C$835,2,FALSE)&amp;""</f>
        <v>　含む｡)の規定による引渡し（以下この条において単に「引渡し」という｡)を受けた日から２年以内でなければ、契約不適合を</v>
      </c>
    </row>
    <row r="783" spans="1:2" ht="18.75" customHeight="1">
      <c r="A783" s="93">
        <f t="shared" si="12"/>
        <v>779</v>
      </c>
      <c r="B783" s="93" t="str">
        <f>VLOOKUP($A783,'【随時メンテ】工事請負約款（原文）'!$B$2:$C$835,2,FALSE)&amp;""</f>
        <v>　理由とした履行の追完の請求、損害賠償の請求、代金の減額の請求又は契約の解除（以下この条において「請求等」という。）</v>
      </c>
    </row>
    <row r="784" spans="1:2" ht="18.75" customHeight="1">
      <c r="A784" s="93">
        <f t="shared" si="12"/>
        <v>780</v>
      </c>
      <c r="B784" s="93" t="str">
        <f>VLOOKUP($A784,'【随時メンテ】工事請負約款（原文）'!$B$2:$C$835,2,FALSE)&amp;""</f>
        <v>　をすることができない。</v>
      </c>
    </row>
    <row r="785" spans="1:2" ht="18.75" customHeight="1">
      <c r="A785" s="93">
        <f t="shared" si="12"/>
        <v>781</v>
      </c>
      <c r="B785" s="93" t="str">
        <f>VLOOKUP($A785,'【随時メンテ】工事請負約款（原文）'!$B$2:$C$835,2,FALSE)&amp;""</f>
        <v>２　前項の規定にかかわらず、設備機器本体等の契約不適合については、引渡しの時、発注者が検査して直ちにその履行の追完</v>
      </c>
    </row>
    <row r="786" spans="1:2" ht="18.75" customHeight="1">
      <c r="A786" s="93">
        <f t="shared" si="12"/>
        <v>782</v>
      </c>
      <c r="B786" s="93" t="str">
        <f>VLOOKUP($A786,'【随時メンテ】工事請負約款（原文）'!$B$2:$C$835,2,FALSE)&amp;""</f>
        <v>　を請求しなければ、受注者は、その責任を負わない。ただし、当該検査において一般的な注意の下で発見できなかった契約不</v>
      </c>
    </row>
    <row r="787" spans="1:2" ht="18.75" customHeight="1">
      <c r="A787" s="93">
        <f t="shared" si="12"/>
        <v>783</v>
      </c>
      <c r="B787" s="93" t="str">
        <f>VLOOKUP($A787,'【随時メンテ】工事請負約款（原文）'!$B$2:$C$835,2,FALSE)&amp;""</f>
        <v>　適合については、引渡しを受けた日から１年が経過する日まで請求等をすることができる。</v>
      </c>
    </row>
    <row r="788" spans="1:2" ht="18.75" customHeight="1">
      <c r="A788" s="93">
        <f t="shared" si="12"/>
        <v>784</v>
      </c>
      <c r="B788" s="93" t="str">
        <f>VLOOKUP($A788,'【随時メンテ】工事請負約款（原文）'!$B$2:$C$835,2,FALSE)&amp;""</f>
        <v>３　請求等は、具体的な契約不適合の内容、請求する損害額の算定の根拠等当該請求等の根拠を示して、受注者の契約不適合責</v>
      </c>
    </row>
    <row r="789" spans="1:2" ht="18.75" customHeight="1">
      <c r="A789" s="93">
        <f t="shared" si="12"/>
        <v>785</v>
      </c>
      <c r="B789" s="93" t="str">
        <f>VLOOKUP($A789,'【随時メンテ】工事請負約款（原文）'!$B$2:$C$835,2,FALSE)&amp;""</f>
        <v>　任を問う意思を明確に告げることで行う。</v>
      </c>
    </row>
    <row r="790" spans="1:2" ht="18.75" customHeight="1">
      <c r="A790" s="93">
        <f t="shared" si="12"/>
        <v>786</v>
      </c>
      <c r="B790" s="93" t="str">
        <f>VLOOKUP($A790,'【随時メンテ】工事請負約款（原文）'!$B$2:$C$835,2,FALSE)&amp;""</f>
        <v>４　発注者が第１項又は第２項に規定する契約不適合に係る請求等が可能な期間（以下この項及び第７項において「契約不適合</v>
      </c>
    </row>
    <row r="791" spans="1:2" ht="18.75" customHeight="1">
      <c r="A791" s="93">
        <f t="shared" si="12"/>
        <v>787</v>
      </c>
      <c r="B791" s="93" t="str">
        <f>VLOOKUP($A791,'【随時メンテ】工事請負約款（原文）'!$B$2:$C$835,2,FALSE)&amp;""</f>
        <v>　責任期間」という。）の内に契約不適合を知り、その旨を受注者に通知した場合において、発注者が通知から１年が経過する</v>
      </c>
    </row>
    <row r="792" spans="1:2" ht="18.75" customHeight="1">
      <c r="A792" s="93">
        <f t="shared" si="12"/>
        <v>788</v>
      </c>
      <c r="B792" s="93" t="str">
        <f>VLOOKUP($A792,'【随時メンテ】工事請負約款（原文）'!$B$2:$C$835,2,FALSE)&amp;""</f>
        <v>　日までに前項に規定する方法による請求等をしたときは、契約不適合責任期間の内に請求等をしたものとみなす。</v>
      </c>
    </row>
    <row r="793" spans="1:2" ht="18.75" customHeight="1">
      <c r="A793" s="93">
        <f t="shared" si="12"/>
        <v>789</v>
      </c>
      <c r="B793" s="93" t="str">
        <f>VLOOKUP($A793,'【随時メンテ】工事請負約款（原文）'!$B$2:$C$835,2,FALSE)&amp;""</f>
        <v>５　発注者は、請求等を行ったときは、当該請求等の根拠となる契約不適合に関し、民法の消滅時効の範囲で、当該請求等以外</v>
      </c>
    </row>
    <row r="794" spans="1:2" ht="18.75" customHeight="1">
      <c r="A794" s="93">
        <f t="shared" si="12"/>
        <v>790</v>
      </c>
      <c r="B794" s="93" t="str">
        <f>VLOOKUP($A794,'【随時メンテ】工事請負約款（原文）'!$B$2:$C$835,2,FALSE)&amp;""</f>
        <v>　に必要と認められる請求等をすることができる。</v>
      </c>
    </row>
    <row r="795" spans="1:2" ht="18.75" customHeight="1">
      <c r="A795" s="93">
        <f t="shared" si="12"/>
        <v>791</v>
      </c>
      <c r="B795" s="93" t="str">
        <f>VLOOKUP($A795,'【随時メンテ】工事請負約款（原文）'!$B$2:$C$835,2,FALSE)&amp;""</f>
        <v>６　前各項の規定は、契約不適合が受注者の故意又は重過失により生じたものであるときには適用せず、契約不適合に関する受</v>
      </c>
    </row>
    <row r="796" spans="1:2" ht="18.75" customHeight="1">
      <c r="A796" s="93">
        <f t="shared" si="12"/>
        <v>792</v>
      </c>
      <c r="B796" s="93" t="str">
        <f>VLOOKUP($A796,'【随時メンテ】工事請負約款（原文）'!$B$2:$C$835,2,FALSE)&amp;""</f>
        <v>　注者の責任については、民法の定めるところによる。</v>
      </c>
    </row>
    <row r="797" spans="1:2" ht="18.75" customHeight="1">
      <c r="A797" s="93">
        <f t="shared" si="12"/>
        <v>793</v>
      </c>
      <c r="B797" s="93" t="str">
        <f>VLOOKUP($A797,'【随時メンテ】工事請負約款（原文）'!$B$2:$C$835,2,FALSE)&amp;""</f>
        <v>７　民法第637条第１項の規定は、契約不適合責任期間については適用しない。</v>
      </c>
    </row>
    <row r="798" spans="1:2" ht="18.75" customHeight="1">
      <c r="A798" s="93">
        <f t="shared" si="12"/>
        <v>794</v>
      </c>
      <c r="B798" s="93" t="str">
        <f>VLOOKUP($A798,'【随時メンテ】工事請負約款（原文）'!$B$2:$C$835,2,FALSE)&amp;""</f>
        <v>８　発注者は、工事目的物の引渡しの際に契約不適合があることを知ったときは、第１項の規定にかかわらず、その旨を直ちに</v>
      </c>
    </row>
    <row r="799" spans="1:2" ht="18.75" customHeight="1">
      <c r="A799" s="93">
        <f t="shared" si="12"/>
        <v>795</v>
      </c>
      <c r="B799" s="93" t="str">
        <f>VLOOKUP($A799,'【随時メンテ】工事請負約款（原文）'!$B$2:$C$835,2,FALSE)&amp;""</f>
        <v>　受注者に通知しなければ、当該契約不適合に関する請求等をすることはできない。ただし、受注者がその契約不適合があるこ</v>
      </c>
    </row>
    <row r="800" spans="1:2" ht="18.75" customHeight="1">
      <c r="A800" s="93">
        <f t="shared" si="12"/>
        <v>796</v>
      </c>
      <c r="B800" s="93" t="str">
        <f>VLOOKUP($A800,'【随時メンテ】工事請負約款（原文）'!$B$2:$C$835,2,FALSE)&amp;""</f>
        <v>　とを知っていたときは、この限りでない。</v>
      </c>
    </row>
    <row r="801" spans="1:2" ht="18.75" customHeight="1">
      <c r="A801" s="93">
        <f t="shared" si="12"/>
        <v>797</v>
      </c>
      <c r="B801" s="93" t="str">
        <f>VLOOKUP($A801,'【随時メンテ】工事請負約款（原文）'!$B$2:$C$835,2,FALSE)&amp;""</f>
        <v>９　この契約が、住宅の品質確保の促進等に関する法律（平成11年法律第81号）第94条第１項に規定する住宅新築請負契約であ</v>
      </c>
    </row>
    <row r="802" spans="1:2" ht="18.75" customHeight="1">
      <c r="A802" s="93">
        <f t="shared" si="12"/>
        <v>798</v>
      </c>
      <c r="B802" s="93" t="str">
        <f>VLOOKUP($A802,'【随時メンテ】工事請負約款（原文）'!$B$2:$C$835,2,FALSE)&amp;""</f>
        <v>　る場合には、工事目的物のうち住宅の品質確保の促進等に関する法律施行令（平成12年政令第64号）第５条に定める部分の瑕</v>
      </c>
    </row>
    <row r="803" spans="1:2" ht="18.75" customHeight="1">
      <c r="A803" s="93">
        <f t="shared" si="12"/>
        <v>799</v>
      </c>
      <c r="B803" s="93" t="str">
        <f>VLOOKUP($A803,'【随時メンテ】工事請負約款（原文）'!$B$2:$C$835,2,FALSE)&amp;""</f>
        <v>　疵（構造耐力又は雨水の浸入に影響のないものを除く。）について請求等を行うことのできる期間は、10年とする。この場合</v>
      </c>
    </row>
    <row r="804" spans="1:2" ht="18.75" customHeight="1">
      <c r="A804" s="93">
        <f t="shared" si="12"/>
        <v>800</v>
      </c>
      <c r="B804" s="93" t="str">
        <f>VLOOKUP($A804,'【随時メンテ】工事請負約款（原文）'!$B$2:$C$835,2,FALSE)&amp;""</f>
        <v>　において、前各項の規定は適用しない。</v>
      </c>
    </row>
    <row r="805" spans="1:2" ht="18.75" customHeight="1">
      <c r="A805" s="93">
        <f t="shared" si="12"/>
        <v>801</v>
      </c>
      <c r="B805" s="93" t="str">
        <f>VLOOKUP($A805,'【随時メンテ】工事請負約款（原文）'!$B$2:$C$835,2,FALSE)&amp;""</f>
        <v>10　引き渡された工事目的物の契約不適合が支給材料の性質又は発注者若しくは監督員の指図により生じたものであるときは、</v>
      </c>
    </row>
    <row r="806" spans="1:2" ht="18.75" customHeight="1">
      <c r="A806" s="93">
        <f t="shared" si="12"/>
        <v>802</v>
      </c>
      <c r="B806" s="93" t="str">
        <f>VLOOKUP($A806,'【随時メンテ】工事請負約款（原文）'!$B$2:$C$835,2,FALSE)&amp;""</f>
        <v>　発注者は当該契約不適合を理由として、請求等をすることができない。ただし、受注者がその材料又は指図の不適当であるこ</v>
      </c>
    </row>
    <row r="807" spans="1:2" ht="18.75" customHeight="1">
      <c r="A807" s="93">
        <f t="shared" si="12"/>
        <v>803</v>
      </c>
      <c r="B807" s="93" t="str">
        <f>VLOOKUP($A807,'【随時メンテ】工事請負約款（原文）'!$B$2:$C$835,2,FALSE)&amp;""</f>
        <v>　とを知りながらこれを通知しなかったときは、この限りでない。</v>
      </c>
    </row>
    <row r="808" spans="1:2" ht="18.75" customHeight="1">
      <c r="A808" s="93">
        <f t="shared" si="12"/>
        <v>804</v>
      </c>
      <c r="B808" s="93" t="str">
        <f>VLOOKUP($A808,'【随時メンテ】工事請負約款（原文）'!$B$2:$C$835,2,FALSE)&amp;""</f>
        <v/>
      </c>
    </row>
    <row r="809" spans="1:2" ht="18.75" customHeight="1">
      <c r="A809" s="93">
        <f t="shared" si="12"/>
        <v>805</v>
      </c>
      <c r="B809" s="93" t="str">
        <f>VLOOKUP($A809,'【随時メンテ】工事請負約款（原文）'!$B$2:$C$835,2,FALSE)&amp;""</f>
        <v>　（火災保険等）</v>
      </c>
    </row>
    <row r="810" spans="1:2" ht="18.75" customHeight="1">
      <c r="A810" s="93">
        <f t="shared" si="12"/>
        <v>806</v>
      </c>
      <c r="B810" s="93" t="str">
        <f>VLOOKUP($A810,'【随時メンテ】工事請負約款（原文）'!$B$2:$C$835,2,FALSE)&amp;""</f>
        <v>第61条　受注者は、工事目的物及び工事材料（支給材料を含む。以下この条において同じ。）等を設計図書に定めるところによ</v>
      </c>
    </row>
    <row r="811" spans="1:2" ht="18.75" customHeight="1">
      <c r="A811" s="93">
        <f t="shared" si="12"/>
        <v>807</v>
      </c>
      <c r="B811" s="93" t="str">
        <f>VLOOKUP($A811,'【随時メンテ】工事請負約款（原文）'!$B$2:$C$835,2,FALSE)&amp;""</f>
        <v>　り火災保険、建設工事保険その他の保険（これに準ずるものを含む。以下この条において同じ。）に付さなければならない。</v>
      </c>
    </row>
    <row r="812" spans="1:2" ht="18.75" customHeight="1">
      <c r="A812" s="93">
        <f t="shared" si="12"/>
        <v>808</v>
      </c>
      <c r="B812" s="93" t="str">
        <f>VLOOKUP($A812,'【随時メンテ】工事請負約款（原文）'!$B$2:$C$835,2,FALSE)&amp;""</f>
        <v>２　受注者は、前項の規定により保険契約を締結したときは、その証券又はこれに代わるものを直ちに発注者に提示しなければ</v>
      </c>
    </row>
    <row r="813" spans="1:2" ht="18.75" customHeight="1">
      <c r="A813" s="93">
        <f t="shared" si="12"/>
        <v>809</v>
      </c>
      <c r="B813" s="93" t="str">
        <f>VLOOKUP($A813,'【随時メンテ】工事請負約款（原文）'!$B$2:$C$835,2,FALSE)&amp;""</f>
        <v>　ならない。</v>
      </c>
    </row>
    <row r="814" spans="1:2" ht="18.75" customHeight="1">
      <c r="A814" s="93">
        <f t="shared" si="12"/>
        <v>810</v>
      </c>
      <c r="B814" s="93" t="str">
        <f>VLOOKUP($A814,'【随時メンテ】工事請負約款（原文）'!$B$2:$C$835,2,FALSE)&amp;""</f>
        <v>３　受注者は、工事目的物及び工事材料等を第１項の規定による保険以外の保険に付したときは、直ちにその旨を発注者に通知</v>
      </c>
    </row>
    <row r="815" spans="1:2" ht="18.75" customHeight="1">
      <c r="A815" s="93">
        <f t="shared" si="12"/>
        <v>811</v>
      </c>
      <c r="B815" s="93" t="str">
        <f>VLOOKUP($A815,'【随時メンテ】工事請負約款（原文）'!$B$2:$C$835,2,FALSE)&amp;""</f>
        <v>　しなければならない。</v>
      </c>
    </row>
    <row r="816" spans="1:2" ht="18.75" customHeight="1">
      <c r="A816" s="93">
        <f t="shared" si="12"/>
        <v>812</v>
      </c>
      <c r="B816" s="93" t="str">
        <f>VLOOKUP($A816,'【随時メンテ】工事請負約款（原文）'!$B$2:$C$835,2,FALSE)&amp;""</f>
        <v/>
      </c>
    </row>
    <row r="817" spans="1:2" ht="18.75" customHeight="1">
      <c r="A817" s="93">
        <f t="shared" si="12"/>
        <v>813</v>
      </c>
      <c r="B817" s="93" t="str">
        <f>VLOOKUP($A817,'【随時メンテ】工事請負約款（原文）'!$B$2:$C$835,2,FALSE)&amp;""</f>
        <v>　（あっせん又は調停）</v>
      </c>
    </row>
    <row r="818" spans="1:2" ht="18.75" customHeight="1">
      <c r="A818" s="93">
        <f t="shared" si="12"/>
        <v>814</v>
      </c>
      <c r="B818" s="93" t="str">
        <f>VLOOKUP($A818,'【随時メンテ】工事請負約款（原文）'!$B$2:$C$835,2,FALSE)&amp;""</f>
        <v>第62条　この約款の各条項において発注者と受注者とが協議して定めるものにつき協議が整わなかったときに発注者が定めたも</v>
      </c>
    </row>
    <row r="819" spans="1:2" ht="18.75" customHeight="1">
      <c r="A819" s="93">
        <f t="shared" si="12"/>
        <v>815</v>
      </c>
      <c r="B819" s="93" t="str">
        <f>VLOOKUP($A819,'【随時メンテ】工事請負約款（原文）'!$B$2:$C$835,2,FALSE)&amp;""</f>
        <v>　のに受注者が不服がある場合その他この契約に関して発注者と受注者との間に紛争を生じた場合には、発注者及び受注者は、</v>
      </c>
    </row>
    <row r="820" spans="1:2" ht="18.75" customHeight="1">
      <c r="A820" s="93">
        <f t="shared" si="12"/>
        <v>816</v>
      </c>
      <c r="B820" s="93" t="str">
        <f>VLOOKUP($A820,'【随時メンテ】工事請負約款（原文）'!$B$2:$C$835,2,FALSE)&amp;""</f>
        <v>　建設業法による大分県建設工事紛争審査会（以下「審査会」という。）のあっせん又は調停によりその解決を図る。</v>
      </c>
    </row>
    <row r="821" spans="1:2" ht="18.75" customHeight="1">
      <c r="A821" s="93">
        <f t="shared" si="12"/>
        <v>817</v>
      </c>
      <c r="B821" s="93" t="str">
        <f>VLOOKUP($A821,'【随時メンテ】工事請負約款（原文）'!$B$2:$C$835,2,FALSE)&amp;""</f>
        <v>２　前項の規定にかかわらず、現場代理人の職務の執行に関する紛争、監理技術者等、専門技術者その他受注者が工事を施工す</v>
      </c>
    </row>
    <row r="822" spans="1:2" ht="18.75" customHeight="1">
      <c r="A822" s="93">
        <f t="shared" si="12"/>
        <v>818</v>
      </c>
      <c r="B822" s="93" t="str">
        <f>VLOOKUP($A822,'【随時メンテ】工事請負約款（原文）'!$B$2:$C$835,2,FALSE)&amp;""</f>
        <v>　るために使用している下請負人、労働者等の工事の施工又は管理に関する紛争及び監督員の職務の執行に関する紛争について</v>
      </c>
    </row>
    <row r="823" spans="1:2" ht="18.75" customHeight="1">
      <c r="A823" s="93">
        <f t="shared" si="12"/>
        <v>819</v>
      </c>
      <c r="B823" s="93" t="str">
        <f>VLOOKUP($A823,'【随時メンテ】工事請負約款（原文）'!$B$2:$C$835,2,FALSE)&amp;""</f>
        <v>　は、第12条第３項の規定により受注者が決定を行った後若しくは同条第５項の規定により発注者が決定を行った後、又は発注</v>
      </c>
    </row>
    <row r="824" spans="1:2" ht="18.75" customHeight="1">
      <c r="A824" s="93">
        <f t="shared" si="12"/>
        <v>820</v>
      </c>
      <c r="B824" s="93" t="str">
        <f>VLOOKUP($A824,'【随時メンテ】工事請負約款（原文）'!$B$2:$C$835,2,FALSE)&amp;""</f>
        <v>　者若しくは受注者が決定を行わずに同条第３項若しくは第５項の期間が経過した後でなければ、発注者及び受注者は、前項の</v>
      </c>
    </row>
    <row r="825" spans="1:2" ht="18.75" customHeight="1">
      <c r="A825" s="93">
        <f t="shared" si="12"/>
        <v>821</v>
      </c>
      <c r="B825" s="93" t="str">
        <f>VLOOKUP($A825,'【随時メンテ】工事請負約款（原文）'!$B$2:$C$835,2,FALSE)&amp;""</f>
        <v>　あっせん又は調停を請求することができない。</v>
      </c>
    </row>
    <row r="826" spans="1:2" ht="18.75" customHeight="1">
      <c r="A826" s="93">
        <f t="shared" si="12"/>
        <v>822</v>
      </c>
      <c r="B826" s="93" t="str">
        <f>VLOOKUP($A826,'【随時メンテ】工事請負約款（原文）'!$B$2:$C$835,2,FALSE)&amp;""</f>
        <v/>
      </c>
    </row>
    <row r="827" spans="1:2" ht="18.75" customHeight="1">
      <c r="A827" s="93">
        <f t="shared" si="12"/>
        <v>823</v>
      </c>
      <c r="B827" s="93" t="str">
        <f>VLOOKUP($A827,'【随時メンテ】工事請負約款（原文）'!$B$2:$C$835,2,FALSE)&amp;""</f>
        <v>　（仲裁）</v>
      </c>
    </row>
    <row r="828" spans="1:2" ht="18.75" customHeight="1">
      <c r="A828" s="93">
        <f t="shared" si="12"/>
        <v>824</v>
      </c>
      <c r="B828" s="93" t="str">
        <f>VLOOKUP($A828,'【随時メンテ】工事請負約款（原文）'!$B$2:$C$835,2,FALSE)&amp;""</f>
        <v>第63条　発注者及び受注者は、その一方又は双方が前条の審査会のあっせん又は調停により紛争を解決する見込みがないと認め</v>
      </c>
    </row>
    <row r="829" spans="1:2" ht="18.75" customHeight="1">
      <c r="A829" s="93">
        <f t="shared" si="12"/>
        <v>825</v>
      </c>
      <c r="B829" s="93" t="str">
        <f>VLOOKUP($A829,'【随時メンテ】工事請負約款（原文）'!$B$2:$C$835,2,FALSE)&amp;""</f>
        <v>　たときは、同条の規定にかかわらず、仲裁合意書（別記様式）に基づき、審査会の仲裁に付し、その仲裁判断に服する。</v>
      </c>
    </row>
    <row r="830" spans="1:2" ht="18.75" customHeight="1">
      <c r="A830" s="93">
        <f t="shared" si="12"/>
        <v>826</v>
      </c>
      <c r="B830" s="93" t="str">
        <f>VLOOKUP($A830,'【随時メンテ】工事請負約款（原文）'!$B$2:$C$835,2,FALSE)&amp;""</f>
        <v/>
      </c>
    </row>
    <row r="831" spans="1:2" ht="18.75" customHeight="1">
      <c r="A831" s="93">
        <f t="shared" si="12"/>
        <v>827</v>
      </c>
      <c r="B831" s="93" t="str">
        <f>VLOOKUP($A831,'【随時メンテ】工事請負約款（原文）'!$B$2:$C$835,2,FALSE)&amp;""</f>
        <v>　（補則）</v>
      </c>
    </row>
    <row r="832" spans="1:2" ht="18.75" customHeight="1">
      <c r="A832" s="93">
        <f t="shared" si="12"/>
        <v>828</v>
      </c>
      <c r="B832" s="93" t="str">
        <f>VLOOKUP($A832,'【随時メンテ】工事請負約款（原文）'!$B$2:$C$835,2,FALSE)&amp;""</f>
        <v>第64条　この約款に定めのない事項については、必要に応じて発注者と受注者とが協議して定める。</v>
      </c>
    </row>
    <row r="833" spans="1:2" ht="18.75" customHeight="1">
      <c r="A833" s="93">
        <f t="shared" si="12"/>
        <v>829</v>
      </c>
      <c r="B833" s="93" t="e">
        <f>VLOOKUP($A833,'【随時メンテ】工事請負約款（原文）'!$B$2:$C$835,2,FALSE)&amp;""</f>
        <v>#N/A</v>
      </c>
    </row>
    <row r="834" spans="1:2" ht="18.75" customHeight="1">
      <c r="A834" s="93">
        <f t="shared" si="12"/>
        <v>830</v>
      </c>
      <c r="B834" s="93" t="e">
        <f>VLOOKUP($A834,'【随時メンテ】工事請負約款（原文）'!$B$2:$C$835,2,FALSE)&amp;""</f>
        <v>#N/A</v>
      </c>
    </row>
    <row r="835" spans="1:2" ht="18.75" customHeight="1">
      <c r="A835" s="93">
        <f t="shared" si="12"/>
        <v>831</v>
      </c>
      <c r="B835" s="93" t="e">
        <f>VLOOKUP($A835,'【随時メンテ】工事請負約款（原文）'!$B$2:$C$835,2,FALSE)&amp;""</f>
        <v>#N/A</v>
      </c>
    </row>
    <row r="836" spans="1:2" ht="18.75" customHeight="1">
      <c r="A836" s="93">
        <f t="shared" si="12"/>
        <v>832</v>
      </c>
      <c r="B836" s="93" t="e">
        <f>VLOOKUP($A836,'【随時メンテ】工事請負約款（原文）'!$B$2:$C$835,2,FALSE)&amp;""</f>
        <v>#N/A</v>
      </c>
    </row>
    <row r="837" spans="1:2" ht="18.75" customHeight="1">
      <c r="A837" s="93">
        <f t="shared" si="12"/>
        <v>833</v>
      </c>
      <c r="B837" s="93" t="e">
        <f>VLOOKUP($A837,'【随時メンテ】工事請負約款（原文）'!$B$2:$C$835,2,FALSE)&amp;""</f>
        <v>#N/A</v>
      </c>
    </row>
    <row r="838" spans="1:2" ht="18.75" customHeight="1">
      <c r="A838" s="93">
        <f t="shared" si="12"/>
        <v>834</v>
      </c>
      <c r="B838" s="93" t="e">
        <f>VLOOKUP($A838,'【随時メンテ】工事請負約款（原文）'!$B$2:$C$835,2,FALSE)&amp;""</f>
        <v>#N/A</v>
      </c>
    </row>
    <row r="839" spans="1:2" ht="18.75" customHeight="1">
      <c r="A839" s="93">
        <f t="shared" ref="A839:A902" si="13">ROW()-$A$2</f>
        <v>835</v>
      </c>
      <c r="B839" s="93" t="e">
        <f>VLOOKUP($A839,'【随時メンテ】工事請負約款（原文）'!$B$2:$C$835,2,FALSE)&amp;""</f>
        <v>#N/A</v>
      </c>
    </row>
    <row r="840" spans="1:2" ht="18.75" customHeight="1">
      <c r="A840" s="93">
        <f t="shared" si="13"/>
        <v>836</v>
      </c>
      <c r="B840" s="93" t="e">
        <f>VLOOKUP($A840,'【随時メンテ】工事請負約款（原文）'!$B$2:$C$835,2,FALSE)&amp;""</f>
        <v>#N/A</v>
      </c>
    </row>
    <row r="841" spans="1:2" ht="18.75" customHeight="1">
      <c r="A841" s="93">
        <f t="shared" si="13"/>
        <v>837</v>
      </c>
      <c r="B841" s="93" t="e">
        <f>VLOOKUP($A841,'【随時メンテ】工事請負約款（原文）'!$B$2:$C$835,2,FALSE)&amp;""</f>
        <v>#N/A</v>
      </c>
    </row>
    <row r="842" spans="1:2" ht="18.75" customHeight="1">
      <c r="A842" s="93">
        <f t="shared" si="13"/>
        <v>838</v>
      </c>
      <c r="B842" s="93" t="e">
        <f>VLOOKUP($A842,'【随時メンテ】工事請負約款（原文）'!$B$2:$C$835,2,FALSE)&amp;""</f>
        <v>#N/A</v>
      </c>
    </row>
    <row r="843" spans="1:2" ht="18.75" customHeight="1">
      <c r="A843" s="93">
        <f t="shared" si="13"/>
        <v>839</v>
      </c>
      <c r="B843" s="93" t="e">
        <f>VLOOKUP($A843,'【随時メンテ】工事請負約款（原文）'!$B$2:$C$835,2,FALSE)&amp;""</f>
        <v>#N/A</v>
      </c>
    </row>
    <row r="844" spans="1:2" ht="18.75" customHeight="1">
      <c r="A844" s="93">
        <f t="shared" si="13"/>
        <v>840</v>
      </c>
      <c r="B844" s="93" t="e">
        <f>VLOOKUP($A844,'【随時メンテ】工事請負約款（原文）'!$B$2:$C$835,2,FALSE)&amp;""</f>
        <v>#N/A</v>
      </c>
    </row>
    <row r="845" spans="1:2" ht="18.75" customHeight="1">
      <c r="A845" s="93">
        <f t="shared" si="13"/>
        <v>841</v>
      </c>
      <c r="B845" s="93" t="e">
        <f>VLOOKUP($A845,'【随時メンテ】工事請負約款（原文）'!$B$2:$C$835,2,FALSE)&amp;""</f>
        <v>#N/A</v>
      </c>
    </row>
    <row r="846" spans="1:2" ht="18.75" customHeight="1">
      <c r="A846" s="93">
        <f t="shared" si="13"/>
        <v>842</v>
      </c>
      <c r="B846" s="93" t="e">
        <f>VLOOKUP($A846,'【随時メンテ】工事請負約款（原文）'!$B$2:$C$835,2,FALSE)&amp;""</f>
        <v>#N/A</v>
      </c>
    </row>
    <row r="847" spans="1:2" ht="18.75" customHeight="1">
      <c r="A847" s="93">
        <f t="shared" si="13"/>
        <v>843</v>
      </c>
      <c r="B847" s="93" t="e">
        <f>VLOOKUP($A847,'【随時メンテ】工事請負約款（原文）'!$B$2:$C$835,2,FALSE)&amp;""</f>
        <v>#N/A</v>
      </c>
    </row>
    <row r="848" spans="1:2" ht="18.75" customHeight="1">
      <c r="A848" s="93">
        <f t="shared" si="13"/>
        <v>844</v>
      </c>
      <c r="B848" s="93" t="e">
        <f>VLOOKUP($A848,'【随時メンテ】工事請負約款（原文）'!$B$2:$C$835,2,FALSE)&amp;""</f>
        <v>#N/A</v>
      </c>
    </row>
    <row r="849" spans="1:2" ht="18.75" customHeight="1">
      <c r="A849" s="93">
        <f t="shared" si="13"/>
        <v>845</v>
      </c>
      <c r="B849" s="93" t="e">
        <f>VLOOKUP($A849,'【随時メンテ】工事請負約款（原文）'!$B$2:$C$835,2,FALSE)&amp;""</f>
        <v>#N/A</v>
      </c>
    </row>
    <row r="850" spans="1:2" ht="18.75" customHeight="1">
      <c r="A850" s="93">
        <f t="shared" si="13"/>
        <v>846</v>
      </c>
      <c r="B850" s="93" t="e">
        <f>VLOOKUP($A850,'【随時メンテ】工事請負約款（原文）'!$B$2:$C$835,2,FALSE)&amp;""</f>
        <v>#N/A</v>
      </c>
    </row>
    <row r="851" spans="1:2" ht="18.75" customHeight="1">
      <c r="A851" s="93">
        <f t="shared" si="13"/>
        <v>847</v>
      </c>
      <c r="B851" s="93" t="e">
        <f>VLOOKUP($A851,'【随時メンテ】工事請負約款（原文）'!$B$2:$C$835,2,FALSE)&amp;""</f>
        <v>#N/A</v>
      </c>
    </row>
    <row r="852" spans="1:2" ht="18.75" customHeight="1">
      <c r="A852" s="93">
        <f t="shared" si="13"/>
        <v>848</v>
      </c>
      <c r="B852" s="93" t="e">
        <f>VLOOKUP($A852,'【随時メンテ】工事請負約款（原文）'!$B$2:$C$835,2,FALSE)&amp;""</f>
        <v>#N/A</v>
      </c>
    </row>
    <row r="853" spans="1:2" ht="18.75" customHeight="1">
      <c r="A853" s="93">
        <f t="shared" si="13"/>
        <v>849</v>
      </c>
      <c r="B853" s="93" t="e">
        <f>VLOOKUP($A853,'【随時メンテ】工事請負約款（原文）'!$B$2:$C$835,2,FALSE)&amp;""</f>
        <v>#N/A</v>
      </c>
    </row>
    <row r="854" spans="1:2" ht="18.75" customHeight="1">
      <c r="A854" s="93">
        <f t="shared" si="13"/>
        <v>850</v>
      </c>
      <c r="B854" s="93" t="e">
        <f>VLOOKUP($A854,'【随時メンテ】工事請負約款（原文）'!$B$2:$C$835,2,FALSE)&amp;""</f>
        <v>#N/A</v>
      </c>
    </row>
    <row r="855" spans="1:2" ht="18.75" customHeight="1">
      <c r="A855" s="93">
        <f t="shared" si="13"/>
        <v>851</v>
      </c>
      <c r="B855" s="93" t="e">
        <f>VLOOKUP($A855,'【随時メンテ】工事請負約款（原文）'!$B$2:$C$835,2,FALSE)&amp;""</f>
        <v>#N/A</v>
      </c>
    </row>
    <row r="856" spans="1:2" ht="18.75" customHeight="1">
      <c r="A856" s="93">
        <f t="shared" si="13"/>
        <v>852</v>
      </c>
      <c r="B856" s="93" t="e">
        <f>VLOOKUP($A856,'【随時メンテ】工事請負約款（原文）'!$B$2:$C$835,2,FALSE)&amp;""</f>
        <v>#N/A</v>
      </c>
    </row>
    <row r="857" spans="1:2" ht="18.75" customHeight="1">
      <c r="A857" s="93">
        <f t="shared" si="13"/>
        <v>853</v>
      </c>
      <c r="B857" s="93" t="e">
        <f>VLOOKUP($A857,'【随時メンテ】工事請負約款（原文）'!$B$2:$C$835,2,FALSE)&amp;""</f>
        <v>#N/A</v>
      </c>
    </row>
    <row r="858" spans="1:2" ht="18.75" customHeight="1">
      <c r="A858" s="93">
        <f t="shared" si="13"/>
        <v>854</v>
      </c>
      <c r="B858" s="93" t="e">
        <f>VLOOKUP($A858,'【随時メンテ】工事請負約款（原文）'!$B$2:$C$835,2,FALSE)&amp;""</f>
        <v>#N/A</v>
      </c>
    </row>
    <row r="859" spans="1:2" ht="18.75" customHeight="1">
      <c r="A859" s="93">
        <f t="shared" si="13"/>
        <v>855</v>
      </c>
      <c r="B859" s="93" t="e">
        <f>VLOOKUP($A859,'【随時メンテ】工事請負約款（原文）'!$B$2:$C$835,2,FALSE)&amp;""</f>
        <v>#N/A</v>
      </c>
    </row>
    <row r="860" spans="1:2" ht="18.75" customHeight="1">
      <c r="A860" s="93">
        <f t="shared" si="13"/>
        <v>856</v>
      </c>
      <c r="B860" s="93" t="e">
        <f>VLOOKUP($A860,'【随時メンテ】工事請負約款（原文）'!$B$2:$C$835,2,FALSE)&amp;""</f>
        <v>#N/A</v>
      </c>
    </row>
    <row r="861" spans="1:2" ht="18.75" customHeight="1">
      <c r="A861" s="93">
        <f t="shared" si="13"/>
        <v>857</v>
      </c>
      <c r="B861" s="93" t="e">
        <f>VLOOKUP($A861,'【随時メンテ】工事請負約款（原文）'!$B$2:$C$835,2,FALSE)&amp;""</f>
        <v>#N/A</v>
      </c>
    </row>
    <row r="862" spans="1:2" ht="18.75" customHeight="1">
      <c r="A862" s="93">
        <f t="shared" si="13"/>
        <v>858</v>
      </c>
      <c r="B862" s="93" t="e">
        <f>VLOOKUP($A862,'【随時メンテ】工事請負約款（原文）'!$B$2:$C$835,2,FALSE)&amp;""</f>
        <v>#N/A</v>
      </c>
    </row>
    <row r="863" spans="1:2" ht="18.75" customHeight="1">
      <c r="A863" s="93">
        <f t="shared" si="13"/>
        <v>859</v>
      </c>
      <c r="B863" s="93" t="e">
        <f>VLOOKUP($A863,'【随時メンテ】工事請負約款（原文）'!$B$2:$C$835,2,FALSE)&amp;""</f>
        <v>#N/A</v>
      </c>
    </row>
    <row r="864" spans="1:2" ht="18.75" customHeight="1">
      <c r="A864" s="93">
        <f t="shared" si="13"/>
        <v>860</v>
      </c>
      <c r="B864" s="93" t="e">
        <f>VLOOKUP($A864,'【随時メンテ】工事請負約款（原文）'!$B$2:$C$835,2,FALSE)&amp;""</f>
        <v>#N/A</v>
      </c>
    </row>
    <row r="865" spans="1:2" ht="18.75" customHeight="1">
      <c r="A865" s="93">
        <f t="shared" si="13"/>
        <v>861</v>
      </c>
      <c r="B865" s="93" t="e">
        <f>VLOOKUP($A865,'【随時メンテ】工事請負約款（原文）'!$B$2:$C$835,2,FALSE)&amp;""</f>
        <v>#N/A</v>
      </c>
    </row>
    <row r="866" spans="1:2" ht="18.75" customHeight="1">
      <c r="A866" s="93">
        <f t="shared" si="13"/>
        <v>862</v>
      </c>
      <c r="B866" s="93" t="e">
        <f>VLOOKUP($A866,'【随時メンテ】工事請負約款（原文）'!$B$2:$C$835,2,FALSE)&amp;""</f>
        <v>#N/A</v>
      </c>
    </row>
    <row r="867" spans="1:2" ht="18.75" customHeight="1">
      <c r="A867" s="93">
        <f t="shared" si="13"/>
        <v>863</v>
      </c>
      <c r="B867" s="93" t="e">
        <f>VLOOKUP($A867,'【随時メンテ】工事請負約款（原文）'!$B$2:$C$835,2,FALSE)&amp;""</f>
        <v>#N/A</v>
      </c>
    </row>
    <row r="868" spans="1:2" ht="18.75" customHeight="1">
      <c r="A868" s="93">
        <f t="shared" si="13"/>
        <v>864</v>
      </c>
      <c r="B868" s="93" t="e">
        <f>VLOOKUP($A868,'【随時メンテ】工事請負約款（原文）'!$B$2:$C$835,2,FALSE)&amp;""</f>
        <v>#N/A</v>
      </c>
    </row>
    <row r="869" spans="1:2" ht="18.75" customHeight="1">
      <c r="A869" s="93">
        <f t="shared" si="13"/>
        <v>865</v>
      </c>
      <c r="B869" s="93" t="e">
        <f>VLOOKUP($A869,'【随時メンテ】工事請負約款（原文）'!$B$2:$C$835,2,FALSE)&amp;""</f>
        <v>#N/A</v>
      </c>
    </row>
    <row r="870" spans="1:2" ht="18.75" customHeight="1">
      <c r="A870" s="93">
        <f t="shared" si="13"/>
        <v>866</v>
      </c>
      <c r="B870" s="93" t="e">
        <f>VLOOKUP($A870,'【随時メンテ】工事請負約款（原文）'!$B$2:$C$835,2,FALSE)&amp;""</f>
        <v>#N/A</v>
      </c>
    </row>
    <row r="871" spans="1:2" ht="18.75" customHeight="1">
      <c r="A871" s="93">
        <f t="shared" si="13"/>
        <v>867</v>
      </c>
      <c r="B871" s="93" t="e">
        <f>VLOOKUP($A871,'【随時メンテ】工事請負約款（原文）'!$B$2:$C$835,2,FALSE)&amp;""</f>
        <v>#N/A</v>
      </c>
    </row>
    <row r="872" spans="1:2" ht="18.75" customHeight="1">
      <c r="A872" s="93">
        <f t="shared" si="13"/>
        <v>868</v>
      </c>
      <c r="B872" s="93" t="e">
        <f>VLOOKUP($A872,'【随時メンテ】工事請負約款（原文）'!$B$2:$C$835,2,FALSE)&amp;""</f>
        <v>#N/A</v>
      </c>
    </row>
    <row r="873" spans="1:2" ht="18.75" customHeight="1">
      <c r="A873" s="93">
        <f t="shared" si="13"/>
        <v>869</v>
      </c>
      <c r="B873" s="93" t="e">
        <f>VLOOKUP($A873,'【随時メンテ】工事請負約款（原文）'!$B$2:$C$835,2,FALSE)&amp;""</f>
        <v>#N/A</v>
      </c>
    </row>
    <row r="874" spans="1:2" ht="18.75" customHeight="1">
      <c r="A874" s="93">
        <f t="shared" si="13"/>
        <v>870</v>
      </c>
      <c r="B874" s="93" t="e">
        <f>VLOOKUP($A874,'【随時メンテ】工事請負約款（原文）'!$B$2:$C$835,2,FALSE)&amp;""</f>
        <v>#N/A</v>
      </c>
    </row>
    <row r="875" spans="1:2" ht="18.75" customHeight="1">
      <c r="A875" s="93">
        <f t="shared" si="13"/>
        <v>871</v>
      </c>
      <c r="B875" s="93" t="e">
        <f>VLOOKUP($A875,'【随時メンテ】工事請負約款（原文）'!$B$2:$C$835,2,FALSE)&amp;""</f>
        <v>#N/A</v>
      </c>
    </row>
    <row r="876" spans="1:2" ht="18.75" customHeight="1">
      <c r="A876" s="93">
        <f t="shared" si="13"/>
        <v>872</v>
      </c>
      <c r="B876" s="93" t="e">
        <f>VLOOKUP($A876,'【随時メンテ】工事請負約款（原文）'!$B$2:$C$835,2,FALSE)&amp;""</f>
        <v>#N/A</v>
      </c>
    </row>
    <row r="877" spans="1:2" ht="18.75" customHeight="1">
      <c r="A877" s="93">
        <f t="shared" si="13"/>
        <v>873</v>
      </c>
      <c r="B877" s="93" t="e">
        <f>VLOOKUP($A877,'【随時メンテ】工事請負約款（原文）'!$B$2:$C$835,2,FALSE)&amp;""</f>
        <v>#N/A</v>
      </c>
    </row>
    <row r="878" spans="1:2" ht="18.75" customHeight="1">
      <c r="A878" s="93">
        <f t="shared" si="13"/>
        <v>874</v>
      </c>
      <c r="B878" s="93" t="e">
        <f>VLOOKUP($A878,'【随時メンテ】工事請負約款（原文）'!$B$2:$C$835,2,FALSE)&amp;""</f>
        <v>#N/A</v>
      </c>
    </row>
    <row r="879" spans="1:2" ht="18.75" customHeight="1">
      <c r="A879" s="93">
        <f t="shared" si="13"/>
        <v>875</v>
      </c>
      <c r="B879" s="93" t="e">
        <f>VLOOKUP($A879,'【随時メンテ】工事請負約款（原文）'!$B$2:$C$835,2,FALSE)&amp;""</f>
        <v>#N/A</v>
      </c>
    </row>
    <row r="880" spans="1:2" ht="18.75" customHeight="1">
      <c r="A880" s="93">
        <f t="shared" si="13"/>
        <v>876</v>
      </c>
      <c r="B880" s="93" t="e">
        <f>VLOOKUP($A880,'【随時メンテ】工事請負約款（原文）'!$B$2:$C$835,2,FALSE)&amp;""</f>
        <v>#N/A</v>
      </c>
    </row>
    <row r="881" spans="1:2" ht="18.75" customHeight="1">
      <c r="A881" s="93">
        <f t="shared" si="13"/>
        <v>877</v>
      </c>
      <c r="B881" s="93" t="e">
        <f>VLOOKUP($A881,'【随時メンテ】工事請負約款（原文）'!$B$2:$C$835,2,FALSE)&amp;""</f>
        <v>#N/A</v>
      </c>
    </row>
    <row r="882" spans="1:2" ht="18.75" customHeight="1">
      <c r="A882" s="93">
        <f t="shared" si="13"/>
        <v>878</v>
      </c>
      <c r="B882" s="93" t="e">
        <f>VLOOKUP($A882,'【随時メンテ】工事請負約款（原文）'!$B$2:$C$835,2,FALSE)&amp;""</f>
        <v>#N/A</v>
      </c>
    </row>
    <row r="883" spans="1:2" ht="18.75" customHeight="1">
      <c r="A883" s="93">
        <f t="shared" si="13"/>
        <v>879</v>
      </c>
      <c r="B883" s="93" t="e">
        <f>VLOOKUP($A883,'【随時メンテ】工事請負約款（原文）'!$B$2:$C$835,2,FALSE)&amp;""</f>
        <v>#N/A</v>
      </c>
    </row>
    <row r="884" spans="1:2" ht="18.75" customHeight="1">
      <c r="A884" s="93">
        <f t="shared" si="13"/>
        <v>880</v>
      </c>
      <c r="B884" s="93" t="e">
        <f>VLOOKUP($A884,'【随時メンテ】工事請負約款（原文）'!$B$2:$C$835,2,FALSE)&amp;""</f>
        <v>#N/A</v>
      </c>
    </row>
    <row r="885" spans="1:2" ht="18.75" customHeight="1">
      <c r="A885" s="93">
        <f t="shared" si="13"/>
        <v>881</v>
      </c>
      <c r="B885" s="93" t="e">
        <f>VLOOKUP($A885,'【随時メンテ】工事請負約款（原文）'!$B$2:$C$835,2,FALSE)&amp;""</f>
        <v>#N/A</v>
      </c>
    </row>
    <row r="886" spans="1:2" ht="18.75" customHeight="1">
      <c r="A886" s="93">
        <f t="shared" si="13"/>
        <v>882</v>
      </c>
      <c r="B886" s="93" t="e">
        <f>VLOOKUP($A886,'【随時メンテ】工事請負約款（原文）'!$B$2:$C$835,2,FALSE)&amp;""</f>
        <v>#N/A</v>
      </c>
    </row>
    <row r="887" spans="1:2" ht="18.75" customHeight="1">
      <c r="A887" s="93">
        <f t="shared" si="13"/>
        <v>883</v>
      </c>
      <c r="B887" s="93" t="e">
        <f>VLOOKUP($A887,'【随時メンテ】工事請負約款（原文）'!$B$2:$C$835,2,FALSE)&amp;""</f>
        <v>#N/A</v>
      </c>
    </row>
    <row r="888" spans="1:2" ht="18.75" customHeight="1">
      <c r="A888" s="93">
        <f t="shared" si="13"/>
        <v>884</v>
      </c>
      <c r="B888" s="93" t="e">
        <f>VLOOKUP($A888,'【随時メンテ】工事請負約款（原文）'!$B$2:$C$835,2,FALSE)&amp;""</f>
        <v>#N/A</v>
      </c>
    </row>
    <row r="889" spans="1:2" ht="18.75" customHeight="1">
      <c r="A889" s="93">
        <f t="shared" si="13"/>
        <v>885</v>
      </c>
      <c r="B889" s="93" t="e">
        <f>VLOOKUP($A889,'【随時メンテ】工事請負約款（原文）'!$B$2:$C$835,2,FALSE)&amp;""</f>
        <v>#N/A</v>
      </c>
    </row>
    <row r="890" spans="1:2" ht="18.75" customHeight="1">
      <c r="A890" s="93">
        <f t="shared" si="13"/>
        <v>886</v>
      </c>
      <c r="B890" s="93" t="e">
        <f>VLOOKUP($A890,'【随時メンテ】工事請負約款（原文）'!$B$2:$C$835,2,FALSE)&amp;""</f>
        <v>#N/A</v>
      </c>
    </row>
    <row r="891" spans="1:2" ht="18.75" customHeight="1">
      <c r="A891" s="93">
        <f t="shared" si="13"/>
        <v>887</v>
      </c>
      <c r="B891" s="93" t="e">
        <f>VLOOKUP($A891,'【随時メンテ】工事請負約款（原文）'!$B$2:$C$835,2,FALSE)&amp;""</f>
        <v>#N/A</v>
      </c>
    </row>
    <row r="892" spans="1:2" ht="18.75" customHeight="1">
      <c r="A892" s="93">
        <f t="shared" si="13"/>
        <v>888</v>
      </c>
      <c r="B892" s="93" t="e">
        <f>VLOOKUP($A892,'【随時メンテ】工事請負約款（原文）'!$B$2:$C$835,2,FALSE)&amp;""</f>
        <v>#N/A</v>
      </c>
    </row>
    <row r="893" spans="1:2" ht="18.75" customHeight="1">
      <c r="A893" s="93">
        <f t="shared" si="13"/>
        <v>889</v>
      </c>
      <c r="B893" s="93" t="e">
        <f>VLOOKUP($A893,'【随時メンテ】工事請負約款（原文）'!$B$2:$C$835,2,FALSE)&amp;""</f>
        <v>#N/A</v>
      </c>
    </row>
    <row r="894" spans="1:2" ht="18.75" customHeight="1">
      <c r="A894" s="93">
        <f t="shared" si="13"/>
        <v>890</v>
      </c>
      <c r="B894" s="93" t="e">
        <f>VLOOKUP($A894,'【随時メンテ】工事請負約款（原文）'!$B$2:$C$835,2,FALSE)&amp;""</f>
        <v>#N/A</v>
      </c>
    </row>
    <row r="895" spans="1:2" ht="18.75" customHeight="1">
      <c r="A895" s="93">
        <f t="shared" si="13"/>
        <v>891</v>
      </c>
      <c r="B895" s="93" t="e">
        <f>VLOOKUP($A895,'【随時メンテ】工事請負約款（原文）'!$B$2:$C$835,2,FALSE)&amp;""</f>
        <v>#N/A</v>
      </c>
    </row>
    <row r="896" spans="1:2" ht="18.75" customHeight="1">
      <c r="A896" s="93">
        <f t="shared" si="13"/>
        <v>892</v>
      </c>
      <c r="B896" s="93" t="e">
        <f>VLOOKUP($A896,'【随時メンテ】工事請負約款（原文）'!$B$2:$C$835,2,FALSE)&amp;""</f>
        <v>#N/A</v>
      </c>
    </row>
    <row r="897" spans="1:2" ht="18.75" customHeight="1">
      <c r="A897" s="93">
        <f t="shared" si="13"/>
        <v>893</v>
      </c>
      <c r="B897" s="93" t="e">
        <f>VLOOKUP($A897,'【随時メンテ】工事請負約款（原文）'!$B$2:$C$835,2,FALSE)&amp;""</f>
        <v>#N/A</v>
      </c>
    </row>
    <row r="898" spans="1:2" ht="18.75" customHeight="1">
      <c r="A898" s="93">
        <f t="shared" si="13"/>
        <v>894</v>
      </c>
      <c r="B898" s="93" t="e">
        <f>VLOOKUP($A898,'【随時メンテ】工事請負約款（原文）'!$B$2:$C$835,2,FALSE)&amp;""</f>
        <v>#N/A</v>
      </c>
    </row>
    <row r="899" spans="1:2" ht="18.75" customHeight="1">
      <c r="A899" s="93">
        <f t="shared" si="13"/>
        <v>895</v>
      </c>
      <c r="B899" s="93" t="e">
        <f>VLOOKUP($A899,'【随時メンテ】工事請負約款（原文）'!$B$2:$C$835,2,FALSE)&amp;""</f>
        <v>#N/A</v>
      </c>
    </row>
    <row r="900" spans="1:2" ht="18.75" customHeight="1">
      <c r="A900" s="93">
        <f t="shared" si="13"/>
        <v>896</v>
      </c>
      <c r="B900" s="93" t="e">
        <f>VLOOKUP($A900,'【随時メンテ】工事請負約款（原文）'!$B$2:$C$835,2,FALSE)&amp;""</f>
        <v>#N/A</v>
      </c>
    </row>
    <row r="901" spans="1:2" ht="18.75" customHeight="1">
      <c r="A901" s="93">
        <f t="shared" si="13"/>
        <v>897</v>
      </c>
      <c r="B901" s="93" t="e">
        <f>VLOOKUP($A901,'【随時メンテ】工事請負約款（原文）'!$B$2:$C$835,2,FALSE)&amp;""</f>
        <v>#N/A</v>
      </c>
    </row>
    <row r="902" spans="1:2" ht="18.75" customHeight="1">
      <c r="A902" s="93">
        <f t="shared" si="13"/>
        <v>898</v>
      </c>
      <c r="B902" s="93" t="e">
        <f>VLOOKUP($A902,'【随時メンテ】工事請負約款（原文）'!$B$2:$C$835,2,FALSE)&amp;""</f>
        <v>#N/A</v>
      </c>
    </row>
    <row r="903" spans="1:2" ht="18.75" customHeight="1">
      <c r="A903" s="93">
        <f t="shared" ref="A903:A966" si="14">ROW()-$A$2</f>
        <v>899</v>
      </c>
      <c r="B903" s="93" t="e">
        <f>VLOOKUP($A903,'【随時メンテ】工事請負約款（原文）'!$B$2:$C$835,2,FALSE)&amp;""</f>
        <v>#N/A</v>
      </c>
    </row>
    <row r="904" spans="1:2" ht="18.75" customHeight="1">
      <c r="A904" s="93">
        <f t="shared" si="14"/>
        <v>900</v>
      </c>
      <c r="B904" s="93" t="e">
        <f>VLOOKUP($A904,'【随時メンテ】工事請負約款（原文）'!$B$2:$C$835,2,FALSE)&amp;""</f>
        <v>#N/A</v>
      </c>
    </row>
    <row r="905" spans="1:2" ht="18.75" customHeight="1">
      <c r="A905" s="93">
        <f t="shared" si="14"/>
        <v>901</v>
      </c>
      <c r="B905" s="93" t="e">
        <f>VLOOKUP($A905,'【随時メンテ】工事請負約款（原文）'!$B$2:$C$835,2,FALSE)&amp;""</f>
        <v>#N/A</v>
      </c>
    </row>
    <row r="906" spans="1:2" ht="18.75" customHeight="1">
      <c r="A906" s="93">
        <f t="shared" si="14"/>
        <v>902</v>
      </c>
      <c r="B906" s="93" t="e">
        <f>VLOOKUP($A906,'【随時メンテ】工事請負約款（原文）'!$B$2:$C$835,2,FALSE)&amp;""</f>
        <v>#N/A</v>
      </c>
    </row>
    <row r="907" spans="1:2" ht="18.75" customHeight="1">
      <c r="A907" s="93">
        <f t="shared" si="14"/>
        <v>903</v>
      </c>
      <c r="B907" s="93" t="e">
        <f>VLOOKUP($A907,'【随時メンテ】工事請負約款（原文）'!$B$2:$C$835,2,FALSE)&amp;""</f>
        <v>#N/A</v>
      </c>
    </row>
    <row r="908" spans="1:2" ht="18.75" customHeight="1">
      <c r="A908" s="93">
        <f t="shared" si="14"/>
        <v>904</v>
      </c>
      <c r="B908" s="93" t="e">
        <f>VLOOKUP($A908,'【随時メンテ】工事請負約款（原文）'!$B$2:$C$835,2,FALSE)&amp;""</f>
        <v>#N/A</v>
      </c>
    </row>
    <row r="909" spans="1:2" ht="18.75" customHeight="1">
      <c r="A909" s="93">
        <f t="shared" si="14"/>
        <v>905</v>
      </c>
      <c r="B909" s="93" t="e">
        <f>VLOOKUP($A909,'【随時メンテ】工事請負約款（原文）'!$B$2:$C$835,2,FALSE)&amp;""</f>
        <v>#N/A</v>
      </c>
    </row>
    <row r="910" spans="1:2" ht="18.75" customHeight="1">
      <c r="A910" s="93">
        <f t="shared" si="14"/>
        <v>906</v>
      </c>
      <c r="B910" s="93" t="e">
        <f>VLOOKUP($A910,'【随時メンテ】工事請負約款（原文）'!$B$2:$C$835,2,FALSE)&amp;""</f>
        <v>#N/A</v>
      </c>
    </row>
    <row r="911" spans="1:2" ht="18.75" customHeight="1">
      <c r="A911" s="93">
        <f t="shared" si="14"/>
        <v>907</v>
      </c>
      <c r="B911" s="93" t="e">
        <f>VLOOKUP($A911,'【随時メンテ】工事請負約款（原文）'!$B$2:$C$835,2,FALSE)&amp;""</f>
        <v>#N/A</v>
      </c>
    </row>
    <row r="912" spans="1:2" ht="18.75" customHeight="1">
      <c r="A912" s="93">
        <f t="shared" si="14"/>
        <v>908</v>
      </c>
      <c r="B912" s="93" t="e">
        <f>VLOOKUP($A912,'【随時メンテ】工事請負約款（原文）'!$B$2:$C$835,2,FALSE)&amp;""</f>
        <v>#N/A</v>
      </c>
    </row>
    <row r="913" spans="1:2" ht="18.75" customHeight="1">
      <c r="A913" s="93">
        <f t="shared" si="14"/>
        <v>909</v>
      </c>
      <c r="B913" s="93" t="e">
        <f>VLOOKUP($A913,'【随時メンテ】工事請負約款（原文）'!$B$2:$C$835,2,FALSE)&amp;""</f>
        <v>#N/A</v>
      </c>
    </row>
    <row r="914" spans="1:2" ht="18.75" customHeight="1">
      <c r="A914" s="93">
        <f t="shared" si="14"/>
        <v>910</v>
      </c>
      <c r="B914" s="93" t="e">
        <f>VLOOKUP($A914,'【随時メンテ】工事請負約款（原文）'!$B$2:$C$835,2,FALSE)&amp;""</f>
        <v>#N/A</v>
      </c>
    </row>
    <row r="915" spans="1:2" ht="18.75" customHeight="1">
      <c r="A915" s="93">
        <f t="shared" si="14"/>
        <v>911</v>
      </c>
      <c r="B915" s="93" t="e">
        <f>VLOOKUP($A915,'【随時メンテ】工事請負約款（原文）'!$B$2:$C$835,2,FALSE)&amp;""</f>
        <v>#N/A</v>
      </c>
    </row>
    <row r="916" spans="1:2" ht="18.75" customHeight="1">
      <c r="A916" s="93">
        <f t="shared" si="14"/>
        <v>912</v>
      </c>
      <c r="B916" s="93" t="e">
        <f>VLOOKUP($A916,'【随時メンテ】工事請負約款（原文）'!$B$2:$C$835,2,FALSE)&amp;""</f>
        <v>#N/A</v>
      </c>
    </row>
    <row r="917" spans="1:2" ht="18.75" customHeight="1">
      <c r="A917" s="93">
        <f t="shared" si="14"/>
        <v>913</v>
      </c>
      <c r="B917" s="93" t="e">
        <f>VLOOKUP($A917,'【随時メンテ】工事請負約款（原文）'!$B$2:$C$835,2,FALSE)&amp;""</f>
        <v>#N/A</v>
      </c>
    </row>
    <row r="918" spans="1:2" ht="18.75" customHeight="1">
      <c r="A918" s="93">
        <f t="shared" si="14"/>
        <v>914</v>
      </c>
      <c r="B918" s="93" t="e">
        <f>VLOOKUP($A918,'【随時メンテ】工事請負約款（原文）'!$B$2:$C$835,2,FALSE)&amp;""</f>
        <v>#N/A</v>
      </c>
    </row>
    <row r="919" spans="1:2" ht="18.75" customHeight="1">
      <c r="A919" s="93">
        <f t="shared" si="14"/>
        <v>915</v>
      </c>
      <c r="B919" s="93" t="e">
        <f>VLOOKUP($A919,'【随時メンテ】工事請負約款（原文）'!$B$2:$C$835,2,FALSE)&amp;""</f>
        <v>#N/A</v>
      </c>
    </row>
    <row r="920" spans="1:2" ht="18.75" customHeight="1">
      <c r="A920" s="93">
        <f t="shared" si="14"/>
        <v>916</v>
      </c>
      <c r="B920" s="93" t="e">
        <f>VLOOKUP($A920,'【随時メンテ】工事請負約款（原文）'!$B$2:$C$835,2,FALSE)&amp;""</f>
        <v>#N/A</v>
      </c>
    </row>
    <row r="921" spans="1:2" ht="18.75" customHeight="1">
      <c r="A921" s="93">
        <f t="shared" si="14"/>
        <v>917</v>
      </c>
      <c r="B921" s="93" t="e">
        <f>VLOOKUP($A921,'【随時メンテ】工事請負約款（原文）'!$B$2:$C$835,2,FALSE)&amp;""</f>
        <v>#N/A</v>
      </c>
    </row>
    <row r="922" spans="1:2" ht="18.75" customHeight="1">
      <c r="A922" s="93">
        <f t="shared" si="14"/>
        <v>918</v>
      </c>
      <c r="B922" s="93" t="e">
        <f>VLOOKUP($A922,'【随時メンテ】工事請負約款（原文）'!$B$2:$C$835,2,FALSE)&amp;""</f>
        <v>#N/A</v>
      </c>
    </row>
    <row r="923" spans="1:2" ht="18.75" customHeight="1">
      <c r="A923" s="93">
        <f t="shared" si="14"/>
        <v>919</v>
      </c>
      <c r="B923" s="93" t="e">
        <f>VLOOKUP($A923,'【随時メンテ】工事請負約款（原文）'!$B$2:$C$835,2,FALSE)&amp;""</f>
        <v>#N/A</v>
      </c>
    </row>
    <row r="924" spans="1:2" ht="18.75" customHeight="1">
      <c r="A924" s="93">
        <f t="shared" si="14"/>
        <v>920</v>
      </c>
      <c r="B924" s="93" t="e">
        <f>VLOOKUP($A924,'【随時メンテ】工事請負約款（原文）'!$B$2:$C$835,2,FALSE)&amp;""</f>
        <v>#N/A</v>
      </c>
    </row>
    <row r="925" spans="1:2" ht="18.75" customHeight="1">
      <c r="A925" s="93">
        <f t="shared" si="14"/>
        <v>921</v>
      </c>
      <c r="B925" s="93" t="e">
        <f>VLOOKUP($A925,'【随時メンテ】工事請負約款（原文）'!$B$2:$C$835,2,FALSE)&amp;""</f>
        <v>#N/A</v>
      </c>
    </row>
    <row r="926" spans="1:2" ht="18.75" customHeight="1">
      <c r="A926" s="93">
        <f t="shared" si="14"/>
        <v>922</v>
      </c>
      <c r="B926" s="93" t="e">
        <f>VLOOKUP($A926,'【随時メンテ】工事請負約款（原文）'!$B$2:$C$835,2,FALSE)&amp;""</f>
        <v>#N/A</v>
      </c>
    </row>
    <row r="927" spans="1:2" ht="18.75" customHeight="1">
      <c r="A927" s="93">
        <f t="shared" si="14"/>
        <v>923</v>
      </c>
      <c r="B927" s="93" t="e">
        <f>VLOOKUP($A927,'【随時メンテ】工事請負約款（原文）'!$B$2:$C$835,2,FALSE)&amp;""</f>
        <v>#N/A</v>
      </c>
    </row>
    <row r="928" spans="1:2" ht="18.75" customHeight="1">
      <c r="A928" s="93">
        <f t="shared" si="14"/>
        <v>924</v>
      </c>
      <c r="B928" s="93" t="e">
        <f>VLOOKUP($A928,'【随時メンテ】工事請負約款（原文）'!$B$2:$C$835,2,FALSE)&amp;""</f>
        <v>#N/A</v>
      </c>
    </row>
    <row r="929" spans="1:2" ht="18.75" customHeight="1">
      <c r="A929" s="93">
        <f t="shared" si="14"/>
        <v>925</v>
      </c>
      <c r="B929" s="93" t="e">
        <f>VLOOKUP($A929,'【随時メンテ】工事請負約款（原文）'!$B$2:$C$835,2,FALSE)&amp;""</f>
        <v>#N/A</v>
      </c>
    </row>
    <row r="930" spans="1:2" ht="18.75" customHeight="1">
      <c r="A930" s="93">
        <f t="shared" si="14"/>
        <v>926</v>
      </c>
      <c r="B930" s="93" t="e">
        <f>VLOOKUP($A930,'【随時メンテ】工事請負約款（原文）'!$B$2:$C$835,2,FALSE)&amp;""</f>
        <v>#N/A</v>
      </c>
    </row>
    <row r="931" spans="1:2" ht="18.75" customHeight="1">
      <c r="A931" s="93">
        <f t="shared" si="14"/>
        <v>927</v>
      </c>
      <c r="B931" s="93" t="e">
        <f>VLOOKUP($A931,'【随時メンテ】工事請負約款（原文）'!$B$2:$C$835,2,FALSE)&amp;""</f>
        <v>#N/A</v>
      </c>
    </row>
    <row r="932" spans="1:2" ht="18.75" customHeight="1">
      <c r="A932" s="93">
        <f t="shared" si="14"/>
        <v>928</v>
      </c>
      <c r="B932" s="93" t="e">
        <f>VLOOKUP($A932,'【随時メンテ】工事請負約款（原文）'!$B$2:$C$835,2,FALSE)&amp;""</f>
        <v>#N/A</v>
      </c>
    </row>
    <row r="933" spans="1:2" ht="18.75" customHeight="1">
      <c r="A933" s="93">
        <f t="shared" si="14"/>
        <v>929</v>
      </c>
      <c r="B933" s="93" t="e">
        <f>VLOOKUP($A933,'【随時メンテ】工事請負約款（原文）'!$B$2:$C$835,2,FALSE)&amp;""</f>
        <v>#N/A</v>
      </c>
    </row>
    <row r="934" spans="1:2" ht="18.75" customHeight="1">
      <c r="A934" s="93">
        <f t="shared" si="14"/>
        <v>930</v>
      </c>
      <c r="B934" s="93" t="e">
        <f>VLOOKUP($A934,'【随時メンテ】工事請負約款（原文）'!$B$2:$C$835,2,FALSE)&amp;""</f>
        <v>#N/A</v>
      </c>
    </row>
    <row r="935" spans="1:2" ht="18.75" customHeight="1">
      <c r="A935" s="93">
        <f t="shared" si="14"/>
        <v>931</v>
      </c>
      <c r="B935" s="93" t="e">
        <f>VLOOKUP($A935,'【随時メンテ】工事請負約款（原文）'!$B$2:$C$835,2,FALSE)&amp;""</f>
        <v>#N/A</v>
      </c>
    </row>
    <row r="936" spans="1:2" ht="18.75" customHeight="1">
      <c r="A936" s="93">
        <f t="shared" si="14"/>
        <v>932</v>
      </c>
      <c r="B936" s="93" t="e">
        <f>VLOOKUP($A936,'【随時メンテ】工事請負約款（原文）'!$B$2:$C$835,2,FALSE)&amp;""</f>
        <v>#N/A</v>
      </c>
    </row>
    <row r="937" spans="1:2" ht="18.75" customHeight="1">
      <c r="A937" s="93">
        <f t="shared" si="14"/>
        <v>933</v>
      </c>
      <c r="B937" s="93" t="e">
        <f>VLOOKUP($A937,'【随時メンテ】工事請負約款（原文）'!$B$2:$C$835,2,FALSE)&amp;""</f>
        <v>#N/A</v>
      </c>
    </row>
    <row r="938" spans="1:2" ht="18.75" customHeight="1">
      <c r="A938" s="93">
        <f t="shared" si="14"/>
        <v>934</v>
      </c>
      <c r="B938" s="93" t="e">
        <f>VLOOKUP($A938,'【随時メンテ】工事請負約款（原文）'!$B$2:$C$835,2,FALSE)&amp;""</f>
        <v>#N/A</v>
      </c>
    </row>
    <row r="939" spans="1:2" ht="18.75" customHeight="1">
      <c r="A939" s="93">
        <f t="shared" si="14"/>
        <v>935</v>
      </c>
      <c r="B939" s="93" t="e">
        <f>VLOOKUP($A939,'【随時メンテ】工事請負約款（原文）'!$B$2:$C$835,2,FALSE)&amp;""</f>
        <v>#N/A</v>
      </c>
    </row>
    <row r="940" spans="1:2" ht="18.75" customHeight="1">
      <c r="A940" s="93">
        <f t="shared" si="14"/>
        <v>936</v>
      </c>
      <c r="B940" s="93" t="e">
        <f>VLOOKUP($A940,'【随時メンテ】工事請負約款（原文）'!$B$2:$C$835,2,FALSE)&amp;""</f>
        <v>#N/A</v>
      </c>
    </row>
    <row r="941" spans="1:2" ht="18.75" customHeight="1">
      <c r="A941" s="93">
        <f t="shared" si="14"/>
        <v>937</v>
      </c>
      <c r="B941" s="93" t="e">
        <f>VLOOKUP($A941,'【随時メンテ】工事請負約款（原文）'!$B$2:$C$835,2,FALSE)&amp;""</f>
        <v>#N/A</v>
      </c>
    </row>
    <row r="942" spans="1:2" ht="18.75" customHeight="1">
      <c r="A942" s="93">
        <f t="shared" si="14"/>
        <v>938</v>
      </c>
      <c r="B942" s="93" t="e">
        <f>VLOOKUP($A942,'【随時メンテ】工事請負約款（原文）'!$B$2:$C$835,2,FALSE)&amp;""</f>
        <v>#N/A</v>
      </c>
    </row>
    <row r="943" spans="1:2" ht="18.75" customHeight="1">
      <c r="A943" s="93">
        <f t="shared" si="14"/>
        <v>939</v>
      </c>
      <c r="B943" s="93" t="e">
        <f>VLOOKUP($A943,'【随時メンテ】工事請負約款（原文）'!$B$2:$C$835,2,FALSE)&amp;""</f>
        <v>#N/A</v>
      </c>
    </row>
    <row r="944" spans="1:2" ht="18.75" customHeight="1">
      <c r="A944" s="93">
        <f t="shared" si="14"/>
        <v>940</v>
      </c>
      <c r="B944" s="93" t="e">
        <f>VLOOKUP($A944,'【随時メンテ】工事請負約款（原文）'!$B$2:$C$835,2,FALSE)&amp;""</f>
        <v>#N/A</v>
      </c>
    </row>
    <row r="945" spans="1:2" ht="18.75" customHeight="1">
      <c r="A945" s="93">
        <f t="shared" si="14"/>
        <v>941</v>
      </c>
      <c r="B945" s="93" t="e">
        <f>VLOOKUP($A945,'【随時メンテ】工事請負約款（原文）'!$B$2:$C$835,2,FALSE)&amp;""</f>
        <v>#N/A</v>
      </c>
    </row>
    <row r="946" spans="1:2" ht="18.75" customHeight="1">
      <c r="A946" s="93">
        <f t="shared" si="14"/>
        <v>942</v>
      </c>
      <c r="B946" s="93" t="e">
        <f>VLOOKUP($A946,'【随時メンテ】工事請負約款（原文）'!$B$2:$C$835,2,FALSE)&amp;""</f>
        <v>#N/A</v>
      </c>
    </row>
    <row r="947" spans="1:2" ht="18.75" customHeight="1">
      <c r="A947" s="93">
        <f t="shared" si="14"/>
        <v>943</v>
      </c>
      <c r="B947" s="93" t="e">
        <f>VLOOKUP($A947,'【随時メンテ】工事請負約款（原文）'!$B$2:$C$835,2,FALSE)&amp;""</f>
        <v>#N/A</v>
      </c>
    </row>
    <row r="948" spans="1:2" ht="18.75" customHeight="1">
      <c r="A948" s="93">
        <f t="shared" si="14"/>
        <v>944</v>
      </c>
      <c r="B948" s="93" t="e">
        <f>VLOOKUP($A948,'【随時メンテ】工事請負約款（原文）'!$B$2:$C$835,2,FALSE)&amp;""</f>
        <v>#N/A</v>
      </c>
    </row>
    <row r="949" spans="1:2" ht="18.75" customHeight="1">
      <c r="A949" s="93">
        <f t="shared" si="14"/>
        <v>945</v>
      </c>
      <c r="B949" s="93" t="e">
        <f>VLOOKUP($A949,'【随時メンテ】工事請負約款（原文）'!$B$2:$C$835,2,FALSE)&amp;""</f>
        <v>#N/A</v>
      </c>
    </row>
    <row r="950" spans="1:2" ht="18.75" customHeight="1">
      <c r="A950" s="93">
        <f t="shared" si="14"/>
        <v>946</v>
      </c>
      <c r="B950" s="93" t="e">
        <f>VLOOKUP($A950,'【随時メンテ】工事請負約款（原文）'!$B$2:$C$835,2,FALSE)&amp;""</f>
        <v>#N/A</v>
      </c>
    </row>
    <row r="951" spans="1:2" ht="18.75" customHeight="1">
      <c r="A951" s="93">
        <f t="shared" si="14"/>
        <v>947</v>
      </c>
      <c r="B951" s="93" t="e">
        <f>VLOOKUP($A951,'【随時メンテ】工事請負約款（原文）'!$B$2:$C$835,2,FALSE)&amp;""</f>
        <v>#N/A</v>
      </c>
    </row>
    <row r="952" spans="1:2" ht="18.75" customHeight="1">
      <c r="A952" s="93">
        <f t="shared" si="14"/>
        <v>948</v>
      </c>
      <c r="B952" s="93" t="e">
        <f>VLOOKUP($A952,'【随時メンテ】工事請負約款（原文）'!$B$2:$C$835,2,FALSE)&amp;""</f>
        <v>#N/A</v>
      </c>
    </row>
    <row r="953" spans="1:2" ht="18.75" customHeight="1">
      <c r="A953" s="93">
        <f t="shared" si="14"/>
        <v>949</v>
      </c>
      <c r="B953" s="93" t="e">
        <f>VLOOKUP($A953,'【随時メンテ】工事請負約款（原文）'!$B$2:$C$835,2,FALSE)&amp;""</f>
        <v>#N/A</v>
      </c>
    </row>
    <row r="954" spans="1:2" ht="18.75" customHeight="1">
      <c r="A954" s="93">
        <f t="shared" si="14"/>
        <v>950</v>
      </c>
      <c r="B954" s="93" t="e">
        <f>VLOOKUP($A954,'【随時メンテ】工事請負約款（原文）'!$B$2:$C$835,2,FALSE)&amp;""</f>
        <v>#N/A</v>
      </c>
    </row>
    <row r="955" spans="1:2" ht="18.75" customHeight="1">
      <c r="A955" s="93">
        <f t="shared" si="14"/>
        <v>951</v>
      </c>
      <c r="B955" s="93" t="e">
        <f>VLOOKUP($A955,'【随時メンテ】工事請負約款（原文）'!$B$2:$C$835,2,FALSE)&amp;""</f>
        <v>#N/A</v>
      </c>
    </row>
    <row r="956" spans="1:2" ht="18.75" customHeight="1">
      <c r="A956" s="93">
        <f t="shared" si="14"/>
        <v>952</v>
      </c>
      <c r="B956" s="93" t="e">
        <f>VLOOKUP($A956,'【随時メンテ】工事請負約款（原文）'!$B$2:$C$835,2,FALSE)&amp;""</f>
        <v>#N/A</v>
      </c>
    </row>
    <row r="957" spans="1:2" ht="18.75" customHeight="1">
      <c r="A957" s="93">
        <f t="shared" si="14"/>
        <v>953</v>
      </c>
      <c r="B957" s="93" t="e">
        <f>VLOOKUP($A957,'【随時メンテ】工事請負約款（原文）'!$B$2:$C$835,2,FALSE)&amp;""</f>
        <v>#N/A</v>
      </c>
    </row>
    <row r="958" spans="1:2" ht="18.75" customHeight="1">
      <c r="A958" s="93">
        <f t="shared" si="14"/>
        <v>954</v>
      </c>
      <c r="B958" s="93" t="e">
        <f>VLOOKUP($A958,'【随時メンテ】工事請負約款（原文）'!$B$2:$C$835,2,FALSE)&amp;""</f>
        <v>#N/A</v>
      </c>
    </row>
    <row r="959" spans="1:2" ht="18.75" customHeight="1">
      <c r="A959" s="93">
        <f t="shared" si="14"/>
        <v>955</v>
      </c>
      <c r="B959" s="93" t="e">
        <f>VLOOKUP($A959,'【随時メンテ】工事請負約款（原文）'!$B$2:$C$835,2,FALSE)&amp;""</f>
        <v>#N/A</v>
      </c>
    </row>
    <row r="960" spans="1:2" ht="18.75" customHeight="1">
      <c r="A960" s="93">
        <f t="shared" si="14"/>
        <v>956</v>
      </c>
      <c r="B960" s="93" t="e">
        <f>VLOOKUP($A960,'【随時メンテ】工事請負約款（原文）'!$B$2:$C$835,2,FALSE)&amp;""</f>
        <v>#N/A</v>
      </c>
    </row>
    <row r="961" spans="1:2" ht="18.75" customHeight="1">
      <c r="A961" s="93">
        <f t="shared" si="14"/>
        <v>957</v>
      </c>
      <c r="B961" s="93" t="e">
        <f>VLOOKUP($A961,'【随時メンテ】工事請負約款（原文）'!$B$2:$C$835,2,FALSE)&amp;""</f>
        <v>#N/A</v>
      </c>
    </row>
    <row r="962" spans="1:2" ht="18.75" customHeight="1">
      <c r="A962" s="93">
        <f t="shared" si="14"/>
        <v>958</v>
      </c>
      <c r="B962" s="93" t="e">
        <f>VLOOKUP($A962,'【随時メンテ】工事請負約款（原文）'!$B$2:$C$835,2,FALSE)&amp;""</f>
        <v>#N/A</v>
      </c>
    </row>
    <row r="963" spans="1:2" ht="18.75" customHeight="1">
      <c r="A963" s="93">
        <f t="shared" si="14"/>
        <v>959</v>
      </c>
      <c r="B963" s="93" t="e">
        <f>VLOOKUP($A963,'【随時メンテ】工事請負約款（原文）'!$B$2:$C$835,2,FALSE)&amp;""</f>
        <v>#N/A</v>
      </c>
    </row>
    <row r="964" spans="1:2" ht="18.75" customHeight="1">
      <c r="A964" s="93">
        <f t="shared" si="14"/>
        <v>960</v>
      </c>
      <c r="B964" s="93" t="e">
        <f>VLOOKUP($A964,'【随時メンテ】工事請負約款（原文）'!$B$2:$C$835,2,FALSE)&amp;""</f>
        <v>#N/A</v>
      </c>
    </row>
    <row r="965" spans="1:2" ht="18.75" customHeight="1">
      <c r="A965" s="93">
        <f t="shared" si="14"/>
        <v>961</v>
      </c>
      <c r="B965" s="93" t="e">
        <f>VLOOKUP($A965,'【随時メンテ】工事請負約款（原文）'!$B$2:$C$835,2,FALSE)&amp;""</f>
        <v>#N/A</v>
      </c>
    </row>
    <row r="966" spans="1:2" ht="18.75" customHeight="1">
      <c r="A966" s="93">
        <f t="shared" si="14"/>
        <v>962</v>
      </c>
      <c r="B966" s="93" t="e">
        <f>VLOOKUP($A966,'【随時メンテ】工事請負約款（原文）'!$B$2:$C$835,2,FALSE)&amp;""</f>
        <v>#N/A</v>
      </c>
    </row>
    <row r="967" spans="1:2" ht="18.75" customHeight="1">
      <c r="A967" s="93">
        <f t="shared" ref="A967:A1030" si="15">ROW()-$A$2</f>
        <v>963</v>
      </c>
      <c r="B967" s="93" t="e">
        <f>VLOOKUP($A967,'【随時メンテ】工事請負約款（原文）'!$B$2:$C$835,2,FALSE)&amp;""</f>
        <v>#N/A</v>
      </c>
    </row>
    <row r="968" spans="1:2" ht="18.75" customHeight="1">
      <c r="A968" s="93">
        <f t="shared" si="15"/>
        <v>964</v>
      </c>
      <c r="B968" s="93" t="e">
        <f>VLOOKUP($A968,'【随時メンテ】工事請負約款（原文）'!$B$2:$C$835,2,FALSE)&amp;""</f>
        <v>#N/A</v>
      </c>
    </row>
    <row r="969" spans="1:2" ht="18.75" customHeight="1">
      <c r="A969" s="93">
        <f t="shared" si="15"/>
        <v>965</v>
      </c>
      <c r="B969" s="93" t="e">
        <f>VLOOKUP($A969,'【随時メンテ】工事請負約款（原文）'!$B$2:$C$835,2,FALSE)&amp;""</f>
        <v>#N/A</v>
      </c>
    </row>
    <row r="970" spans="1:2" ht="18.75" customHeight="1">
      <c r="A970" s="93">
        <f t="shared" si="15"/>
        <v>966</v>
      </c>
      <c r="B970" s="93" t="e">
        <f>VLOOKUP($A970,'【随時メンテ】工事請負約款（原文）'!$B$2:$C$835,2,FALSE)&amp;""</f>
        <v>#N/A</v>
      </c>
    </row>
    <row r="971" spans="1:2" ht="18.75" customHeight="1">
      <c r="A971" s="93">
        <f t="shared" si="15"/>
        <v>967</v>
      </c>
      <c r="B971" s="93" t="e">
        <f>VLOOKUP($A971,'【随時メンテ】工事請負約款（原文）'!$B$2:$C$835,2,FALSE)&amp;""</f>
        <v>#N/A</v>
      </c>
    </row>
    <row r="972" spans="1:2" ht="18.75" customHeight="1">
      <c r="A972" s="93">
        <f t="shared" si="15"/>
        <v>968</v>
      </c>
      <c r="B972" s="93" t="e">
        <f>VLOOKUP($A972,'【随時メンテ】工事請負約款（原文）'!$B$2:$C$835,2,FALSE)&amp;""</f>
        <v>#N/A</v>
      </c>
    </row>
    <row r="973" spans="1:2" ht="18.75" customHeight="1">
      <c r="A973" s="93">
        <f t="shared" si="15"/>
        <v>969</v>
      </c>
      <c r="B973" s="93" t="e">
        <f>VLOOKUP($A973,'【随時メンテ】工事請負約款（原文）'!$B$2:$C$835,2,FALSE)&amp;""</f>
        <v>#N/A</v>
      </c>
    </row>
    <row r="974" spans="1:2" ht="18.75" customHeight="1">
      <c r="A974" s="93">
        <f t="shared" si="15"/>
        <v>970</v>
      </c>
      <c r="B974" s="93" t="e">
        <f>VLOOKUP($A974,'【随時メンテ】工事請負約款（原文）'!$B$2:$C$835,2,FALSE)&amp;""</f>
        <v>#N/A</v>
      </c>
    </row>
    <row r="975" spans="1:2" ht="18.75" customHeight="1">
      <c r="A975" s="93">
        <f t="shared" si="15"/>
        <v>971</v>
      </c>
      <c r="B975" s="93" t="e">
        <f>VLOOKUP($A975,'【随時メンテ】工事請負約款（原文）'!$B$2:$C$835,2,FALSE)&amp;""</f>
        <v>#N/A</v>
      </c>
    </row>
    <row r="976" spans="1:2" ht="18.75" customHeight="1">
      <c r="A976" s="93">
        <f t="shared" si="15"/>
        <v>972</v>
      </c>
      <c r="B976" s="93" t="e">
        <f>VLOOKUP($A976,'【随時メンテ】工事請負約款（原文）'!$B$2:$C$835,2,FALSE)&amp;""</f>
        <v>#N/A</v>
      </c>
    </row>
    <row r="977" spans="1:2" ht="18.75" customHeight="1">
      <c r="A977" s="93">
        <f t="shared" si="15"/>
        <v>973</v>
      </c>
      <c r="B977" s="93" t="e">
        <f>VLOOKUP($A977,'【随時メンテ】工事請負約款（原文）'!$B$2:$C$835,2,FALSE)&amp;""</f>
        <v>#N/A</v>
      </c>
    </row>
    <row r="978" spans="1:2" ht="18.75" customHeight="1">
      <c r="A978" s="93">
        <f t="shared" si="15"/>
        <v>974</v>
      </c>
      <c r="B978" s="93" t="e">
        <f>VLOOKUP($A978,'【随時メンテ】工事請負約款（原文）'!$B$2:$C$835,2,FALSE)&amp;""</f>
        <v>#N/A</v>
      </c>
    </row>
    <row r="979" spans="1:2" ht="18.75" customHeight="1">
      <c r="A979" s="93">
        <f t="shared" si="15"/>
        <v>975</v>
      </c>
      <c r="B979" s="93" t="e">
        <f>VLOOKUP($A979,'【随時メンテ】工事請負約款（原文）'!$B$2:$C$835,2,FALSE)&amp;""</f>
        <v>#N/A</v>
      </c>
    </row>
    <row r="980" spans="1:2" ht="18.75" customHeight="1">
      <c r="A980" s="93">
        <f t="shared" si="15"/>
        <v>976</v>
      </c>
      <c r="B980" s="93" t="e">
        <f>VLOOKUP($A980,'【随時メンテ】工事請負約款（原文）'!$B$2:$C$835,2,FALSE)&amp;""</f>
        <v>#N/A</v>
      </c>
    </row>
    <row r="981" spans="1:2" ht="18.75" customHeight="1">
      <c r="A981" s="93">
        <f t="shared" si="15"/>
        <v>977</v>
      </c>
      <c r="B981" s="93" t="e">
        <f>VLOOKUP($A981,'【随時メンテ】工事請負約款（原文）'!$B$2:$C$835,2,FALSE)&amp;""</f>
        <v>#N/A</v>
      </c>
    </row>
    <row r="982" spans="1:2" ht="18.75" customHeight="1">
      <c r="A982" s="93">
        <f t="shared" si="15"/>
        <v>978</v>
      </c>
      <c r="B982" s="93" t="e">
        <f>VLOOKUP($A982,'【随時メンテ】工事請負約款（原文）'!$B$2:$C$835,2,FALSE)&amp;""</f>
        <v>#N/A</v>
      </c>
    </row>
    <row r="983" spans="1:2" ht="18.75" customHeight="1">
      <c r="A983" s="93">
        <f t="shared" si="15"/>
        <v>979</v>
      </c>
      <c r="B983" s="93" t="e">
        <f>VLOOKUP($A983,'【随時メンテ】工事請負約款（原文）'!$B$2:$C$835,2,FALSE)&amp;""</f>
        <v>#N/A</v>
      </c>
    </row>
    <row r="984" spans="1:2" ht="18.75" customHeight="1">
      <c r="A984" s="93">
        <f t="shared" si="15"/>
        <v>980</v>
      </c>
      <c r="B984" s="93" t="e">
        <f>VLOOKUP($A984,'【随時メンテ】工事請負約款（原文）'!$B$2:$C$835,2,FALSE)&amp;""</f>
        <v>#N/A</v>
      </c>
    </row>
    <row r="985" spans="1:2" ht="18.75" customHeight="1">
      <c r="A985" s="93">
        <f t="shared" si="15"/>
        <v>981</v>
      </c>
      <c r="B985" s="93" t="e">
        <f>VLOOKUP($A985,'【随時メンテ】工事請負約款（原文）'!$B$2:$C$835,2,FALSE)&amp;""</f>
        <v>#N/A</v>
      </c>
    </row>
    <row r="986" spans="1:2" ht="18.75" customHeight="1">
      <c r="A986" s="93">
        <f t="shared" si="15"/>
        <v>982</v>
      </c>
      <c r="B986" s="93" t="e">
        <f>VLOOKUP($A986,'【随時メンテ】工事請負約款（原文）'!$B$2:$C$835,2,FALSE)&amp;""</f>
        <v>#N/A</v>
      </c>
    </row>
    <row r="987" spans="1:2" ht="18.75" customHeight="1">
      <c r="A987" s="93">
        <f t="shared" si="15"/>
        <v>983</v>
      </c>
      <c r="B987" s="93" t="e">
        <f>VLOOKUP($A987,'【随時メンテ】工事請負約款（原文）'!$B$2:$C$835,2,FALSE)&amp;""</f>
        <v>#N/A</v>
      </c>
    </row>
    <row r="988" spans="1:2" ht="18.75" customHeight="1">
      <c r="A988" s="93">
        <f t="shared" si="15"/>
        <v>984</v>
      </c>
      <c r="B988" s="93" t="e">
        <f>VLOOKUP($A988,'【随時メンテ】工事請負約款（原文）'!$B$2:$C$835,2,FALSE)&amp;""</f>
        <v>#N/A</v>
      </c>
    </row>
    <row r="989" spans="1:2" ht="18.75" customHeight="1">
      <c r="A989" s="93">
        <f t="shared" si="15"/>
        <v>985</v>
      </c>
      <c r="B989" s="93" t="e">
        <f>VLOOKUP($A989,'【随時メンテ】工事請負約款（原文）'!$B$2:$C$835,2,FALSE)&amp;""</f>
        <v>#N/A</v>
      </c>
    </row>
    <row r="990" spans="1:2" ht="18.75" customHeight="1">
      <c r="A990" s="93">
        <f t="shared" si="15"/>
        <v>986</v>
      </c>
      <c r="B990" s="93" t="e">
        <f>VLOOKUP($A990,'【随時メンテ】工事請負約款（原文）'!$B$2:$C$835,2,FALSE)&amp;""</f>
        <v>#N/A</v>
      </c>
    </row>
    <row r="991" spans="1:2" ht="18.75" customHeight="1">
      <c r="A991" s="93">
        <f t="shared" si="15"/>
        <v>987</v>
      </c>
      <c r="B991" s="93" t="e">
        <f>VLOOKUP($A991,'【随時メンテ】工事請負約款（原文）'!$B$2:$C$835,2,FALSE)&amp;""</f>
        <v>#N/A</v>
      </c>
    </row>
    <row r="992" spans="1:2" ht="18.75" customHeight="1">
      <c r="A992" s="93">
        <f t="shared" si="15"/>
        <v>988</v>
      </c>
      <c r="B992" s="93" t="e">
        <f>VLOOKUP($A992,'【随時メンテ】工事請負約款（原文）'!$B$2:$C$835,2,FALSE)&amp;""</f>
        <v>#N/A</v>
      </c>
    </row>
    <row r="993" spans="1:2" ht="18.75" customHeight="1">
      <c r="A993" s="93">
        <f t="shared" si="15"/>
        <v>989</v>
      </c>
      <c r="B993" s="93" t="e">
        <f>VLOOKUP($A993,'【随時メンテ】工事請負約款（原文）'!$B$2:$C$835,2,FALSE)&amp;""</f>
        <v>#N/A</v>
      </c>
    </row>
    <row r="994" spans="1:2" ht="18.75" customHeight="1">
      <c r="A994" s="93">
        <f t="shared" si="15"/>
        <v>990</v>
      </c>
      <c r="B994" s="93" t="e">
        <f>VLOOKUP($A994,'【随時メンテ】工事請負約款（原文）'!$B$2:$C$835,2,FALSE)&amp;""</f>
        <v>#N/A</v>
      </c>
    </row>
    <row r="995" spans="1:2" ht="18.75" customHeight="1">
      <c r="A995" s="93">
        <f t="shared" si="15"/>
        <v>991</v>
      </c>
      <c r="B995" s="93" t="e">
        <f>VLOOKUP($A995,'【随時メンテ】工事請負約款（原文）'!$B$2:$C$835,2,FALSE)&amp;""</f>
        <v>#N/A</v>
      </c>
    </row>
    <row r="996" spans="1:2" ht="18.75" customHeight="1">
      <c r="A996" s="93">
        <f t="shared" si="15"/>
        <v>992</v>
      </c>
      <c r="B996" s="93" t="e">
        <f>VLOOKUP($A996,'【随時メンテ】工事請負約款（原文）'!$B$2:$C$835,2,FALSE)&amp;""</f>
        <v>#N/A</v>
      </c>
    </row>
    <row r="997" spans="1:2" ht="18.75" customHeight="1">
      <c r="A997" s="93">
        <f t="shared" si="15"/>
        <v>993</v>
      </c>
      <c r="B997" s="93" t="e">
        <f>VLOOKUP($A997,'【随時メンテ】工事請負約款（原文）'!$B$2:$C$835,2,FALSE)&amp;""</f>
        <v>#N/A</v>
      </c>
    </row>
    <row r="998" spans="1:2" ht="18.75" customHeight="1">
      <c r="A998" s="93">
        <f t="shared" si="15"/>
        <v>994</v>
      </c>
      <c r="B998" s="93" t="e">
        <f>VLOOKUP($A998,'【随時メンテ】工事請負約款（原文）'!$B$2:$C$835,2,FALSE)&amp;""</f>
        <v>#N/A</v>
      </c>
    </row>
    <row r="999" spans="1:2" ht="18.75" customHeight="1">
      <c r="A999" s="93">
        <f t="shared" si="15"/>
        <v>995</v>
      </c>
      <c r="B999" s="93" t="e">
        <f>VLOOKUP($A999,'【随時メンテ】工事請負約款（原文）'!$B$2:$C$835,2,FALSE)&amp;""</f>
        <v>#N/A</v>
      </c>
    </row>
    <row r="1000" spans="1:2" ht="18.75" customHeight="1">
      <c r="A1000" s="93">
        <f t="shared" si="15"/>
        <v>996</v>
      </c>
      <c r="B1000" s="93" t="e">
        <f>VLOOKUP($A1000,'【随時メンテ】工事請負約款（原文）'!$B$2:$C$835,2,FALSE)&amp;""</f>
        <v>#N/A</v>
      </c>
    </row>
    <row r="1001" spans="1:2" ht="18.75" customHeight="1">
      <c r="A1001" s="93">
        <f t="shared" si="15"/>
        <v>997</v>
      </c>
      <c r="B1001" s="93" t="e">
        <f>VLOOKUP($A1001,'【随時メンテ】工事請負約款（原文）'!$B$2:$C$835,2,FALSE)&amp;""</f>
        <v>#N/A</v>
      </c>
    </row>
    <row r="1002" spans="1:2" ht="18.75" customHeight="1">
      <c r="A1002" s="93">
        <f t="shared" si="15"/>
        <v>998</v>
      </c>
      <c r="B1002" s="93" t="e">
        <f>VLOOKUP($A1002,'【随時メンテ】工事請負約款（原文）'!$B$2:$C$835,2,FALSE)&amp;""</f>
        <v>#N/A</v>
      </c>
    </row>
    <row r="1003" spans="1:2" ht="18.75" customHeight="1">
      <c r="A1003" s="93">
        <f t="shared" si="15"/>
        <v>999</v>
      </c>
      <c r="B1003" s="93" t="e">
        <f>VLOOKUP($A1003,'【随時メンテ】工事請負約款（原文）'!$B$2:$C$835,2,FALSE)&amp;""</f>
        <v>#N/A</v>
      </c>
    </row>
    <row r="1004" spans="1:2" ht="18.75" customHeight="1">
      <c r="A1004" s="93">
        <f t="shared" si="15"/>
        <v>1000</v>
      </c>
      <c r="B1004" s="93" t="e">
        <f>VLOOKUP($A1004,'【随時メンテ】工事請負約款（原文）'!$B$2:$C$835,2,FALSE)&amp;""</f>
        <v>#N/A</v>
      </c>
    </row>
    <row r="1005" spans="1:2" ht="18.75" customHeight="1">
      <c r="A1005" s="93">
        <f t="shared" si="15"/>
        <v>1001</v>
      </c>
      <c r="B1005" s="93" t="e">
        <f>VLOOKUP($A1005,'【随時メンテ】工事請負約款（原文）'!$B$2:$C$835,2,FALSE)&amp;""</f>
        <v>#N/A</v>
      </c>
    </row>
    <row r="1006" spans="1:2" ht="18.75" customHeight="1">
      <c r="A1006" s="93">
        <f t="shared" si="15"/>
        <v>1002</v>
      </c>
      <c r="B1006" s="93" t="e">
        <f>VLOOKUP($A1006,'【随時メンテ】工事請負約款（原文）'!$B$2:$C$835,2,FALSE)&amp;""</f>
        <v>#N/A</v>
      </c>
    </row>
    <row r="1007" spans="1:2" ht="18.75" customHeight="1">
      <c r="A1007" s="93">
        <f t="shared" si="15"/>
        <v>1003</v>
      </c>
      <c r="B1007" s="93" t="e">
        <f>VLOOKUP($A1007,'【随時メンテ】工事請負約款（原文）'!$B$2:$C$835,2,FALSE)&amp;""</f>
        <v>#N/A</v>
      </c>
    </row>
    <row r="1008" spans="1:2" ht="18.75" customHeight="1">
      <c r="A1008" s="93">
        <f t="shared" si="15"/>
        <v>1004</v>
      </c>
      <c r="B1008" s="93" t="e">
        <f>VLOOKUP($A1008,'【随時メンテ】工事請負約款（原文）'!$B$2:$C$835,2,FALSE)&amp;""</f>
        <v>#N/A</v>
      </c>
    </row>
    <row r="1009" spans="1:2" ht="18.75" customHeight="1">
      <c r="A1009" s="93">
        <f t="shared" si="15"/>
        <v>1005</v>
      </c>
      <c r="B1009" s="93" t="e">
        <f>VLOOKUP($A1009,'【随時メンテ】工事請負約款（原文）'!$B$2:$C$835,2,FALSE)&amp;""</f>
        <v>#N/A</v>
      </c>
    </row>
    <row r="1010" spans="1:2" ht="18.75" customHeight="1">
      <c r="A1010" s="93">
        <f t="shared" si="15"/>
        <v>1006</v>
      </c>
      <c r="B1010" s="93" t="e">
        <f>VLOOKUP($A1010,'【随時メンテ】工事請負約款（原文）'!$B$2:$C$835,2,FALSE)&amp;""</f>
        <v>#N/A</v>
      </c>
    </row>
    <row r="1011" spans="1:2" ht="18.75" customHeight="1">
      <c r="A1011" s="93">
        <f t="shared" si="15"/>
        <v>1007</v>
      </c>
      <c r="B1011" s="93" t="e">
        <f>VLOOKUP($A1011,'【随時メンテ】工事請負約款（原文）'!$B$2:$C$835,2,FALSE)&amp;""</f>
        <v>#N/A</v>
      </c>
    </row>
    <row r="1012" spans="1:2" ht="18.75" customHeight="1">
      <c r="A1012" s="93">
        <f t="shared" si="15"/>
        <v>1008</v>
      </c>
      <c r="B1012" s="93" t="e">
        <f>VLOOKUP($A1012,'【随時メンテ】工事請負約款（原文）'!$B$2:$C$835,2,FALSE)&amp;""</f>
        <v>#N/A</v>
      </c>
    </row>
    <row r="1013" spans="1:2" ht="18.75" customHeight="1">
      <c r="A1013" s="93">
        <f t="shared" si="15"/>
        <v>1009</v>
      </c>
      <c r="B1013" s="93" t="e">
        <f>VLOOKUP($A1013,'【随時メンテ】工事請負約款（原文）'!$B$2:$C$835,2,FALSE)&amp;""</f>
        <v>#N/A</v>
      </c>
    </row>
    <row r="1014" spans="1:2" ht="18.75" customHeight="1">
      <c r="A1014" s="93">
        <f t="shared" si="15"/>
        <v>1010</v>
      </c>
      <c r="B1014" s="93" t="e">
        <f>VLOOKUP($A1014,'【随時メンテ】工事請負約款（原文）'!$B$2:$C$835,2,FALSE)&amp;""</f>
        <v>#N/A</v>
      </c>
    </row>
    <row r="1015" spans="1:2" ht="18.75" customHeight="1">
      <c r="A1015" s="93">
        <f t="shared" si="15"/>
        <v>1011</v>
      </c>
      <c r="B1015" s="93" t="e">
        <f>VLOOKUP($A1015,'【随時メンテ】工事請負約款（原文）'!$B$2:$C$835,2,FALSE)&amp;""</f>
        <v>#N/A</v>
      </c>
    </row>
    <row r="1016" spans="1:2" ht="18.75" customHeight="1">
      <c r="A1016" s="93">
        <f t="shared" si="15"/>
        <v>1012</v>
      </c>
      <c r="B1016" s="93" t="e">
        <f>VLOOKUP($A1016,'【随時メンテ】工事請負約款（原文）'!$B$2:$C$835,2,FALSE)&amp;""</f>
        <v>#N/A</v>
      </c>
    </row>
    <row r="1017" spans="1:2" ht="18.75" customHeight="1">
      <c r="A1017" s="93">
        <f t="shared" si="15"/>
        <v>1013</v>
      </c>
      <c r="B1017" s="93" t="e">
        <f>VLOOKUP($A1017,'【随時メンテ】工事請負約款（原文）'!$B$2:$C$835,2,FALSE)&amp;""</f>
        <v>#N/A</v>
      </c>
    </row>
    <row r="1018" spans="1:2" ht="18.75" customHeight="1">
      <c r="A1018" s="93">
        <f t="shared" si="15"/>
        <v>1014</v>
      </c>
      <c r="B1018" s="93" t="e">
        <f>VLOOKUP($A1018,'【随時メンテ】工事請負約款（原文）'!$B$2:$C$835,2,FALSE)&amp;""</f>
        <v>#N/A</v>
      </c>
    </row>
    <row r="1019" spans="1:2" ht="18.75" customHeight="1">
      <c r="A1019" s="93">
        <f t="shared" si="15"/>
        <v>1015</v>
      </c>
      <c r="B1019" s="93" t="e">
        <f>VLOOKUP($A1019,'【随時メンテ】工事請負約款（原文）'!$B$2:$C$835,2,FALSE)&amp;""</f>
        <v>#N/A</v>
      </c>
    </row>
    <row r="1020" spans="1:2" ht="18.75" customHeight="1">
      <c r="A1020" s="93">
        <f t="shared" si="15"/>
        <v>1016</v>
      </c>
      <c r="B1020" s="93" t="e">
        <f>VLOOKUP($A1020,'【随時メンテ】工事請負約款（原文）'!$B$2:$C$835,2,FALSE)&amp;""</f>
        <v>#N/A</v>
      </c>
    </row>
    <row r="1021" spans="1:2" ht="18.75" customHeight="1">
      <c r="A1021" s="93">
        <f t="shared" si="15"/>
        <v>1017</v>
      </c>
      <c r="B1021" s="93" t="e">
        <f>VLOOKUP($A1021,'【随時メンテ】工事請負約款（原文）'!$B$2:$C$835,2,FALSE)&amp;""</f>
        <v>#N/A</v>
      </c>
    </row>
    <row r="1022" spans="1:2" ht="18.75" customHeight="1">
      <c r="A1022" s="93">
        <f t="shared" si="15"/>
        <v>1018</v>
      </c>
      <c r="B1022" s="93" t="e">
        <f>VLOOKUP($A1022,'【随時メンテ】工事請負約款（原文）'!$B$2:$C$835,2,FALSE)&amp;""</f>
        <v>#N/A</v>
      </c>
    </row>
    <row r="1023" spans="1:2" ht="18.75" customHeight="1">
      <c r="A1023" s="93">
        <f t="shared" si="15"/>
        <v>1019</v>
      </c>
      <c r="B1023" s="93" t="e">
        <f>VLOOKUP($A1023,'【随時メンテ】工事請負約款（原文）'!$B$2:$C$835,2,FALSE)&amp;""</f>
        <v>#N/A</v>
      </c>
    </row>
    <row r="1024" spans="1:2" ht="18.75" customHeight="1">
      <c r="A1024" s="93">
        <f t="shared" si="15"/>
        <v>1020</v>
      </c>
      <c r="B1024" s="93" t="e">
        <f>VLOOKUP($A1024,'【随時メンテ】工事請負約款（原文）'!$B$2:$C$835,2,FALSE)&amp;""</f>
        <v>#N/A</v>
      </c>
    </row>
    <row r="1025" spans="1:2" ht="18.75" customHeight="1">
      <c r="A1025" s="93">
        <f t="shared" si="15"/>
        <v>1021</v>
      </c>
      <c r="B1025" s="93" t="e">
        <f>VLOOKUP($A1025,'【随時メンテ】工事請負約款（原文）'!$B$2:$C$835,2,FALSE)&amp;""</f>
        <v>#N/A</v>
      </c>
    </row>
    <row r="1026" spans="1:2" ht="18.75" customHeight="1">
      <c r="A1026" s="93">
        <f t="shared" si="15"/>
        <v>1022</v>
      </c>
      <c r="B1026" s="93" t="e">
        <f>VLOOKUP($A1026,'【随時メンテ】工事請負約款（原文）'!$B$2:$C$835,2,FALSE)&amp;""</f>
        <v>#N/A</v>
      </c>
    </row>
    <row r="1027" spans="1:2" ht="18.75" customHeight="1">
      <c r="A1027" s="93">
        <f t="shared" si="15"/>
        <v>1023</v>
      </c>
      <c r="B1027" s="93" t="e">
        <f>VLOOKUP($A1027,'【随時メンテ】工事請負約款（原文）'!$B$2:$C$835,2,FALSE)&amp;""</f>
        <v>#N/A</v>
      </c>
    </row>
    <row r="1028" spans="1:2" ht="18.75" customHeight="1">
      <c r="A1028" s="93">
        <f t="shared" si="15"/>
        <v>1024</v>
      </c>
      <c r="B1028" s="93" t="e">
        <f>VLOOKUP($A1028,'【随時メンテ】工事請負約款（原文）'!$B$2:$C$835,2,FALSE)&amp;""</f>
        <v>#N/A</v>
      </c>
    </row>
    <row r="1029" spans="1:2" ht="18.75" customHeight="1">
      <c r="A1029" s="93">
        <f t="shared" si="15"/>
        <v>1025</v>
      </c>
      <c r="B1029" s="93" t="e">
        <f>VLOOKUP($A1029,'【随時メンテ】工事請負約款（原文）'!$B$2:$C$835,2,FALSE)&amp;""</f>
        <v>#N/A</v>
      </c>
    </row>
    <row r="1030" spans="1:2" ht="18.75" customHeight="1">
      <c r="A1030" s="93">
        <f t="shared" si="15"/>
        <v>1026</v>
      </c>
      <c r="B1030" s="93" t="e">
        <f>VLOOKUP($A1030,'【随時メンテ】工事請負約款（原文）'!$B$2:$C$835,2,FALSE)&amp;""</f>
        <v>#N/A</v>
      </c>
    </row>
    <row r="1031" spans="1:2" ht="18.75" customHeight="1">
      <c r="A1031" s="93">
        <f t="shared" ref="A1031:A1094" si="16">ROW()-$A$2</f>
        <v>1027</v>
      </c>
      <c r="B1031" s="93" t="e">
        <f>VLOOKUP($A1031,'【随時メンテ】工事請負約款（原文）'!$B$2:$C$835,2,FALSE)&amp;""</f>
        <v>#N/A</v>
      </c>
    </row>
    <row r="1032" spans="1:2" ht="18.75" customHeight="1">
      <c r="A1032" s="93">
        <f t="shared" si="16"/>
        <v>1028</v>
      </c>
      <c r="B1032" s="93" t="e">
        <f>VLOOKUP($A1032,'【随時メンテ】工事請負約款（原文）'!$B$2:$C$835,2,FALSE)&amp;""</f>
        <v>#N/A</v>
      </c>
    </row>
    <row r="1033" spans="1:2" ht="18.75" customHeight="1">
      <c r="A1033" s="93">
        <f t="shared" si="16"/>
        <v>1029</v>
      </c>
      <c r="B1033" s="93" t="e">
        <f>VLOOKUP($A1033,'【随時メンテ】工事請負約款（原文）'!$B$2:$C$835,2,FALSE)&amp;""</f>
        <v>#N/A</v>
      </c>
    </row>
    <row r="1034" spans="1:2" ht="18.75" customHeight="1">
      <c r="A1034" s="93">
        <f t="shared" si="16"/>
        <v>1030</v>
      </c>
      <c r="B1034" s="93" t="e">
        <f>VLOOKUP($A1034,'【随時メンテ】工事請負約款（原文）'!$B$2:$C$835,2,FALSE)&amp;""</f>
        <v>#N/A</v>
      </c>
    </row>
    <row r="1035" spans="1:2" ht="18.75" customHeight="1">
      <c r="A1035" s="93">
        <f t="shared" si="16"/>
        <v>1031</v>
      </c>
      <c r="B1035" s="93" t="e">
        <f>VLOOKUP($A1035,'【随時メンテ】工事請負約款（原文）'!$B$2:$C$835,2,FALSE)&amp;""</f>
        <v>#N/A</v>
      </c>
    </row>
    <row r="1036" spans="1:2" ht="18.75" customHeight="1">
      <c r="A1036" s="93">
        <f t="shared" si="16"/>
        <v>1032</v>
      </c>
      <c r="B1036" s="93" t="e">
        <f>VLOOKUP($A1036,'【随時メンテ】工事請負約款（原文）'!$B$2:$C$835,2,FALSE)&amp;""</f>
        <v>#N/A</v>
      </c>
    </row>
    <row r="1037" spans="1:2" ht="18.75" customHeight="1">
      <c r="A1037" s="93">
        <f t="shared" si="16"/>
        <v>1033</v>
      </c>
      <c r="B1037" s="93" t="e">
        <f>VLOOKUP($A1037,'【随時メンテ】工事請負約款（原文）'!$B$2:$C$835,2,FALSE)&amp;""</f>
        <v>#N/A</v>
      </c>
    </row>
    <row r="1038" spans="1:2" ht="18.75" customHeight="1">
      <c r="A1038" s="93">
        <f t="shared" si="16"/>
        <v>1034</v>
      </c>
      <c r="B1038" s="93" t="e">
        <f>VLOOKUP($A1038,'【随時メンテ】工事請負約款（原文）'!$B$2:$C$835,2,FALSE)&amp;""</f>
        <v>#N/A</v>
      </c>
    </row>
    <row r="1039" spans="1:2" ht="18.75" customHeight="1">
      <c r="A1039" s="93">
        <f t="shared" si="16"/>
        <v>1035</v>
      </c>
      <c r="B1039" s="93" t="e">
        <f>VLOOKUP($A1039,'【随時メンテ】工事請負約款（原文）'!$B$2:$C$835,2,FALSE)&amp;""</f>
        <v>#N/A</v>
      </c>
    </row>
    <row r="1040" spans="1:2" ht="18.75" customHeight="1">
      <c r="A1040" s="93">
        <f t="shared" si="16"/>
        <v>1036</v>
      </c>
      <c r="B1040" s="93" t="e">
        <f>VLOOKUP($A1040,'【随時メンテ】工事請負約款（原文）'!$B$2:$C$835,2,FALSE)&amp;""</f>
        <v>#N/A</v>
      </c>
    </row>
    <row r="1041" spans="1:2" ht="18.75" customHeight="1">
      <c r="A1041" s="93">
        <f t="shared" si="16"/>
        <v>1037</v>
      </c>
      <c r="B1041" s="93" t="e">
        <f>VLOOKUP($A1041,'【随時メンテ】工事請負約款（原文）'!$B$2:$C$835,2,FALSE)&amp;""</f>
        <v>#N/A</v>
      </c>
    </row>
    <row r="1042" spans="1:2" ht="18.75" customHeight="1">
      <c r="A1042" s="93">
        <f t="shared" si="16"/>
        <v>1038</v>
      </c>
      <c r="B1042" s="93" t="e">
        <f>VLOOKUP($A1042,'【随時メンテ】工事請負約款（原文）'!$B$2:$C$835,2,FALSE)&amp;""</f>
        <v>#N/A</v>
      </c>
    </row>
    <row r="1043" spans="1:2" ht="18.75" customHeight="1">
      <c r="A1043" s="93">
        <f t="shared" si="16"/>
        <v>1039</v>
      </c>
      <c r="B1043" s="93" t="e">
        <f>VLOOKUP($A1043,'【随時メンテ】工事請負約款（原文）'!$B$2:$C$835,2,FALSE)&amp;""</f>
        <v>#N/A</v>
      </c>
    </row>
    <row r="1044" spans="1:2" ht="18.75" customHeight="1">
      <c r="A1044" s="93">
        <f t="shared" si="16"/>
        <v>1040</v>
      </c>
      <c r="B1044" s="93" t="e">
        <f>VLOOKUP($A1044,'【随時メンテ】工事請負約款（原文）'!$B$2:$C$835,2,FALSE)&amp;""</f>
        <v>#N/A</v>
      </c>
    </row>
    <row r="1045" spans="1:2" ht="18.75" customHeight="1">
      <c r="A1045" s="93">
        <f t="shared" si="16"/>
        <v>1041</v>
      </c>
      <c r="B1045" s="93" t="e">
        <f>VLOOKUP($A1045,'【随時メンテ】工事請負約款（原文）'!$B$2:$C$835,2,FALSE)&amp;""</f>
        <v>#N/A</v>
      </c>
    </row>
    <row r="1046" spans="1:2" ht="18.75" customHeight="1">
      <c r="A1046" s="93">
        <f t="shared" si="16"/>
        <v>1042</v>
      </c>
      <c r="B1046" s="93" t="e">
        <f>VLOOKUP($A1046,'【随時メンテ】工事請負約款（原文）'!$B$2:$C$835,2,FALSE)&amp;""</f>
        <v>#N/A</v>
      </c>
    </row>
    <row r="1047" spans="1:2" ht="18.75" customHeight="1">
      <c r="A1047" s="93">
        <f t="shared" si="16"/>
        <v>1043</v>
      </c>
      <c r="B1047" s="93" t="e">
        <f>VLOOKUP($A1047,'【随時メンテ】工事請負約款（原文）'!$B$2:$C$835,2,FALSE)&amp;""</f>
        <v>#N/A</v>
      </c>
    </row>
    <row r="1048" spans="1:2" ht="18.75" customHeight="1">
      <c r="A1048" s="93">
        <f t="shared" si="16"/>
        <v>1044</v>
      </c>
      <c r="B1048" s="93" t="e">
        <f>VLOOKUP($A1048,'【随時メンテ】工事請負約款（原文）'!$B$2:$C$835,2,FALSE)&amp;""</f>
        <v>#N/A</v>
      </c>
    </row>
    <row r="1049" spans="1:2" ht="18.75" customHeight="1">
      <c r="A1049" s="93">
        <f t="shared" si="16"/>
        <v>1045</v>
      </c>
      <c r="B1049" s="93" t="e">
        <f>VLOOKUP($A1049,'【随時メンテ】工事請負約款（原文）'!$B$2:$C$835,2,FALSE)&amp;""</f>
        <v>#N/A</v>
      </c>
    </row>
    <row r="1050" spans="1:2" ht="18.75" customHeight="1">
      <c r="A1050" s="93">
        <f t="shared" si="16"/>
        <v>1046</v>
      </c>
      <c r="B1050" s="93" t="e">
        <f>VLOOKUP($A1050,'【随時メンテ】工事請負約款（原文）'!$B$2:$C$835,2,FALSE)&amp;""</f>
        <v>#N/A</v>
      </c>
    </row>
    <row r="1051" spans="1:2" ht="18.75" customHeight="1">
      <c r="A1051" s="93">
        <f t="shared" si="16"/>
        <v>1047</v>
      </c>
      <c r="B1051" s="93" t="e">
        <f>VLOOKUP($A1051,'【随時メンテ】工事請負約款（原文）'!$B$2:$C$835,2,FALSE)&amp;""</f>
        <v>#N/A</v>
      </c>
    </row>
    <row r="1052" spans="1:2" ht="18.75" customHeight="1">
      <c r="A1052" s="93">
        <f t="shared" si="16"/>
        <v>1048</v>
      </c>
      <c r="B1052" s="93" t="e">
        <f>VLOOKUP($A1052,'【随時メンテ】工事請負約款（原文）'!$B$2:$C$835,2,FALSE)&amp;""</f>
        <v>#N/A</v>
      </c>
    </row>
    <row r="1053" spans="1:2" ht="18.75" customHeight="1">
      <c r="A1053" s="93">
        <f t="shared" si="16"/>
        <v>1049</v>
      </c>
      <c r="B1053" s="93" t="e">
        <f>VLOOKUP($A1053,'【随時メンテ】工事請負約款（原文）'!$B$2:$C$835,2,FALSE)&amp;""</f>
        <v>#N/A</v>
      </c>
    </row>
    <row r="1054" spans="1:2" ht="18.75" customHeight="1">
      <c r="A1054" s="93">
        <f t="shared" si="16"/>
        <v>1050</v>
      </c>
      <c r="B1054" s="93" t="e">
        <f>VLOOKUP($A1054,'【随時メンテ】工事請負約款（原文）'!$B$2:$C$835,2,FALSE)&amp;""</f>
        <v>#N/A</v>
      </c>
    </row>
    <row r="1055" spans="1:2" ht="18.75" customHeight="1">
      <c r="A1055" s="93">
        <f t="shared" si="16"/>
        <v>1051</v>
      </c>
      <c r="B1055" s="93" t="e">
        <f>VLOOKUP($A1055,'【随時メンテ】工事請負約款（原文）'!$B$2:$C$835,2,FALSE)&amp;""</f>
        <v>#N/A</v>
      </c>
    </row>
    <row r="1056" spans="1:2" ht="18.75" customHeight="1">
      <c r="A1056" s="93">
        <f t="shared" si="16"/>
        <v>1052</v>
      </c>
      <c r="B1056" s="93" t="e">
        <f>VLOOKUP($A1056,'【随時メンテ】工事請負約款（原文）'!$B$2:$C$835,2,FALSE)&amp;""</f>
        <v>#N/A</v>
      </c>
    </row>
    <row r="1057" spans="1:2" ht="18.75" customHeight="1">
      <c r="A1057" s="93">
        <f t="shared" si="16"/>
        <v>1053</v>
      </c>
      <c r="B1057" s="93" t="e">
        <f>VLOOKUP($A1057,'【随時メンテ】工事請負約款（原文）'!$B$2:$C$835,2,FALSE)&amp;""</f>
        <v>#N/A</v>
      </c>
    </row>
    <row r="1058" spans="1:2" ht="18.75" customHeight="1">
      <c r="A1058" s="93">
        <f t="shared" si="16"/>
        <v>1054</v>
      </c>
      <c r="B1058" s="93" t="e">
        <f>VLOOKUP($A1058,'【随時メンテ】工事請負約款（原文）'!$B$2:$C$835,2,FALSE)&amp;""</f>
        <v>#N/A</v>
      </c>
    </row>
    <row r="1059" spans="1:2" ht="18.75" customHeight="1">
      <c r="A1059" s="93">
        <f t="shared" si="16"/>
        <v>1055</v>
      </c>
      <c r="B1059" s="93" t="e">
        <f>VLOOKUP($A1059,'【随時メンテ】工事請負約款（原文）'!$B$2:$C$835,2,FALSE)&amp;""</f>
        <v>#N/A</v>
      </c>
    </row>
    <row r="1060" spans="1:2" ht="18.75" customHeight="1">
      <c r="A1060" s="93">
        <f t="shared" si="16"/>
        <v>1056</v>
      </c>
      <c r="B1060" s="93" t="e">
        <f>VLOOKUP($A1060,'【随時メンテ】工事請負約款（原文）'!$B$2:$C$835,2,FALSE)&amp;""</f>
        <v>#N/A</v>
      </c>
    </row>
    <row r="1061" spans="1:2" ht="18.75" customHeight="1">
      <c r="A1061" s="93">
        <f t="shared" si="16"/>
        <v>1057</v>
      </c>
      <c r="B1061" s="93" t="e">
        <f>VLOOKUP($A1061,'【随時メンテ】工事請負約款（原文）'!$B$2:$C$835,2,FALSE)&amp;""</f>
        <v>#N/A</v>
      </c>
    </row>
    <row r="1062" spans="1:2" ht="18.75" customHeight="1">
      <c r="A1062" s="93">
        <f t="shared" si="16"/>
        <v>1058</v>
      </c>
      <c r="B1062" s="93" t="e">
        <f>VLOOKUP($A1062,'【随時メンテ】工事請負約款（原文）'!$B$2:$C$835,2,FALSE)&amp;""</f>
        <v>#N/A</v>
      </c>
    </row>
    <row r="1063" spans="1:2" ht="18.75" customHeight="1">
      <c r="A1063" s="93">
        <f t="shared" si="16"/>
        <v>1059</v>
      </c>
      <c r="B1063" s="93" t="e">
        <f>VLOOKUP($A1063,'【随時メンテ】工事請負約款（原文）'!$B$2:$C$835,2,FALSE)&amp;""</f>
        <v>#N/A</v>
      </c>
    </row>
    <row r="1064" spans="1:2" ht="18.75" customHeight="1">
      <c r="A1064" s="93">
        <f t="shared" si="16"/>
        <v>1060</v>
      </c>
      <c r="B1064" s="93" t="e">
        <f>VLOOKUP($A1064,'【随時メンテ】工事請負約款（原文）'!$B$2:$C$835,2,FALSE)&amp;""</f>
        <v>#N/A</v>
      </c>
    </row>
    <row r="1065" spans="1:2" ht="18.75" customHeight="1">
      <c r="A1065" s="93">
        <f t="shared" si="16"/>
        <v>1061</v>
      </c>
      <c r="B1065" s="93" t="e">
        <f>VLOOKUP($A1065,'【随時メンテ】工事請負約款（原文）'!$B$2:$C$835,2,FALSE)&amp;""</f>
        <v>#N/A</v>
      </c>
    </row>
    <row r="1066" spans="1:2" ht="18.75" customHeight="1">
      <c r="A1066" s="93">
        <f t="shared" si="16"/>
        <v>1062</v>
      </c>
      <c r="B1066" s="93" t="e">
        <f>VLOOKUP($A1066,'【随時メンテ】工事請負約款（原文）'!$B$2:$C$835,2,FALSE)&amp;""</f>
        <v>#N/A</v>
      </c>
    </row>
    <row r="1067" spans="1:2" ht="18.75" customHeight="1">
      <c r="A1067" s="93">
        <f t="shared" si="16"/>
        <v>1063</v>
      </c>
      <c r="B1067" s="93" t="e">
        <f>VLOOKUP($A1067,'【随時メンテ】工事請負約款（原文）'!$B$2:$C$835,2,FALSE)&amp;""</f>
        <v>#N/A</v>
      </c>
    </row>
    <row r="1068" spans="1:2" ht="18.75" customHeight="1">
      <c r="A1068" s="93">
        <f t="shared" si="16"/>
        <v>1064</v>
      </c>
      <c r="B1068" s="93" t="e">
        <f>VLOOKUP($A1068,'【随時メンテ】工事請負約款（原文）'!$B$2:$C$835,2,FALSE)&amp;""</f>
        <v>#N/A</v>
      </c>
    </row>
    <row r="1069" spans="1:2" ht="18.75" customHeight="1">
      <c r="A1069" s="93">
        <f t="shared" si="16"/>
        <v>1065</v>
      </c>
      <c r="B1069" s="93" t="e">
        <f>VLOOKUP($A1069,'【随時メンテ】工事請負約款（原文）'!$B$2:$C$835,2,FALSE)&amp;""</f>
        <v>#N/A</v>
      </c>
    </row>
    <row r="1070" spans="1:2" ht="18.75" customHeight="1">
      <c r="A1070" s="93">
        <f t="shared" si="16"/>
        <v>1066</v>
      </c>
      <c r="B1070" s="93" t="e">
        <f>VLOOKUP($A1070,'【随時メンテ】工事請負約款（原文）'!$B$2:$C$835,2,FALSE)&amp;""</f>
        <v>#N/A</v>
      </c>
    </row>
    <row r="1071" spans="1:2" ht="18.75" customHeight="1">
      <c r="A1071" s="93">
        <f t="shared" si="16"/>
        <v>1067</v>
      </c>
      <c r="B1071" s="93" t="e">
        <f>VLOOKUP($A1071,'【随時メンテ】工事請負約款（原文）'!$B$2:$C$835,2,FALSE)&amp;""</f>
        <v>#N/A</v>
      </c>
    </row>
    <row r="1072" spans="1:2" ht="18.75" customHeight="1">
      <c r="A1072" s="93">
        <f t="shared" si="16"/>
        <v>1068</v>
      </c>
      <c r="B1072" s="93" t="e">
        <f>VLOOKUP($A1072,'【随時メンテ】工事請負約款（原文）'!$B$2:$C$835,2,FALSE)&amp;""</f>
        <v>#N/A</v>
      </c>
    </row>
    <row r="1073" spans="1:2" ht="18.75" customHeight="1">
      <c r="A1073" s="93">
        <f t="shared" si="16"/>
        <v>1069</v>
      </c>
      <c r="B1073" s="93" t="e">
        <f>VLOOKUP($A1073,'【随時メンテ】工事請負約款（原文）'!$B$2:$C$835,2,FALSE)&amp;""</f>
        <v>#N/A</v>
      </c>
    </row>
    <row r="1074" spans="1:2" ht="18.75" customHeight="1">
      <c r="A1074" s="93">
        <f t="shared" si="16"/>
        <v>1070</v>
      </c>
      <c r="B1074" s="93" t="e">
        <f>VLOOKUP($A1074,'【随時メンテ】工事請負約款（原文）'!$B$2:$C$835,2,FALSE)&amp;""</f>
        <v>#N/A</v>
      </c>
    </row>
    <row r="1075" spans="1:2" ht="18.75" customHeight="1">
      <c r="A1075" s="93">
        <f t="shared" si="16"/>
        <v>1071</v>
      </c>
      <c r="B1075" s="93" t="e">
        <f>VLOOKUP($A1075,'【随時メンテ】工事請負約款（原文）'!$B$2:$C$835,2,FALSE)&amp;""</f>
        <v>#N/A</v>
      </c>
    </row>
    <row r="1076" spans="1:2" ht="18.75" customHeight="1">
      <c r="A1076" s="93">
        <f t="shared" si="16"/>
        <v>1072</v>
      </c>
      <c r="B1076" s="93" t="e">
        <f>VLOOKUP($A1076,'【随時メンテ】工事請負約款（原文）'!$B$2:$C$835,2,FALSE)&amp;""</f>
        <v>#N/A</v>
      </c>
    </row>
    <row r="1077" spans="1:2" ht="18.75" customHeight="1">
      <c r="A1077" s="93">
        <f t="shared" si="16"/>
        <v>1073</v>
      </c>
      <c r="B1077" s="93" t="e">
        <f>VLOOKUP($A1077,'【随時メンテ】工事請負約款（原文）'!$B$2:$C$835,2,FALSE)&amp;""</f>
        <v>#N/A</v>
      </c>
    </row>
    <row r="1078" spans="1:2" ht="18.75" customHeight="1">
      <c r="A1078" s="93">
        <f t="shared" si="16"/>
        <v>1074</v>
      </c>
      <c r="B1078" s="93" t="e">
        <f>VLOOKUP($A1078,'【随時メンテ】工事請負約款（原文）'!$B$2:$C$835,2,FALSE)&amp;""</f>
        <v>#N/A</v>
      </c>
    </row>
    <row r="1079" spans="1:2" ht="18.75" customHeight="1">
      <c r="A1079" s="93">
        <f t="shared" si="16"/>
        <v>1075</v>
      </c>
      <c r="B1079" s="93" t="e">
        <f>VLOOKUP($A1079,'【随時メンテ】工事請負約款（原文）'!$B$2:$C$835,2,FALSE)&amp;""</f>
        <v>#N/A</v>
      </c>
    </row>
    <row r="1080" spans="1:2" ht="18.75" customHeight="1">
      <c r="A1080" s="93">
        <f t="shared" si="16"/>
        <v>1076</v>
      </c>
      <c r="B1080" s="93" t="e">
        <f>VLOOKUP($A1080,'【随時メンテ】工事請負約款（原文）'!$B$2:$C$835,2,FALSE)&amp;""</f>
        <v>#N/A</v>
      </c>
    </row>
    <row r="1081" spans="1:2" ht="18.75" customHeight="1">
      <c r="A1081" s="93">
        <f t="shared" si="16"/>
        <v>1077</v>
      </c>
      <c r="B1081" s="93" t="e">
        <f>VLOOKUP($A1081,'【随時メンテ】工事請負約款（原文）'!$B$2:$C$835,2,FALSE)&amp;""</f>
        <v>#N/A</v>
      </c>
    </row>
    <row r="1082" spans="1:2" ht="18.75" customHeight="1">
      <c r="A1082" s="93">
        <f t="shared" si="16"/>
        <v>1078</v>
      </c>
      <c r="B1082" s="93" t="e">
        <f>VLOOKUP($A1082,'【随時メンテ】工事請負約款（原文）'!$B$2:$C$835,2,FALSE)&amp;""</f>
        <v>#N/A</v>
      </c>
    </row>
    <row r="1083" spans="1:2" ht="18.75" customHeight="1">
      <c r="A1083" s="93">
        <f t="shared" si="16"/>
        <v>1079</v>
      </c>
      <c r="B1083" s="93" t="e">
        <f>VLOOKUP($A1083,'【随時メンテ】工事請負約款（原文）'!$B$2:$C$835,2,FALSE)&amp;""</f>
        <v>#N/A</v>
      </c>
    </row>
    <row r="1084" spans="1:2" ht="18.75" customHeight="1">
      <c r="A1084" s="93">
        <f t="shared" si="16"/>
        <v>1080</v>
      </c>
      <c r="B1084" s="93" t="e">
        <f>VLOOKUP($A1084,'【随時メンテ】工事請負約款（原文）'!$B$2:$C$835,2,FALSE)&amp;""</f>
        <v>#N/A</v>
      </c>
    </row>
    <row r="1085" spans="1:2" ht="18.75" customHeight="1">
      <c r="A1085" s="93">
        <f t="shared" si="16"/>
        <v>1081</v>
      </c>
      <c r="B1085" s="93" t="e">
        <f>VLOOKUP($A1085,'【随時メンテ】工事請負約款（原文）'!$B$2:$C$835,2,FALSE)&amp;""</f>
        <v>#N/A</v>
      </c>
    </row>
    <row r="1086" spans="1:2" ht="18.75" customHeight="1">
      <c r="A1086" s="93">
        <f t="shared" si="16"/>
        <v>1082</v>
      </c>
      <c r="B1086" s="93" t="e">
        <f>VLOOKUP($A1086,'【随時メンテ】工事請負約款（原文）'!$B$2:$C$835,2,FALSE)&amp;""</f>
        <v>#N/A</v>
      </c>
    </row>
    <row r="1087" spans="1:2" ht="18.75" customHeight="1">
      <c r="A1087" s="93">
        <f t="shared" si="16"/>
        <v>1083</v>
      </c>
      <c r="B1087" s="93" t="e">
        <f>VLOOKUP($A1087,'【随時メンテ】工事請負約款（原文）'!$B$2:$C$835,2,FALSE)&amp;""</f>
        <v>#N/A</v>
      </c>
    </row>
    <row r="1088" spans="1:2" ht="18.75" customHeight="1">
      <c r="A1088" s="93">
        <f t="shared" si="16"/>
        <v>1084</v>
      </c>
      <c r="B1088" s="93" t="e">
        <f>VLOOKUP($A1088,'【随時メンテ】工事請負約款（原文）'!$B$2:$C$835,2,FALSE)&amp;""</f>
        <v>#N/A</v>
      </c>
    </row>
    <row r="1089" spans="1:2" ht="18.75" customHeight="1">
      <c r="A1089" s="93">
        <f t="shared" si="16"/>
        <v>1085</v>
      </c>
      <c r="B1089" s="93" t="e">
        <f>VLOOKUP($A1089,'【随時メンテ】工事請負約款（原文）'!$B$2:$C$835,2,FALSE)&amp;""</f>
        <v>#N/A</v>
      </c>
    </row>
    <row r="1090" spans="1:2" ht="18.75" customHeight="1">
      <c r="A1090" s="93">
        <f t="shared" si="16"/>
        <v>1086</v>
      </c>
      <c r="B1090" s="93" t="e">
        <f>VLOOKUP($A1090,'【随時メンテ】工事請負約款（原文）'!$B$2:$C$835,2,FALSE)&amp;""</f>
        <v>#N/A</v>
      </c>
    </row>
    <row r="1091" spans="1:2" ht="18.75" customHeight="1">
      <c r="A1091" s="93">
        <f t="shared" si="16"/>
        <v>1087</v>
      </c>
      <c r="B1091" s="93" t="e">
        <f>VLOOKUP($A1091,'【随時メンテ】工事請負約款（原文）'!$B$2:$C$835,2,FALSE)&amp;""</f>
        <v>#N/A</v>
      </c>
    </row>
    <row r="1092" spans="1:2" ht="18.75" customHeight="1">
      <c r="A1092" s="93">
        <f t="shared" si="16"/>
        <v>1088</v>
      </c>
      <c r="B1092" s="93" t="e">
        <f>VLOOKUP($A1092,'【随時メンテ】工事請負約款（原文）'!$B$2:$C$835,2,FALSE)&amp;""</f>
        <v>#N/A</v>
      </c>
    </row>
    <row r="1093" spans="1:2" ht="18.75" customHeight="1">
      <c r="A1093" s="93">
        <f t="shared" si="16"/>
        <v>1089</v>
      </c>
      <c r="B1093" s="93" t="e">
        <f>VLOOKUP($A1093,'【随時メンテ】工事請負約款（原文）'!$B$2:$C$835,2,FALSE)&amp;""</f>
        <v>#N/A</v>
      </c>
    </row>
    <row r="1094" spans="1:2" ht="18.75" customHeight="1">
      <c r="A1094" s="93">
        <f t="shared" si="16"/>
        <v>1090</v>
      </c>
      <c r="B1094" s="93" t="e">
        <f>VLOOKUP($A1094,'【随時メンテ】工事請負約款（原文）'!$B$2:$C$835,2,FALSE)&amp;""</f>
        <v>#N/A</v>
      </c>
    </row>
    <row r="1095" spans="1:2" ht="18.75" customHeight="1">
      <c r="A1095" s="93">
        <f t="shared" ref="A1095:A1158" si="17">ROW()-$A$2</f>
        <v>1091</v>
      </c>
      <c r="B1095" s="93" t="e">
        <f>VLOOKUP($A1095,'【随時メンテ】工事請負約款（原文）'!$B$2:$C$835,2,FALSE)&amp;""</f>
        <v>#N/A</v>
      </c>
    </row>
    <row r="1096" spans="1:2" ht="18.75" customHeight="1">
      <c r="A1096" s="93">
        <f t="shared" si="17"/>
        <v>1092</v>
      </c>
      <c r="B1096" s="93" t="e">
        <f>VLOOKUP($A1096,'【随時メンテ】工事請負約款（原文）'!$B$2:$C$835,2,FALSE)&amp;""</f>
        <v>#N/A</v>
      </c>
    </row>
    <row r="1097" spans="1:2" ht="18.75" customHeight="1">
      <c r="A1097" s="93">
        <f t="shared" si="17"/>
        <v>1093</v>
      </c>
      <c r="B1097" s="93" t="e">
        <f>VLOOKUP($A1097,'【随時メンテ】工事請負約款（原文）'!$B$2:$C$835,2,FALSE)&amp;""</f>
        <v>#N/A</v>
      </c>
    </row>
    <row r="1098" spans="1:2" ht="18.75" customHeight="1">
      <c r="A1098" s="93">
        <f t="shared" si="17"/>
        <v>1094</v>
      </c>
      <c r="B1098" s="93" t="e">
        <f>VLOOKUP($A1098,'【随時メンテ】工事請負約款（原文）'!$B$2:$C$835,2,FALSE)&amp;""</f>
        <v>#N/A</v>
      </c>
    </row>
    <row r="1099" spans="1:2" ht="18.75" customHeight="1">
      <c r="A1099" s="93">
        <f t="shared" si="17"/>
        <v>1095</v>
      </c>
      <c r="B1099" s="93" t="e">
        <f>VLOOKUP($A1099,'【随時メンテ】工事請負約款（原文）'!$B$2:$C$835,2,FALSE)&amp;""</f>
        <v>#N/A</v>
      </c>
    </row>
    <row r="1100" spans="1:2" ht="18.75" customHeight="1">
      <c r="A1100" s="93">
        <f t="shared" si="17"/>
        <v>1096</v>
      </c>
      <c r="B1100" s="93" t="e">
        <f>VLOOKUP($A1100,'【随時メンテ】工事請負約款（原文）'!$B$2:$C$835,2,FALSE)&amp;""</f>
        <v>#N/A</v>
      </c>
    </row>
    <row r="1101" spans="1:2" ht="18.75" customHeight="1">
      <c r="A1101" s="93">
        <f t="shared" si="17"/>
        <v>1097</v>
      </c>
      <c r="B1101" s="93" t="e">
        <f>VLOOKUP($A1101,'【随時メンテ】工事請負約款（原文）'!$B$2:$C$835,2,FALSE)&amp;""</f>
        <v>#N/A</v>
      </c>
    </row>
    <row r="1102" spans="1:2" ht="18.75" customHeight="1">
      <c r="A1102" s="93">
        <f t="shared" si="17"/>
        <v>1098</v>
      </c>
      <c r="B1102" s="93" t="e">
        <f>VLOOKUP($A1102,'【随時メンテ】工事請負約款（原文）'!$B$2:$C$835,2,FALSE)&amp;""</f>
        <v>#N/A</v>
      </c>
    </row>
    <row r="1103" spans="1:2" ht="18.75" customHeight="1">
      <c r="A1103" s="93">
        <f t="shared" si="17"/>
        <v>1099</v>
      </c>
      <c r="B1103" s="93" t="e">
        <f>VLOOKUP($A1103,'【随時メンテ】工事請負約款（原文）'!$B$2:$C$835,2,FALSE)&amp;""</f>
        <v>#N/A</v>
      </c>
    </row>
    <row r="1104" spans="1:2" ht="18.75" customHeight="1">
      <c r="A1104" s="93">
        <f t="shared" si="17"/>
        <v>1100</v>
      </c>
      <c r="B1104" s="93" t="e">
        <f>VLOOKUP($A1104,'【随時メンテ】工事請負約款（原文）'!$B$2:$C$835,2,FALSE)&amp;""</f>
        <v>#N/A</v>
      </c>
    </row>
    <row r="1105" spans="1:2" ht="18.75" customHeight="1">
      <c r="A1105" s="93">
        <f t="shared" si="17"/>
        <v>1101</v>
      </c>
      <c r="B1105" s="93" t="e">
        <f>VLOOKUP($A1105,'【随時メンテ】工事請負約款（原文）'!$B$2:$C$835,2,FALSE)&amp;""</f>
        <v>#N/A</v>
      </c>
    </row>
    <row r="1106" spans="1:2" ht="18.75" customHeight="1">
      <c r="A1106" s="93">
        <f t="shared" si="17"/>
        <v>1102</v>
      </c>
      <c r="B1106" s="93" t="e">
        <f>VLOOKUP($A1106,'【随時メンテ】工事請負約款（原文）'!$B$2:$C$835,2,FALSE)&amp;""</f>
        <v>#N/A</v>
      </c>
    </row>
    <row r="1107" spans="1:2" ht="18.75" customHeight="1">
      <c r="A1107" s="93">
        <f t="shared" si="17"/>
        <v>1103</v>
      </c>
      <c r="B1107" s="93" t="e">
        <f>VLOOKUP($A1107,'【随時メンテ】工事請負約款（原文）'!$B$2:$C$835,2,FALSE)&amp;""</f>
        <v>#N/A</v>
      </c>
    </row>
    <row r="1108" spans="1:2" ht="18.75" customHeight="1">
      <c r="A1108" s="93">
        <f t="shared" si="17"/>
        <v>1104</v>
      </c>
      <c r="B1108" s="93" t="e">
        <f>VLOOKUP($A1108,'【随時メンテ】工事請負約款（原文）'!$B$2:$C$835,2,FALSE)&amp;""</f>
        <v>#N/A</v>
      </c>
    </row>
    <row r="1109" spans="1:2" ht="18.75" customHeight="1">
      <c r="A1109" s="93">
        <f t="shared" si="17"/>
        <v>1105</v>
      </c>
      <c r="B1109" s="93" t="e">
        <f>VLOOKUP($A1109,'【随時メンテ】工事請負約款（原文）'!$B$2:$C$835,2,FALSE)&amp;""</f>
        <v>#N/A</v>
      </c>
    </row>
    <row r="1110" spans="1:2" ht="18.75" customHeight="1">
      <c r="A1110" s="93">
        <f t="shared" si="17"/>
        <v>1106</v>
      </c>
      <c r="B1110" s="93" t="e">
        <f>VLOOKUP($A1110,'【随時メンテ】工事請負約款（原文）'!$B$2:$C$835,2,FALSE)&amp;""</f>
        <v>#N/A</v>
      </c>
    </row>
    <row r="1111" spans="1:2" ht="18.75" customHeight="1">
      <c r="A1111" s="93">
        <f t="shared" si="17"/>
        <v>1107</v>
      </c>
      <c r="B1111" s="93" t="e">
        <f>VLOOKUP($A1111,'【随時メンテ】工事請負約款（原文）'!$B$2:$C$835,2,FALSE)&amp;""</f>
        <v>#N/A</v>
      </c>
    </row>
    <row r="1112" spans="1:2" ht="18.75" customHeight="1">
      <c r="A1112" s="93">
        <f t="shared" si="17"/>
        <v>1108</v>
      </c>
      <c r="B1112" s="93" t="e">
        <f>VLOOKUP($A1112,'【随時メンテ】工事請負約款（原文）'!$B$2:$C$835,2,FALSE)&amp;""</f>
        <v>#N/A</v>
      </c>
    </row>
    <row r="1113" spans="1:2" ht="18.75" customHeight="1">
      <c r="A1113" s="93">
        <f t="shared" si="17"/>
        <v>1109</v>
      </c>
      <c r="B1113" s="93" t="e">
        <f>VLOOKUP($A1113,'【随時メンテ】工事請負約款（原文）'!$B$2:$C$835,2,FALSE)&amp;""</f>
        <v>#N/A</v>
      </c>
    </row>
    <row r="1114" spans="1:2" ht="18.75" customHeight="1">
      <c r="A1114" s="93">
        <f t="shared" si="17"/>
        <v>1110</v>
      </c>
      <c r="B1114" s="93" t="e">
        <f>VLOOKUP($A1114,'【随時メンテ】工事請負約款（原文）'!$B$2:$C$835,2,FALSE)&amp;""</f>
        <v>#N/A</v>
      </c>
    </row>
    <row r="1115" spans="1:2" ht="18.75" customHeight="1">
      <c r="A1115" s="93">
        <f t="shared" si="17"/>
        <v>1111</v>
      </c>
      <c r="B1115" s="93" t="e">
        <f>VLOOKUP($A1115,'【随時メンテ】工事請負約款（原文）'!$B$2:$C$835,2,FALSE)&amp;""</f>
        <v>#N/A</v>
      </c>
    </row>
    <row r="1116" spans="1:2" ht="18.75" customHeight="1">
      <c r="A1116" s="93">
        <f t="shared" si="17"/>
        <v>1112</v>
      </c>
      <c r="B1116" s="93" t="e">
        <f>VLOOKUP($A1116,'【随時メンテ】工事請負約款（原文）'!$B$2:$C$835,2,FALSE)&amp;""</f>
        <v>#N/A</v>
      </c>
    </row>
    <row r="1117" spans="1:2" ht="18.75" customHeight="1">
      <c r="A1117" s="93">
        <f t="shared" si="17"/>
        <v>1113</v>
      </c>
      <c r="B1117" s="93" t="e">
        <f>VLOOKUP($A1117,'【随時メンテ】工事請負約款（原文）'!$B$2:$C$835,2,FALSE)&amp;""</f>
        <v>#N/A</v>
      </c>
    </row>
    <row r="1118" spans="1:2" ht="18.75" customHeight="1">
      <c r="A1118" s="93">
        <f t="shared" si="17"/>
        <v>1114</v>
      </c>
      <c r="B1118" s="93" t="e">
        <f>VLOOKUP($A1118,'【随時メンテ】工事請負約款（原文）'!$B$2:$C$835,2,FALSE)&amp;""</f>
        <v>#N/A</v>
      </c>
    </row>
    <row r="1119" spans="1:2" ht="18.75" customHeight="1">
      <c r="A1119" s="93">
        <f t="shared" si="17"/>
        <v>1115</v>
      </c>
      <c r="B1119" s="93" t="e">
        <f>VLOOKUP($A1119,'【随時メンテ】工事請負約款（原文）'!$B$2:$C$835,2,FALSE)&amp;""</f>
        <v>#N/A</v>
      </c>
    </row>
    <row r="1120" spans="1:2" ht="18.75" customHeight="1">
      <c r="A1120" s="93">
        <f t="shared" si="17"/>
        <v>1116</v>
      </c>
      <c r="B1120" s="93" t="e">
        <f>VLOOKUP($A1120,'【随時メンテ】工事請負約款（原文）'!$B$2:$C$835,2,FALSE)&amp;""</f>
        <v>#N/A</v>
      </c>
    </row>
    <row r="1121" spans="1:2" ht="18.75" customHeight="1">
      <c r="A1121" s="93">
        <f t="shared" si="17"/>
        <v>1117</v>
      </c>
      <c r="B1121" s="93" t="e">
        <f>VLOOKUP($A1121,'【随時メンテ】工事請負約款（原文）'!$B$2:$C$835,2,FALSE)&amp;""</f>
        <v>#N/A</v>
      </c>
    </row>
    <row r="1122" spans="1:2" ht="18.75" customHeight="1">
      <c r="A1122" s="93">
        <f t="shared" si="17"/>
        <v>1118</v>
      </c>
      <c r="B1122" s="93" t="e">
        <f>VLOOKUP($A1122,'【随時メンテ】工事請負約款（原文）'!$B$2:$C$835,2,FALSE)&amp;""</f>
        <v>#N/A</v>
      </c>
    </row>
    <row r="1123" spans="1:2" ht="18.75" customHeight="1">
      <c r="A1123" s="93">
        <f t="shared" si="17"/>
        <v>1119</v>
      </c>
      <c r="B1123" s="93" t="e">
        <f>VLOOKUP($A1123,'【随時メンテ】工事請負約款（原文）'!$B$2:$C$835,2,FALSE)&amp;""</f>
        <v>#N/A</v>
      </c>
    </row>
    <row r="1124" spans="1:2" ht="18.75" customHeight="1">
      <c r="A1124" s="93">
        <f t="shared" si="17"/>
        <v>1120</v>
      </c>
      <c r="B1124" s="93" t="e">
        <f>VLOOKUP($A1124,'【随時メンテ】工事請負約款（原文）'!$B$2:$C$835,2,FALSE)&amp;""</f>
        <v>#N/A</v>
      </c>
    </row>
    <row r="1125" spans="1:2" ht="18.75" customHeight="1">
      <c r="A1125" s="93">
        <f t="shared" si="17"/>
        <v>1121</v>
      </c>
      <c r="B1125" s="93" t="e">
        <f>VLOOKUP($A1125,'【随時メンテ】工事請負約款（原文）'!$B$2:$C$835,2,FALSE)&amp;""</f>
        <v>#N/A</v>
      </c>
    </row>
    <row r="1126" spans="1:2" ht="18.75" customHeight="1">
      <c r="A1126" s="93">
        <f t="shared" si="17"/>
        <v>1122</v>
      </c>
      <c r="B1126" s="93" t="e">
        <f>VLOOKUP($A1126,'【随時メンテ】工事請負約款（原文）'!$B$2:$C$835,2,FALSE)&amp;""</f>
        <v>#N/A</v>
      </c>
    </row>
    <row r="1127" spans="1:2" ht="18.75" customHeight="1">
      <c r="A1127" s="93">
        <f t="shared" si="17"/>
        <v>1123</v>
      </c>
      <c r="B1127" s="93" t="e">
        <f>VLOOKUP($A1127,'【随時メンテ】工事請負約款（原文）'!$B$2:$C$835,2,FALSE)&amp;""</f>
        <v>#N/A</v>
      </c>
    </row>
    <row r="1128" spans="1:2" ht="18.75" customHeight="1">
      <c r="A1128" s="93">
        <f t="shared" si="17"/>
        <v>1124</v>
      </c>
      <c r="B1128" s="93" t="e">
        <f>VLOOKUP($A1128,'【随時メンテ】工事請負約款（原文）'!$B$2:$C$835,2,FALSE)&amp;""</f>
        <v>#N/A</v>
      </c>
    </row>
    <row r="1129" spans="1:2" ht="18.75" customHeight="1">
      <c r="A1129" s="93">
        <f t="shared" si="17"/>
        <v>1125</v>
      </c>
      <c r="B1129" s="93" t="e">
        <f>VLOOKUP($A1129,'【随時メンテ】工事請負約款（原文）'!$B$2:$C$835,2,FALSE)&amp;""</f>
        <v>#N/A</v>
      </c>
    </row>
    <row r="1130" spans="1:2" ht="18.75" customHeight="1">
      <c r="A1130" s="93">
        <f t="shared" si="17"/>
        <v>1126</v>
      </c>
      <c r="B1130" s="93" t="e">
        <f>VLOOKUP($A1130,'【随時メンテ】工事請負約款（原文）'!$B$2:$C$835,2,FALSE)&amp;""</f>
        <v>#N/A</v>
      </c>
    </row>
    <row r="1131" spans="1:2" ht="18.75" customHeight="1">
      <c r="A1131" s="93">
        <f t="shared" si="17"/>
        <v>1127</v>
      </c>
      <c r="B1131" s="93" t="e">
        <f>VLOOKUP($A1131,'【随時メンテ】工事請負約款（原文）'!$B$2:$C$835,2,FALSE)&amp;""</f>
        <v>#N/A</v>
      </c>
    </row>
    <row r="1132" spans="1:2" ht="18.75" customHeight="1">
      <c r="A1132" s="93">
        <f t="shared" si="17"/>
        <v>1128</v>
      </c>
      <c r="B1132" s="93" t="e">
        <f>VLOOKUP($A1132,'【随時メンテ】工事請負約款（原文）'!$B$2:$C$835,2,FALSE)&amp;""</f>
        <v>#N/A</v>
      </c>
    </row>
    <row r="1133" spans="1:2" ht="18.75" customHeight="1">
      <c r="A1133" s="93">
        <f t="shared" si="17"/>
        <v>1129</v>
      </c>
      <c r="B1133" s="93" t="e">
        <f>VLOOKUP($A1133,'【随時メンテ】工事請負約款（原文）'!$B$2:$C$835,2,FALSE)&amp;""</f>
        <v>#N/A</v>
      </c>
    </row>
    <row r="1134" spans="1:2" ht="18.75" customHeight="1">
      <c r="A1134" s="93">
        <f t="shared" si="17"/>
        <v>1130</v>
      </c>
      <c r="B1134" s="93" t="e">
        <f>VLOOKUP($A1134,'【随時メンテ】工事請負約款（原文）'!$B$2:$C$835,2,FALSE)&amp;""</f>
        <v>#N/A</v>
      </c>
    </row>
    <row r="1135" spans="1:2" ht="18.75" customHeight="1">
      <c r="A1135" s="93">
        <f t="shared" si="17"/>
        <v>1131</v>
      </c>
      <c r="B1135" s="93" t="e">
        <f>VLOOKUP($A1135,'【随時メンテ】工事請負約款（原文）'!$B$2:$C$835,2,FALSE)&amp;""</f>
        <v>#N/A</v>
      </c>
    </row>
    <row r="1136" spans="1:2" ht="18.75" customHeight="1">
      <c r="A1136" s="93">
        <f t="shared" si="17"/>
        <v>1132</v>
      </c>
      <c r="B1136" s="93" t="e">
        <f>VLOOKUP($A1136,'【随時メンテ】工事請負約款（原文）'!$B$2:$C$835,2,FALSE)&amp;""</f>
        <v>#N/A</v>
      </c>
    </row>
    <row r="1137" spans="1:2" ht="18.75" customHeight="1">
      <c r="A1137" s="93">
        <f t="shared" si="17"/>
        <v>1133</v>
      </c>
      <c r="B1137" s="93" t="e">
        <f>VLOOKUP($A1137,'【随時メンテ】工事請負約款（原文）'!$B$2:$C$835,2,FALSE)&amp;""</f>
        <v>#N/A</v>
      </c>
    </row>
    <row r="1138" spans="1:2" ht="18.75" customHeight="1">
      <c r="A1138" s="93">
        <f t="shared" si="17"/>
        <v>1134</v>
      </c>
      <c r="B1138" s="93" t="e">
        <f>VLOOKUP($A1138,'【随時メンテ】工事請負約款（原文）'!$B$2:$C$835,2,FALSE)&amp;""</f>
        <v>#N/A</v>
      </c>
    </row>
    <row r="1139" spans="1:2" ht="18.75" customHeight="1">
      <c r="A1139" s="93">
        <f t="shared" si="17"/>
        <v>1135</v>
      </c>
      <c r="B1139" s="93" t="e">
        <f>VLOOKUP($A1139,'【随時メンテ】工事請負約款（原文）'!$B$2:$C$835,2,FALSE)&amp;""</f>
        <v>#N/A</v>
      </c>
    </row>
    <row r="1140" spans="1:2" ht="18.75" customHeight="1">
      <c r="A1140" s="93">
        <f t="shared" si="17"/>
        <v>1136</v>
      </c>
      <c r="B1140" s="93" t="e">
        <f>VLOOKUP($A1140,'【随時メンテ】工事請負約款（原文）'!$B$2:$C$835,2,FALSE)&amp;""</f>
        <v>#N/A</v>
      </c>
    </row>
    <row r="1141" spans="1:2" ht="18.75" customHeight="1">
      <c r="A1141" s="93">
        <f t="shared" si="17"/>
        <v>1137</v>
      </c>
      <c r="B1141" s="93" t="e">
        <f>VLOOKUP($A1141,'【随時メンテ】工事請負約款（原文）'!$B$2:$C$835,2,FALSE)&amp;""</f>
        <v>#N/A</v>
      </c>
    </row>
    <row r="1142" spans="1:2" ht="18.75" customHeight="1">
      <c r="A1142" s="93">
        <f t="shared" si="17"/>
        <v>1138</v>
      </c>
      <c r="B1142" s="93" t="e">
        <f>VLOOKUP($A1142,'【随時メンテ】工事請負約款（原文）'!$B$2:$C$835,2,FALSE)&amp;""</f>
        <v>#N/A</v>
      </c>
    </row>
    <row r="1143" spans="1:2" ht="18.75" customHeight="1">
      <c r="A1143" s="93">
        <f t="shared" si="17"/>
        <v>1139</v>
      </c>
      <c r="B1143" s="93" t="e">
        <f>VLOOKUP($A1143,'【随時メンテ】工事請負約款（原文）'!$B$2:$C$835,2,FALSE)&amp;""</f>
        <v>#N/A</v>
      </c>
    </row>
    <row r="1144" spans="1:2" ht="18.75" customHeight="1">
      <c r="A1144" s="93">
        <f t="shared" si="17"/>
        <v>1140</v>
      </c>
      <c r="B1144" s="93" t="e">
        <f>VLOOKUP($A1144,'【随時メンテ】工事請負約款（原文）'!$B$2:$C$835,2,FALSE)&amp;""</f>
        <v>#N/A</v>
      </c>
    </row>
    <row r="1145" spans="1:2" ht="18.75" customHeight="1">
      <c r="A1145" s="93">
        <f t="shared" si="17"/>
        <v>1141</v>
      </c>
      <c r="B1145" s="93" t="e">
        <f>VLOOKUP($A1145,'【随時メンテ】工事請負約款（原文）'!$B$2:$C$835,2,FALSE)&amp;""</f>
        <v>#N/A</v>
      </c>
    </row>
    <row r="1146" spans="1:2" ht="18.75" customHeight="1">
      <c r="A1146" s="93">
        <f t="shared" si="17"/>
        <v>1142</v>
      </c>
      <c r="B1146" s="93" t="e">
        <f>VLOOKUP($A1146,'【随時メンテ】工事請負約款（原文）'!$B$2:$C$835,2,FALSE)&amp;""</f>
        <v>#N/A</v>
      </c>
    </row>
    <row r="1147" spans="1:2" ht="18.75" customHeight="1">
      <c r="A1147" s="93">
        <f t="shared" si="17"/>
        <v>1143</v>
      </c>
      <c r="B1147" s="93" t="e">
        <f>VLOOKUP($A1147,'【随時メンテ】工事請負約款（原文）'!$B$2:$C$835,2,FALSE)&amp;""</f>
        <v>#N/A</v>
      </c>
    </row>
    <row r="1148" spans="1:2" ht="18.75" customHeight="1">
      <c r="A1148" s="93">
        <f t="shared" si="17"/>
        <v>1144</v>
      </c>
      <c r="B1148" s="93" t="e">
        <f>VLOOKUP($A1148,'【随時メンテ】工事請負約款（原文）'!$B$2:$C$835,2,FALSE)&amp;""</f>
        <v>#N/A</v>
      </c>
    </row>
    <row r="1149" spans="1:2" ht="18.75" customHeight="1">
      <c r="A1149" s="93">
        <f t="shared" si="17"/>
        <v>1145</v>
      </c>
      <c r="B1149" s="93" t="e">
        <f>VLOOKUP($A1149,'【随時メンテ】工事請負約款（原文）'!$B$2:$C$835,2,FALSE)&amp;""</f>
        <v>#N/A</v>
      </c>
    </row>
    <row r="1150" spans="1:2" ht="18.75" customHeight="1">
      <c r="A1150" s="93">
        <f t="shared" si="17"/>
        <v>1146</v>
      </c>
      <c r="B1150" s="93" t="e">
        <f>VLOOKUP($A1150,'【随時メンテ】工事請負約款（原文）'!$B$2:$C$835,2,FALSE)&amp;""</f>
        <v>#N/A</v>
      </c>
    </row>
    <row r="1151" spans="1:2" ht="18.75" customHeight="1">
      <c r="A1151" s="93">
        <f t="shared" si="17"/>
        <v>1147</v>
      </c>
      <c r="B1151" s="93" t="e">
        <f>VLOOKUP($A1151,'【随時メンテ】工事請負約款（原文）'!$B$2:$C$835,2,FALSE)&amp;""</f>
        <v>#N/A</v>
      </c>
    </row>
    <row r="1152" spans="1:2" ht="18.75" customHeight="1">
      <c r="A1152" s="93">
        <f t="shared" si="17"/>
        <v>1148</v>
      </c>
      <c r="B1152" s="93" t="e">
        <f>VLOOKUP($A1152,'【随時メンテ】工事請負約款（原文）'!$B$2:$C$835,2,FALSE)&amp;""</f>
        <v>#N/A</v>
      </c>
    </row>
    <row r="1153" spans="1:2" ht="18.75" customHeight="1">
      <c r="A1153" s="93">
        <f t="shared" si="17"/>
        <v>1149</v>
      </c>
      <c r="B1153" s="93" t="e">
        <f>VLOOKUP($A1153,'【随時メンテ】工事請負約款（原文）'!$B$2:$C$835,2,FALSE)&amp;""</f>
        <v>#N/A</v>
      </c>
    </row>
    <row r="1154" spans="1:2" ht="18.75" customHeight="1">
      <c r="A1154" s="93">
        <f t="shared" si="17"/>
        <v>1150</v>
      </c>
      <c r="B1154" s="93" t="e">
        <f>VLOOKUP($A1154,'【随時メンテ】工事請負約款（原文）'!$B$2:$C$835,2,FALSE)&amp;""</f>
        <v>#N/A</v>
      </c>
    </row>
    <row r="1155" spans="1:2" ht="18.75" customHeight="1">
      <c r="A1155" s="93">
        <f t="shared" si="17"/>
        <v>1151</v>
      </c>
      <c r="B1155" s="93" t="e">
        <f>VLOOKUP($A1155,'【随時メンテ】工事請負約款（原文）'!$B$2:$C$835,2,FALSE)&amp;""</f>
        <v>#N/A</v>
      </c>
    </row>
    <row r="1156" spans="1:2" ht="18.75" customHeight="1">
      <c r="A1156" s="93">
        <f t="shared" si="17"/>
        <v>1152</v>
      </c>
      <c r="B1156" s="93" t="e">
        <f>VLOOKUP($A1156,'【随時メンテ】工事請負約款（原文）'!$B$2:$C$835,2,FALSE)&amp;""</f>
        <v>#N/A</v>
      </c>
    </row>
    <row r="1157" spans="1:2" ht="18.75" customHeight="1">
      <c r="A1157" s="93">
        <f t="shared" si="17"/>
        <v>1153</v>
      </c>
      <c r="B1157" s="93" t="e">
        <f>VLOOKUP($A1157,'【随時メンテ】工事請負約款（原文）'!$B$2:$C$835,2,FALSE)&amp;""</f>
        <v>#N/A</v>
      </c>
    </row>
    <row r="1158" spans="1:2" ht="18.75" customHeight="1">
      <c r="A1158" s="93">
        <f t="shared" si="17"/>
        <v>1154</v>
      </c>
      <c r="B1158" s="93" t="e">
        <f>VLOOKUP($A1158,'【随時メンテ】工事請負約款（原文）'!$B$2:$C$835,2,FALSE)&amp;""</f>
        <v>#N/A</v>
      </c>
    </row>
    <row r="1159" spans="1:2" ht="18.75" customHeight="1">
      <c r="A1159" s="93">
        <f t="shared" ref="A1159:A1200" si="18">ROW()-$A$2</f>
        <v>1155</v>
      </c>
      <c r="B1159" s="93" t="e">
        <f>VLOOKUP($A1159,'【随時メンテ】工事請負約款（原文）'!$B$2:$C$835,2,FALSE)&amp;""</f>
        <v>#N/A</v>
      </c>
    </row>
    <row r="1160" spans="1:2" ht="18.75" customHeight="1">
      <c r="A1160" s="93">
        <f t="shared" si="18"/>
        <v>1156</v>
      </c>
      <c r="B1160" s="93" t="e">
        <f>VLOOKUP($A1160,'【随時メンテ】工事請負約款（原文）'!$B$2:$C$835,2,FALSE)&amp;""</f>
        <v>#N/A</v>
      </c>
    </row>
    <row r="1161" spans="1:2" ht="18.75" customHeight="1">
      <c r="A1161" s="93">
        <f t="shared" si="18"/>
        <v>1157</v>
      </c>
      <c r="B1161" s="93" t="e">
        <f>VLOOKUP($A1161,'【随時メンテ】工事請負約款（原文）'!$B$2:$C$835,2,FALSE)&amp;""</f>
        <v>#N/A</v>
      </c>
    </row>
    <row r="1162" spans="1:2" ht="18.75" customHeight="1">
      <c r="A1162" s="93">
        <f t="shared" si="18"/>
        <v>1158</v>
      </c>
      <c r="B1162" s="93" t="e">
        <f>VLOOKUP($A1162,'【随時メンテ】工事請負約款（原文）'!$B$2:$C$835,2,FALSE)&amp;""</f>
        <v>#N/A</v>
      </c>
    </row>
    <row r="1163" spans="1:2" ht="18.75" customHeight="1">
      <c r="A1163" s="93">
        <f t="shared" si="18"/>
        <v>1159</v>
      </c>
      <c r="B1163" s="93" t="e">
        <f>VLOOKUP($A1163,'【随時メンテ】工事請負約款（原文）'!$B$2:$C$835,2,FALSE)&amp;""</f>
        <v>#N/A</v>
      </c>
    </row>
    <row r="1164" spans="1:2" ht="18.75" customHeight="1">
      <c r="A1164" s="93">
        <f t="shared" si="18"/>
        <v>1160</v>
      </c>
      <c r="B1164" s="93" t="e">
        <f>VLOOKUP($A1164,'【随時メンテ】工事請負約款（原文）'!$B$2:$C$835,2,FALSE)&amp;""</f>
        <v>#N/A</v>
      </c>
    </row>
    <row r="1165" spans="1:2" ht="18.75" customHeight="1">
      <c r="A1165" s="93">
        <f t="shared" si="18"/>
        <v>1161</v>
      </c>
      <c r="B1165" s="93" t="e">
        <f>VLOOKUP($A1165,'【随時メンテ】工事請負約款（原文）'!$B$2:$C$835,2,FALSE)&amp;""</f>
        <v>#N/A</v>
      </c>
    </row>
    <row r="1166" spans="1:2" ht="18.75" customHeight="1">
      <c r="A1166" s="93">
        <f t="shared" si="18"/>
        <v>1162</v>
      </c>
      <c r="B1166" s="93" t="e">
        <f>VLOOKUP($A1166,'【随時メンテ】工事請負約款（原文）'!$B$2:$C$835,2,FALSE)&amp;""</f>
        <v>#N/A</v>
      </c>
    </row>
    <row r="1167" spans="1:2" ht="18.75" customHeight="1">
      <c r="A1167" s="93">
        <f t="shared" si="18"/>
        <v>1163</v>
      </c>
      <c r="B1167" s="93" t="e">
        <f>VLOOKUP($A1167,'【随時メンテ】工事請負約款（原文）'!$B$2:$C$835,2,FALSE)&amp;""</f>
        <v>#N/A</v>
      </c>
    </row>
    <row r="1168" spans="1:2" ht="18.75" customHeight="1">
      <c r="A1168" s="93">
        <f t="shared" si="18"/>
        <v>1164</v>
      </c>
      <c r="B1168" s="93" t="e">
        <f>VLOOKUP($A1168,'【随時メンテ】工事請負約款（原文）'!$B$2:$C$835,2,FALSE)&amp;""</f>
        <v>#N/A</v>
      </c>
    </row>
    <row r="1169" spans="1:2" ht="18.75" customHeight="1">
      <c r="A1169" s="93">
        <f t="shared" si="18"/>
        <v>1165</v>
      </c>
      <c r="B1169" s="93" t="e">
        <f>VLOOKUP($A1169,'【随時メンテ】工事請負約款（原文）'!$B$2:$C$835,2,FALSE)&amp;""</f>
        <v>#N/A</v>
      </c>
    </row>
    <row r="1170" spans="1:2" ht="18.75" customHeight="1">
      <c r="A1170" s="93">
        <f t="shared" si="18"/>
        <v>1166</v>
      </c>
      <c r="B1170" s="93" t="e">
        <f>VLOOKUP($A1170,'【随時メンテ】工事請負約款（原文）'!$B$2:$C$835,2,FALSE)&amp;""</f>
        <v>#N/A</v>
      </c>
    </row>
    <row r="1171" spans="1:2" ht="18.75" customHeight="1">
      <c r="A1171" s="93">
        <f t="shared" si="18"/>
        <v>1167</v>
      </c>
      <c r="B1171" s="93" t="e">
        <f>VLOOKUP($A1171,'【随時メンテ】工事請負約款（原文）'!$B$2:$C$835,2,FALSE)&amp;""</f>
        <v>#N/A</v>
      </c>
    </row>
    <row r="1172" spans="1:2" ht="18.75" customHeight="1">
      <c r="A1172" s="93">
        <f t="shared" si="18"/>
        <v>1168</v>
      </c>
      <c r="B1172" s="93" t="e">
        <f>VLOOKUP($A1172,'【随時メンテ】工事請負約款（原文）'!$B$2:$C$835,2,FALSE)&amp;""</f>
        <v>#N/A</v>
      </c>
    </row>
    <row r="1173" spans="1:2" ht="18.75" customHeight="1">
      <c r="A1173" s="93">
        <f t="shared" si="18"/>
        <v>1169</v>
      </c>
      <c r="B1173" s="93" t="e">
        <f>VLOOKUP($A1173,'【随時メンテ】工事請負約款（原文）'!$B$2:$C$835,2,FALSE)&amp;""</f>
        <v>#N/A</v>
      </c>
    </row>
    <row r="1174" spans="1:2" ht="18.75" customHeight="1">
      <c r="A1174" s="93">
        <f t="shared" si="18"/>
        <v>1170</v>
      </c>
      <c r="B1174" s="93" t="e">
        <f>VLOOKUP($A1174,'【随時メンテ】工事請負約款（原文）'!$B$2:$C$835,2,FALSE)&amp;""</f>
        <v>#N/A</v>
      </c>
    </row>
    <row r="1175" spans="1:2" ht="18.75" customHeight="1">
      <c r="A1175" s="93">
        <f t="shared" si="18"/>
        <v>1171</v>
      </c>
      <c r="B1175" s="93" t="e">
        <f>VLOOKUP($A1175,'【随時メンテ】工事請負約款（原文）'!$B$2:$C$835,2,FALSE)&amp;""</f>
        <v>#N/A</v>
      </c>
    </row>
    <row r="1176" spans="1:2" ht="18.75" customHeight="1">
      <c r="A1176" s="93">
        <f t="shared" si="18"/>
        <v>1172</v>
      </c>
      <c r="B1176" s="93" t="e">
        <f>VLOOKUP($A1176,'【随時メンテ】工事請負約款（原文）'!$B$2:$C$835,2,FALSE)&amp;""</f>
        <v>#N/A</v>
      </c>
    </row>
    <row r="1177" spans="1:2" ht="18.75" customHeight="1">
      <c r="A1177" s="93">
        <f t="shared" si="18"/>
        <v>1173</v>
      </c>
      <c r="B1177" s="93" t="e">
        <f>VLOOKUP($A1177,'【随時メンテ】工事請負約款（原文）'!$B$2:$C$835,2,FALSE)&amp;""</f>
        <v>#N/A</v>
      </c>
    </row>
    <row r="1178" spans="1:2" ht="18.75" customHeight="1">
      <c r="A1178" s="93">
        <f t="shared" si="18"/>
        <v>1174</v>
      </c>
      <c r="B1178" s="93" t="e">
        <f>VLOOKUP($A1178,'【随時メンテ】工事請負約款（原文）'!$B$2:$C$835,2,FALSE)&amp;""</f>
        <v>#N/A</v>
      </c>
    </row>
    <row r="1179" spans="1:2" ht="18.75" customHeight="1">
      <c r="A1179" s="93">
        <f t="shared" si="18"/>
        <v>1175</v>
      </c>
      <c r="B1179" s="93" t="e">
        <f>VLOOKUP($A1179,'【随時メンテ】工事請負約款（原文）'!$B$2:$C$835,2,FALSE)&amp;""</f>
        <v>#N/A</v>
      </c>
    </row>
    <row r="1180" spans="1:2" ht="18.75" customHeight="1">
      <c r="A1180" s="93">
        <f t="shared" si="18"/>
        <v>1176</v>
      </c>
      <c r="B1180" s="93" t="e">
        <f>VLOOKUP($A1180,'【随時メンテ】工事請負約款（原文）'!$B$2:$C$835,2,FALSE)&amp;""</f>
        <v>#N/A</v>
      </c>
    </row>
    <row r="1181" spans="1:2" ht="18.75" customHeight="1">
      <c r="A1181" s="93">
        <f t="shared" si="18"/>
        <v>1177</v>
      </c>
      <c r="B1181" s="93" t="e">
        <f>VLOOKUP($A1181,'【随時メンテ】工事請負約款（原文）'!$B$2:$C$835,2,FALSE)&amp;""</f>
        <v>#N/A</v>
      </c>
    </row>
    <row r="1182" spans="1:2" ht="18.75" customHeight="1">
      <c r="A1182" s="93">
        <f t="shared" si="18"/>
        <v>1178</v>
      </c>
      <c r="B1182" s="93" t="e">
        <f>VLOOKUP($A1182,'【随時メンテ】工事請負約款（原文）'!$B$2:$C$835,2,FALSE)&amp;""</f>
        <v>#N/A</v>
      </c>
    </row>
    <row r="1183" spans="1:2" ht="18.75" customHeight="1">
      <c r="A1183" s="93">
        <f t="shared" si="18"/>
        <v>1179</v>
      </c>
      <c r="B1183" s="93" t="e">
        <f>VLOOKUP($A1183,'【随時メンテ】工事請負約款（原文）'!$B$2:$C$835,2,FALSE)&amp;""</f>
        <v>#N/A</v>
      </c>
    </row>
    <row r="1184" spans="1:2" ht="18.75" customHeight="1">
      <c r="A1184" s="93">
        <f t="shared" si="18"/>
        <v>1180</v>
      </c>
      <c r="B1184" s="93" t="e">
        <f>VLOOKUP($A1184,'【随時メンテ】工事請負約款（原文）'!$B$2:$C$835,2,FALSE)&amp;""</f>
        <v>#N/A</v>
      </c>
    </row>
    <row r="1185" spans="1:2" ht="18.75" customHeight="1">
      <c r="A1185" s="93">
        <f t="shared" si="18"/>
        <v>1181</v>
      </c>
      <c r="B1185" s="93" t="e">
        <f>VLOOKUP($A1185,'【随時メンテ】工事請負約款（原文）'!$B$2:$C$835,2,FALSE)&amp;""</f>
        <v>#N/A</v>
      </c>
    </row>
    <row r="1186" spans="1:2" ht="18.75" customHeight="1">
      <c r="A1186" s="93">
        <f t="shared" si="18"/>
        <v>1182</v>
      </c>
      <c r="B1186" s="93" t="e">
        <f>VLOOKUP($A1186,'【随時メンテ】工事請負約款（原文）'!$B$2:$C$835,2,FALSE)&amp;""</f>
        <v>#N/A</v>
      </c>
    </row>
    <row r="1187" spans="1:2" ht="18.75" customHeight="1">
      <c r="A1187" s="93">
        <f t="shared" si="18"/>
        <v>1183</v>
      </c>
      <c r="B1187" s="93" t="e">
        <f>VLOOKUP($A1187,'【随時メンテ】工事請負約款（原文）'!$B$2:$C$835,2,FALSE)&amp;""</f>
        <v>#N/A</v>
      </c>
    </row>
    <row r="1188" spans="1:2" ht="18.75" customHeight="1">
      <c r="A1188" s="93">
        <f t="shared" si="18"/>
        <v>1184</v>
      </c>
      <c r="B1188" s="93" t="e">
        <f>VLOOKUP($A1188,'【随時メンテ】工事請負約款（原文）'!$B$2:$C$835,2,FALSE)&amp;""</f>
        <v>#N/A</v>
      </c>
    </row>
    <row r="1189" spans="1:2" ht="18.75" customHeight="1">
      <c r="A1189" s="93">
        <f t="shared" si="18"/>
        <v>1185</v>
      </c>
      <c r="B1189" s="93" t="e">
        <f>VLOOKUP($A1189,'【随時メンテ】工事請負約款（原文）'!$B$2:$C$835,2,FALSE)&amp;""</f>
        <v>#N/A</v>
      </c>
    </row>
    <row r="1190" spans="1:2" ht="18.75" customHeight="1">
      <c r="A1190" s="93">
        <f t="shared" si="18"/>
        <v>1186</v>
      </c>
      <c r="B1190" s="93" t="e">
        <f>VLOOKUP($A1190,'【随時メンテ】工事請負約款（原文）'!$B$2:$C$835,2,FALSE)&amp;""</f>
        <v>#N/A</v>
      </c>
    </row>
    <row r="1191" spans="1:2" ht="18.75" customHeight="1">
      <c r="A1191" s="93">
        <f t="shared" si="18"/>
        <v>1187</v>
      </c>
      <c r="B1191" s="93" t="e">
        <f>VLOOKUP($A1191,'【随時メンテ】工事請負約款（原文）'!$B$2:$C$835,2,FALSE)&amp;""</f>
        <v>#N/A</v>
      </c>
    </row>
    <row r="1192" spans="1:2" ht="18.75" customHeight="1">
      <c r="A1192" s="93">
        <f t="shared" si="18"/>
        <v>1188</v>
      </c>
      <c r="B1192" s="93" t="e">
        <f>VLOOKUP($A1192,'【随時メンテ】工事請負約款（原文）'!$B$2:$C$835,2,FALSE)&amp;""</f>
        <v>#N/A</v>
      </c>
    </row>
    <row r="1193" spans="1:2" ht="18.75" customHeight="1">
      <c r="A1193" s="93">
        <f t="shared" si="18"/>
        <v>1189</v>
      </c>
      <c r="B1193" s="93" t="e">
        <f>VLOOKUP($A1193,'【随時メンテ】工事請負約款（原文）'!$B$2:$C$835,2,FALSE)&amp;""</f>
        <v>#N/A</v>
      </c>
    </row>
    <row r="1194" spans="1:2" ht="18.75" customHeight="1">
      <c r="A1194" s="93">
        <f t="shared" si="18"/>
        <v>1190</v>
      </c>
      <c r="B1194" s="93" t="e">
        <f>VLOOKUP($A1194,'【随時メンテ】工事請負約款（原文）'!$B$2:$C$835,2,FALSE)&amp;""</f>
        <v>#N/A</v>
      </c>
    </row>
    <row r="1195" spans="1:2" ht="18.75" customHeight="1">
      <c r="A1195" s="93">
        <f t="shared" si="18"/>
        <v>1191</v>
      </c>
      <c r="B1195" s="93" t="e">
        <f>VLOOKUP($A1195,'【随時メンテ】工事請負約款（原文）'!$B$2:$C$835,2,FALSE)&amp;""</f>
        <v>#N/A</v>
      </c>
    </row>
    <row r="1196" spans="1:2" ht="18.75" customHeight="1">
      <c r="A1196" s="93">
        <f t="shared" si="18"/>
        <v>1192</v>
      </c>
      <c r="B1196" s="93" t="e">
        <f>VLOOKUP($A1196,'【随時メンテ】工事請負約款（原文）'!$B$2:$C$835,2,FALSE)&amp;""</f>
        <v>#N/A</v>
      </c>
    </row>
    <row r="1197" spans="1:2" ht="18.75" customHeight="1">
      <c r="A1197" s="93">
        <f t="shared" si="18"/>
        <v>1193</v>
      </c>
      <c r="B1197" s="93" t="e">
        <f>VLOOKUP($A1197,'【随時メンテ】工事請負約款（原文）'!$B$2:$C$835,2,FALSE)&amp;""</f>
        <v>#N/A</v>
      </c>
    </row>
    <row r="1198" spans="1:2" ht="18.75" customHeight="1">
      <c r="A1198" s="93">
        <f t="shared" si="18"/>
        <v>1194</v>
      </c>
      <c r="B1198" s="93" t="e">
        <f>VLOOKUP($A1198,'【随時メンテ】工事請負約款（原文）'!$B$2:$C$835,2,FALSE)&amp;""</f>
        <v>#N/A</v>
      </c>
    </row>
    <row r="1199" spans="1:2" ht="18.75" customHeight="1">
      <c r="A1199" s="93">
        <f t="shared" si="18"/>
        <v>1195</v>
      </c>
      <c r="B1199" s="93" t="e">
        <f>VLOOKUP($A1199,'【随時メンテ】工事請負約款（原文）'!$B$2:$C$835,2,FALSE)&amp;""</f>
        <v>#N/A</v>
      </c>
    </row>
    <row r="1200" spans="1:2" ht="18.75" customHeight="1">
      <c r="A1200" s="93">
        <f t="shared" si="18"/>
        <v>1196</v>
      </c>
      <c r="B1200" s="93" t="e">
        <f>VLOOKUP($A1200,'【随時メンテ】工事請負約款（原文）'!$B$2:$C$835,2,FALSE)&amp;""</f>
        <v>#N/A</v>
      </c>
    </row>
  </sheetData>
  <sheetProtection sheet="1" objects="1" scenarios="1"/>
  <phoneticPr fontId="2"/>
  <conditionalFormatting sqref="B1:B1048576">
    <cfRule type="containsErrors" dxfId="112" priority="1">
      <formula>ISERROR(B1)</formula>
    </cfRule>
  </conditionalFormatting>
  <printOptions horizontalCentered="1"/>
  <pageMargins left="0.74803149606299213" right="0.15748031496062992" top="0.70866141732283472" bottom="0.70866141732283472" header="0" footer="0.39370078740157483"/>
  <pageSetup paperSize="9" scale="77" fitToHeight="15" orientation="portrait" r:id="rId1"/>
  <headerFooter>
    <oddFooter>&amp;C&amp;12- &amp;P -</oddFooter>
  </headerFooter>
  <rowBreaks count="11" manualBreakCount="11">
    <brk id="58" min="1" max="1" man="1"/>
    <brk id="113" min="1" max="1" man="1"/>
    <brk id="166" min="1" max="1" man="1"/>
    <brk id="223" min="1" max="1" man="1"/>
    <brk id="281" min="1" max="1" man="1"/>
    <brk id="391" min="1" max="1" man="1"/>
    <brk id="446" min="1" max="1" man="1"/>
    <brk id="500" min="1" max="1" man="1"/>
    <brk id="555" min="1" max="1" man="1"/>
    <brk id="667" min="1" max="1" man="1"/>
    <brk id="722" min="1" max="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33</vt:i4>
      </vt:variant>
      <vt:variant>
        <vt:lpstr>名前付き一覧</vt:lpstr>
      </vt:variant>
      <vt:variant>
        <vt:i4>20</vt:i4>
      </vt:variant>
    </vt:vector>
  </HeadingPairs>
  <TitlesOfParts>
    <vt:vector size="53" baseType="lpstr">
      <vt:lpstr>目次</vt:lpstr>
      <vt:lpstr>閲覧図書</vt:lpstr>
      <vt:lpstr>入札結果</vt:lpstr>
      <vt:lpstr>受注者情報</vt:lpstr>
      <vt:lpstr>支払限度額</vt:lpstr>
      <vt:lpstr>契約日ほか</vt:lpstr>
      <vt:lpstr>工事開始日通知書</vt:lpstr>
      <vt:lpstr>建設工事請負契約書</vt:lpstr>
      <vt:lpstr>工事請負約款</vt:lpstr>
      <vt:lpstr>仲裁合意書</vt:lpstr>
      <vt:lpstr>法第13条書面</vt:lpstr>
      <vt:lpstr>課(免)税事業者届出書</vt:lpstr>
      <vt:lpstr>現場代理人等通知書</vt:lpstr>
      <vt:lpstr>建退共証紙購入申告書</vt:lpstr>
      <vt:lpstr>請負代金内訳書</vt:lpstr>
      <vt:lpstr>請負代金内訳書(建築2ページ目)</vt:lpstr>
      <vt:lpstr>工程表</vt:lpstr>
      <vt:lpstr>下請計画書</vt:lpstr>
      <vt:lpstr>前払金請求書</vt:lpstr>
      <vt:lpstr>【定期メンテ】祝日</vt:lpstr>
      <vt:lpstr>【定期メンテ】所属長名ほか</vt:lpstr>
      <vt:lpstr>【定期メンテ】国交省・検索システム</vt:lpstr>
      <vt:lpstr>【随時メンテ】配置技術者</vt:lpstr>
      <vt:lpstr>【随時メンテ】工事請負約款（原文）</vt:lpstr>
      <vt:lpstr>【随時メンテ】部分払い回数等</vt:lpstr>
      <vt:lpstr>【随時メンテ】建リ法13条判定</vt:lpstr>
      <vt:lpstr>【随時メンテ】建退共証紙購入基本率等</vt:lpstr>
      <vt:lpstr>&lt;使わない&gt;シート相関関係</vt:lpstr>
      <vt:lpstr>&lt;使わない&gt;チェック表</vt:lpstr>
      <vt:lpstr>&lt;使わない&gt;当初書類</vt:lpstr>
      <vt:lpstr>&lt;使わない&gt;課(免)税事業者届出書 (2)</vt:lpstr>
      <vt:lpstr>&lt;使わない&gt;現場代理人等通知書 (2)</vt:lpstr>
      <vt:lpstr>&lt;使わない&gt;建退共証紙購入基本率</vt:lpstr>
      <vt:lpstr>'【随時メンテ】工事請負約款（原文）'!Print_Area</vt:lpstr>
      <vt:lpstr>'&lt;使わない&gt;課(免)税事業者届出書 (2)'!Print_Area</vt:lpstr>
      <vt:lpstr>'&lt;使わない&gt;現場代理人等通知書 (2)'!Print_Area</vt:lpstr>
      <vt:lpstr>'&lt;使わない&gt;当初書類'!Print_Area</vt:lpstr>
      <vt:lpstr>下請計画書!Print_Area</vt:lpstr>
      <vt:lpstr>'課(免)税事業者届出書'!Print_Area</vt:lpstr>
      <vt:lpstr>建設工事請負契約書!Print_Area</vt:lpstr>
      <vt:lpstr>建退共証紙購入申告書!Print_Area</vt:lpstr>
      <vt:lpstr>現場代理人等通知書!Print_Area</vt:lpstr>
      <vt:lpstr>工事開始日通知書!Print_Area</vt:lpstr>
      <vt:lpstr>工事請負約款!Print_Area</vt:lpstr>
      <vt:lpstr>請負代金内訳書!Print_Area</vt:lpstr>
      <vt:lpstr>'請負代金内訳書(建築2ページ目)'!Print_Area</vt:lpstr>
      <vt:lpstr>仲裁合意書!Print_Area</vt:lpstr>
      <vt:lpstr>法第13条書面!Print_Area</vt:lpstr>
      <vt:lpstr>建築</vt:lpstr>
      <vt:lpstr>主任技術者</vt:lpstr>
      <vt:lpstr>設備</vt:lpstr>
      <vt:lpstr>専任主任技術者</vt:lpstr>
      <vt:lpstr>土木</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oitapref</dc:creator>
  <cp:lastModifiedBy>辰本　康介</cp:lastModifiedBy>
  <cp:lastPrinted>2026-04-13T23:42:00Z</cp:lastPrinted>
  <dcterms:created xsi:type="dcterms:W3CDTF">2022-09-07T07:23:59Z</dcterms:created>
  <dcterms:modified xsi:type="dcterms:W3CDTF">2026-04-15T03:07:08Z</dcterms:modified>
</cp:coreProperties>
</file>