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3" sheetId="1" r:id="rId1"/>
  </sheets>
  <definedNames>
    <definedName name="_10.電気_ガスおよび水道" localSheetId="0">'103'!$A$1:$E$16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<sst xmlns="http://schemas.openxmlformats.org/spreadsheetml/2006/main" count="105" uniqueCount="64">
  <si>
    <t>103．産業別､規模別従業者1人当たり原材料使用額等および製造品出荷額等(従業者4人以上の事業所)</t>
  </si>
  <si>
    <t>(単位 万円)</t>
  </si>
  <si>
    <t>平成７年</t>
  </si>
  <si>
    <t xml:space="preserve"> 産業分類</t>
  </si>
  <si>
    <t>原   材   料   使   用   額   等</t>
  </si>
  <si>
    <t>製   造   品   出   荷   額   等</t>
  </si>
  <si>
    <t>標示</t>
  </si>
  <si>
    <t>総  数</t>
  </si>
  <si>
    <t>9人以下</t>
  </si>
  <si>
    <t>10-19人</t>
  </si>
  <si>
    <t>20-29人</t>
  </si>
  <si>
    <t>30-49人</t>
  </si>
  <si>
    <t>50-99人</t>
  </si>
  <si>
    <t>100-199人</t>
  </si>
  <si>
    <t>200人以上</t>
  </si>
  <si>
    <t>番号</t>
  </si>
  <si>
    <t>総 平 均</t>
  </si>
  <si>
    <t>総</t>
  </si>
  <si>
    <t>12 食   料   品</t>
  </si>
  <si>
    <t>12</t>
  </si>
  <si>
    <t>13 飲料・たばこ</t>
  </si>
  <si>
    <t>13</t>
  </si>
  <si>
    <t>14 繊        維</t>
  </si>
  <si>
    <t>14</t>
  </si>
  <si>
    <t>15 衣        服</t>
  </si>
  <si>
    <t>-</t>
  </si>
  <si>
    <t>15</t>
  </si>
  <si>
    <t>16 木        材</t>
  </si>
  <si>
    <t>16</t>
  </si>
  <si>
    <t>17 家        具</t>
  </si>
  <si>
    <t>17</t>
  </si>
  <si>
    <t>18 パルプ ・ 紙</t>
  </si>
  <si>
    <t>18</t>
  </si>
  <si>
    <t>19 出版 ・ 印刷</t>
  </si>
  <si>
    <t>19</t>
  </si>
  <si>
    <t>20 化        学</t>
  </si>
  <si>
    <t>20</t>
  </si>
  <si>
    <t>21 石油 ・ 石炭</t>
  </si>
  <si>
    <t>21</t>
  </si>
  <si>
    <t>22 プラスチック</t>
  </si>
  <si>
    <t>22</t>
  </si>
  <si>
    <t>23 ゴ ム  製 品</t>
  </si>
  <si>
    <t>23</t>
  </si>
  <si>
    <t>24 な め し  革</t>
  </si>
  <si>
    <t>24</t>
  </si>
  <si>
    <t>25 窯 業・土 石</t>
  </si>
  <si>
    <t>25</t>
  </si>
  <si>
    <t>26 鉄        鋼</t>
  </si>
  <si>
    <t>26</t>
  </si>
  <si>
    <t>27 非 鉄  金 属</t>
  </si>
  <si>
    <t>27</t>
  </si>
  <si>
    <t>28 金 属  製 品</t>
  </si>
  <si>
    <t>28</t>
  </si>
  <si>
    <t>29 一 般  機 械</t>
  </si>
  <si>
    <t>29</t>
  </si>
  <si>
    <t>30 電 気  機 器</t>
  </si>
  <si>
    <t>30</t>
  </si>
  <si>
    <t>31 輸 送  機 器</t>
  </si>
  <si>
    <t>31</t>
  </si>
  <si>
    <t>32 精 密  機 器</t>
  </si>
  <si>
    <t>32</t>
  </si>
  <si>
    <t>34 その他 製 品</t>
  </si>
  <si>
    <t>34</t>
  </si>
  <si>
    <t>資料:県統計情報課「大分県の工業」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</si>
</sst>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Continuous"/>
      <protection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176" fontId="5" fillId="0" borderId="2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38" fontId="6" fillId="0" borderId="4" xfId="16" applyFont="1" applyBorder="1" applyAlignment="1" applyProtection="1">
      <alignment/>
      <protection/>
    </xf>
    <xf numFmtId="38" fontId="6" fillId="0" borderId="0" xfId="16" applyFont="1" applyAlignment="1" applyProtection="1">
      <alignment/>
      <protection/>
    </xf>
    <xf numFmtId="176" fontId="6" fillId="0" borderId="4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38" fontId="0" fillId="0" borderId="4" xfId="16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176" fontId="0" fillId="0" borderId="4" xfId="0" applyNumberFormat="1" applyFont="1" applyBorder="1" applyAlignment="1" quotePrefix="1">
      <alignment horizontal="center"/>
    </xf>
    <xf numFmtId="38" fontId="0" fillId="0" borderId="0" xfId="16" applyFont="1" applyAlignment="1" applyProtection="1">
      <alignment horizontal="center"/>
      <protection/>
    </xf>
    <xf numFmtId="38" fontId="0" fillId="0" borderId="0" xfId="16" applyFont="1" applyAlignment="1" applyProtection="1">
      <alignment horizontal="right"/>
      <protection/>
    </xf>
    <xf numFmtId="38" fontId="0" fillId="0" borderId="4" xfId="16" applyFont="1" applyBorder="1" applyAlignment="1" applyProtection="1">
      <alignment horizontal="right"/>
      <protection/>
    </xf>
    <xf numFmtId="176" fontId="0" fillId="0" borderId="0" xfId="0" applyNumberFormat="1" applyFont="1" applyBorder="1" applyAlignment="1">
      <alignment/>
    </xf>
    <xf numFmtId="0" fontId="0" fillId="0" borderId="3" xfId="0" applyFont="1" applyBorder="1" applyAlignment="1" applyProtection="1">
      <alignment horizontal="center"/>
      <protection/>
    </xf>
    <xf numFmtId="38" fontId="0" fillId="0" borderId="2" xfId="16" applyFont="1" applyBorder="1" applyAlignment="1" applyProtection="1">
      <alignment/>
      <protection/>
    </xf>
    <xf numFmtId="38" fontId="0" fillId="0" borderId="3" xfId="16" applyFont="1" applyBorder="1" applyAlignment="1" applyProtection="1">
      <alignment/>
      <protection/>
    </xf>
    <xf numFmtId="38" fontId="0" fillId="0" borderId="3" xfId="16" applyFont="1" applyBorder="1" applyAlignment="1" applyProtection="1">
      <alignment horizontal="right"/>
      <protection/>
    </xf>
    <xf numFmtId="176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workbookViewId="0" topLeftCell="A1">
      <selection activeCell="F1" sqref="F1"/>
    </sheetView>
  </sheetViews>
  <sheetFormatPr defaultColWidth="13.375" defaultRowHeight="12" customHeight="1"/>
  <cols>
    <col min="1" max="1" width="17.25390625" style="1" customWidth="1"/>
    <col min="2" max="9" width="11.00390625" style="1" customWidth="1"/>
    <col min="10" max="17" width="12.375" style="1" customWidth="1"/>
    <col min="18" max="18" width="6.125" style="1" customWidth="1"/>
    <col min="19" max="16384" width="13.375" style="1" customWidth="1"/>
  </cols>
  <sheetData>
    <row r="1" spans="2:5" ht="19.5" customHeight="1">
      <c r="B1" s="2"/>
      <c r="C1" s="2"/>
      <c r="D1" s="2"/>
      <c r="E1" s="2"/>
    </row>
    <row r="2" spans="1:18" s="6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5"/>
    </row>
    <row r="3" spans="1:18" ht="12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2</v>
      </c>
    </row>
    <row r="4" spans="1:18" s="15" customFormat="1" ht="12" customHeight="1" thickTop="1">
      <c r="A4" s="10" t="s">
        <v>3</v>
      </c>
      <c r="B4" s="11" t="s">
        <v>4</v>
      </c>
      <c r="C4" s="12"/>
      <c r="D4" s="13"/>
      <c r="E4" s="12"/>
      <c r="F4" s="12"/>
      <c r="G4" s="12"/>
      <c r="H4" s="12"/>
      <c r="I4" s="12"/>
      <c r="J4" s="11" t="s">
        <v>5</v>
      </c>
      <c r="K4" s="12"/>
      <c r="L4" s="13"/>
      <c r="M4" s="12"/>
      <c r="N4" s="12"/>
      <c r="O4" s="12"/>
      <c r="P4" s="12"/>
      <c r="Q4" s="12"/>
      <c r="R4" s="14" t="s">
        <v>6</v>
      </c>
    </row>
    <row r="5" spans="1:18" s="15" customFormat="1" ht="12" customHeight="1">
      <c r="A5" s="16"/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17" t="s">
        <v>12</v>
      </c>
      <c r="P5" s="17" t="s">
        <v>13</v>
      </c>
      <c r="Q5" s="17" t="s">
        <v>14</v>
      </c>
      <c r="R5" s="18" t="s">
        <v>15</v>
      </c>
    </row>
    <row r="6" spans="1:18" s="23" customFormat="1" ht="12" customHeight="1">
      <c r="A6" s="19" t="s">
        <v>16</v>
      </c>
      <c r="B6" s="20">
        <f>137951519/80816</f>
        <v>1706.9827633141952</v>
      </c>
      <c r="C6" s="21">
        <f>3101321/7274</f>
        <v>426.3570250206214</v>
      </c>
      <c r="D6" s="21">
        <f>4982746/7231</f>
        <v>689.0811782602683</v>
      </c>
      <c r="E6" s="21">
        <f>5341078/7676</f>
        <v>695.8152683689422</v>
      </c>
      <c r="F6" s="21">
        <f>5445281/7182</f>
        <v>758.1844890002785</v>
      </c>
      <c r="G6" s="21">
        <f>14143040/12283</f>
        <v>1151.4320605715216</v>
      </c>
      <c r="H6" s="21">
        <f>14349048/11759</f>
        <v>1220.2609065396719</v>
      </c>
      <c r="I6" s="21">
        <f>(10229949+22120789+29468908+28769359)/(3770+7082+8416+8143)</f>
        <v>3304.84130458575</v>
      </c>
      <c r="J6" s="20">
        <f>274226541/80816</f>
        <v>3393.220909225896</v>
      </c>
      <c r="K6" s="21">
        <f>6690672/7274</f>
        <v>919.806433874072</v>
      </c>
      <c r="L6" s="21">
        <f>9584585/7231</f>
        <v>1325.485410040105</v>
      </c>
      <c r="M6" s="21">
        <f>10601057/7676</f>
        <v>1381.0652683689423</v>
      </c>
      <c r="N6" s="21">
        <f>12569927/7182</f>
        <v>1750.1986911723754</v>
      </c>
      <c r="O6" s="21">
        <f>50860495/12283</f>
        <v>4140.722543352601</v>
      </c>
      <c r="P6" s="21">
        <f>31549402/11759</f>
        <v>2683.000425206225</v>
      </c>
      <c r="Q6" s="21">
        <f>(27511391+40474789+44852340+64531883)/(3770+7082+8416+8143)</f>
        <v>6470.774616030061</v>
      </c>
      <c r="R6" s="22" t="s">
        <v>17</v>
      </c>
    </row>
    <row r="7" spans="1:18" ht="12" customHeight="1">
      <c r="A7" s="24"/>
      <c r="B7" s="25"/>
      <c r="C7" s="26"/>
      <c r="D7" s="26"/>
      <c r="E7" s="26"/>
      <c r="F7" s="26"/>
      <c r="G7" s="26"/>
      <c r="H7" s="26"/>
      <c r="I7" s="26"/>
      <c r="J7" s="25"/>
      <c r="K7" s="27"/>
      <c r="L7" s="27"/>
      <c r="M7" s="27"/>
      <c r="N7" s="27"/>
      <c r="O7" s="27"/>
      <c r="P7" s="27"/>
      <c r="Q7" s="27"/>
      <c r="R7" s="28"/>
    </row>
    <row r="8" spans="1:18" ht="12" customHeight="1">
      <c r="A8" s="24" t="s">
        <v>18</v>
      </c>
      <c r="B8" s="25">
        <f>9057624/9616</f>
        <v>941.932612312812</v>
      </c>
      <c r="C8" s="27">
        <f>497870/1569</f>
        <v>317.3167622689611</v>
      </c>
      <c r="D8" s="27">
        <f>1073664/1401</f>
        <v>766.355460385439</v>
      </c>
      <c r="E8" s="27">
        <f>737068/1140</f>
        <v>646.5508771929825</v>
      </c>
      <c r="F8" s="27">
        <f>757432/1012</f>
        <v>748.4505928853755</v>
      </c>
      <c r="G8" s="27">
        <f>2222843/1871</f>
        <v>1188.050774986638</v>
      </c>
      <c r="H8" s="27">
        <f>3111102/1485</f>
        <v>2095.018181818182</v>
      </c>
      <c r="I8" s="27">
        <f>597645/1138</f>
        <v>525.1713532513181</v>
      </c>
      <c r="J8" s="25">
        <f>14146542/9616</f>
        <v>1471.146214642263</v>
      </c>
      <c r="K8" s="27">
        <f>1020006/1569</f>
        <v>650.0994263862333</v>
      </c>
      <c r="L8" s="27">
        <f>1716609/1401</f>
        <v>1225.2740899357602</v>
      </c>
      <c r="M8" s="27">
        <f>1344800/1140</f>
        <v>1179.6491228070176</v>
      </c>
      <c r="N8" s="27">
        <f>1190846/1012</f>
        <v>1176.7252964426877</v>
      </c>
      <c r="O8" s="27">
        <f>3479038/1871</f>
        <v>1859.4537680384822</v>
      </c>
      <c r="P8" s="27">
        <f>4062719/1485</f>
        <v>2735.8377104377105</v>
      </c>
      <c r="Q8" s="27">
        <f>1332524/1138</f>
        <v>1170.9349736379613</v>
      </c>
      <c r="R8" s="28" t="s">
        <v>19</v>
      </c>
    </row>
    <row r="9" spans="1:18" ht="12" customHeight="1">
      <c r="A9" s="29" t="s">
        <v>20</v>
      </c>
      <c r="B9" s="25">
        <f>4712665/1635</f>
        <v>2882.363914373089</v>
      </c>
      <c r="C9" s="27">
        <f>107416/198</f>
        <v>542.5050505050505</v>
      </c>
      <c r="D9" s="27">
        <f>83771/124</f>
        <v>675.5725806451613</v>
      </c>
      <c r="E9" s="27">
        <f>35685/100</f>
        <v>356.85</v>
      </c>
      <c r="F9" s="27">
        <f>371782/179</f>
        <v>2076.9944134078214</v>
      </c>
      <c r="G9" s="27">
        <f>1361690/330</f>
        <v>4126.333333333333</v>
      </c>
      <c r="H9" s="30">
        <f>1618218/461</f>
        <v>3510.234273318872</v>
      </c>
      <c r="I9" s="30">
        <f>1134103/243</f>
        <v>4667.090534979424</v>
      </c>
      <c r="J9" s="25">
        <f>16323018/1635</f>
        <v>9983.497247706422</v>
      </c>
      <c r="K9" s="27">
        <f>195913/198</f>
        <v>989.459595959596</v>
      </c>
      <c r="L9" s="27">
        <f>227886/124</f>
        <v>1837.7903225806451</v>
      </c>
      <c r="M9" s="27">
        <f>189978/100</f>
        <v>1899.78</v>
      </c>
      <c r="N9" s="27">
        <f>1524241/179</f>
        <v>8515.312849162012</v>
      </c>
      <c r="O9" s="27">
        <f>3464826/330</f>
        <v>10499.472727272727</v>
      </c>
      <c r="P9" s="30">
        <f>7320712/461</f>
        <v>15880.069414316702</v>
      </c>
      <c r="Q9" s="30">
        <f>3399462/243</f>
        <v>13989.555555555555</v>
      </c>
      <c r="R9" s="28" t="s">
        <v>21</v>
      </c>
    </row>
    <row r="10" spans="1:18" ht="12" customHeight="1">
      <c r="A10" s="24" t="s">
        <v>22</v>
      </c>
      <c r="B10" s="25">
        <f>853923/1026</f>
        <v>832.2836257309941</v>
      </c>
      <c r="C10" s="27">
        <f>36518/56</f>
        <v>652.1071428571429</v>
      </c>
      <c r="D10" s="27">
        <f>9623/45</f>
        <v>213.84444444444443</v>
      </c>
      <c r="E10" s="27">
        <f>18809/48</f>
        <v>391.8541666666667</v>
      </c>
      <c r="F10" s="27">
        <f>217481/151</f>
        <v>1440.271523178808</v>
      </c>
      <c r="G10" s="27">
        <f>9448/69</f>
        <v>136.92753623188406</v>
      </c>
      <c r="H10" s="30">
        <f>361408/239</f>
        <v>1512.1673640167364</v>
      </c>
      <c r="I10" s="27">
        <f>200636/418</f>
        <v>479.99043062200957</v>
      </c>
      <c r="J10" s="25">
        <f>1820221/1026</f>
        <v>1774.0945419103314</v>
      </c>
      <c r="K10" s="27">
        <f>71479/56</f>
        <v>1276.4107142857142</v>
      </c>
      <c r="L10" s="27">
        <f>32214/45</f>
        <v>715.8666666666667</v>
      </c>
      <c r="M10" s="27">
        <f>54146/48</f>
        <v>1128.0416666666667</v>
      </c>
      <c r="N10" s="27">
        <f>299760/151</f>
        <v>1985.1655629139073</v>
      </c>
      <c r="O10" s="27">
        <f>32168/69</f>
        <v>466.2028985507246</v>
      </c>
      <c r="P10" s="30">
        <f>715731/239</f>
        <v>2994.6903765690377</v>
      </c>
      <c r="Q10" s="27">
        <f>614723/418</f>
        <v>1470.6291866028707</v>
      </c>
      <c r="R10" s="28" t="s">
        <v>23</v>
      </c>
    </row>
    <row r="11" spans="1:18" ht="12" customHeight="1">
      <c r="A11" s="24" t="s">
        <v>24</v>
      </c>
      <c r="B11" s="25">
        <f>935636/6724</f>
        <v>139.14872099940513</v>
      </c>
      <c r="C11" s="27">
        <f>58160/387</f>
        <v>150.28423772609818</v>
      </c>
      <c r="D11" s="27">
        <f>63807/665</f>
        <v>95.95037593984962</v>
      </c>
      <c r="E11" s="27">
        <f>55813/956</f>
        <v>58.38179916317991</v>
      </c>
      <c r="F11" s="27">
        <f>88413/1088</f>
        <v>81.26194852941177</v>
      </c>
      <c r="G11" s="27">
        <f>371069/2050</f>
        <v>181.00926829268292</v>
      </c>
      <c r="H11" s="27">
        <f>298374/1578</f>
        <v>189.08365019011407</v>
      </c>
      <c r="I11" s="30" t="s">
        <v>25</v>
      </c>
      <c r="J11" s="25">
        <f>2764478/6724</f>
        <v>411.13593099345627</v>
      </c>
      <c r="K11" s="27">
        <f>189975/387</f>
        <v>490.8914728682171</v>
      </c>
      <c r="L11" s="27">
        <f>231935/665</f>
        <v>348.77443609022555</v>
      </c>
      <c r="M11" s="27">
        <f>280367/956</f>
        <v>293.27092050209205</v>
      </c>
      <c r="N11" s="27">
        <f>348014/1088</f>
        <v>319.8658088235294</v>
      </c>
      <c r="O11" s="27">
        <f>996979/2050</f>
        <v>486.3312195121951</v>
      </c>
      <c r="P11" s="27">
        <f>717208/1578</f>
        <v>454.5044359949303</v>
      </c>
      <c r="Q11" s="30" t="s">
        <v>25</v>
      </c>
      <c r="R11" s="28" t="s">
        <v>26</v>
      </c>
    </row>
    <row r="12" spans="1:18" ht="12" customHeight="1">
      <c r="A12" s="24" t="s">
        <v>27</v>
      </c>
      <c r="B12" s="25">
        <f>2401230/3597</f>
        <v>667.5646371976648</v>
      </c>
      <c r="C12" s="27">
        <f>859766/1588</f>
        <v>541.4143576826197</v>
      </c>
      <c r="D12" s="27">
        <f>622706/982</f>
        <v>634.1201629327902</v>
      </c>
      <c r="E12" s="27">
        <f>264808/421</f>
        <v>628.9976247030879</v>
      </c>
      <c r="F12" s="27">
        <f>399141/413</f>
        <v>966.4430992736078</v>
      </c>
      <c r="G12" s="30">
        <f>254809/193</f>
        <v>1320.2538860103627</v>
      </c>
      <c r="H12" s="30" t="s">
        <v>25</v>
      </c>
      <c r="I12" s="30" t="s">
        <v>25</v>
      </c>
      <c r="J12" s="25">
        <f>4435350/3597</f>
        <v>1233.069224353628</v>
      </c>
      <c r="K12" s="27">
        <f>1628383/1588</f>
        <v>1025.4301007556676</v>
      </c>
      <c r="L12" s="27">
        <f>1156468/982</f>
        <v>1177.6659877800407</v>
      </c>
      <c r="M12" s="27">
        <f>518366/421</f>
        <v>1231.273159144893</v>
      </c>
      <c r="N12" s="27">
        <f>655858/413</f>
        <v>1588.0338983050847</v>
      </c>
      <c r="O12" s="30">
        <f>476275/193</f>
        <v>2467.7461139896373</v>
      </c>
      <c r="P12" s="30" t="s">
        <v>25</v>
      </c>
      <c r="Q12" s="30" t="s">
        <v>25</v>
      </c>
      <c r="R12" s="28" t="s">
        <v>28</v>
      </c>
    </row>
    <row r="13" spans="1:18" ht="12" customHeight="1">
      <c r="A13" s="24" t="s">
        <v>29</v>
      </c>
      <c r="B13" s="25">
        <f>1693823/2326</f>
        <v>728.2128116938951</v>
      </c>
      <c r="C13" s="27">
        <f>214536/578</f>
        <v>371.1695501730104</v>
      </c>
      <c r="D13" s="27">
        <f>305114/488</f>
        <v>625.233606557377</v>
      </c>
      <c r="E13" s="27">
        <f>141312/261</f>
        <v>541.4252873563219</v>
      </c>
      <c r="F13" s="27">
        <f>103736/171</f>
        <v>606.6432748538011</v>
      </c>
      <c r="G13" s="27">
        <f>700653/600</f>
        <v>1167.755</v>
      </c>
      <c r="H13" s="27">
        <f>228472/228</f>
        <v>1002.0701754385965</v>
      </c>
      <c r="I13" s="30" t="s">
        <v>25</v>
      </c>
      <c r="J13" s="25">
        <f>3040571/2326</f>
        <v>1307.2102321582115</v>
      </c>
      <c r="K13" s="27">
        <f>483289/578</f>
        <v>836.1401384083046</v>
      </c>
      <c r="L13" s="27">
        <f>582485/488</f>
        <v>1193.6168032786886</v>
      </c>
      <c r="M13" s="27">
        <f>279598/261</f>
        <v>1071.2567049808429</v>
      </c>
      <c r="N13" s="27">
        <f>205037/171</f>
        <v>1199.046783625731</v>
      </c>
      <c r="O13" s="27">
        <f>1160471/600</f>
        <v>1934.1183333333333</v>
      </c>
      <c r="P13" s="27">
        <f>329691/228</f>
        <v>1446.0131578947369</v>
      </c>
      <c r="Q13" s="30" t="s">
        <v>25</v>
      </c>
      <c r="R13" s="28" t="s">
        <v>30</v>
      </c>
    </row>
    <row r="14" spans="1:18" ht="12" customHeight="1">
      <c r="A14" s="24" t="s">
        <v>31</v>
      </c>
      <c r="B14" s="25">
        <f>2123813/1196</f>
        <v>1775.7633779264213</v>
      </c>
      <c r="C14" s="27">
        <f>11585/69</f>
        <v>167.8985507246377</v>
      </c>
      <c r="D14" s="27">
        <f>46010/107</f>
        <v>430</v>
      </c>
      <c r="E14" s="27">
        <f>92163/107</f>
        <v>861.3364485981308</v>
      </c>
      <c r="F14" s="30">
        <f>149362/208</f>
        <v>718.0865384615385</v>
      </c>
      <c r="G14" s="27">
        <f>169250/140</f>
        <v>1208.9285714285713</v>
      </c>
      <c r="H14" s="30">
        <f>546919/230</f>
        <v>2377.9086956521737</v>
      </c>
      <c r="I14" s="30">
        <f>1108524/335</f>
        <v>3309.0268656716416</v>
      </c>
      <c r="J14" s="25">
        <f>3427719/1196</f>
        <v>2865.985785953177</v>
      </c>
      <c r="K14" s="27">
        <f>31614/69</f>
        <v>458.17391304347825</v>
      </c>
      <c r="L14" s="27">
        <f>100440/107</f>
        <v>938.6915887850467</v>
      </c>
      <c r="M14" s="27">
        <f>179435/107</f>
        <v>1676.96261682243</v>
      </c>
      <c r="N14" s="30">
        <f>254658/208</f>
        <v>1224.3173076923076</v>
      </c>
      <c r="O14" s="27">
        <f>292792/140</f>
        <v>2091.3714285714286</v>
      </c>
      <c r="P14" s="30">
        <f>708022/230</f>
        <v>3078.3565217391306</v>
      </c>
      <c r="Q14" s="30">
        <f>1860758</f>
        <v>1860758</v>
      </c>
      <c r="R14" s="28" t="s">
        <v>32</v>
      </c>
    </row>
    <row r="15" spans="1:18" ht="12" customHeight="1">
      <c r="A15" s="24" t="s">
        <v>33</v>
      </c>
      <c r="B15" s="25">
        <f>1032098/2641</f>
        <v>390.7981825066263</v>
      </c>
      <c r="C15" s="27">
        <f>128655/573</f>
        <v>224.52879581151834</v>
      </c>
      <c r="D15" s="27">
        <f>77203/277</f>
        <v>278.71119133574007</v>
      </c>
      <c r="E15" s="27">
        <f>195552/570</f>
        <v>343.0736842105263</v>
      </c>
      <c r="F15" s="27">
        <f>57151/146</f>
        <v>391.44520547945206</v>
      </c>
      <c r="G15" s="27">
        <f>212911/383</f>
        <v>555.9033942558747</v>
      </c>
      <c r="H15" s="30">
        <f>132742/231</f>
        <v>574.6406926406927</v>
      </c>
      <c r="I15" s="30">
        <f>227884/461</f>
        <v>494.3253796095445</v>
      </c>
      <c r="J15" s="25">
        <f>3188442/2641</f>
        <v>1207.2858765619085</v>
      </c>
      <c r="K15" s="27">
        <f>383570/573</f>
        <v>669.4066317626528</v>
      </c>
      <c r="L15" s="27">
        <f>215251/277</f>
        <v>777.0794223826715</v>
      </c>
      <c r="M15" s="27">
        <f>572469/570</f>
        <v>1004.3315789473684</v>
      </c>
      <c r="N15" s="27">
        <f>155841/146</f>
        <v>1067.4041095890411</v>
      </c>
      <c r="O15" s="27">
        <f>495618/383</f>
        <v>1294.0417754569191</v>
      </c>
      <c r="P15" s="30">
        <f>284634/231</f>
        <v>1232.1818181818182</v>
      </c>
      <c r="Q15" s="30">
        <f>1111059/461</f>
        <v>2410.106290672451</v>
      </c>
      <c r="R15" s="28" t="s">
        <v>34</v>
      </c>
    </row>
    <row r="16" spans="1:18" ht="12" customHeight="1">
      <c r="A16" s="24" t="s">
        <v>35</v>
      </c>
      <c r="B16" s="25">
        <f>11231936/2688</f>
        <v>4178.547619047619</v>
      </c>
      <c r="C16" s="27">
        <f>81335/52</f>
        <v>1564.1346153846155</v>
      </c>
      <c r="D16" s="27">
        <f>49624/23</f>
        <v>2157.5652173913045</v>
      </c>
      <c r="E16" s="27">
        <f>403824/153</f>
        <v>2639.372549019608</v>
      </c>
      <c r="F16" s="27">
        <f>903762/248</f>
        <v>3644.201612903226</v>
      </c>
      <c r="G16" s="27">
        <f>840292/361</f>
        <v>2327.678670360111</v>
      </c>
      <c r="H16" s="30">
        <f>1282195/303</f>
        <v>4231.666666666667</v>
      </c>
      <c r="I16" s="30">
        <f>(5655716+1056600+958588)/(286+697+565)</f>
        <v>4955.364341085271</v>
      </c>
      <c r="J16" s="25">
        <f>30976487/2688</f>
        <v>11523.990699404761</v>
      </c>
      <c r="K16" s="27">
        <f>139831/52</f>
        <v>2689.0576923076924</v>
      </c>
      <c r="L16" s="27">
        <f>80851/23</f>
        <v>3515.2608695652175</v>
      </c>
      <c r="M16" s="27">
        <f>720398/153</f>
        <v>4708.483660130719</v>
      </c>
      <c r="N16" s="27">
        <f>2889840/248</f>
        <v>11652.58064516129</v>
      </c>
      <c r="O16" s="27">
        <f>1875020/361</f>
        <v>5193.961218836565</v>
      </c>
      <c r="P16" s="30">
        <f>4269036/303</f>
        <v>14089.227722772277</v>
      </c>
      <c r="Q16" s="30">
        <f>(14975801+2507510+3518200)/(286+697+565)</f>
        <v>13566.86757105943</v>
      </c>
      <c r="R16" s="28" t="s">
        <v>36</v>
      </c>
    </row>
    <row r="17" spans="1:18" ht="12" customHeight="1">
      <c r="A17" s="24" t="s">
        <v>37</v>
      </c>
      <c r="B17" s="25">
        <f>9752725/644</f>
        <v>15143.982919254659</v>
      </c>
      <c r="C17" s="27">
        <f>58824/29</f>
        <v>2028.4137931034484</v>
      </c>
      <c r="D17" s="30">
        <f>76773/30</f>
        <v>2559.1</v>
      </c>
      <c r="E17" s="30" t="s">
        <v>25</v>
      </c>
      <c r="F17" s="30" t="s">
        <v>25</v>
      </c>
      <c r="G17" s="30" t="s">
        <v>25</v>
      </c>
      <c r="H17" s="30">
        <f>25215/121</f>
        <v>208.38842975206612</v>
      </c>
      <c r="I17" s="30">
        <f>9591913/464</f>
        <v>20672.22629310345</v>
      </c>
      <c r="J17" s="25">
        <f>18187483/644</f>
        <v>28241.433229813665</v>
      </c>
      <c r="K17" s="27">
        <f>135269/29</f>
        <v>4664.448275862069</v>
      </c>
      <c r="L17" s="30">
        <f>123440/30</f>
        <v>4114.666666666667</v>
      </c>
      <c r="M17" s="30" t="s">
        <v>25</v>
      </c>
      <c r="N17" s="30" t="s">
        <v>25</v>
      </c>
      <c r="O17" s="30" t="s">
        <v>25</v>
      </c>
      <c r="P17" s="30">
        <f>215000/121</f>
        <v>1776.8595041322315</v>
      </c>
      <c r="Q17" s="30">
        <f>17713774/464</f>
        <v>38176.237068965514</v>
      </c>
      <c r="R17" s="28" t="s">
        <v>38</v>
      </c>
    </row>
    <row r="18" spans="1:18" ht="12" customHeight="1">
      <c r="A18" s="24" t="s">
        <v>39</v>
      </c>
      <c r="B18" s="25">
        <f>2623827/2386</f>
        <v>1099.6760268231349</v>
      </c>
      <c r="C18" s="27">
        <f>57054/122</f>
        <v>467.655737704918</v>
      </c>
      <c r="D18" s="27">
        <f>112874/233</f>
        <v>484.43776824034336</v>
      </c>
      <c r="E18" s="27">
        <f>360592/375</f>
        <v>961.5786666666667</v>
      </c>
      <c r="F18" s="27">
        <f>379218/372</f>
        <v>1019.4032258064516</v>
      </c>
      <c r="G18" s="30">
        <f>247852/345</f>
        <v>718.4115942028985</v>
      </c>
      <c r="H18" s="27">
        <f>751010/410</f>
        <v>1831.7317073170732</v>
      </c>
      <c r="I18" s="30">
        <f>715227/529</f>
        <v>1352.0359168241966</v>
      </c>
      <c r="J18" s="25">
        <f>5153155/2386</f>
        <v>2159.746437552389</v>
      </c>
      <c r="K18" s="27">
        <f>122281/122</f>
        <v>1002.3032786885246</v>
      </c>
      <c r="L18" s="27">
        <f>318627/233</f>
        <v>1367.4978540772531</v>
      </c>
      <c r="M18" s="27">
        <f>664670/375</f>
        <v>1772.4533333333334</v>
      </c>
      <c r="N18" s="27">
        <f>612442/372</f>
        <v>1646.3494623655913</v>
      </c>
      <c r="O18" s="30">
        <f>495924/345</f>
        <v>1437.4608695652173</v>
      </c>
      <c r="P18" s="27">
        <f>1485434/410</f>
        <v>3623.009756097561</v>
      </c>
      <c r="Q18" s="30">
        <f>1453777/529</f>
        <v>2748.1606805293004</v>
      </c>
      <c r="R18" s="28" t="s">
        <v>40</v>
      </c>
    </row>
    <row r="19" spans="1:18" ht="12" customHeight="1">
      <c r="A19" s="24" t="s">
        <v>41</v>
      </c>
      <c r="B19" s="31">
        <f>398285/924</f>
        <v>431.0443722943723</v>
      </c>
      <c r="C19" s="27">
        <f>4772/21</f>
        <v>227.23809523809524</v>
      </c>
      <c r="D19" s="27">
        <f>14649/31</f>
        <v>472.5483870967742</v>
      </c>
      <c r="E19" s="30">
        <f>11910/55</f>
        <v>216.54545454545453</v>
      </c>
      <c r="F19" s="27">
        <f>34946/135</f>
        <v>258.85925925925926</v>
      </c>
      <c r="G19" s="27">
        <f>70913/198</f>
        <v>358.14646464646466</v>
      </c>
      <c r="H19" s="30" t="s">
        <v>25</v>
      </c>
      <c r="I19" s="30">
        <f>261095/484</f>
        <v>539.452479338843</v>
      </c>
      <c r="J19" s="31">
        <f>1093532/924</f>
        <v>1183.4761904761904</v>
      </c>
      <c r="K19" s="27">
        <f>13754/21</f>
        <v>654.952380952381</v>
      </c>
      <c r="L19" s="27">
        <f>40437/31</f>
        <v>1304.4193548387098</v>
      </c>
      <c r="M19" s="30">
        <f>42719/55</f>
        <v>776.709090909091</v>
      </c>
      <c r="N19" s="27">
        <f>75406/135</f>
        <v>558.562962962963</v>
      </c>
      <c r="O19" s="27">
        <f>146829/198</f>
        <v>741.560606060606</v>
      </c>
      <c r="P19" s="30" t="s">
        <v>25</v>
      </c>
      <c r="Q19" s="30">
        <f>774387/484</f>
        <v>1599.9731404958677</v>
      </c>
      <c r="R19" s="28" t="s">
        <v>42</v>
      </c>
    </row>
    <row r="20" spans="1:18" ht="12" customHeight="1">
      <c r="A20" s="24" t="s">
        <v>43</v>
      </c>
      <c r="B20" s="31">
        <f>4560/16</f>
        <v>285</v>
      </c>
      <c r="C20" s="30">
        <v>285</v>
      </c>
      <c r="D20" s="30" t="s">
        <v>25</v>
      </c>
      <c r="E20" s="30" t="s">
        <v>25</v>
      </c>
      <c r="F20" s="30" t="s">
        <v>25</v>
      </c>
      <c r="G20" s="30" t="s">
        <v>25</v>
      </c>
      <c r="H20" s="30" t="s">
        <v>25</v>
      </c>
      <c r="I20" s="30" t="s">
        <v>25</v>
      </c>
      <c r="J20" s="31">
        <f>10200/16</f>
        <v>637.5</v>
      </c>
      <c r="K20" s="30">
        <v>638</v>
      </c>
      <c r="L20" s="30" t="s">
        <v>25</v>
      </c>
      <c r="M20" s="30" t="s">
        <v>25</v>
      </c>
      <c r="N20" s="30" t="s">
        <v>25</v>
      </c>
      <c r="O20" s="30" t="s">
        <v>25</v>
      </c>
      <c r="P20" s="30" t="s">
        <v>25</v>
      </c>
      <c r="Q20" s="30" t="s">
        <v>25</v>
      </c>
      <c r="R20" s="28" t="s">
        <v>44</v>
      </c>
    </row>
    <row r="21" spans="1:18" ht="12" customHeight="1">
      <c r="A21" s="24" t="s">
        <v>45</v>
      </c>
      <c r="B21" s="25">
        <f>6184091/5514</f>
        <v>1121.525389916576</v>
      </c>
      <c r="C21" s="27">
        <f>307805/392</f>
        <v>785.2168367346939</v>
      </c>
      <c r="D21" s="27">
        <f>725771/762</f>
        <v>952.4553805774278</v>
      </c>
      <c r="E21" s="27">
        <f>1225972/1299</f>
        <v>943.7813702848345</v>
      </c>
      <c r="F21" s="27">
        <f>393421/432</f>
        <v>910.6967592592592</v>
      </c>
      <c r="G21" s="27">
        <f>778092/848</f>
        <v>917.561320754717</v>
      </c>
      <c r="H21" s="27">
        <f>1079638/826</f>
        <v>1307.0677966101696</v>
      </c>
      <c r="I21" s="27">
        <f>(1208844+464548)/(246+709)</f>
        <v>1752.2429319371727</v>
      </c>
      <c r="J21" s="25">
        <f>15664857/5514</f>
        <v>2840.924374319913</v>
      </c>
      <c r="K21" s="27">
        <f>610225/392</f>
        <v>1556.6964285714287</v>
      </c>
      <c r="L21" s="27">
        <f>1474260/762</f>
        <v>1934.724409448819</v>
      </c>
      <c r="M21" s="27">
        <f>2525238/1299</f>
        <v>1943.986143187067</v>
      </c>
      <c r="N21" s="27">
        <f>873653/432</f>
        <v>2022.3449074074074</v>
      </c>
      <c r="O21" s="27">
        <f>1822745/848</f>
        <v>2149.4634433962265</v>
      </c>
      <c r="P21" s="27">
        <f>2534709/826</f>
        <v>3068.6549636803875</v>
      </c>
      <c r="Q21" s="27">
        <f>(4232596+1591431)/(246+709)</f>
        <v>6098.457591623037</v>
      </c>
      <c r="R21" s="28" t="s">
        <v>46</v>
      </c>
    </row>
    <row r="22" spans="1:18" ht="12" customHeight="1">
      <c r="A22" s="24" t="s">
        <v>47</v>
      </c>
      <c r="B22" s="25">
        <f>17253658/4541</f>
        <v>3799.528297731777</v>
      </c>
      <c r="C22" s="27">
        <f>35970/36</f>
        <v>999.1666666666666</v>
      </c>
      <c r="D22" s="27">
        <f>609892/62</f>
        <v>9836.967741935483</v>
      </c>
      <c r="E22" s="27">
        <f>125663/76</f>
        <v>1653.4605263157894</v>
      </c>
      <c r="F22" s="27">
        <f>43655/76</f>
        <v>574.4078947368421</v>
      </c>
      <c r="G22" s="30">
        <f>122955/127</f>
        <v>968.1496062992126</v>
      </c>
      <c r="H22" s="30">
        <f>508985/249</f>
        <v>2044.1164658634539</v>
      </c>
      <c r="I22" s="27">
        <f>(96178+15710360)/(748+3107)</f>
        <v>4100.269260700389</v>
      </c>
      <c r="J22" s="25">
        <f>32006459/4541</f>
        <v>7048.32834177494</v>
      </c>
      <c r="K22" s="27">
        <f>74045/36</f>
        <v>2056.8055555555557</v>
      </c>
      <c r="L22" s="27">
        <f>746315/62</f>
        <v>12037.338709677419</v>
      </c>
      <c r="M22" s="27">
        <f>217921/76</f>
        <v>2867.3815789473683</v>
      </c>
      <c r="N22" s="27">
        <f>79497/76</f>
        <v>1046.0131578947369</v>
      </c>
      <c r="O22" s="30">
        <f>205331/127</f>
        <v>1616.7795275590552</v>
      </c>
      <c r="P22" s="30">
        <f>812573/249</f>
        <v>3263.3453815261046</v>
      </c>
      <c r="Q22" s="27">
        <f>(445481+29425296)/(748+3107)</f>
        <v>7748.58028534371</v>
      </c>
      <c r="R22" s="28" t="s">
        <v>48</v>
      </c>
    </row>
    <row r="23" spans="1:18" ht="12" customHeight="1">
      <c r="A23" s="24" t="s">
        <v>49</v>
      </c>
      <c r="B23" s="25">
        <f>9892400/1296</f>
        <v>7633.024691358025</v>
      </c>
      <c r="C23" s="27">
        <f>18405/38</f>
        <v>484.3421052631579</v>
      </c>
      <c r="D23" s="30">
        <f>5243/18</f>
        <v>291.27777777777777</v>
      </c>
      <c r="E23" s="27">
        <f>331634/100</f>
        <v>3316.34</v>
      </c>
      <c r="F23" s="30" t="s">
        <v>25</v>
      </c>
      <c r="G23" s="30">
        <f>97056/69</f>
        <v>1406.608695652174</v>
      </c>
      <c r="H23" s="30" t="s">
        <v>25</v>
      </c>
      <c r="I23" s="30">
        <f>9440062/1071</f>
        <v>8814.250233426705</v>
      </c>
      <c r="J23" s="25">
        <f>13603910/1296</f>
        <v>10496.844135802468</v>
      </c>
      <c r="K23" s="27">
        <f>41114/38</f>
        <v>1081.9473684210527</v>
      </c>
      <c r="L23" s="30">
        <f>13004/18</f>
        <v>722.4444444444445</v>
      </c>
      <c r="M23" s="27">
        <f>493521/100</f>
        <v>4935.21</v>
      </c>
      <c r="N23" s="30" t="s">
        <v>25</v>
      </c>
      <c r="O23" s="30">
        <f>146781/69</f>
        <v>2127.2608695652175</v>
      </c>
      <c r="P23" s="30" t="s">
        <v>25</v>
      </c>
      <c r="Q23" s="30">
        <f>12909490/1071</f>
        <v>12053.678804855275</v>
      </c>
      <c r="R23" s="28" t="s">
        <v>50</v>
      </c>
    </row>
    <row r="24" spans="1:18" s="32" customFormat="1" ht="12" customHeight="1">
      <c r="A24" s="24" t="s">
        <v>51</v>
      </c>
      <c r="B24" s="25">
        <f>3833137/5944</f>
        <v>644.875</v>
      </c>
      <c r="C24" s="27">
        <f>294225/592</f>
        <v>497.00168918918916</v>
      </c>
      <c r="D24" s="27">
        <f>433436/627</f>
        <v>691.2854864433812</v>
      </c>
      <c r="E24" s="27">
        <f>325928/467</f>
        <v>697.9186295503212</v>
      </c>
      <c r="F24" s="27">
        <f>738266/605</f>
        <v>1220.2743801652894</v>
      </c>
      <c r="G24" s="27">
        <f>1416670/1028</f>
        <v>1378.0836575875487</v>
      </c>
      <c r="H24" s="27">
        <f>383896/618</f>
        <v>621.1909385113269</v>
      </c>
      <c r="I24" s="27">
        <f>(221626+19090)/(745+456+806)</f>
        <v>119.93821624314897</v>
      </c>
      <c r="J24" s="25">
        <f>7524228/5944</f>
        <v>1265.8526244952893</v>
      </c>
      <c r="K24" s="27">
        <f>736949/592</f>
        <v>1244.8462837837837</v>
      </c>
      <c r="L24" s="27">
        <f>922433/627</f>
        <v>1471.1850079744816</v>
      </c>
      <c r="M24" s="27">
        <f>681657/467</f>
        <v>1459.6509635974305</v>
      </c>
      <c r="N24" s="27">
        <f>1345989/605</f>
        <v>2224.7752066115704</v>
      </c>
      <c r="O24" s="27">
        <f>2111650/1028</f>
        <v>2054.1342412451363</v>
      </c>
      <c r="P24" s="27">
        <f>799037/618</f>
        <v>1292.9401294498382</v>
      </c>
      <c r="Q24" s="27">
        <f>(717608+141895+67010)/(745+456+806)</f>
        <v>461.6407573492775</v>
      </c>
      <c r="R24" s="28" t="s">
        <v>52</v>
      </c>
    </row>
    <row r="25" spans="1:18" ht="12" customHeight="1">
      <c r="A25" s="24" t="s">
        <v>53</v>
      </c>
      <c r="B25" s="25">
        <f>4643527/4487</f>
        <v>1034.8845553822152</v>
      </c>
      <c r="C25" s="27">
        <f>88260/237</f>
        <v>372.40506329113924</v>
      </c>
      <c r="D25" s="27">
        <f>169937/347</f>
        <v>489.7319884726225</v>
      </c>
      <c r="E25" s="27">
        <f>228485/360</f>
        <v>634.6805555555555</v>
      </c>
      <c r="F25" s="27">
        <f>319511/600</f>
        <v>532.5183333333333</v>
      </c>
      <c r="G25" s="27">
        <f>855747/1048</f>
        <v>816.5524809160305</v>
      </c>
      <c r="H25" s="30">
        <f>987852/1082</f>
        <v>912.9870609981516</v>
      </c>
      <c r="I25" s="30">
        <f>(582362+1411373)/(313+500)</f>
        <v>2452.318573185732</v>
      </c>
      <c r="J25" s="25">
        <f>9527174/4487</f>
        <v>2123.2837084911966</v>
      </c>
      <c r="K25" s="27">
        <f>250751/237</f>
        <v>1058.0210970464136</v>
      </c>
      <c r="L25" s="27">
        <f>482105/347</f>
        <v>1389.3515850144092</v>
      </c>
      <c r="M25" s="27">
        <f>465651/360</f>
        <v>1293.475</v>
      </c>
      <c r="N25" s="27">
        <f>807229/600</f>
        <v>1345.3816666666667</v>
      </c>
      <c r="O25" s="27">
        <f>1875823/1048</f>
        <v>1789.9074427480916</v>
      </c>
      <c r="P25" s="30">
        <f>2152754/1082</f>
        <v>1989.6062846580407</v>
      </c>
      <c r="Q25" s="30">
        <f>(789502+2703359)/(313+500)</f>
        <v>4296.261992619926</v>
      </c>
      <c r="R25" s="28" t="s">
        <v>54</v>
      </c>
    </row>
    <row r="26" spans="1:18" ht="12" customHeight="1">
      <c r="A26" s="24" t="s">
        <v>55</v>
      </c>
      <c r="B26" s="25">
        <f>37150470/15747</f>
        <v>2359.2093732139456</v>
      </c>
      <c r="C26" s="27">
        <f>52919/184</f>
        <v>287.6032608695652</v>
      </c>
      <c r="D26" s="27">
        <f>234724/463</f>
        <v>506.963282937365</v>
      </c>
      <c r="E26" s="27">
        <f>201654/649</f>
        <v>310.7149460708783</v>
      </c>
      <c r="F26" s="27">
        <f>159533/682</f>
        <v>233.91935483870967</v>
      </c>
      <c r="G26" s="27">
        <f>1051032/1527</f>
        <v>688.2986247544204</v>
      </c>
      <c r="H26" s="27">
        <f>1612269/2385</f>
        <v>676.0037735849056</v>
      </c>
      <c r="I26" s="27">
        <f>(422946+6738539+13617855+13058999)/(491+2299+2091+4976)</f>
        <v>3432.9247235467183</v>
      </c>
      <c r="J26" s="25">
        <f>69777661/15747</f>
        <v>4431.171715247348</v>
      </c>
      <c r="K26" s="27">
        <f>129386/184</f>
        <v>703.1847826086956</v>
      </c>
      <c r="L26" s="27">
        <f>522696/463</f>
        <v>1128.9330453563714</v>
      </c>
      <c r="M26" s="27">
        <f>456276/649</f>
        <v>703.0446841294299</v>
      </c>
      <c r="N26" s="27">
        <f>367681/682</f>
        <v>539.1217008797654</v>
      </c>
      <c r="O26" s="27">
        <f>2314750/1527</f>
        <v>1515.8808120497708</v>
      </c>
      <c r="P26" s="27">
        <f>2789902/2385</f>
        <v>1169.7702306079664</v>
      </c>
      <c r="Q26" s="27">
        <f>(633903+11094442+16362038+35106587)/(491+2299+2091+4976)</f>
        <v>6411.379730141017</v>
      </c>
      <c r="R26" s="28" t="s">
        <v>56</v>
      </c>
    </row>
    <row r="27" spans="1:18" ht="12" customHeight="1">
      <c r="A27" s="24" t="s">
        <v>57</v>
      </c>
      <c r="B27" s="25">
        <f>7650879/3520</f>
        <v>2173.5451704545453</v>
      </c>
      <c r="C27" s="27">
        <f>85080/166</f>
        <v>512.5301204819277</v>
      </c>
      <c r="D27" s="27">
        <f>102466/285</f>
        <v>359.52982456140353</v>
      </c>
      <c r="E27" s="27">
        <f>535688/339</f>
        <v>1580.2005899705014</v>
      </c>
      <c r="F27" s="27">
        <f>176789/420</f>
        <v>420.92619047619047</v>
      </c>
      <c r="G27" s="27">
        <f>3137023/600</f>
        <v>5228.371666666667</v>
      </c>
      <c r="H27" s="27">
        <f>1324833/778</f>
        <v>1702.8701799485862</v>
      </c>
      <c r="I27" s="27">
        <f>(279091+2009909)/(201+731)</f>
        <v>2456.008583690987</v>
      </c>
      <c r="J27" s="25">
        <f>11783634/3520</f>
        <v>3347.6232954545453</v>
      </c>
      <c r="K27" s="27">
        <f>177581/166</f>
        <v>1069.7650602409637</v>
      </c>
      <c r="L27" s="27">
        <f>289453/285</f>
        <v>1015.6245614035088</v>
      </c>
      <c r="M27" s="27">
        <f>804966/339</f>
        <v>2374.5309734513276</v>
      </c>
      <c r="N27" s="27">
        <f>441196/420</f>
        <v>1050.4666666666667</v>
      </c>
      <c r="O27" s="27">
        <f>3956052/600</f>
        <v>6593.42</v>
      </c>
      <c r="P27" s="27">
        <f>2057844/778</f>
        <v>2645.043701799486</v>
      </c>
      <c r="Q27" s="27">
        <f>(715674+3340868)/(201+731)</f>
        <v>4352.51287553648</v>
      </c>
      <c r="R27" s="28" t="s">
        <v>58</v>
      </c>
    </row>
    <row r="28" spans="1:18" ht="12" customHeight="1">
      <c r="A28" s="24" t="s">
        <v>59</v>
      </c>
      <c r="B28" s="25">
        <f>3954376/3066</f>
        <v>1289.750815394651</v>
      </c>
      <c r="C28" s="27">
        <f>12614/53</f>
        <v>238</v>
      </c>
      <c r="D28" s="30">
        <f>207/14</f>
        <v>14.785714285714286</v>
      </c>
      <c r="E28" s="30">
        <f>131/29</f>
        <v>4.517241379310345</v>
      </c>
      <c r="F28" s="30">
        <f>105196/173</f>
        <v>608.0693641618498</v>
      </c>
      <c r="G28" s="27">
        <f>90589/288</f>
        <v>314.5451388888889</v>
      </c>
      <c r="H28" s="30">
        <f>6347/268</f>
        <v>23.682835820895523</v>
      </c>
      <c r="I28" s="30">
        <f>(127551+343327+3268414)/(516+424+1301)</f>
        <v>1668.5818830879073</v>
      </c>
      <c r="J28" s="25">
        <f>8487107/3066</f>
        <v>2768.1366601435093</v>
      </c>
      <c r="K28" s="27">
        <f>33610/53</f>
        <v>634.1509433962265</v>
      </c>
      <c r="L28" s="30">
        <f>2072/14</f>
        <v>148</v>
      </c>
      <c r="M28" s="30">
        <f>3870/29</f>
        <v>133.44827586206895</v>
      </c>
      <c r="N28" s="30">
        <f>361803/173</f>
        <v>2091.3468208092486</v>
      </c>
      <c r="O28" s="27">
        <f>169432/288</f>
        <v>588.3055555555555</v>
      </c>
      <c r="P28" s="30">
        <f>85072/268</f>
        <v>317.43283582089555</v>
      </c>
      <c r="Q28" s="30">
        <f>(503046+525871+6802331)/(516+424+1301)</f>
        <v>3494.532797858099</v>
      </c>
      <c r="R28" s="28" t="s">
        <v>60</v>
      </c>
    </row>
    <row r="29" spans="1:18" ht="12" customHeight="1">
      <c r="A29" s="33" t="s">
        <v>61</v>
      </c>
      <c r="B29" s="34">
        <f>566836/1282</f>
        <v>442.14976599063965</v>
      </c>
      <c r="C29" s="35">
        <f>84992/318</f>
        <v>267.2704402515723</v>
      </c>
      <c r="D29" s="35">
        <f>165252/247</f>
        <v>669.0364372469636</v>
      </c>
      <c r="E29" s="35">
        <f>48387/171</f>
        <v>282.96491228070175</v>
      </c>
      <c r="F29" s="36">
        <f>46486/71</f>
        <v>654.7323943661971</v>
      </c>
      <c r="G29" s="35">
        <f>132146/208</f>
        <v>635.3173076923077</v>
      </c>
      <c r="H29" s="36">
        <f>89573/267</f>
        <v>335.47940074906364</v>
      </c>
      <c r="I29" s="36" t="s">
        <v>25</v>
      </c>
      <c r="J29" s="34">
        <f>1284313/1282</f>
        <v>1001.8042121684867</v>
      </c>
      <c r="K29" s="35">
        <f>211447/318</f>
        <v>664.9276729559748</v>
      </c>
      <c r="L29" s="35">
        <f>305604/247</f>
        <v>1237.2631578947369</v>
      </c>
      <c r="M29" s="35">
        <f>105011/171</f>
        <v>614.0994152046784</v>
      </c>
      <c r="N29" s="36">
        <f>80936/71</f>
        <v>1139.943661971831</v>
      </c>
      <c r="O29" s="35">
        <f>371991/208</f>
        <v>1788.4182692307693</v>
      </c>
      <c r="P29" s="36">
        <f>209324/267</f>
        <v>783.9850187265918</v>
      </c>
      <c r="Q29" s="36" t="s">
        <v>25</v>
      </c>
      <c r="R29" s="37" t="s">
        <v>62</v>
      </c>
    </row>
    <row r="30" ht="12" customHeight="1">
      <c r="A30" s="38" t="s">
        <v>63</v>
      </c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1999-03-08T01:35:07Z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